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F:\dar rate\dar rate 83 84\"/>
    </mc:Choice>
  </mc:AlternateContent>
  <xr:revisionPtr revIDLastSave="0" documentId="13_ncr:1_{119A4F22-8BAE-4D1E-B1A8-2955A8CBF96D}" xr6:coauthVersionLast="47" xr6:coauthVersionMax="47" xr10:uidLastSave="{00000000-0000-0000-0000-000000000000}"/>
  <bookViews>
    <workbookView xWindow="-120" yWindow="-120" windowWidth="29040" windowHeight="15720" tabRatio="822" firstSheet="34" activeTab="37" xr2:uid="{00000000-000D-0000-FFFF-FFFF00000000}"/>
  </bookViews>
  <sheets>
    <sheet name="SUMMARY" sheetId="12" state="hidden" r:id="rId1"/>
    <sheet name="Salient feature" sheetId="21" state="hidden" r:id="rId2"/>
    <sheet name="sum cost_All" sheetId="22" state="hidden" r:id="rId3"/>
    <sheet name="COST_ALL" sheetId="4" state="hidden" r:id="rId4"/>
    <sheet name="Cost RVT-400" sheetId="44" state="hidden" r:id="rId5"/>
    <sheet name="Sump well" sheetId="50" state="hidden" r:id="rId6"/>
    <sheet name="Abstract_TRUSS" sheetId="48" state="hidden" r:id="rId7"/>
    <sheet name="Pipe Support" sheetId="46" state="hidden" r:id="rId8"/>
    <sheet name="Cost_In_1" sheetId="42" state="hidden" r:id="rId9"/>
    <sheet name="Qnty_ALL" sheetId="1" state="hidden" r:id="rId10"/>
    <sheet name="QTY.Reservoir_400m3" sheetId="45" state="hidden" r:id="rId11"/>
    <sheet name="Source" sheetId="23" state="hidden" r:id="rId12"/>
    <sheet name="Pipe-existing" sheetId="47" state="hidden" r:id="rId13"/>
    <sheet name="Pipe" sheetId="24" state="hidden" r:id="rId14"/>
    <sheet name="Qty Truss" sheetId="49" state="hidden" r:id="rId15"/>
    <sheet name="pip-line" sheetId="25" state="hidden" r:id="rId16"/>
    <sheet name="bar+gate" sheetId="26" state="hidden" r:id="rId17"/>
    <sheet name="CC-DC" sheetId="27" state="hidden" r:id="rId18"/>
    <sheet name="Private_Con" sheetId="28" state="hidden" r:id="rId19"/>
    <sheet name="Qty_in_1" sheetId="43" state="hidden" r:id="rId20"/>
    <sheet name="int" sheetId="29" state="hidden" r:id="rId21"/>
    <sheet name="fe-tank" sheetId="30" state="hidden" r:id="rId22"/>
    <sheet name="vc-bpt" sheetId="31" state="hidden" r:id="rId23"/>
    <sheet name="tools" sheetId="33" state="hidden" r:id="rId24"/>
    <sheet name="FittingsSummary" sheetId="32" state="hidden" r:id="rId25"/>
    <sheet name="conp" sheetId="57" state="hidden" r:id="rId26"/>
    <sheet name="Sheet5" sheetId="58" state="hidden" r:id="rId27"/>
    <sheet name="Valuated abstract" sheetId="56" state="hidden" r:id="rId28"/>
    <sheet name="Detail Measurement" sheetId="55" state="hidden" r:id="rId29"/>
    <sheet name="Intake (v)" sheetId="54" state="hidden" r:id="rId30"/>
    <sheet name="ABSTRACT" sheetId="53" state="hidden" r:id="rId31"/>
    <sheet name="Estimate " sheetId="51" state="hidden" r:id="rId32"/>
    <sheet name="Intake" sheetId="52" state="hidden" r:id="rId33"/>
    <sheet name="Transp_1" sheetId="18" state="hidden" r:id="rId34"/>
    <sheet name="Entry for Rates" sheetId="34" r:id="rId35"/>
    <sheet name="Ext. Mat_3" sheetId="19" r:id="rId36"/>
    <sheet name="Mat-Collect_2" sheetId="20" r:id="rId37"/>
    <sheet name="Analysis" sheetId="17" r:id="rId38"/>
    <sheet name="Rates" sheetId="35" r:id="rId39"/>
    <sheet name="Rate-1" sheetId="36" state="hidden" r:id="rId40"/>
    <sheet name="MR" sheetId="37" state="hidden" r:id="rId41"/>
    <sheet name="Analysis (2)" sheetId="38" state="hidden" r:id="rId42"/>
    <sheet name="reservoir 200" sheetId="67" state="hidden" r:id="rId43"/>
    <sheet name="reservoir 150 " sheetId="66" state="hidden" r:id="rId44"/>
    <sheet name="reservoir 50" sheetId="65" state="hidden" r:id="rId45"/>
    <sheet name="wcr" sheetId="69" state="hidden" r:id="rId46"/>
    <sheet name="Sheet1" sheetId="68" state="hidden" r:id="rId47"/>
    <sheet name="st quantity" sheetId="64" state="hidden" r:id="rId48"/>
    <sheet name="fencing quantity" sheetId="62" state="hidden" r:id="rId49"/>
    <sheet name="truck ana" sheetId="39" state="hidden" r:id="rId50"/>
    <sheet name="fe-Rt quant" sheetId="40" state="hidden" r:id="rId51"/>
    <sheet name="data" sheetId="41" state="hidden" r:id="rId52"/>
    <sheet name="Sheet2" sheetId="70" state="hidden" r:id="rId53"/>
    <sheet name="Sheet3" sheetId="71" state="hidden" r:id="rId54"/>
  </sheets>
  <externalReferences>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s>
  <definedNames>
    <definedName name="\A" localSheetId="30">#REF!</definedName>
    <definedName name="\A" localSheetId="25">#REF!</definedName>
    <definedName name="\A" localSheetId="28">#REF!</definedName>
    <definedName name="\A" localSheetId="29">#REF!</definedName>
    <definedName name="\A" localSheetId="12">#REF!</definedName>
    <definedName name="\A" localSheetId="43">#REF!</definedName>
    <definedName name="\A" localSheetId="42">#REF!</definedName>
    <definedName name="\A" localSheetId="27">#REF!</definedName>
    <definedName name="\A" localSheetId="45">#REF!</definedName>
    <definedName name="\A">#REF!</definedName>
    <definedName name="\b" localSheetId="30">'[1]Water Demand'!#REF!</definedName>
    <definedName name="\b" localSheetId="25">'[1]Water Demand'!#REF!</definedName>
    <definedName name="\b" localSheetId="28">'[1]Water Demand'!#REF!</definedName>
    <definedName name="\b" localSheetId="29">'[1]Water Demand'!#REF!</definedName>
    <definedName name="\b" localSheetId="12">'[1]Water Demand'!#REF!</definedName>
    <definedName name="\b" localSheetId="43">'[1]Water Demand'!#REF!</definedName>
    <definedName name="\b" localSheetId="42">'[1]Water Demand'!#REF!</definedName>
    <definedName name="\b" localSheetId="27">'[1]Water Demand'!#REF!</definedName>
    <definedName name="\b" localSheetId="45">'[1]Water Demand'!#REF!</definedName>
    <definedName name="\b">'[1]Water Demand'!#REF!</definedName>
    <definedName name="\berr" localSheetId="30">'[1]Water Demand'!#REF!</definedName>
    <definedName name="\berr" localSheetId="25">'[1]Water Demand'!#REF!</definedName>
    <definedName name="\berr" localSheetId="28">'[1]Water Demand'!#REF!</definedName>
    <definedName name="\berr" localSheetId="29">'[1]Water Demand'!#REF!</definedName>
    <definedName name="\berr" localSheetId="12">'[1]Water Demand'!#REF!</definedName>
    <definedName name="\berr" localSheetId="43">'[1]Water Demand'!#REF!</definedName>
    <definedName name="\berr" localSheetId="42">'[1]Water Demand'!#REF!</definedName>
    <definedName name="\berr" localSheetId="27">'[1]Water Demand'!#REF!</definedName>
    <definedName name="\berr" localSheetId="45">'[1]Water Demand'!#REF!</definedName>
    <definedName name="\berr">'[1]Water Demand'!#REF!</definedName>
    <definedName name="\c" localSheetId="30">'[1]Water Demand'!#REF!</definedName>
    <definedName name="\c" localSheetId="25">'[1]Water Demand'!#REF!</definedName>
    <definedName name="\c" localSheetId="28">'[1]Water Demand'!#REF!</definedName>
    <definedName name="\c" localSheetId="29">'[1]Water Demand'!#REF!</definedName>
    <definedName name="\c" localSheetId="12">'[1]Water Demand'!#REF!</definedName>
    <definedName name="\c" localSheetId="43">'[1]Water Demand'!#REF!</definedName>
    <definedName name="\c" localSheetId="42">'[1]Water Demand'!#REF!</definedName>
    <definedName name="\c" localSheetId="27">'[1]Water Demand'!#REF!</definedName>
    <definedName name="\c" localSheetId="45">'[1]Water Demand'!#REF!</definedName>
    <definedName name="\c">'[1]Water Demand'!#REF!</definedName>
    <definedName name="\cerr" localSheetId="30">'[1]Water Demand'!#REF!</definedName>
    <definedName name="\cerr" localSheetId="25">'[1]Water Demand'!#REF!</definedName>
    <definedName name="\cerr" localSheetId="28">'[1]Water Demand'!#REF!</definedName>
    <definedName name="\cerr" localSheetId="29">'[1]Water Demand'!#REF!</definedName>
    <definedName name="\cerr" localSheetId="12">'[1]Water Demand'!#REF!</definedName>
    <definedName name="\cerr" localSheetId="43">'[1]Water Demand'!#REF!</definedName>
    <definedName name="\cerr" localSheetId="42">'[1]Water Demand'!#REF!</definedName>
    <definedName name="\cerr" localSheetId="27">'[1]Water Demand'!#REF!</definedName>
    <definedName name="\cerr" localSheetId="45">'[1]Water Demand'!#REF!</definedName>
    <definedName name="\cerr">'[1]Water Demand'!#REF!</definedName>
    <definedName name="\e" localSheetId="30">#REF!</definedName>
    <definedName name="\e" localSheetId="25">#REF!</definedName>
    <definedName name="\e" localSheetId="28">#REF!</definedName>
    <definedName name="\e" localSheetId="29">#REF!</definedName>
    <definedName name="\e" localSheetId="12">#REF!</definedName>
    <definedName name="\e" localSheetId="43">#REF!</definedName>
    <definedName name="\e" localSheetId="42">#REF!</definedName>
    <definedName name="\e" localSheetId="27">#REF!</definedName>
    <definedName name="\e" localSheetId="45">#REF!</definedName>
    <definedName name="\e">#REF!</definedName>
    <definedName name="\P" localSheetId="30">#REF!</definedName>
    <definedName name="\P" localSheetId="25">#REF!</definedName>
    <definedName name="\P" localSheetId="28">#REF!</definedName>
    <definedName name="\P" localSheetId="29">#REF!</definedName>
    <definedName name="\P" localSheetId="12">#REF!</definedName>
    <definedName name="\P" localSheetId="43">#REF!</definedName>
    <definedName name="\P" localSheetId="42">#REF!</definedName>
    <definedName name="\P" localSheetId="27">#REF!</definedName>
    <definedName name="\P" localSheetId="45">#REF!</definedName>
    <definedName name="\P">#REF!</definedName>
    <definedName name="__________________________________________RSD2">'[2]Data-Table'!$D$27</definedName>
    <definedName name="_________________________________________RSD2">'[3]Data-Table'!$D$27</definedName>
    <definedName name="________________________________________RSD2">'[3]Data-Table'!$D$27</definedName>
    <definedName name="_______________________________________RSD2">'[3]Data-Table'!$D$27</definedName>
    <definedName name="______________________________________RSD1">'[2]Data-Table'!$D$26</definedName>
    <definedName name="______________________________________RSD2">'[3]Data-Table'!$D$27</definedName>
    <definedName name="_____________________________________RSD1">'[3]Data-Table'!$D$26</definedName>
    <definedName name="_____________________________________RSD2">'[3]Data-Table'!$D$27</definedName>
    <definedName name="____________________________________RSD1">'[3]Data-Table'!$D$26</definedName>
    <definedName name="____________________________________RSD2">'[3]Data-Table'!$D$27</definedName>
    <definedName name="___________________________________DPC124" localSheetId="30">#REF!</definedName>
    <definedName name="___________________________________DPC124" localSheetId="25">#REF!</definedName>
    <definedName name="___________________________________DPC124" localSheetId="28">#REF!</definedName>
    <definedName name="___________________________________DPC124" localSheetId="29">#REF!</definedName>
    <definedName name="___________________________________DPC124" localSheetId="12">#REF!</definedName>
    <definedName name="___________________________________DPC124" localSheetId="43">#REF!</definedName>
    <definedName name="___________________________________DPC124" localSheetId="42">#REF!</definedName>
    <definedName name="___________________________________DPC124" localSheetId="27">#REF!</definedName>
    <definedName name="___________________________________DPC124" localSheetId="45">#REF!</definedName>
    <definedName name="___________________________________DPC124">#REF!</definedName>
    <definedName name="___________________________________DPC136" localSheetId="30">#REF!</definedName>
    <definedName name="___________________________________DPC136" localSheetId="25">#REF!</definedName>
    <definedName name="___________________________________DPC136" localSheetId="28">#REF!</definedName>
    <definedName name="___________________________________DPC136" localSheetId="29">#REF!</definedName>
    <definedName name="___________________________________DPC136" localSheetId="12">#REF!</definedName>
    <definedName name="___________________________________DPC136" localSheetId="43">#REF!</definedName>
    <definedName name="___________________________________DPC136" localSheetId="42">#REF!</definedName>
    <definedName name="___________________________________DPC136" localSheetId="27">#REF!</definedName>
    <definedName name="___________________________________DPC136" localSheetId="45">#REF!</definedName>
    <definedName name="___________________________________DPC136">#REF!</definedName>
    <definedName name="___________________________________DPC148" localSheetId="30">#REF!</definedName>
    <definedName name="___________________________________DPC148" localSheetId="25">#REF!</definedName>
    <definedName name="___________________________________DPC148" localSheetId="28">#REF!</definedName>
    <definedName name="___________________________________DPC148" localSheetId="29">#REF!</definedName>
    <definedName name="___________________________________DPC148" localSheetId="12">#REF!</definedName>
    <definedName name="___________________________________DPC148" localSheetId="43">#REF!</definedName>
    <definedName name="___________________________________DPC148" localSheetId="42">#REF!</definedName>
    <definedName name="___________________________________DPC148" localSheetId="27">#REF!</definedName>
    <definedName name="___________________________________DPC148" localSheetId="45">#REF!</definedName>
    <definedName name="___________________________________DPC148">#REF!</definedName>
    <definedName name="___________________________________RSD1">'[3]Data-Table'!$D$26</definedName>
    <definedName name="___________________________________RSD2">'[3]Data-Table'!$D$27</definedName>
    <definedName name="__________________________________RSD1">'[3]Data-Table'!$D$26</definedName>
    <definedName name="__________________________________RSD2">'[3]Data-Table'!$D$27</definedName>
    <definedName name="_________________________________RSD1">'[3]Data-Table'!$D$26</definedName>
    <definedName name="_________________________________RSD2">'[3]Data-Table'!$D$27</definedName>
    <definedName name="________________________________RSD1">'[3]Data-Table'!$D$26</definedName>
    <definedName name="________________________________RSD2">'[3]Data-Table'!$D$27</definedName>
    <definedName name="_______________________________RSD1">'[3]Data-Table'!$D$26</definedName>
    <definedName name="_______________________________RSD2">'[3]Data-Table'!$D$27</definedName>
    <definedName name="______________________________RSD1">'[3]Data-Table'!$D$26</definedName>
    <definedName name="______________________________RSD2">'[3]Data-Table'!$D$27</definedName>
    <definedName name="_____________________________RSD1">'[3]Data-Table'!$D$26</definedName>
    <definedName name="_____________________________RSD2">'[3]Data-Table'!$D$27</definedName>
    <definedName name="____________________________RSD1">'[3]Data-Table'!$D$26</definedName>
    <definedName name="____________________________RSD2">'[3]Data-Table'!$D$27</definedName>
    <definedName name="___________________________RSD1">'[3]Data-Table'!$D$26</definedName>
    <definedName name="___________________________RSD2">'[3]Data-Table'!$D$27</definedName>
    <definedName name="__________________________RSD1">'[3]Data-Table'!$D$26</definedName>
    <definedName name="__________________________RSD2">'[3]Data-Table'!$D$27</definedName>
    <definedName name="_________________________RSD1">'[3]Data-Table'!$D$26</definedName>
    <definedName name="_________________________RSD2">'[3]Data-Table'!$D$27</definedName>
    <definedName name="________________________RSD1">'[3]Data-Table'!$D$26</definedName>
    <definedName name="________________________RSD2">'[3]Data-Table'!$D$27</definedName>
    <definedName name="_______________________RSD1">'[3]Data-Table'!$D$26</definedName>
    <definedName name="_______________________RSD2">'[3]Data-Table'!$D$27</definedName>
    <definedName name="______________________RSD1">'[3]Data-Table'!$D$26</definedName>
    <definedName name="______________________RSD2">'[3]Data-Table'!$D$27</definedName>
    <definedName name="_____________________RSD1">'[3]Data-Table'!$D$26</definedName>
    <definedName name="_____________________RSD2">'[3]Data-Table'!$D$27</definedName>
    <definedName name="____________________RSD1">'[3]Data-Table'!$D$26</definedName>
    <definedName name="____________________RSD2">'[3]Data-Table'!$D$27</definedName>
    <definedName name="___________________RSD1">'[3]Data-Table'!$D$26</definedName>
    <definedName name="___________________RSD2">'[3]Data-Table'!$D$27</definedName>
    <definedName name="__________________RSD1">'[3]Data-Table'!$D$26</definedName>
    <definedName name="__________________RSD2">'[3]Data-Table'!$D$27</definedName>
    <definedName name="_________________RSD1">'[3]Data-Table'!$D$26</definedName>
    <definedName name="_________________RSD2">'[3]Data-Table'!$D$27</definedName>
    <definedName name="________________RSD1">'[3]Data-Table'!$D$26</definedName>
    <definedName name="________________RSD2">'[3]Data-Table'!$D$27</definedName>
    <definedName name="_______________RSD1">'[3]Data-Table'!$D$26</definedName>
    <definedName name="_______________RSD2">'[3]Data-Table'!$D$27</definedName>
    <definedName name="______________RSD1">'[3]Data-Table'!$D$26</definedName>
    <definedName name="______________RSD2">'[3]Data-Table'!$D$27</definedName>
    <definedName name="_____________RSD1">'[3]Data-Table'!$D$26</definedName>
    <definedName name="_____________RSD2">'[3]Data-Table'!$D$27</definedName>
    <definedName name="____________LN1" localSheetId="30">'[1]Water Demand'!#REF!</definedName>
    <definedName name="____________LN1" localSheetId="25">'[1]Water Demand'!#REF!</definedName>
    <definedName name="____________LN1" localSheetId="28">'[1]Water Demand'!#REF!</definedName>
    <definedName name="____________LN1" localSheetId="29">'[1]Water Demand'!#REF!</definedName>
    <definedName name="____________LN1" localSheetId="12">'[1]Water Demand'!#REF!</definedName>
    <definedName name="____________LN1" localSheetId="43">'[1]Water Demand'!#REF!</definedName>
    <definedName name="____________LN1" localSheetId="42">'[1]Water Demand'!#REF!</definedName>
    <definedName name="____________LN1" localSheetId="27">'[1]Water Demand'!#REF!</definedName>
    <definedName name="____________LN1" localSheetId="45">'[1]Water Demand'!#REF!</definedName>
    <definedName name="____________LN1">'[1]Water Demand'!#REF!</definedName>
    <definedName name="____________LN10" localSheetId="30">'[1]Water Demand'!#REF!</definedName>
    <definedName name="____________LN10" localSheetId="25">'[1]Water Demand'!#REF!</definedName>
    <definedName name="____________LN10" localSheetId="28">'[1]Water Demand'!#REF!</definedName>
    <definedName name="____________LN10" localSheetId="29">'[1]Water Demand'!#REF!</definedName>
    <definedName name="____________LN10" localSheetId="12">'[1]Water Demand'!#REF!</definedName>
    <definedName name="____________LN10" localSheetId="43">'[1]Water Demand'!#REF!</definedName>
    <definedName name="____________LN10" localSheetId="42">'[1]Water Demand'!#REF!</definedName>
    <definedName name="____________LN10" localSheetId="27">'[1]Water Demand'!#REF!</definedName>
    <definedName name="____________LN10" localSheetId="45">'[1]Water Demand'!#REF!</definedName>
    <definedName name="____________LN10">'[1]Water Demand'!#REF!</definedName>
    <definedName name="____________LN11" localSheetId="30">'[1]Water Demand'!#REF!</definedName>
    <definedName name="____________LN11" localSheetId="25">'[1]Water Demand'!#REF!</definedName>
    <definedName name="____________LN11" localSheetId="28">'[1]Water Demand'!#REF!</definedName>
    <definedName name="____________LN11" localSheetId="29">'[1]Water Demand'!#REF!</definedName>
    <definedName name="____________LN11" localSheetId="12">'[1]Water Demand'!#REF!</definedName>
    <definedName name="____________LN11" localSheetId="43">'[1]Water Demand'!#REF!</definedName>
    <definedName name="____________LN11" localSheetId="42">'[1]Water Demand'!#REF!</definedName>
    <definedName name="____________LN11" localSheetId="27">'[1]Water Demand'!#REF!</definedName>
    <definedName name="____________LN11" localSheetId="45">'[1]Water Demand'!#REF!</definedName>
    <definedName name="____________LN11">'[1]Water Demand'!#REF!</definedName>
    <definedName name="____________LN12" localSheetId="30">'[1]Water Demand'!#REF!</definedName>
    <definedName name="____________LN12" localSheetId="25">'[1]Water Demand'!#REF!</definedName>
    <definedName name="____________LN12" localSheetId="28">'[1]Water Demand'!#REF!</definedName>
    <definedName name="____________LN12" localSheetId="29">'[1]Water Demand'!#REF!</definedName>
    <definedName name="____________LN12" localSheetId="12">'[1]Water Demand'!#REF!</definedName>
    <definedName name="____________LN12" localSheetId="43">'[1]Water Demand'!#REF!</definedName>
    <definedName name="____________LN12" localSheetId="42">'[1]Water Demand'!#REF!</definedName>
    <definedName name="____________LN12" localSheetId="27">'[1]Water Demand'!#REF!</definedName>
    <definedName name="____________LN12" localSheetId="45">'[1]Water Demand'!#REF!</definedName>
    <definedName name="____________LN12">'[1]Water Demand'!#REF!</definedName>
    <definedName name="____________LN13" localSheetId="30">'[1]Water Demand'!#REF!</definedName>
    <definedName name="____________LN13" localSheetId="25">'[1]Water Demand'!#REF!</definedName>
    <definedName name="____________LN13" localSheetId="28">'[1]Water Demand'!#REF!</definedName>
    <definedName name="____________LN13" localSheetId="29">'[1]Water Demand'!#REF!</definedName>
    <definedName name="____________LN13" localSheetId="12">'[1]Water Demand'!#REF!</definedName>
    <definedName name="____________LN13" localSheetId="43">'[1]Water Demand'!#REF!</definedName>
    <definedName name="____________LN13" localSheetId="42">'[1]Water Demand'!#REF!</definedName>
    <definedName name="____________LN13" localSheetId="27">'[1]Water Demand'!#REF!</definedName>
    <definedName name="____________LN13" localSheetId="45">'[1]Water Demand'!#REF!</definedName>
    <definedName name="____________LN13">'[1]Water Demand'!#REF!</definedName>
    <definedName name="____________LN14" localSheetId="30">'[1]Water Demand'!#REF!</definedName>
    <definedName name="____________LN14" localSheetId="25">'[1]Water Demand'!#REF!</definedName>
    <definedName name="____________LN14" localSheetId="28">'[1]Water Demand'!#REF!</definedName>
    <definedName name="____________LN14" localSheetId="29">'[1]Water Demand'!#REF!</definedName>
    <definedName name="____________LN14" localSheetId="12">'[1]Water Demand'!#REF!</definedName>
    <definedName name="____________LN14" localSheetId="43">'[1]Water Demand'!#REF!</definedName>
    <definedName name="____________LN14" localSheetId="42">'[1]Water Demand'!#REF!</definedName>
    <definedName name="____________LN14" localSheetId="27">'[1]Water Demand'!#REF!</definedName>
    <definedName name="____________LN14" localSheetId="45">'[1]Water Demand'!#REF!</definedName>
    <definedName name="____________LN14">'[1]Water Demand'!#REF!</definedName>
    <definedName name="____________LN15" localSheetId="30">'[1]Water Demand'!#REF!</definedName>
    <definedName name="____________LN15" localSheetId="25">'[1]Water Demand'!#REF!</definedName>
    <definedName name="____________LN15" localSheetId="28">'[1]Water Demand'!#REF!</definedName>
    <definedName name="____________LN15" localSheetId="29">'[1]Water Demand'!#REF!</definedName>
    <definedName name="____________LN15" localSheetId="12">'[1]Water Demand'!#REF!</definedName>
    <definedName name="____________LN15" localSheetId="43">'[1]Water Demand'!#REF!</definedName>
    <definedName name="____________LN15" localSheetId="42">'[1]Water Demand'!#REF!</definedName>
    <definedName name="____________LN15" localSheetId="27">'[1]Water Demand'!#REF!</definedName>
    <definedName name="____________LN15" localSheetId="45">'[1]Water Demand'!#REF!</definedName>
    <definedName name="____________LN15">'[1]Water Demand'!#REF!</definedName>
    <definedName name="____________LN16" localSheetId="30">'[1]Water Demand'!#REF!</definedName>
    <definedName name="____________LN16" localSheetId="25">'[1]Water Demand'!#REF!</definedName>
    <definedName name="____________LN16" localSheetId="28">'[1]Water Demand'!#REF!</definedName>
    <definedName name="____________LN16" localSheetId="29">'[1]Water Demand'!#REF!</definedName>
    <definedName name="____________LN16" localSheetId="12">'[1]Water Demand'!#REF!</definedName>
    <definedName name="____________LN16" localSheetId="43">'[1]Water Demand'!#REF!</definedName>
    <definedName name="____________LN16" localSheetId="42">'[1]Water Demand'!#REF!</definedName>
    <definedName name="____________LN16" localSheetId="27">'[1]Water Demand'!#REF!</definedName>
    <definedName name="____________LN16" localSheetId="45">'[1]Water Demand'!#REF!</definedName>
    <definedName name="____________LN16">'[1]Water Demand'!#REF!</definedName>
    <definedName name="____________LN17" localSheetId="30">'[1]Water Demand'!#REF!</definedName>
    <definedName name="____________LN17" localSheetId="25">'[1]Water Demand'!#REF!</definedName>
    <definedName name="____________LN17" localSheetId="28">'[1]Water Demand'!#REF!</definedName>
    <definedName name="____________LN17" localSheetId="29">'[1]Water Demand'!#REF!</definedName>
    <definedName name="____________LN17" localSheetId="12">'[1]Water Demand'!#REF!</definedName>
    <definedName name="____________LN17" localSheetId="43">'[1]Water Demand'!#REF!</definedName>
    <definedName name="____________LN17" localSheetId="42">'[1]Water Demand'!#REF!</definedName>
    <definedName name="____________LN17" localSheetId="27">'[1]Water Demand'!#REF!</definedName>
    <definedName name="____________LN17" localSheetId="45">'[1]Water Demand'!#REF!</definedName>
    <definedName name="____________LN17">'[1]Water Demand'!#REF!</definedName>
    <definedName name="____________LN18" localSheetId="30">'[1]Water Demand'!#REF!</definedName>
    <definedName name="____________LN18" localSheetId="25">'[1]Water Demand'!#REF!</definedName>
    <definedName name="____________LN18" localSheetId="28">'[1]Water Demand'!#REF!</definedName>
    <definedName name="____________LN18" localSheetId="29">'[1]Water Demand'!#REF!</definedName>
    <definedName name="____________LN18" localSheetId="12">'[1]Water Demand'!#REF!</definedName>
    <definedName name="____________LN18" localSheetId="43">'[1]Water Demand'!#REF!</definedName>
    <definedName name="____________LN18" localSheetId="42">'[1]Water Demand'!#REF!</definedName>
    <definedName name="____________LN18" localSheetId="27">'[1]Water Demand'!#REF!</definedName>
    <definedName name="____________LN18" localSheetId="45">'[1]Water Demand'!#REF!</definedName>
    <definedName name="____________LN18">'[1]Water Demand'!#REF!</definedName>
    <definedName name="____________LN19" localSheetId="30">'[1]Water Demand'!#REF!</definedName>
    <definedName name="____________LN19" localSheetId="25">'[1]Water Demand'!#REF!</definedName>
    <definedName name="____________LN19" localSheetId="28">'[1]Water Demand'!#REF!</definedName>
    <definedName name="____________LN19" localSheetId="29">'[1]Water Demand'!#REF!</definedName>
    <definedName name="____________LN19" localSheetId="12">'[1]Water Demand'!#REF!</definedName>
    <definedName name="____________LN19" localSheetId="43">'[1]Water Demand'!#REF!</definedName>
    <definedName name="____________LN19" localSheetId="42">'[1]Water Demand'!#REF!</definedName>
    <definedName name="____________LN19" localSheetId="27">'[1]Water Demand'!#REF!</definedName>
    <definedName name="____________LN19" localSheetId="45">'[1]Water Demand'!#REF!</definedName>
    <definedName name="____________LN19">'[1]Water Demand'!#REF!</definedName>
    <definedName name="____________LN2" localSheetId="30">'[1]Water Demand'!#REF!</definedName>
    <definedName name="____________LN2" localSheetId="25">'[1]Water Demand'!#REF!</definedName>
    <definedName name="____________LN2" localSheetId="28">'[1]Water Demand'!#REF!</definedName>
    <definedName name="____________LN2" localSheetId="29">'[1]Water Demand'!#REF!</definedName>
    <definedName name="____________LN2" localSheetId="12">'[1]Water Demand'!#REF!</definedName>
    <definedName name="____________LN2" localSheetId="43">'[1]Water Demand'!#REF!</definedName>
    <definedName name="____________LN2" localSheetId="42">'[1]Water Demand'!#REF!</definedName>
    <definedName name="____________LN2" localSheetId="27">'[1]Water Demand'!#REF!</definedName>
    <definedName name="____________LN2" localSheetId="45">'[1]Water Demand'!#REF!</definedName>
    <definedName name="____________LN2">'[1]Water Demand'!#REF!</definedName>
    <definedName name="____________LN20" localSheetId="30">#REF!</definedName>
    <definedName name="____________LN20" localSheetId="25">#REF!</definedName>
    <definedName name="____________LN20" localSheetId="28">#REF!</definedName>
    <definedName name="____________LN20" localSheetId="29">#REF!</definedName>
    <definedName name="____________LN20" localSheetId="12">#REF!</definedName>
    <definedName name="____________LN20" localSheetId="43">#REF!</definedName>
    <definedName name="____________LN20" localSheetId="42">#REF!</definedName>
    <definedName name="____________LN20" localSheetId="27">#REF!</definedName>
    <definedName name="____________LN20" localSheetId="45">#REF!</definedName>
    <definedName name="____________LN20">#REF!</definedName>
    <definedName name="____________LN21" localSheetId="30">#REF!</definedName>
    <definedName name="____________LN21" localSheetId="25">#REF!</definedName>
    <definedName name="____________LN21" localSheetId="28">#REF!</definedName>
    <definedName name="____________LN21" localSheetId="29">#REF!</definedName>
    <definedName name="____________LN21" localSheetId="12">#REF!</definedName>
    <definedName name="____________LN21" localSheetId="43">#REF!</definedName>
    <definedName name="____________LN21" localSheetId="42">#REF!</definedName>
    <definedName name="____________LN21" localSheetId="27">#REF!</definedName>
    <definedName name="____________LN21" localSheetId="45">#REF!</definedName>
    <definedName name="____________LN21">#REF!</definedName>
    <definedName name="____________LN22" localSheetId="30">'[1]Water Demand'!#REF!</definedName>
    <definedName name="____________LN22" localSheetId="25">'[1]Water Demand'!#REF!</definedName>
    <definedName name="____________LN22" localSheetId="28">'[1]Water Demand'!#REF!</definedName>
    <definedName name="____________LN22" localSheetId="29">'[1]Water Demand'!#REF!</definedName>
    <definedName name="____________LN22" localSheetId="12">'[1]Water Demand'!#REF!</definedName>
    <definedName name="____________LN22" localSheetId="43">'[1]Water Demand'!#REF!</definedName>
    <definedName name="____________LN22" localSheetId="42">'[1]Water Demand'!#REF!</definedName>
    <definedName name="____________LN22" localSheetId="27">'[1]Water Demand'!#REF!</definedName>
    <definedName name="____________LN22" localSheetId="45">'[1]Water Demand'!#REF!</definedName>
    <definedName name="____________LN22">'[1]Water Demand'!#REF!</definedName>
    <definedName name="____________LN23" localSheetId="30">'[1]Water Demand'!#REF!</definedName>
    <definedName name="____________LN23" localSheetId="25">'[1]Water Demand'!#REF!</definedName>
    <definedName name="____________LN23" localSheetId="28">'[1]Water Demand'!#REF!</definedName>
    <definedName name="____________LN23" localSheetId="29">'[1]Water Demand'!#REF!</definedName>
    <definedName name="____________LN23" localSheetId="12">'[1]Water Demand'!#REF!</definedName>
    <definedName name="____________LN23" localSheetId="43">'[1]Water Demand'!#REF!</definedName>
    <definedName name="____________LN23" localSheetId="42">'[1]Water Demand'!#REF!</definedName>
    <definedName name="____________LN23" localSheetId="27">'[1]Water Demand'!#REF!</definedName>
    <definedName name="____________LN23" localSheetId="45">'[1]Water Demand'!#REF!</definedName>
    <definedName name="____________LN23">'[1]Water Demand'!#REF!</definedName>
    <definedName name="____________LN24" localSheetId="30">'[1]Water Demand'!#REF!</definedName>
    <definedName name="____________LN24" localSheetId="25">'[1]Water Demand'!#REF!</definedName>
    <definedName name="____________LN24" localSheetId="28">'[1]Water Demand'!#REF!</definedName>
    <definedName name="____________LN24" localSheetId="29">'[1]Water Demand'!#REF!</definedName>
    <definedName name="____________LN24" localSheetId="12">'[1]Water Demand'!#REF!</definedName>
    <definedName name="____________LN24" localSheetId="43">'[1]Water Demand'!#REF!</definedName>
    <definedName name="____________LN24" localSheetId="42">'[1]Water Demand'!#REF!</definedName>
    <definedName name="____________LN24" localSheetId="27">'[1]Water Demand'!#REF!</definedName>
    <definedName name="____________LN24" localSheetId="45">'[1]Water Demand'!#REF!</definedName>
    <definedName name="____________LN24">'[1]Water Demand'!#REF!</definedName>
    <definedName name="____________LN25" localSheetId="30">'[1]Water Demand'!#REF!</definedName>
    <definedName name="____________LN25" localSheetId="25">'[1]Water Demand'!#REF!</definedName>
    <definedName name="____________LN25" localSheetId="28">'[1]Water Demand'!#REF!</definedName>
    <definedName name="____________LN25" localSheetId="29">'[1]Water Demand'!#REF!</definedName>
    <definedName name="____________LN25" localSheetId="12">'[1]Water Demand'!#REF!</definedName>
    <definedName name="____________LN25" localSheetId="43">'[1]Water Demand'!#REF!</definedName>
    <definedName name="____________LN25" localSheetId="42">'[1]Water Demand'!#REF!</definedName>
    <definedName name="____________LN25" localSheetId="27">'[1]Water Demand'!#REF!</definedName>
    <definedName name="____________LN25" localSheetId="45">'[1]Water Demand'!#REF!</definedName>
    <definedName name="____________LN25">'[1]Water Demand'!#REF!</definedName>
    <definedName name="____________LN26" localSheetId="30">'[1]Water Demand'!#REF!</definedName>
    <definedName name="____________LN26" localSheetId="25">'[1]Water Demand'!#REF!</definedName>
    <definedName name="____________LN26" localSheetId="28">'[1]Water Demand'!#REF!</definedName>
    <definedName name="____________LN26" localSheetId="29">'[1]Water Demand'!#REF!</definedName>
    <definedName name="____________LN26" localSheetId="12">'[1]Water Demand'!#REF!</definedName>
    <definedName name="____________LN26" localSheetId="43">'[1]Water Demand'!#REF!</definedName>
    <definedName name="____________LN26" localSheetId="42">'[1]Water Demand'!#REF!</definedName>
    <definedName name="____________LN26" localSheetId="27">'[1]Water Demand'!#REF!</definedName>
    <definedName name="____________LN26" localSheetId="45">'[1]Water Demand'!#REF!</definedName>
    <definedName name="____________LN26">'[1]Water Demand'!#REF!</definedName>
    <definedName name="____________LN27" localSheetId="30">'[1]Water Demand'!#REF!</definedName>
    <definedName name="____________LN27" localSheetId="25">'[1]Water Demand'!#REF!</definedName>
    <definedName name="____________LN27" localSheetId="28">'[1]Water Demand'!#REF!</definedName>
    <definedName name="____________LN27" localSheetId="29">'[1]Water Demand'!#REF!</definedName>
    <definedName name="____________LN27" localSheetId="12">'[1]Water Demand'!#REF!</definedName>
    <definedName name="____________LN27" localSheetId="43">'[1]Water Demand'!#REF!</definedName>
    <definedName name="____________LN27" localSheetId="42">'[1]Water Demand'!#REF!</definedName>
    <definedName name="____________LN27" localSheetId="27">'[1]Water Demand'!#REF!</definedName>
    <definedName name="____________LN27" localSheetId="45">'[1]Water Demand'!#REF!</definedName>
    <definedName name="____________LN27">'[1]Water Demand'!#REF!</definedName>
    <definedName name="____________LN28" localSheetId="30">'[1]Water Demand'!#REF!</definedName>
    <definedName name="____________LN28" localSheetId="25">'[1]Water Demand'!#REF!</definedName>
    <definedName name="____________LN28" localSheetId="28">'[1]Water Demand'!#REF!</definedName>
    <definedName name="____________LN28" localSheetId="29">'[1]Water Demand'!#REF!</definedName>
    <definedName name="____________LN28" localSheetId="12">'[1]Water Demand'!#REF!</definedName>
    <definedName name="____________LN28" localSheetId="43">'[1]Water Demand'!#REF!</definedName>
    <definedName name="____________LN28" localSheetId="42">'[1]Water Demand'!#REF!</definedName>
    <definedName name="____________LN28" localSheetId="27">'[1]Water Demand'!#REF!</definedName>
    <definedName name="____________LN28" localSheetId="45">'[1]Water Demand'!#REF!</definedName>
    <definedName name="____________LN28">'[1]Water Demand'!#REF!</definedName>
    <definedName name="____________LN29" localSheetId="30">'[1]Water Demand'!#REF!</definedName>
    <definedName name="____________LN29" localSheetId="25">'[1]Water Demand'!#REF!</definedName>
    <definedName name="____________LN29" localSheetId="28">'[1]Water Demand'!#REF!</definedName>
    <definedName name="____________LN29" localSheetId="29">'[1]Water Demand'!#REF!</definedName>
    <definedName name="____________LN29" localSheetId="12">'[1]Water Demand'!#REF!</definedName>
    <definedName name="____________LN29" localSheetId="43">'[1]Water Demand'!#REF!</definedName>
    <definedName name="____________LN29" localSheetId="42">'[1]Water Demand'!#REF!</definedName>
    <definedName name="____________LN29" localSheetId="27">'[1]Water Demand'!#REF!</definedName>
    <definedName name="____________LN29" localSheetId="45">'[1]Water Demand'!#REF!</definedName>
    <definedName name="____________LN29">'[1]Water Demand'!#REF!</definedName>
    <definedName name="____________LN3" localSheetId="30">#REF!</definedName>
    <definedName name="____________LN3" localSheetId="25">#REF!</definedName>
    <definedName name="____________LN3" localSheetId="28">#REF!</definedName>
    <definedName name="____________LN3" localSheetId="29">#REF!</definedName>
    <definedName name="____________LN3" localSheetId="12">#REF!</definedName>
    <definedName name="____________LN3" localSheetId="43">#REF!</definedName>
    <definedName name="____________LN3" localSheetId="42">#REF!</definedName>
    <definedName name="____________LN3" localSheetId="27">#REF!</definedName>
    <definedName name="____________LN3" localSheetId="45">#REF!</definedName>
    <definedName name="____________LN3">#REF!</definedName>
    <definedName name="____________LN30" localSheetId="30">'[1]Water Demand'!#REF!</definedName>
    <definedName name="____________LN30" localSheetId="25">'[1]Water Demand'!#REF!</definedName>
    <definedName name="____________LN30" localSheetId="28">'[1]Water Demand'!#REF!</definedName>
    <definedName name="____________LN30" localSheetId="29">'[1]Water Demand'!#REF!</definedName>
    <definedName name="____________LN30" localSheetId="12">'[1]Water Demand'!#REF!</definedName>
    <definedName name="____________LN30" localSheetId="43">'[1]Water Demand'!#REF!</definedName>
    <definedName name="____________LN30" localSheetId="42">'[1]Water Demand'!#REF!</definedName>
    <definedName name="____________LN30" localSheetId="27">'[1]Water Demand'!#REF!</definedName>
    <definedName name="____________LN30" localSheetId="45">'[1]Water Demand'!#REF!</definedName>
    <definedName name="____________LN30">'[1]Water Demand'!#REF!</definedName>
    <definedName name="____________LN31" localSheetId="30">#REF!</definedName>
    <definedName name="____________LN31" localSheetId="25">#REF!</definedName>
    <definedName name="____________LN31" localSheetId="28">#REF!</definedName>
    <definedName name="____________LN31" localSheetId="29">#REF!</definedName>
    <definedName name="____________LN31" localSheetId="12">#REF!</definedName>
    <definedName name="____________LN31" localSheetId="43">#REF!</definedName>
    <definedName name="____________LN31" localSheetId="42">#REF!</definedName>
    <definedName name="____________LN31" localSheetId="27">#REF!</definedName>
    <definedName name="____________LN31" localSheetId="45">#REF!</definedName>
    <definedName name="____________LN31">#REF!</definedName>
    <definedName name="____________LN32" localSheetId="30">#REF!</definedName>
    <definedName name="____________LN32" localSheetId="25">#REF!</definedName>
    <definedName name="____________LN32" localSheetId="28">#REF!</definedName>
    <definedName name="____________LN32" localSheetId="29">#REF!</definedName>
    <definedName name="____________LN32" localSheetId="12">#REF!</definedName>
    <definedName name="____________LN32" localSheetId="43">#REF!</definedName>
    <definedName name="____________LN32" localSheetId="42">#REF!</definedName>
    <definedName name="____________LN32" localSheetId="27">#REF!</definedName>
    <definedName name="____________LN32" localSheetId="45">#REF!</definedName>
    <definedName name="____________LN32">#REF!</definedName>
    <definedName name="____________LN33" localSheetId="30">#REF!</definedName>
    <definedName name="____________LN33" localSheetId="25">#REF!</definedName>
    <definedName name="____________LN33" localSheetId="28">#REF!</definedName>
    <definedName name="____________LN33" localSheetId="29">#REF!</definedName>
    <definedName name="____________LN33" localSheetId="12">#REF!</definedName>
    <definedName name="____________LN33" localSheetId="43">#REF!</definedName>
    <definedName name="____________LN33" localSheetId="42">#REF!</definedName>
    <definedName name="____________LN33" localSheetId="27">#REF!</definedName>
    <definedName name="____________LN33" localSheetId="45">#REF!</definedName>
    <definedName name="____________LN33">#REF!</definedName>
    <definedName name="____________LN34" localSheetId="30">#REF!</definedName>
    <definedName name="____________LN34" localSheetId="25">#REF!</definedName>
    <definedName name="____________LN34" localSheetId="28">#REF!</definedName>
    <definedName name="____________LN34" localSheetId="29">#REF!</definedName>
    <definedName name="____________LN34" localSheetId="12">#REF!</definedName>
    <definedName name="____________LN34" localSheetId="43">#REF!</definedName>
    <definedName name="____________LN34" localSheetId="42">#REF!</definedName>
    <definedName name="____________LN34" localSheetId="27">#REF!</definedName>
    <definedName name="____________LN34" localSheetId="45">#REF!</definedName>
    <definedName name="____________LN34">#REF!</definedName>
    <definedName name="____________LN35" localSheetId="30">#REF!</definedName>
    <definedName name="____________LN35" localSheetId="25">#REF!</definedName>
    <definedName name="____________LN35" localSheetId="28">#REF!</definedName>
    <definedName name="____________LN35" localSheetId="29">#REF!</definedName>
    <definedName name="____________LN35" localSheetId="12">#REF!</definedName>
    <definedName name="____________LN35" localSheetId="43">#REF!</definedName>
    <definedName name="____________LN35" localSheetId="42">#REF!</definedName>
    <definedName name="____________LN35" localSheetId="27">#REF!</definedName>
    <definedName name="____________LN35" localSheetId="45">#REF!</definedName>
    <definedName name="____________LN35">#REF!</definedName>
    <definedName name="____________LN36" localSheetId="30">#REF!</definedName>
    <definedName name="____________LN36" localSheetId="25">#REF!</definedName>
    <definedName name="____________LN36" localSheetId="28">#REF!</definedName>
    <definedName name="____________LN36" localSheetId="29">#REF!</definedName>
    <definedName name="____________LN36" localSheetId="12">#REF!</definedName>
    <definedName name="____________LN36" localSheetId="43">#REF!</definedName>
    <definedName name="____________LN36" localSheetId="42">#REF!</definedName>
    <definedName name="____________LN36" localSheetId="27">#REF!</definedName>
    <definedName name="____________LN36" localSheetId="45">#REF!</definedName>
    <definedName name="____________LN36">#REF!</definedName>
    <definedName name="____________LN37" localSheetId="30">#REF!</definedName>
    <definedName name="____________LN37" localSheetId="25">#REF!</definedName>
    <definedName name="____________LN37" localSheetId="28">#REF!</definedName>
    <definedName name="____________LN37" localSheetId="29">#REF!</definedName>
    <definedName name="____________LN37" localSheetId="12">#REF!</definedName>
    <definedName name="____________LN37" localSheetId="43">#REF!</definedName>
    <definedName name="____________LN37" localSheetId="42">#REF!</definedName>
    <definedName name="____________LN37" localSheetId="27">#REF!</definedName>
    <definedName name="____________LN37" localSheetId="45">#REF!</definedName>
    <definedName name="____________LN37">#REF!</definedName>
    <definedName name="____________LN38" localSheetId="30">#REF!</definedName>
    <definedName name="____________LN38" localSheetId="25">#REF!</definedName>
    <definedName name="____________LN38" localSheetId="28">#REF!</definedName>
    <definedName name="____________LN38" localSheetId="29">#REF!</definedName>
    <definedName name="____________LN38" localSheetId="12">#REF!</definedName>
    <definedName name="____________LN38" localSheetId="43">#REF!</definedName>
    <definedName name="____________LN38" localSheetId="42">#REF!</definedName>
    <definedName name="____________LN38" localSheetId="27">#REF!</definedName>
    <definedName name="____________LN38" localSheetId="45">#REF!</definedName>
    <definedName name="____________LN38">#REF!</definedName>
    <definedName name="____________LN39" localSheetId="30">#REF!</definedName>
    <definedName name="____________LN39" localSheetId="25">#REF!</definedName>
    <definedName name="____________LN39" localSheetId="28">#REF!</definedName>
    <definedName name="____________LN39" localSheetId="29">#REF!</definedName>
    <definedName name="____________LN39" localSheetId="12">#REF!</definedName>
    <definedName name="____________LN39" localSheetId="43">#REF!</definedName>
    <definedName name="____________LN39" localSheetId="42">#REF!</definedName>
    <definedName name="____________LN39" localSheetId="27">#REF!</definedName>
    <definedName name="____________LN39" localSheetId="45">#REF!</definedName>
    <definedName name="____________LN39">#REF!</definedName>
    <definedName name="____________LN4" localSheetId="30">#REF!</definedName>
    <definedName name="____________LN4" localSheetId="25">#REF!</definedName>
    <definedName name="____________LN4" localSheetId="28">#REF!</definedName>
    <definedName name="____________LN4" localSheetId="29">#REF!</definedName>
    <definedName name="____________LN4" localSheetId="12">#REF!</definedName>
    <definedName name="____________LN4" localSheetId="43">#REF!</definedName>
    <definedName name="____________LN4" localSheetId="42">#REF!</definedName>
    <definedName name="____________LN4" localSheetId="27">#REF!</definedName>
    <definedName name="____________LN4" localSheetId="45">#REF!</definedName>
    <definedName name="____________LN4">#REF!</definedName>
    <definedName name="____________LN40" localSheetId="30">#REF!</definedName>
    <definedName name="____________LN40" localSheetId="25">#REF!</definedName>
    <definedName name="____________LN40" localSheetId="28">#REF!</definedName>
    <definedName name="____________LN40" localSheetId="29">#REF!</definedName>
    <definedName name="____________LN40" localSheetId="12">#REF!</definedName>
    <definedName name="____________LN40" localSheetId="43">#REF!</definedName>
    <definedName name="____________LN40" localSheetId="42">#REF!</definedName>
    <definedName name="____________LN40" localSheetId="27">#REF!</definedName>
    <definedName name="____________LN40" localSheetId="45">#REF!</definedName>
    <definedName name="____________LN40">#REF!</definedName>
    <definedName name="____________LN41" localSheetId="30">#REF!</definedName>
    <definedName name="____________LN41" localSheetId="25">#REF!</definedName>
    <definedName name="____________LN41" localSheetId="28">#REF!</definedName>
    <definedName name="____________LN41" localSheetId="29">#REF!</definedName>
    <definedName name="____________LN41" localSheetId="12">#REF!</definedName>
    <definedName name="____________LN41" localSheetId="43">#REF!</definedName>
    <definedName name="____________LN41" localSheetId="42">#REF!</definedName>
    <definedName name="____________LN41" localSheetId="27">#REF!</definedName>
    <definedName name="____________LN41" localSheetId="45">#REF!</definedName>
    <definedName name="____________LN41">#REF!</definedName>
    <definedName name="____________LN42" localSheetId="30">#REF!</definedName>
    <definedName name="____________LN42" localSheetId="25">#REF!</definedName>
    <definedName name="____________LN42" localSheetId="28">#REF!</definedName>
    <definedName name="____________LN42" localSheetId="29">#REF!</definedName>
    <definedName name="____________LN42" localSheetId="12">#REF!</definedName>
    <definedName name="____________LN42" localSheetId="43">#REF!</definedName>
    <definedName name="____________LN42" localSheetId="42">#REF!</definedName>
    <definedName name="____________LN42" localSheetId="27">#REF!</definedName>
    <definedName name="____________LN42" localSheetId="45">#REF!</definedName>
    <definedName name="____________LN42">#REF!</definedName>
    <definedName name="____________LN43" localSheetId="30">#REF!</definedName>
    <definedName name="____________LN43" localSheetId="25">#REF!</definedName>
    <definedName name="____________LN43" localSheetId="28">#REF!</definedName>
    <definedName name="____________LN43" localSheetId="29">#REF!</definedName>
    <definedName name="____________LN43" localSheetId="12">#REF!</definedName>
    <definedName name="____________LN43" localSheetId="43">#REF!</definedName>
    <definedName name="____________LN43" localSheetId="42">#REF!</definedName>
    <definedName name="____________LN43" localSheetId="27">#REF!</definedName>
    <definedName name="____________LN43" localSheetId="45">#REF!</definedName>
    <definedName name="____________LN43">#REF!</definedName>
    <definedName name="____________LN44" localSheetId="30">#REF!</definedName>
    <definedName name="____________LN44" localSheetId="25">#REF!</definedName>
    <definedName name="____________LN44" localSheetId="28">#REF!</definedName>
    <definedName name="____________LN44" localSheetId="29">#REF!</definedName>
    <definedName name="____________LN44" localSheetId="12">#REF!</definedName>
    <definedName name="____________LN44" localSheetId="43">#REF!</definedName>
    <definedName name="____________LN44" localSheetId="42">#REF!</definedName>
    <definedName name="____________LN44" localSheetId="27">#REF!</definedName>
    <definedName name="____________LN44" localSheetId="45">#REF!</definedName>
    <definedName name="____________LN44">#REF!</definedName>
    <definedName name="____________LN45" localSheetId="30">#REF!</definedName>
    <definedName name="____________LN45" localSheetId="25">#REF!</definedName>
    <definedName name="____________LN45" localSheetId="28">#REF!</definedName>
    <definedName name="____________LN45" localSheetId="29">#REF!</definedName>
    <definedName name="____________LN45" localSheetId="12">#REF!</definedName>
    <definedName name="____________LN45" localSheetId="43">#REF!</definedName>
    <definedName name="____________LN45" localSheetId="42">#REF!</definedName>
    <definedName name="____________LN45" localSheetId="27">#REF!</definedName>
    <definedName name="____________LN45" localSheetId="45">#REF!</definedName>
    <definedName name="____________LN45">#REF!</definedName>
    <definedName name="____________LN46" localSheetId="30">#REF!</definedName>
    <definedName name="____________LN46" localSheetId="25">#REF!</definedName>
    <definedName name="____________LN46" localSheetId="28">#REF!</definedName>
    <definedName name="____________LN46" localSheetId="29">#REF!</definedName>
    <definedName name="____________LN46" localSheetId="12">#REF!</definedName>
    <definedName name="____________LN46" localSheetId="43">#REF!</definedName>
    <definedName name="____________LN46" localSheetId="42">#REF!</definedName>
    <definedName name="____________LN46" localSheetId="27">#REF!</definedName>
    <definedName name="____________LN46" localSheetId="45">#REF!</definedName>
    <definedName name="____________LN46">#REF!</definedName>
    <definedName name="____________LN47" localSheetId="30">#REF!</definedName>
    <definedName name="____________LN47" localSheetId="25">#REF!</definedName>
    <definedName name="____________LN47" localSheetId="28">#REF!</definedName>
    <definedName name="____________LN47" localSheetId="29">#REF!</definedName>
    <definedName name="____________LN47" localSheetId="12">#REF!</definedName>
    <definedName name="____________LN47" localSheetId="43">#REF!</definedName>
    <definedName name="____________LN47" localSheetId="42">#REF!</definedName>
    <definedName name="____________LN47" localSheetId="27">#REF!</definedName>
    <definedName name="____________LN47" localSheetId="45">#REF!</definedName>
    <definedName name="____________LN47">#REF!</definedName>
    <definedName name="____________LN48" localSheetId="30">#REF!</definedName>
    <definedName name="____________LN48" localSheetId="25">#REF!</definedName>
    <definedName name="____________LN48" localSheetId="28">#REF!</definedName>
    <definedName name="____________LN48" localSheetId="29">#REF!</definedName>
    <definedName name="____________LN48" localSheetId="12">#REF!</definedName>
    <definedName name="____________LN48" localSheetId="43">#REF!</definedName>
    <definedName name="____________LN48" localSheetId="42">#REF!</definedName>
    <definedName name="____________LN48" localSheetId="27">#REF!</definedName>
    <definedName name="____________LN48" localSheetId="45">#REF!</definedName>
    <definedName name="____________LN48">#REF!</definedName>
    <definedName name="____________LN49" localSheetId="30">#REF!</definedName>
    <definedName name="____________LN49" localSheetId="25">#REF!</definedName>
    <definedName name="____________LN49" localSheetId="28">#REF!</definedName>
    <definedName name="____________LN49" localSheetId="29">#REF!</definedName>
    <definedName name="____________LN49" localSheetId="12">#REF!</definedName>
    <definedName name="____________LN49" localSheetId="43">#REF!</definedName>
    <definedName name="____________LN49" localSheetId="42">#REF!</definedName>
    <definedName name="____________LN49" localSheetId="27">#REF!</definedName>
    <definedName name="____________LN49" localSheetId="45">#REF!</definedName>
    <definedName name="____________LN49">#REF!</definedName>
    <definedName name="____________LN5" localSheetId="30">#REF!</definedName>
    <definedName name="____________LN5" localSheetId="25">#REF!</definedName>
    <definedName name="____________LN5" localSheetId="28">#REF!</definedName>
    <definedName name="____________LN5" localSheetId="29">#REF!</definedName>
    <definedName name="____________LN5" localSheetId="12">#REF!</definedName>
    <definedName name="____________LN5" localSheetId="43">#REF!</definedName>
    <definedName name="____________LN5" localSheetId="42">#REF!</definedName>
    <definedName name="____________LN5" localSheetId="27">#REF!</definedName>
    <definedName name="____________LN5" localSheetId="45">#REF!</definedName>
    <definedName name="____________LN5">#REF!</definedName>
    <definedName name="____________LN50" localSheetId="30">#REF!</definedName>
    <definedName name="____________LN50" localSheetId="25">#REF!</definedName>
    <definedName name="____________LN50" localSheetId="28">#REF!</definedName>
    <definedName name="____________LN50" localSheetId="29">#REF!</definedName>
    <definedName name="____________LN50" localSheetId="12">#REF!</definedName>
    <definedName name="____________LN50" localSheetId="43">#REF!</definedName>
    <definedName name="____________LN50" localSheetId="42">#REF!</definedName>
    <definedName name="____________LN50" localSheetId="27">#REF!</definedName>
    <definedName name="____________LN50" localSheetId="45">#REF!</definedName>
    <definedName name="____________LN50">#REF!</definedName>
    <definedName name="____________LN6" localSheetId="30">#REF!</definedName>
    <definedName name="____________LN6" localSheetId="25">#REF!</definedName>
    <definedName name="____________LN6" localSheetId="28">#REF!</definedName>
    <definedName name="____________LN6" localSheetId="29">#REF!</definedName>
    <definedName name="____________LN6" localSheetId="12">#REF!</definedName>
    <definedName name="____________LN6" localSheetId="43">#REF!</definedName>
    <definedName name="____________LN6" localSheetId="42">#REF!</definedName>
    <definedName name="____________LN6" localSheetId="27">#REF!</definedName>
    <definedName name="____________LN6" localSheetId="45">#REF!</definedName>
    <definedName name="____________LN6">#REF!</definedName>
    <definedName name="____________LN7" localSheetId="30">#REF!</definedName>
    <definedName name="____________LN7" localSheetId="25">#REF!</definedName>
    <definedName name="____________LN7" localSheetId="28">#REF!</definedName>
    <definedName name="____________LN7" localSheetId="29">#REF!</definedName>
    <definedName name="____________LN7" localSheetId="12">#REF!</definedName>
    <definedName name="____________LN7" localSheetId="43">#REF!</definedName>
    <definedName name="____________LN7" localSheetId="42">#REF!</definedName>
    <definedName name="____________LN7" localSheetId="27">#REF!</definedName>
    <definedName name="____________LN7" localSheetId="45">#REF!</definedName>
    <definedName name="____________LN7">#REF!</definedName>
    <definedName name="____________LN8" localSheetId="30">#REF!</definedName>
    <definedName name="____________LN8" localSheetId="25">#REF!</definedName>
    <definedName name="____________LN8" localSheetId="28">#REF!</definedName>
    <definedName name="____________LN8" localSheetId="29">#REF!</definedName>
    <definedName name="____________LN8" localSheetId="12">#REF!</definedName>
    <definedName name="____________LN8" localSheetId="43">#REF!</definedName>
    <definedName name="____________LN8" localSheetId="42">#REF!</definedName>
    <definedName name="____________LN8" localSheetId="27">#REF!</definedName>
    <definedName name="____________LN8" localSheetId="45">#REF!</definedName>
    <definedName name="____________LN8">#REF!</definedName>
    <definedName name="____________LN9" localSheetId="30">'[1]Water Demand'!#REF!</definedName>
    <definedName name="____________LN9" localSheetId="25">'[1]Water Demand'!#REF!</definedName>
    <definedName name="____________LN9" localSheetId="28">'[1]Water Demand'!#REF!</definedName>
    <definedName name="____________LN9" localSheetId="29">'[1]Water Demand'!#REF!</definedName>
    <definedName name="____________LN9" localSheetId="12">'[1]Water Demand'!#REF!</definedName>
    <definedName name="____________LN9" localSheetId="43">'[1]Water Demand'!#REF!</definedName>
    <definedName name="____________LN9" localSheetId="42">'[1]Water Demand'!#REF!</definedName>
    <definedName name="____________LN9" localSheetId="27">'[1]Water Demand'!#REF!</definedName>
    <definedName name="____________LN9" localSheetId="45">'[1]Water Demand'!#REF!</definedName>
    <definedName name="____________LN9">'[1]Water Demand'!#REF!</definedName>
    <definedName name="____________RSD1">'[3]Data-Table'!$D$26</definedName>
    <definedName name="____________RSD2">'[3]Data-Table'!$D$27</definedName>
    <definedName name="___________RSD1">'[3]Data-Table'!$D$26</definedName>
    <definedName name="___________RSD2">'[3]Data-Table'!$D$27</definedName>
    <definedName name="__________LN1" localSheetId="30">'[1]Water Demand'!#REF!</definedName>
    <definedName name="__________LN1" localSheetId="25">'[1]Water Demand'!#REF!</definedName>
    <definedName name="__________LN1" localSheetId="28">'[1]Water Demand'!#REF!</definedName>
    <definedName name="__________LN1" localSheetId="29">'[1]Water Demand'!#REF!</definedName>
    <definedName name="__________LN1" localSheetId="12">'[1]Water Demand'!#REF!</definedName>
    <definedName name="__________LN1" localSheetId="43">'[1]Water Demand'!#REF!</definedName>
    <definedName name="__________LN1" localSheetId="42">'[1]Water Demand'!#REF!</definedName>
    <definedName name="__________LN1" localSheetId="27">'[1]Water Demand'!#REF!</definedName>
    <definedName name="__________LN1" localSheetId="45">'[1]Water Demand'!#REF!</definedName>
    <definedName name="__________LN1">'[1]Water Demand'!#REF!</definedName>
    <definedName name="__________LN10" localSheetId="30">'[1]Water Demand'!#REF!</definedName>
    <definedName name="__________LN10" localSheetId="25">'[1]Water Demand'!#REF!</definedName>
    <definedName name="__________LN10" localSheetId="28">'[1]Water Demand'!#REF!</definedName>
    <definedName name="__________LN10" localSheetId="29">'[1]Water Demand'!#REF!</definedName>
    <definedName name="__________LN10" localSheetId="12">'[1]Water Demand'!#REF!</definedName>
    <definedName name="__________LN10" localSheetId="43">'[1]Water Demand'!#REF!</definedName>
    <definedName name="__________LN10" localSheetId="42">'[1]Water Demand'!#REF!</definedName>
    <definedName name="__________LN10" localSheetId="27">'[1]Water Demand'!#REF!</definedName>
    <definedName name="__________LN10" localSheetId="45">'[1]Water Demand'!#REF!</definedName>
    <definedName name="__________LN10">'[1]Water Demand'!#REF!</definedName>
    <definedName name="__________LN11" localSheetId="30">'[1]Water Demand'!#REF!</definedName>
    <definedName name="__________LN11" localSheetId="25">'[1]Water Demand'!#REF!</definedName>
    <definedName name="__________LN11" localSheetId="28">'[1]Water Demand'!#REF!</definedName>
    <definedName name="__________LN11" localSheetId="29">'[1]Water Demand'!#REF!</definedName>
    <definedName name="__________LN11" localSheetId="12">'[1]Water Demand'!#REF!</definedName>
    <definedName name="__________LN11" localSheetId="43">'[1]Water Demand'!#REF!</definedName>
    <definedName name="__________LN11" localSheetId="42">'[1]Water Demand'!#REF!</definedName>
    <definedName name="__________LN11" localSheetId="27">'[1]Water Demand'!#REF!</definedName>
    <definedName name="__________LN11" localSheetId="45">'[1]Water Demand'!#REF!</definedName>
    <definedName name="__________LN11">'[1]Water Demand'!#REF!</definedName>
    <definedName name="__________LN12" localSheetId="30">'[1]Water Demand'!#REF!</definedName>
    <definedName name="__________LN12" localSheetId="25">'[1]Water Demand'!#REF!</definedName>
    <definedName name="__________LN12" localSheetId="28">'[1]Water Demand'!#REF!</definedName>
    <definedName name="__________LN12" localSheetId="29">'[1]Water Demand'!#REF!</definedName>
    <definedName name="__________LN12" localSheetId="12">'[1]Water Demand'!#REF!</definedName>
    <definedName name="__________LN12" localSheetId="43">'[1]Water Demand'!#REF!</definedName>
    <definedName name="__________LN12" localSheetId="42">'[1]Water Demand'!#REF!</definedName>
    <definedName name="__________LN12" localSheetId="27">'[1]Water Demand'!#REF!</definedName>
    <definedName name="__________LN12" localSheetId="45">'[1]Water Demand'!#REF!</definedName>
    <definedName name="__________LN12">'[1]Water Demand'!#REF!</definedName>
    <definedName name="__________LN13" localSheetId="30">'[1]Water Demand'!#REF!</definedName>
    <definedName name="__________LN13" localSheetId="25">'[1]Water Demand'!#REF!</definedName>
    <definedName name="__________LN13" localSheetId="28">'[1]Water Demand'!#REF!</definedName>
    <definedName name="__________LN13" localSheetId="29">'[1]Water Demand'!#REF!</definedName>
    <definedName name="__________LN13" localSheetId="12">'[1]Water Demand'!#REF!</definedName>
    <definedName name="__________LN13" localSheetId="43">'[1]Water Demand'!#REF!</definedName>
    <definedName name="__________LN13" localSheetId="42">'[1]Water Demand'!#REF!</definedName>
    <definedName name="__________LN13" localSheetId="27">'[1]Water Demand'!#REF!</definedName>
    <definedName name="__________LN13" localSheetId="45">'[1]Water Demand'!#REF!</definedName>
    <definedName name="__________LN13">'[1]Water Demand'!#REF!</definedName>
    <definedName name="__________LN14" localSheetId="30">'[1]Water Demand'!#REF!</definedName>
    <definedName name="__________LN14" localSheetId="25">'[1]Water Demand'!#REF!</definedName>
    <definedName name="__________LN14" localSheetId="28">'[1]Water Demand'!#REF!</definedName>
    <definedName name="__________LN14" localSheetId="29">'[1]Water Demand'!#REF!</definedName>
    <definedName name="__________LN14" localSheetId="12">'[1]Water Demand'!#REF!</definedName>
    <definedName name="__________LN14" localSheetId="43">'[1]Water Demand'!#REF!</definedName>
    <definedName name="__________LN14" localSheetId="42">'[1]Water Demand'!#REF!</definedName>
    <definedName name="__________LN14" localSheetId="27">'[1]Water Demand'!#REF!</definedName>
    <definedName name="__________LN14" localSheetId="45">'[1]Water Demand'!#REF!</definedName>
    <definedName name="__________LN14">'[1]Water Demand'!#REF!</definedName>
    <definedName name="__________LN15" localSheetId="30">'[1]Water Demand'!#REF!</definedName>
    <definedName name="__________LN15" localSheetId="25">'[1]Water Demand'!#REF!</definedName>
    <definedName name="__________LN15" localSheetId="28">'[1]Water Demand'!#REF!</definedName>
    <definedName name="__________LN15" localSheetId="29">'[1]Water Demand'!#REF!</definedName>
    <definedName name="__________LN15" localSheetId="12">'[1]Water Demand'!#REF!</definedName>
    <definedName name="__________LN15" localSheetId="43">'[1]Water Demand'!#REF!</definedName>
    <definedName name="__________LN15" localSheetId="42">'[1]Water Demand'!#REF!</definedName>
    <definedName name="__________LN15" localSheetId="27">'[1]Water Demand'!#REF!</definedName>
    <definedName name="__________LN15" localSheetId="45">'[1]Water Demand'!#REF!</definedName>
    <definedName name="__________LN15">'[1]Water Demand'!#REF!</definedName>
    <definedName name="__________LN16" localSheetId="30">'[1]Water Demand'!#REF!</definedName>
    <definedName name="__________LN16" localSheetId="25">'[1]Water Demand'!#REF!</definedName>
    <definedName name="__________LN16" localSheetId="28">'[1]Water Demand'!#REF!</definedName>
    <definedName name="__________LN16" localSheetId="29">'[1]Water Demand'!#REF!</definedName>
    <definedName name="__________LN16" localSheetId="12">'[1]Water Demand'!#REF!</definedName>
    <definedName name="__________LN16" localSheetId="43">'[1]Water Demand'!#REF!</definedName>
    <definedName name="__________LN16" localSheetId="42">'[1]Water Demand'!#REF!</definedName>
    <definedName name="__________LN16" localSheetId="27">'[1]Water Demand'!#REF!</definedName>
    <definedName name="__________LN16" localSheetId="45">'[1]Water Demand'!#REF!</definedName>
    <definedName name="__________LN16">'[1]Water Demand'!#REF!</definedName>
    <definedName name="__________LN17" localSheetId="30">'[1]Water Demand'!#REF!</definedName>
    <definedName name="__________LN17" localSheetId="25">'[1]Water Demand'!#REF!</definedName>
    <definedName name="__________LN17" localSheetId="28">'[1]Water Demand'!#REF!</definedName>
    <definedName name="__________LN17" localSheetId="29">'[1]Water Demand'!#REF!</definedName>
    <definedName name="__________LN17" localSheetId="12">'[1]Water Demand'!#REF!</definedName>
    <definedName name="__________LN17" localSheetId="43">'[1]Water Demand'!#REF!</definedName>
    <definedName name="__________LN17" localSheetId="42">'[1]Water Demand'!#REF!</definedName>
    <definedName name="__________LN17" localSheetId="27">'[1]Water Demand'!#REF!</definedName>
    <definedName name="__________LN17" localSheetId="45">'[1]Water Demand'!#REF!</definedName>
    <definedName name="__________LN17">'[1]Water Demand'!#REF!</definedName>
    <definedName name="__________LN18" localSheetId="30">'[1]Water Demand'!#REF!</definedName>
    <definedName name="__________LN18" localSheetId="25">'[1]Water Demand'!#REF!</definedName>
    <definedName name="__________LN18" localSheetId="28">'[1]Water Demand'!#REF!</definedName>
    <definedName name="__________LN18" localSheetId="29">'[1]Water Demand'!#REF!</definedName>
    <definedName name="__________LN18" localSheetId="12">'[1]Water Demand'!#REF!</definedName>
    <definedName name="__________LN18" localSheetId="43">'[1]Water Demand'!#REF!</definedName>
    <definedName name="__________LN18" localSheetId="42">'[1]Water Demand'!#REF!</definedName>
    <definedName name="__________LN18" localSheetId="27">'[1]Water Demand'!#REF!</definedName>
    <definedName name="__________LN18" localSheetId="45">'[1]Water Demand'!#REF!</definedName>
    <definedName name="__________LN18">'[1]Water Demand'!#REF!</definedName>
    <definedName name="__________LN19" localSheetId="30">'[1]Water Demand'!#REF!</definedName>
    <definedName name="__________LN19" localSheetId="25">'[1]Water Demand'!#REF!</definedName>
    <definedName name="__________LN19" localSheetId="28">'[1]Water Demand'!#REF!</definedName>
    <definedName name="__________LN19" localSheetId="29">'[1]Water Demand'!#REF!</definedName>
    <definedName name="__________LN19" localSheetId="12">'[1]Water Demand'!#REF!</definedName>
    <definedName name="__________LN19" localSheetId="43">'[1]Water Demand'!#REF!</definedName>
    <definedName name="__________LN19" localSheetId="42">'[1]Water Demand'!#REF!</definedName>
    <definedName name="__________LN19" localSheetId="27">'[1]Water Demand'!#REF!</definedName>
    <definedName name="__________LN19" localSheetId="45">'[1]Water Demand'!#REF!</definedName>
    <definedName name="__________LN19">'[1]Water Demand'!#REF!</definedName>
    <definedName name="__________LN2" localSheetId="30">'[1]Water Demand'!#REF!</definedName>
    <definedName name="__________LN2" localSheetId="25">'[1]Water Demand'!#REF!</definedName>
    <definedName name="__________LN2" localSheetId="28">'[1]Water Demand'!#REF!</definedName>
    <definedName name="__________LN2" localSheetId="29">'[1]Water Demand'!#REF!</definedName>
    <definedName name="__________LN2" localSheetId="12">'[1]Water Demand'!#REF!</definedName>
    <definedName name="__________LN2" localSheetId="43">'[1]Water Demand'!#REF!</definedName>
    <definedName name="__________LN2" localSheetId="42">'[1]Water Demand'!#REF!</definedName>
    <definedName name="__________LN2" localSheetId="27">'[1]Water Demand'!#REF!</definedName>
    <definedName name="__________LN2" localSheetId="45">'[1]Water Demand'!#REF!</definedName>
    <definedName name="__________LN2">'[1]Water Demand'!#REF!</definedName>
    <definedName name="__________LN20" localSheetId="30">#REF!</definedName>
    <definedName name="__________LN20" localSheetId="25">#REF!</definedName>
    <definedName name="__________LN20" localSheetId="28">#REF!</definedName>
    <definedName name="__________LN20" localSheetId="29">#REF!</definedName>
    <definedName name="__________LN20" localSheetId="12">#REF!</definedName>
    <definedName name="__________LN20" localSheetId="43">#REF!</definedName>
    <definedName name="__________LN20" localSheetId="42">#REF!</definedName>
    <definedName name="__________LN20" localSheetId="27">#REF!</definedName>
    <definedName name="__________LN20" localSheetId="45">#REF!</definedName>
    <definedName name="__________LN20">#REF!</definedName>
    <definedName name="__________LN21" localSheetId="30">#REF!</definedName>
    <definedName name="__________LN21" localSheetId="25">#REF!</definedName>
    <definedName name="__________LN21" localSheetId="28">#REF!</definedName>
    <definedName name="__________LN21" localSheetId="29">#REF!</definedName>
    <definedName name="__________LN21" localSheetId="12">#REF!</definedName>
    <definedName name="__________LN21" localSheetId="43">#REF!</definedName>
    <definedName name="__________LN21" localSheetId="42">#REF!</definedName>
    <definedName name="__________LN21" localSheetId="27">#REF!</definedName>
    <definedName name="__________LN21" localSheetId="45">#REF!</definedName>
    <definedName name="__________LN21">#REF!</definedName>
    <definedName name="__________LN22" localSheetId="30">'[1]Water Demand'!#REF!</definedName>
    <definedName name="__________LN22" localSheetId="25">'[1]Water Demand'!#REF!</definedName>
    <definedName name="__________LN22" localSheetId="28">'[1]Water Demand'!#REF!</definedName>
    <definedName name="__________LN22" localSheetId="29">'[1]Water Demand'!#REF!</definedName>
    <definedName name="__________LN22" localSheetId="12">'[1]Water Demand'!#REF!</definedName>
    <definedName name="__________LN22" localSheetId="43">'[1]Water Demand'!#REF!</definedName>
    <definedName name="__________LN22" localSheetId="42">'[1]Water Demand'!#REF!</definedName>
    <definedName name="__________LN22" localSheetId="27">'[1]Water Demand'!#REF!</definedName>
    <definedName name="__________LN22" localSheetId="45">'[1]Water Demand'!#REF!</definedName>
    <definedName name="__________LN22">'[1]Water Demand'!#REF!</definedName>
    <definedName name="__________LN23" localSheetId="30">'[1]Water Demand'!#REF!</definedName>
    <definedName name="__________LN23" localSheetId="25">'[1]Water Demand'!#REF!</definedName>
    <definedName name="__________LN23" localSheetId="28">'[1]Water Demand'!#REF!</definedName>
    <definedName name="__________LN23" localSheetId="29">'[1]Water Demand'!#REF!</definedName>
    <definedName name="__________LN23" localSheetId="12">'[1]Water Demand'!#REF!</definedName>
    <definedName name="__________LN23" localSheetId="43">'[1]Water Demand'!#REF!</definedName>
    <definedName name="__________LN23" localSheetId="42">'[1]Water Demand'!#REF!</definedName>
    <definedName name="__________LN23" localSheetId="27">'[1]Water Demand'!#REF!</definedName>
    <definedName name="__________LN23" localSheetId="45">'[1]Water Demand'!#REF!</definedName>
    <definedName name="__________LN23">'[1]Water Demand'!#REF!</definedName>
    <definedName name="__________LN24" localSheetId="30">'[1]Water Demand'!#REF!</definedName>
    <definedName name="__________LN24" localSheetId="25">'[1]Water Demand'!#REF!</definedName>
    <definedName name="__________LN24" localSheetId="28">'[1]Water Demand'!#REF!</definedName>
    <definedName name="__________LN24" localSheetId="29">'[1]Water Demand'!#REF!</definedName>
    <definedName name="__________LN24" localSheetId="12">'[1]Water Demand'!#REF!</definedName>
    <definedName name="__________LN24" localSheetId="43">'[1]Water Demand'!#REF!</definedName>
    <definedName name="__________LN24" localSheetId="42">'[1]Water Demand'!#REF!</definedName>
    <definedName name="__________LN24" localSheetId="27">'[1]Water Demand'!#REF!</definedName>
    <definedName name="__________LN24" localSheetId="45">'[1]Water Demand'!#REF!</definedName>
    <definedName name="__________LN24">'[1]Water Demand'!#REF!</definedName>
    <definedName name="__________LN25" localSheetId="30">'[1]Water Demand'!#REF!</definedName>
    <definedName name="__________LN25" localSheetId="25">'[1]Water Demand'!#REF!</definedName>
    <definedName name="__________LN25" localSheetId="28">'[1]Water Demand'!#REF!</definedName>
    <definedName name="__________LN25" localSheetId="29">'[1]Water Demand'!#REF!</definedName>
    <definedName name="__________LN25" localSheetId="12">'[1]Water Demand'!#REF!</definedName>
    <definedName name="__________LN25" localSheetId="43">'[1]Water Demand'!#REF!</definedName>
    <definedName name="__________LN25" localSheetId="42">'[1]Water Demand'!#REF!</definedName>
    <definedName name="__________LN25" localSheetId="27">'[1]Water Demand'!#REF!</definedName>
    <definedName name="__________LN25" localSheetId="45">'[1]Water Demand'!#REF!</definedName>
    <definedName name="__________LN25">'[1]Water Demand'!#REF!</definedName>
    <definedName name="__________LN26" localSheetId="30">'[1]Water Demand'!#REF!</definedName>
    <definedName name="__________LN26" localSheetId="25">'[1]Water Demand'!#REF!</definedName>
    <definedName name="__________LN26" localSheetId="28">'[1]Water Demand'!#REF!</definedName>
    <definedName name="__________LN26" localSheetId="29">'[1]Water Demand'!#REF!</definedName>
    <definedName name="__________LN26" localSheetId="12">'[1]Water Demand'!#REF!</definedName>
    <definedName name="__________LN26" localSheetId="43">'[1]Water Demand'!#REF!</definedName>
    <definedName name="__________LN26" localSheetId="42">'[1]Water Demand'!#REF!</definedName>
    <definedName name="__________LN26" localSheetId="27">'[1]Water Demand'!#REF!</definedName>
    <definedName name="__________LN26" localSheetId="45">'[1]Water Demand'!#REF!</definedName>
    <definedName name="__________LN26">'[1]Water Demand'!#REF!</definedName>
    <definedName name="__________LN27" localSheetId="30">'[1]Water Demand'!#REF!</definedName>
    <definedName name="__________LN27" localSheetId="25">'[1]Water Demand'!#REF!</definedName>
    <definedName name="__________LN27" localSheetId="28">'[1]Water Demand'!#REF!</definedName>
    <definedName name="__________LN27" localSheetId="29">'[1]Water Demand'!#REF!</definedName>
    <definedName name="__________LN27" localSheetId="12">'[1]Water Demand'!#REF!</definedName>
    <definedName name="__________LN27" localSheetId="43">'[1]Water Demand'!#REF!</definedName>
    <definedName name="__________LN27" localSheetId="42">'[1]Water Demand'!#REF!</definedName>
    <definedName name="__________LN27" localSheetId="27">'[1]Water Demand'!#REF!</definedName>
    <definedName name="__________LN27" localSheetId="45">'[1]Water Demand'!#REF!</definedName>
    <definedName name="__________LN27">'[1]Water Demand'!#REF!</definedName>
    <definedName name="__________LN28" localSheetId="30">'[1]Water Demand'!#REF!</definedName>
    <definedName name="__________LN28" localSheetId="25">'[1]Water Demand'!#REF!</definedName>
    <definedName name="__________LN28" localSheetId="28">'[1]Water Demand'!#REF!</definedName>
    <definedName name="__________LN28" localSheetId="29">'[1]Water Demand'!#REF!</definedName>
    <definedName name="__________LN28" localSheetId="12">'[1]Water Demand'!#REF!</definedName>
    <definedName name="__________LN28" localSheetId="43">'[1]Water Demand'!#REF!</definedName>
    <definedName name="__________LN28" localSheetId="42">'[1]Water Demand'!#REF!</definedName>
    <definedName name="__________LN28" localSheetId="27">'[1]Water Demand'!#REF!</definedName>
    <definedName name="__________LN28" localSheetId="45">'[1]Water Demand'!#REF!</definedName>
    <definedName name="__________LN28">'[1]Water Demand'!#REF!</definedName>
    <definedName name="__________LN29" localSheetId="30">'[1]Water Demand'!#REF!</definedName>
    <definedName name="__________LN29" localSheetId="25">'[1]Water Demand'!#REF!</definedName>
    <definedName name="__________LN29" localSheetId="28">'[1]Water Demand'!#REF!</definedName>
    <definedName name="__________LN29" localSheetId="29">'[1]Water Demand'!#REF!</definedName>
    <definedName name="__________LN29" localSheetId="12">'[1]Water Demand'!#REF!</definedName>
    <definedName name="__________LN29" localSheetId="43">'[1]Water Demand'!#REF!</definedName>
    <definedName name="__________LN29" localSheetId="42">'[1]Water Demand'!#REF!</definedName>
    <definedName name="__________LN29" localSheetId="27">'[1]Water Demand'!#REF!</definedName>
    <definedName name="__________LN29" localSheetId="45">'[1]Water Demand'!#REF!</definedName>
    <definedName name="__________LN29">'[1]Water Demand'!#REF!</definedName>
    <definedName name="__________LN3" localSheetId="30">#REF!</definedName>
    <definedName name="__________LN3" localSheetId="25">#REF!</definedName>
    <definedName name="__________LN3" localSheetId="28">#REF!</definedName>
    <definedName name="__________LN3" localSheetId="29">#REF!</definedName>
    <definedName name="__________LN3" localSheetId="12">#REF!</definedName>
    <definedName name="__________LN3" localSheetId="43">#REF!</definedName>
    <definedName name="__________LN3" localSheetId="42">#REF!</definedName>
    <definedName name="__________LN3" localSheetId="27">#REF!</definedName>
    <definedName name="__________LN3" localSheetId="45">#REF!</definedName>
    <definedName name="__________LN3">#REF!</definedName>
    <definedName name="__________LN30" localSheetId="30">'[1]Water Demand'!#REF!</definedName>
    <definedName name="__________LN30" localSheetId="25">'[1]Water Demand'!#REF!</definedName>
    <definedName name="__________LN30" localSheetId="28">'[1]Water Demand'!#REF!</definedName>
    <definedName name="__________LN30" localSheetId="29">'[1]Water Demand'!#REF!</definedName>
    <definedName name="__________LN30" localSheetId="12">'[1]Water Demand'!#REF!</definedName>
    <definedName name="__________LN30" localSheetId="43">'[1]Water Demand'!#REF!</definedName>
    <definedName name="__________LN30" localSheetId="42">'[1]Water Demand'!#REF!</definedName>
    <definedName name="__________LN30" localSheetId="27">'[1]Water Demand'!#REF!</definedName>
    <definedName name="__________LN30" localSheetId="45">'[1]Water Demand'!#REF!</definedName>
    <definedName name="__________LN30">'[1]Water Demand'!#REF!</definedName>
    <definedName name="__________LN31" localSheetId="30">#REF!</definedName>
    <definedName name="__________LN31" localSheetId="25">#REF!</definedName>
    <definedName name="__________LN31" localSheetId="28">#REF!</definedName>
    <definedName name="__________LN31" localSheetId="29">#REF!</definedName>
    <definedName name="__________LN31" localSheetId="12">#REF!</definedName>
    <definedName name="__________LN31" localSheetId="43">#REF!</definedName>
    <definedName name="__________LN31" localSheetId="42">#REF!</definedName>
    <definedName name="__________LN31" localSheetId="27">#REF!</definedName>
    <definedName name="__________LN31" localSheetId="45">#REF!</definedName>
    <definedName name="__________LN31">#REF!</definedName>
    <definedName name="__________LN32" localSheetId="30">#REF!</definedName>
    <definedName name="__________LN32" localSheetId="25">#REF!</definedName>
    <definedName name="__________LN32" localSheetId="28">#REF!</definedName>
    <definedName name="__________LN32" localSheetId="29">#REF!</definedName>
    <definedName name="__________LN32" localSheetId="12">#REF!</definedName>
    <definedName name="__________LN32" localSheetId="43">#REF!</definedName>
    <definedName name="__________LN32" localSheetId="42">#REF!</definedName>
    <definedName name="__________LN32" localSheetId="27">#REF!</definedName>
    <definedName name="__________LN32" localSheetId="45">#REF!</definedName>
    <definedName name="__________LN32">#REF!</definedName>
    <definedName name="__________LN33" localSheetId="30">#REF!</definedName>
    <definedName name="__________LN33" localSheetId="25">#REF!</definedName>
    <definedName name="__________LN33" localSheetId="28">#REF!</definedName>
    <definedName name="__________LN33" localSheetId="29">#REF!</definedName>
    <definedName name="__________LN33" localSheetId="12">#REF!</definedName>
    <definedName name="__________LN33" localSheetId="43">#REF!</definedName>
    <definedName name="__________LN33" localSheetId="42">#REF!</definedName>
    <definedName name="__________LN33" localSheetId="27">#REF!</definedName>
    <definedName name="__________LN33" localSheetId="45">#REF!</definedName>
    <definedName name="__________LN33">#REF!</definedName>
    <definedName name="__________LN34" localSheetId="30">#REF!</definedName>
    <definedName name="__________LN34" localSheetId="25">#REF!</definedName>
    <definedName name="__________LN34" localSheetId="28">#REF!</definedName>
    <definedName name="__________LN34" localSheetId="29">#REF!</definedName>
    <definedName name="__________LN34" localSheetId="12">#REF!</definedName>
    <definedName name="__________LN34" localSheetId="43">#REF!</definedName>
    <definedName name="__________LN34" localSheetId="42">#REF!</definedName>
    <definedName name="__________LN34" localSheetId="27">#REF!</definedName>
    <definedName name="__________LN34" localSheetId="45">#REF!</definedName>
    <definedName name="__________LN34">#REF!</definedName>
    <definedName name="__________LN35" localSheetId="30">#REF!</definedName>
    <definedName name="__________LN35" localSheetId="25">#REF!</definedName>
    <definedName name="__________LN35" localSheetId="28">#REF!</definedName>
    <definedName name="__________LN35" localSheetId="29">#REF!</definedName>
    <definedName name="__________LN35" localSheetId="12">#REF!</definedName>
    <definedName name="__________LN35" localSheetId="43">#REF!</definedName>
    <definedName name="__________LN35" localSheetId="42">#REF!</definedName>
    <definedName name="__________LN35" localSheetId="27">#REF!</definedName>
    <definedName name="__________LN35" localSheetId="45">#REF!</definedName>
    <definedName name="__________LN35">#REF!</definedName>
    <definedName name="__________LN36" localSheetId="30">#REF!</definedName>
    <definedName name="__________LN36" localSheetId="25">#REF!</definedName>
    <definedName name="__________LN36" localSheetId="28">#REF!</definedName>
    <definedName name="__________LN36" localSheetId="29">#REF!</definedName>
    <definedName name="__________LN36" localSheetId="12">#REF!</definedName>
    <definedName name="__________LN36" localSheetId="43">#REF!</definedName>
    <definedName name="__________LN36" localSheetId="42">#REF!</definedName>
    <definedName name="__________LN36" localSheetId="27">#REF!</definedName>
    <definedName name="__________LN36" localSheetId="45">#REF!</definedName>
    <definedName name="__________LN36">#REF!</definedName>
    <definedName name="__________LN37" localSheetId="30">#REF!</definedName>
    <definedName name="__________LN37" localSheetId="25">#REF!</definedName>
    <definedName name="__________LN37" localSheetId="28">#REF!</definedName>
    <definedName name="__________LN37" localSheetId="29">#REF!</definedName>
    <definedName name="__________LN37" localSheetId="12">#REF!</definedName>
    <definedName name="__________LN37" localSheetId="43">#REF!</definedName>
    <definedName name="__________LN37" localSheetId="42">#REF!</definedName>
    <definedName name="__________LN37" localSheetId="27">#REF!</definedName>
    <definedName name="__________LN37" localSheetId="45">#REF!</definedName>
    <definedName name="__________LN37">#REF!</definedName>
    <definedName name="__________LN38" localSheetId="30">#REF!</definedName>
    <definedName name="__________LN38" localSheetId="25">#REF!</definedName>
    <definedName name="__________LN38" localSheetId="28">#REF!</definedName>
    <definedName name="__________LN38" localSheetId="29">#REF!</definedName>
    <definedName name="__________LN38" localSheetId="12">#REF!</definedName>
    <definedName name="__________LN38" localSheetId="43">#REF!</definedName>
    <definedName name="__________LN38" localSheetId="42">#REF!</definedName>
    <definedName name="__________LN38" localSheetId="27">#REF!</definedName>
    <definedName name="__________LN38" localSheetId="45">#REF!</definedName>
    <definedName name="__________LN38">#REF!</definedName>
    <definedName name="__________LN39" localSheetId="30">#REF!</definedName>
    <definedName name="__________LN39" localSheetId="25">#REF!</definedName>
    <definedName name="__________LN39" localSheetId="28">#REF!</definedName>
    <definedName name="__________LN39" localSheetId="29">#REF!</definedName>
    <definedName name="__________LN39" localSheetId="12">#REF!</definedName>
    <definedName name="__________LN39" localSheetId="43">#REF!</definedName>
    <definedName name="__________LN39" localSheetId="42">#REF!</definedName>
    <definedName name="__________LN39" localSheetId="27">#REF!</definedName>
    <definedName name="__________LN39" localSheetId="45">#REF!</definedName>
    <definedName name="__________LN39">#REF!</definedName>
    <definedName name="__________LN4" localSheetId="30">#REF!</definedName>
    <definedName name="__________LN4" localSheetId="25">#REF!</definedName>
    <definedName name="__________LN4" localSheetId="28">#REF!</definedName>
    <definedName name="__________LN4" localSheetId="29">#REF!</definedName>
    <definedName name="__________LN4" localSheetId="12">#REF!</definedName>
    <definedName name="__________LN4" localSheetId="43">#REF!</definedName>
    <definedName name="__________LN4" localSheetId="42">#REF!</definedName>
    <definedName name="__________LN4" localSheetId="27">#REF!</definedName>
    <definedName name="__________LN4" localSheetId="45">#REF!</definedName>
    <definedName name="__________LN4">#REF!</definedName>
    <definedName name="__________LN40" localSheetId="30">#REF!</definedName>
    <definedName name="__________LN40" localSheetId="25">#REF!</definedName>
    <definedName name="__________LN40" localSheetId="28">#REF!</definedName>
    <definedName name="__________LN40" localSheetId="29">#REF!</definedName>
    <definedName name="__________LN40" localSheetId="12">#REF!</definedName>
    <definedName name="__________LN40" localSheetId="43">#REF!</definedName>
    <definedName name="__________LN40" localSheetId="42">#REF!</definedName>
    <definedName name="__________LN40" localSheetId="27">#REF!</definedName>
    <definedName name="__________LN40" localSheetId="45">#REF!</definedName>
    <definedName name="__________LN40">#REF!</definedName>
    <definedName name="__________LN41" localSheetId="30">#REF!</definedName>
    <definedName name="__________LN41" localSheetId="25">#REF!</definedName>
    <definedName name="__________LN41" localSheetId="28">#REF!</definedName>
    <definedName name="__________LN41" localSheetId="29">#REF!</definedName>
    <definedName name="__________LN41" localSheetId="12">#REF!</definedName>
    <definedName name="__________LN41" localSheetId="43">#REF!</definedName>
    <definedName name="__________LN41" localSheetId="42">#REF!</definedName>
    <definedName name="__________LN41" localSheetId="27">#REF!</definedName>
    <definedName name="__________LN41" localSheetId="45">#REF!</definedName>
    <definedName name="__________LN41">#REF!</definedName>
    <definedName name="__________LN42" localSheetId="30">#REF!</definedName>
    <definedName name="__________LN42" localSheetId="25">#REF!</definedName>
    <definedName name="__________LN42" localSheetId="28">#REF!</definedName>
    <definedName name="__________LN42" localSheetId="29">#REF!</definedName>
    <definedName name="__________LN42" localSheetId="12">#REF!</definedName>
    <definedName name="__________LN42" localSheetId="43">#REF!</definedName>
    <definedName name="__________LN42" localSheetId="42">#REF!</definedName>
    <definedName name="__________LN42" localSheetId="27">#REF!</definedName>
    <definedName name="__________LN42" localSheetId="45">#REF!</definedName>
    <definedName name="__________LN42">#REF!</definedName>
    <definedName name="__________LN43" localSheetId="30">#REF!</definedName>
    <definedName name="__________LN43" localSheetId="25">#REF!</definedName>
    <definedName name="__________LN43" localSheetId="28">#REF!</definedName>
    <definedName name="__________LN43" localSheetId="29">#REF!</definedName>
    <definedName name="__________LN43" localSheetId="12">#REF!</definedName>
    <definedName name="__________LN43" localSheetId="43">#REF!</definedName>
    <definedName name="__________LN43" localSheetId="42">#REF!</definedName>
    <definedName name="__________LN43" localSheetId="27">#REF!</definedName>
    <definedName name="__________LN43" localSheetId="45">#REF!</definedName>
    <definedName name="__________LN43">#REF!</definedName>
    <definedName name="__________LN44" localSheetId="30">#REF!</definedName>
    <definedName name="__________LN44" localSheetId="25">#REF!</definedName>
    <definedName name="__________LN44" localSheetId="28">#REF!</definedName>
    <definedName name="__________LN44" localSheetId="29">#REF!</definedName>
    <definedName name="__________LN44" localSheetId="12">#REF!</definedName>
    <definedName name="__________LN44" localSheetId="43">#REF!</definedName>
    <definedName name="__________LN44" localSheetId="42">#REF!</definedName>
    <definedName name="__________LN44" localSheetId="27">#REF!</definedName>
    <definedName name="__________LN44" localSheetId="45">#REF!</definedName>
    <definedName name="__________LN44">#REF!</definedName>
    <definedName name="__________LN45" localSheetId="30">#REF!</definedName>
    <definedName name="__________LN45" localSheetId="25">#REF!</definedName>
    <definedName name="__________LN45" localSheetId="28">#REF!</definedName>
    <definedName name="__________LN45" localSheetId="29">#REF!</definedName>
    <definedName name="__________LN45" localSheetId="12">#REF!</definedName>
    <definedName name="__________LN45" localSheetId="43">#REF!</definedName>
    <definedName name="__________LN45" localSheetId="42">#REF!</definedName>
    <definedName name="__________LN45" localSheetId="27">#REF!</definedName>
    <definedName name="__________LN45" localSheetId="45">#REF!</definedName>
    <definedName name="__________LN45">#REF!</definedName>
    <definedName name="__________LN46" localSheetId="30">#REF!</definedName>
    <definedName name="__________LN46" localSheetId="25">#REF!</definedName>
    <definedName name="__________LN46" localSheetId="28">#REF!</definedName>
    <definedName name="__________LN46" localSheetId="29">#REF!</definedName>
    <definedName name="__________LN46" localSheetId="12">#REF!</definedName>
    <definedName name="__________LN46" localSheetId="43">#REF!</definedName>
    <definedName name="__________LN46" localSheetId="42">#REF!</definedName>
    <definedName name="__________LN46" localSheetId="27">#REF!</definedName>
    <definedName name="__________LN46" localSheetId="45">#REF!</definedName>
    <definedName name="__________LN46">#REF!</definedName>
    <definedName name="__________LN47" localSheetId="30">#REF!</definedName>
    <definedName name="__________LN47" localSheetId="25">#REF!</definedName>
    <definedName name="__________LN47" localSheetId="28">#REF!</definedName>
    <definedName name="__________LN47" localSheetId="29">#REF!</definedName>
    <definedName name="__________LN47" localSheetId="12">#REF!</definedName>
    <definedName name="__________LN47" localSheetId="43">#REF!</definedName>
    <definedName name="__________LN47" localSheetId="42">#REF!</definedName>
    <definedName name="__________LN47" localSheetId="27">#REF!</definedName>
    <definedName name="__________LN47" localSheetId="45">#REF!</definedName>
    <definedName name="__________LN47">#REF!</definedName>
    <definedName name="__________LN48" localSheetId="30">#REF!</definedName>
    <definedName name="__________LN48" localSheetId="25">#REF!</definedName>
    <definedName name="__________LN48" localSheetId="28">#REF!</definedName>
    <definedName name="__________LN48" localSheetId="29">#REF!</definedName>
    <definedName name="__________LN48" localSheetId="12">#REF!</definedName>
    <definedName name="__________LN48" localSheetId="43">#REF!</definedName>
    <definedName name="__________LN48" localSheetId="42">#REF!</definedName>
    <definedName name="__________LN48" localSheetId="27">#REF!</definedName>
    <definedName name="__________LN48" localSheetId="45">#REF!</definedName>
    <definedName name="__________LN48">#REF!</definedName>
    <definedName name="__________LN49" localSheetId="30">#REF!</definedName>
    <definedName name="__________LN49" localSheetId="25">#REF!</definedName>
    <definedName name="__________LN49" localSheetId="28">#REF!</definedName>
    <definedName name="__________LN49" localSheetId="29">#REF!</definedName>
    <definedName name="__________LN49" localSheetId="12">#REF!</definedName>
    <definedName name="__________LN49" localSheetId="43">#REF!</definedName>
    <definedName name="__________LN49" localSheetId="42">#REF!</definedName>
    <definedName name="__________LN49" localSheetId="27">#REF!</definedName>
    <definedName name="__________LN49" localSheetId="45">#REF!</definedName>
    <definedName name="__________LN49">#REF!</definedName>
    <definedName name="__________LN5" localSheetId="30">#REF!</definedName>
    <definedName name="__________LN5" localSheetId="25">#REF!</definedName>
    <definedName name="__________LN5" localSheetId="28">#REF!</definedName>
    <definedName name="__________LN5" localSheetId="29">#REF!</definedName>
    <definedName name="__________LN5" localSheetId="12">#REF!</definedName>
    <definedName name="__________LN5" localSheetId="43">#REF!</definedName>
    <definedName name="__________LN5" localSheetId="42">#REF!</definedName>
    <definedName name="__________LN5" localSheetId="27">#REF!</definedName>
    <definedName name="__________LN5" localSheetId="45">#REF!</definedName>
    <definedName name="__________LN5">#REF!</definedName>
    <definedName name="__________LN50" localSheetId="30">#REF!</definedName>
    <definedName name="__________LN50" localSheetId="25">#REF!</definedName>
    <definedName name="__________LN50" localSheetId="28">#REF!</definedName>
    <definedName name="__________LN50" localSheetId="29">#REF!</definedName>
    <definedName name="__________LN50" localSheetId="12">#REF!</definedName>
    <definedName name="__________LN50" localSheetId="43">#REF!</definedName>
    <definedName name="__________LN50" localSheetId="42">#REF!</definedName>
    <definedName name="__________LN50" localSheetId="27">#REF!</definedName>
    <definedName name="__________LN50" localSheetId="45">#REF!</definedName>
    <definedName name="__________LN50">#REF!</definedName>
    <definedName name="__________LN6" localSheetId="30">#REF!</definedName>
    <definedName name="__________LN6" localSheetId="25">#REF!</definedName>
    <definedName name="__________LN6" localSheetId="28">#REF!</definedName>
    <definedName name="__________LN6" localSheetId="29">#REF!</definedName>
    <definedName name="__________LN6" localSheetId="12">#REF!</definedName>
    <definedName name="__________LN6" localSheetId="43">#REF!</definedName>
    <definedName name="__________LN6" localSheetId="42">#REF!</definedName>
    <definedName name="__________LN6" localSheetId="27">#REF!</definedName>
    <definedName name="__________LN6" localSheetId="45">#REF!</definedName>
    <definedName name="__________LN6">#REF!</definedName>
    <definedName name="__________LN7" localSheetId="30">#REF!</definedName>
    <definedName name="__________LN7" localSheetId="25">#REF!</definedName>
    <definedName name="__________LN7" localSheetId="28">#REF!</definedName>
    <definedName name="__________LN7" localSheetId="29">#REF!</definedName>
    <definedName name="__________LN7" localSheetId="12">#REF!</definedName>
    <definedName name="__________LN7" localSheetId="43">#REF!</definedName>
    <definedName name="__________LN7" localSheetId="42">#REF!</definedName>
    <definedName name="__________LN7" localSheetId="27">#REF!</definedName>
    <definedName name="__________LN7" localSheetId="45">#REF!</definedName>
    <definedName name="__________LN7">#REF!</definedName>
    <definedName name="__________LN8" localSheetId="30">#REF!</definedName>
    <definedName name="__________LN8" localSheetId="25">#REF!</definedName>
    <definedName name="__________LN8" localSheetId="28">#REF!</definedName>
    <definedName name="__________LN8" localSheetId="29">#REF!</definedName>
    <definedName name="__________LN8" localSheetId="12">#REF!</definedName>
    <definedName name="__________LN8" localSheetId="43">#REF!</definedName>
    <definedName name="__________LN8" localSheetId="42">#REF!</definedName>
    <definedName name="__________LN8" localSheetId="27">#REF!</definedName>
    <definedName name="__________LN8" localSheetId="45">#REF!</definedName>
    <definedName name="__________LN8">#REF!</definedName>
    <definedName name="__________LN9" localSheetId="30">'[1]Water Demand'!#REF!</definedName>
    <definedName name="__________LN9" localSheetId="25">'[1]Water Demand'!#REF!</definedName>
    <definedName name="__________LN9" localSheetId="28">'[1]Water Demand'!#REF!</definedName>
    <definedName name="__________LN9" localSheetId="29">'[1]Water Demand'!#REF!</definedName>
    <definedName name="__________LN9" localSheetId="12">'[1]Water Demand'!#REF!</definedName>
    <definedName name="__________LN9" localSheetId="43">'[1]Water Demand'!#REF!</definedName>
    <definedName name="__________LN9" localSheetId="42">'[1]Water Demand'!#REF!</definedName>
    <definedName name="__________LN9" localSheetId="27">'[1]Water Demand'!#REF!</definedName>
    <definedName name="__________LN9" localSheetId="45">'[1]Water Demand'!#REF!</definedName>
    <definedName name="__________LN9">'[1]Water Demand'!#REF!</definedName>
    <definedName name="__________RSD1">'[3]Data-Table'!$D$26</definedName>
    <definedName name="__________RSD2">'[3]Data-Table'!$D$27</definedName>
    <definedName name="_________LN1" localSheetId="30">'[1]Water Demand'!#REF!</definedName>
    <definedName name="_________LN1" localSheetId="25">'[1]Water Demand'!#REF!</definedName>
    <definedName name="_________LN1" localSheetId="28">'[1]Water Demand'!#REF!</definedName>
    <definedName name="_________LN1" localSheetId="29">'[1]Water Demand'!#REF!</definedName>
    <definedName name="_________LN1" localSheetId="12">'[1]Water Demand'!#REF!</definedName>
    <definedName name="_________LN1" localSheetId="43">'[1]Water Demand'!#REF!</definedName>
    <definedName name="_________LN1" localSheetId="42">'[1]Water Demand'!#REF!</definedName>
    <definedName name="_________LN1" localSheetId="27">'[1]Water Demand'!#REF!</definedName>
    <definedName name="_________LN1" localSheetId="45">'[1]Water Demand'!#REF!</definedName>
    <definedName name="_________LN1">'[1]Water Demand'!#REF!</definedName>
    <definedName name="_________LN10" localSheetId="30">'[1]Water Demand'!#REF!</definedName>
    <definedName name="_________LN10" localSheetId="25">'[1]Water Demand'!#REF!</definedName>
    <definedName name="_________LN10" localSheetId="28">'[1]Water Demand'!#REF!</definedName>
    <definedName name="_________LN10" localSheetId="29">'[1]Water Demand'!#REF!</definedName>
    <definedName name="_________LN10" localSheetId="12">'[1]Water Demand'!#REF!</definedName>
    <definedName name="_________LN10" localSheetId="43">'[1]Water Demand'!#REF!</definedName>
    <definedName name="_________LN10" localSheetId="42">'[1]Water Demand'!#REF!</definedName>
    <definedName name="_________LN10" localSheetId="27">'[1]Water Demand'!#REF!</definedName>
    <definedName name="_________LN10" localSheetId="45">'[1]Water Demand'!#REF!</definedName>
    <definedName name="_________LN10">'[1]Water Demand'!#REF!</definedName>
    <definedName name="_________LN11" localSheetId="30">'[1]Water Demand'!#REF!</definedName>
    <definedName name="_________LN11" localSheetId="25">'[1]Water Demand'!#REF!</definedName>
    <definedName name="_________LN11" localSheetId="28">'[1]Water Demand'!#REF!</definedName>
    <definedName name="_________LN11" localSheetId="29">'[1]Water Demand'!#REF!</definedName>
    <definedName name="_________LN11" localSheetId="12">'[1]Water Demand'!#REF!</definedName>
    <definedName name="_________LN11" localSheetId="43">'[1]Water Demand'!#REF!</definedName>
    <definedName name="_________LN11" localSheetId="42">'[1]Water Demand'!#REF!</definedName>
    <definedName name="_________LN11" localSheetId="27">'[1]Water Demand'!#REF!</definedName>
    <definedName name="_________LN11" localSheetId="45">'[1]Water Demand'!#REF!</definedName>
    <definedName name="_________LN11">'[1]Water Demand'!#REF!</definedName>
    <definedName name="_________LN12" localSheetId="30">'[1]Water Demand'!#REF!</definedName>
    <definedName name="_________LN12" localSheetId="25">'[1]Water Demand'!#REF!</definedName>
    <definedName name="_________LN12" localSheetId="28">'[1]Water Demand'!#REF!</definedName>
    <definedName name="_________LN12" localSheetId="29">'[1]Water Demand'!#REF!</definedName>
    <definedName name="_________LN12" localSheetId="12">'[1]Water Demand'!#REF!</definedName>
    <definedName name="_________LN12" localSheetId="43">'[1]Water Demand'!#REF!</definedName>
    <definedName name="_________LN12" localSheetId="42">'[1]Water Demand'!#REF!</definedName>
    <definedName name="_________LN12" localSheetId="27">'[1]Water Demand'!#REF!</definedName>
    <definedName name="_________LN12" localSheetId="45">'[1]Water Demand'!#REF!</definedName>
    <definedName name="_________LN12">'[1]Water Demand'!#REF!</definedName>
    <definedName name="_________LN13" localSheetId="30">'[1]Water Demand'!#REF!</definedName>
    <definedName name="_________LN13" localSheetId="25">'[1]Water Demand'!#REF!</definedName>
    <definedName name="_________LN13" localSheetId="28">'[1]Water Demand'!#REF!</definedName>
    <definedName name="_________LN13" localSheetId="29">'[1]Water Demand'!#REF!</definedName>
    <definedName name="_________LN13" localSheetId="12">'[1]Water Demand'!#REF!</definedName>
    <definedName name="_________LN13" localSheetId="43">'[1]Water Demand'!#REF!</definedName>
    <definedName name="_________LN13" localSheetId="42">'[1]Water Demand'!#REF!</definedName>
    <definedName name="_________LN13" localSheetId="27">'[1]Water Demand'!#REF!</definedName>
    <definedName name="_________LN13" localSheetId="45">'[1]Water Demand'!#REF!</definedName>
    <definedName name="_________LN13">'[1]Water Demand'!#REF!</definedName>
    <definedName name="_________LN14" localSheetId="30">'[1]Water Demand'!#REF!</definedName>
    <definedName name="_________LN14" localSheetId="25">'[1]Water Demand'!#REF!</definedName>
    <definedName name="_________LN14" localSheetId="28">'[1]Water Demand'!#REF!</definedName>
    <definedName name="_________LN14" localSheetId="29">'[1]Water Demand'!#REF!</definedName>
    <definedName name="_________LN14" localSheetId="12">'[1]Water Demand'!#REF!</definedName>
    <definedName name="_________LN14" localSheetId="43">'[1]Water Demand'!#REF!</definedName>
    <definedName name="_________LN14" localSheetId="42">'[1]Water Demand'!#REF!</definedName>
    <definedName name="_________LN14" localSheetId="27">'[1]Water Demand'!#REF!</definedName>
    <definedName name="_________LN14" localSheetId="45">'[1]Water Demand'!#REF!</definedName>
    <definedName name="_________LN14">'[1]Water Demand'!#REF!</definedName>
    <definedName name="_________LN15" localSheetId="30">'[1]Water Demand'!#REF!</definedName>
    <definedName name="_________LN15" localSheetId="25">'[1]Water Demand'!#REF!</definedName>
    <definedName name="_________LN15" localSheetId="28">'[1]Water Demand'!#REF!</definedName>
    <definedName name="_________LN15" localSheetId="29">'[1]Water Demand'!#REF!</definedName>
    <definedName name="_________LN15" localSheetId="12">'[1]Water Demand'!#REF!</definedName>
    <definedName name="_________LN15" localSheetId="43">'[1]Water Demand'!#REF!</definedName>
    <definedName name="_________LN15" localSheetId="42">'[1]Water Demand'!#REF!</definedName>
    <definedName name="_________LN15" localSheetId="27">'[1]Water Demand'!#REF!</definedName>
    <definedName name="_________LN15" localSheetId="45">'[1]Water Demand'!#REF!</definedName>
    <definedName name="_________LN15">'[1]Water Demand'!#REF!</definedName>
    <definedName name="_________LN16" localSheetId="30">'[1]Water Demand'!#REF!</definedName>
    <definedName name="_________LN16" localSheetId="25">'[1]Water Demand'!#REF!</definedName>
    <definedName name="_________LN16" localSheetId="28">'[1]Water Demand'!#REF!</definedName>
    <definedName name="_________LN16" localSheetId="29">'[1]Water Demand'!#REF!</definedName>
    <definedName name="_________LN16" localSheetId="12">'[1]Water Demand'!#REF!</definedName>
    <definedName name="_________LN16" localSheetId="43">'[1]Water Demand'!#REF!</definedName>
    <definedName name="_________LN16" localSheetId="42">'[1]Water Demand'!#REF!</definedName>
    <definedName name="_________LN16" localSheetId="27">'[1]Water Demand'!#REF!</definedName>
    <definedName name="_________LN16" localSheetId="45">'[1]Water Demand'!#REF!</definedName>
    <definedName name="_________LN16">'[1]Water Demand'!#REF!</definedName>
    <definedName name="_________LN17" localSheetId="30">'[1]Water Demand'!#REF!</definedName>
    <definedName name="_________LN17" localSheetId="25">'[1]Water Demand'!#REF!</definedName>
    <definedName name="_________LN17" localSheetId="28">'[1]Water Demand'!#REF!</definedName>
    <definedName name="_________LN17" localSheetId="29">'[1]Water Demand'!#REF!</definedName>
    <definedName name="_________LN17" localSheetId="12">'[1]Water Demand'!#REF!</definedName>
    <definedName name="_________LN17" localSheetId="43">'[1]Water Demand'!#REF!</definedName>
    <definedName name="_________LN17" localSheetId="42">'[1]Water Demand'!#REF!</definedName>
    <definedName name="_________LN17" localSheetId="27">'[1]Water Demand'!#REF!</definedName>
    <definedName name="_________LN17" localSheetId="45">'[1]Water Demand'!#REF!</definedName>
    <definedName name="_________LN17">'[1]Water Demand'!#REF!</definedName>
    <definedName name="_________LN18" localSheetId="30">'[1]Water Demand'!#REF!</definedName>
    <definedName name="_________LN18" localSheetId="25">'[1]Water Demand'!#REF!</definedName>
    <definedName name="_________LN18" localSheetId="28">'[1]Water Demand'!#REF!</definedName>
    <definedName name="_________LN18" localSheetId="29">'[1]Water Demand'!#REF!</definedName>
    <definedName name="_________LN18" localSheetId="12">'[1]Water Demand'!#REF!</definedName>
    <definedName name="_________LN18" localSheetId="43">'[1]Water Demand'!#REF!</definedName>
    <definedName name="_________LN18" localSheetId="42">'[1]Water Demand'!#REF!</definedName>
    <definedName name="_________LN18" localSheetId="27">'[1]Water Demand'!#REF!</definedName>
    <definedName name="_________LN18" localSheetId="45">'[1]Water Demand'!#REF!</definedName>
    <definedName name="_________LN18">'[1]Water Demand'!#REF!</definedName>
    <definedName name="_________LN19" localSheetId="30">'[1]Water Demand'!#REF!</definedName>
    <definedName name="_________LN19" localSheetId="25">'[1]Water Demand'!#REF!</definedName>
    <definedName name="_________LN19" localSheetId="28">'[1]Water Demand'!#REF!</definedName>
    <definedName name="_________LN19" localSheetId="29">'[1]Water Demand'!#REF!</definedName>
    <definedName name="_________LN19" localSheetId="12">'[1]Water Demand'!#REF!</definedName>
    <definedName name="_________LN19" localSheetId="43">'[1]Water Demand'!#REF!</definedName>
    <definedName name="_________LN19" localSheetId="42">'[1]Water Demand'!#REF!</definedName>
    <definedName name="_________LN19" localSheetId="27">'[1]Water Demand'!#REF!</definedName>
    <definedName name="_________LN19" localSheetId="45">'[1]Water Demand'!#REF!</definedName>
    <definedName name="_________LN19">'[1]Water Demand'!#REF!</definedName>
    <definedName name="_________LN2" localSheetId="30">'[1]Water Demand'!#REF!</definedName>
    <definedName name="_________LN2" localSheetId="25">'[1]Water Demand'!#REF!</definedName>
    <definedName name="_________LN2" localSheetId="28">'[1]Water Demand'!#REF!</definedName>
    <definedName name="_________LN2" localSheetId="29">'[1]Water Demand'!#REF!</definedName>
    <definedName name="_________LN2" localSheetId="12">'[1]Water Demand'!#REF!</definedName>
    <definedName name="_________LN2" localSheetId="43">'[1]Water Demand'!#REF!</definedName>
    <definedName name="_________LN2" localSheetId="42">'[1]Water Demand'!#REF!</definedName>
    <definedName name="_________LN2" localSheetId="27">'[1]Water Demand'!#REF!</definedName>
    <definedName name="_________LN2" localSheetId="45">'[1]Water Demand'!#REF!</definedName>
    <definedName name="_________LN2">'[1]Water Demand'!#REF!</definedName>
    <definedName name="_________LN22" localSheetId="30">'[1]Water Demand'!#REF!</definedName>
    <definedName name="_________LN22" localSheetId="25">'[1]Water Demand'!#REF!</definedName>
    <definedName name="_________LN22" localSheetId="28">'[1]Water Demand'!#REF!</definedName>
    <definedName name="_________LN22" localSheetId="29">'[1]Water Demand'!#REF!</definedName>
    <definedName name="_________LN22" localSheetId="12">'[1]Water Demand'!#REF!</definedName>
    <definedName name="_________LN22" localSheetId="43">'[1]Water Demand'!#REF!</definedName>
    <definedName name="_________LN22" localSheetId="42">'[1]Water Demand'!#REF!</definedName>
    <definedName name="_________LN22" localSheetId="27">'[1]Water Demand'!#REF!</definedName>
    <definedName name="_________LN22" localSheetId="45">'[1]Water Demand'!#REF!</definedName>
    <definedName name="_________LN22">'[1]Water Demand'!#REF!</definedName>
    <definedName name="_________LN23" localSheetId="30">'[1]Water Demand'!#REF!</definedName>
    <definedName name="_________LN23" localSheetId="25">'[1]Water Demand'!#REF!</definedName>
    <definedName name="_________LN23" localSheetId="28">'[1]Water Demand'!#REF!</definedName>
    <definedName name="_________LN23" localSheetId="29">'[1]Water Demand'!#REF!</definedName>
    <definedName name="_________LN23" localSheetId="12">'[1]Water Demand'!#REF!</definedName>
    <definedName name="_________LN23" localSheetId="43">'[1]Water Demand'!#REF!</definedName>
    <definedName name="_________LN23" localSheetId="42">'[1]Water Demand'!#REF!</definedName>
    <definedName name="_________LN23" localSheetId="27">'[1]Water Demand'!#REF!</definedName>
    <definedName name="_________LN23" localSheetId="45">'[1]Water Demand'!#REF!</definedName>
    <definedName name="_________LN23">'[1]Water Demand'!#REF!</definedName>
    <definedName name="_________LN24" localSheetId="30">'[1]Water Demand'!#REF!</definedName>
    <definedName name="_________LN24" localSheetId="25">'[1]Water Demand'!#REF!</definedName>
    <definedName name="_________LN24" localSheetId="28">'[1]Water Demand'!#REF!</definedName>
    <definedName name="_________LN24" localSheetId="29">'[1]Water Demand'!#REF!</definedName>
    <definedName name="_________LN24" localSheetId="12">'[1]Water Demand'!#REF!</definedName>
    <definedName name="_________LN24" localSheetId="43">'[1]Water Demand'!#REF!</definedName>
    <definedName name="_________LN24" localSheetId="42">'[1]Water Demand'!#REF!</definedName>
    <definedName name="_________LN24" localSheetId="27">'[1]Water Demand'!#REF!</definedName>
    <definedName name="_________LN24" localSheetId="45">'[1]Water Demand'!#REF!</definedName>
    <definedName name="_________LN24">'[1]Water Demand'!#REF!</definedName>
    <definedName name="_________LN25" localSheetId="30">'[1]Water Demand'!#REF!</definedName>
    <definedName name="_________LN25" localSheetId="25">'[1]Water Demand'!#REF!</definedName>
    <definedName name="_________LN25" localSheetId="28">'[1]Water Demand'!#REF!</definedName>
    <definedName name="_________LN25" localSheetId="29">'[1]Water Demand'!#REF!</definedName>
    <definedName name="_________LN25" localSheetId="12">'[1]Water Demand'!#REF!</definedName>
    <definedName name="_________LN25" localSheetId="43">'[1]Water Demand'!#REF!</definedName>
    <definedName name="_________LN25" localSheetId="42">'[1]Water Demand'!#REF!</definedName>
    <definedName name="_________LN25" localSheetId="27">'[1]Water Demand'!#REF!</definedName>
    <definedName name="_________LN25" localSheetId="45">'[1]Water Demand'!#REF!</definedName>
    <definedName name="_________LN25">'[1]Water Demand'!#REF!</definedName>
    <definedName name="_________LN26" localSheetId="30">'[1]Water Demand'!#REF!</definedName>
    <definedName name="_________LN26" localSheetId="25">'[1]Water Demand'!#REF!</definedName>
    <definedName name="_________LN26" localSheetId="28">'[1]Water Demand'!#REF!</definedName>
    <definedName name="_________LN26" localSheetId="29">'[1]Water Demand'!#REF!</definedName>
    <definedName name="_________LN26" localSheetId="12">'[1]Water Demand'!#REF!</definedName>
    <definedName name="_________LN26" localSheetId="43">'[1]Water Demand'!#REF!</definedName>
    <definedName name="_________LN26" localSheetId="42">'[1]Water Demand'!#REF!</definedName>
    <definedName name="_________LN26" localSheetId="27">'[1]Water Demand'!#REF!</definedName>
    <definedName name="_________LN26" localSheetId="45">'[1]Water Demand'!#REF!</definedName>
    <definedName name="_________LN26">'[1]Water Demand'!#REF!</definedName>
    <definedName name="_________LN27" localSheetId="30">'[1]Water Demand'!#REF!</definedName>
    <definedName name="_________LN27" localSheetId="25">'[1]Water Demand'!#REF!</definedName>
    <definedName name="_________LN27" localSheetId="28">'[1]Water Demand'!#REF!</definedName>
    <definedName name="_________LN27" localSheetId="29">'[1]Water Demand'!#REF!</definedName>
    <definedName name="_________LN27" localSheetId="12">'[1]Water Demand'!#REF!</definedName>
    <definedName name="_________LN27" localSheetId="43">'[1]Water Demand'!#REF!</definedName>
    <definedName name="_________LN27" localSheetId="42">'[1]Water Demand'!#REF!</definedName>
    <definedName name="_________LN27" localSheetId="27">'[1]Water Demand'!#REF!</definedName>
    <definedName name="_________LN27" localSheetId="45">'[1]Water Demand'!#REF!</definedName>
    <definedName name="_________LN27">'[1]Water Demand'!#REF!</definedName>
    <definedName name="_________LN28" localSheetId="30">'[1]Water Demand'!#REF!</definedName>
    <definedName name="_________LN28" localSheetId="25">'[1]Water Demand'!#REF!</definedName>
    <definedName name="_________LN28" localSheetId="28">'[1]Water Demand'!#REF!</definedName>
    <definedName name="_________LN28" localSheetId="29">'[1]Water Demand'!#REF!</definedName>
    <definedName name="_________LN28" localSheetId="12">'[1]Water Demand'!#REF!</definedName>
    <definedName name="_________LN28" localSheetId="43">'[1]Water Demand'!#REF!</definedName>
    <definedName name="_________LN28" localSheetId="42">'[1]Water Demand'!#REF!</definedName>
    <definedName name="_________LN28" localSheetId="27">'[1]Water Demand'!#REF!</definedName>
    <definedName name="_________LN28" localSheetId="45">'[1]Water Demand'!#REF!</definedName>
    <definedName name="_________LN28">'[1]Water Demand'!#REF!</definedName>
    <definedName name="_________LN29" localSheetId="30">'[1]Water Demand'!#REF!</definedName>
    <definedName name="_________LN29" localSheetId="25">'[1]Water Demand'!#REF!</definedName>
    <definedName name="_________LN29" localSheetId="28">'[1]Water Demand'!#REF!</definedName>
    <definedName name="_________LN29" localSheetId="29">'[1]Water Demand'!#REF!</definedName>
    <definedName name="_________LN29" localSheetId="12">'[1]Water Demand'!#REF!</definedName>
    <definedName name="_________LN29" localSheetId="43">'[1]Water Demand'!#REF!</definedName>
    <definedName name="_________LN29" localSheetId="42">'[1]Water Demand'!#REF!</definedName>
    <definedName name="_________LN29" localSheetId="27">'[1]Water Demand'!#REF!</definedName>
    <definedName name="_________LN29" localSheetId="45">'[1]Water Demand'!#REF!</definedName>
    <definedName name="_________LN29">'[1]Water Demand'!#REF!</definedName>
    <definedName name="_________LN30" localSheetId="30">'[1]Water Demand'!#REF!</definedName>
    <definedName name="_________LN30" localSheetId="25">'[1]Water Demand'!#REF!</definedName>
    <definedName name="_________LN30" localSheetId="28">'[1]Water Demand'!#REF!</definedName>
    <definedName name="_________LN30" localSheetId="29">'[1]Water Demand'!#REF!</definedName>
    <definedName name="_________LN30" localSheetId="12">'[1]Water Demand'!#REF!</definedName>
    <definedName name="_________LN30" localSheetId="43">'[1]Water Demand'!#REF!</definedName>
    <definedName name="_________LN30" localSheetId="42">'[1]Water Demand'!#REF!</definedName>
    <definedName name="_________LN30" localSheetId="27">'[1]Water Demand'!#REF!</definedName>
    <definedName name="_________LN30" localSheetId="45">'[1]Water Demand'!#REF!</definedName>
    <definedName name="_________LN30">'[1]Water Demand'!#REF!</definedName>
    <definedName name="_________LN9" localSheetId="30">'[1]Water Demand'!#REF!</definedName>
    <definedName name="_________LN9" localSheetId="25">'[1]Water Demand'!#REF!</definedName>
    <definedName name="_________LN9" localSheetId="28">'[1]Water Demand'!#REF!</definedName>
    <definedName name="_________LN9" localSheetId="29">'[1]Water Demand'!#REF!</definedName>
    <definedName name="_________LN9" localSheetId="12">'[1]Water Demand'!#REF!</definedName>
    <definedName name="_________LN9" localSheetId="43">'[1]Water Demand'!#REF!</definedName>
    <definedName name="_________LN9" localSheetId="42">'[1]Water Demand'!#REF!</definedName>
    <definedName name="_________LN9" localSheetId="27">'[1]Water Demand'!#REF!</definedName>
    <definedName name="_________LN9" localSheetId="45">'[1]Water Demand'!#REF!</definedName>
    <definedName name="_________LN9">'[1]Water Demand'!#REF!</definedName>
    <definedName name="_________RSD1">'[3]Data-Table'!$D$26</definedName>
    <definedName name="_________RSD2">'[3]Data-Table'!$D$27</definedName>
    <definedName name="________agg10">[4]Sheet1!$D$23</definedName>
    <definedName name="________agg40">[4]Sheet1!$D$25</definedName>
    <definedName name="________LN1" localSheetId="30">'[1]Water Demand'!#REF!</definedName>
    <definedName name="________LN1" localSheetId="25">'[1]Water Demand'!#REF!</definedName>
    <definedName name="________LN1" localSheetId="28">'[1]Water Demand'!#REF!</definedName>
    <definedName name="________LN1" localSheetId="29">'[1]Water Demand'!#REF!</definedName>
    <definedName name="________LN1" localSheetId="12">'[1]Water Demand'!#REF!</definedName>
    <definedName name="________LN1" localSheetId="43">'[1]Water Demand'!#REF!</definedName>
    <definedName name="________LN1" localSheetId="42">'[1]Water Demand'!#REF!</definedName>
    <definedName name="________LN1" localSheetId="27">'[1]Water Demand'!#REF!</definedName>
    <definedName name="________LN1" localSheetId="45">'[1]Water Demand'!#REF!</definedName>
    <definedName name="________LN1">'[1]Water Demand'!#REF!</definedName>
    <definedName name="________LN10" localSheetId="30">'[1]Water Demand'!#REF!</definedName>
    <definedName name="________LN10" localSheetId="25">'[1]Water Demand'!#REF!</definedName>
    <definedName name="________LN10" localSheetId="28">'[1]Water Demand'!#REF!</definedName>
    <definedName name="________LN10" localSheetId="29">'[1]Water Demand'!#REF!</definedName>
    <definedName name="________LN10" localSheetId="12">'[1]Water Demand'!#REF!</definedName>
    <definedName name="________LN10" localSheetId="43">'[1]Water Demand'!#REF!</definedName>
    <definedName name="________LN10" localSheetId="42">'[1]Water Demand'!#REF!</definedName>
    <definedName name="________LN10" localSheetId="27">'[1]Water Demand'!#REF!</definedName>
    <definedName name="________LN10" localSheetId="45">'[1]Water Demand'!#REF!</definedName>
    <definedName name="________LN10">'[1]Water Demand'!#REF!</definedName>
    <definedName name="________LN11" localSheetId="30">'[1]Water Demand'!#REF!</definedName>
    <definedName name="________LN11" localSheetId="25">'[1]Water Demand'!#REF!</definedName>
    <definedName name="________LN11" localSheetId="28">'[1]Water Demand'!#REF!</definedName>
    <definedName name="________LN11" localSheetId="29">'[1]Water Demand'!#REF!</definedName>
    <definedName name="________LN11" localSheetId="12">'[1]Water Demand'!#REF!</definedName>
    <definedName name="________LN11" localSheetId="43">'[1]Water Demand'!#REF!</definedName>
    <definedName name="________LN11" localSheetId="42">'[1]Water Demand'!#REF!</definedName>
    <definedName name="________LN11" localSheetId="27">'[1]Water Demand'!#REF!</definedName>
    <definedName name="________LN11" localSheetId="45">'[1]Water Demand'!#REF!</definedName>
    <definedName name="________LN11">'[1]Water Demand'!#REF!</definedName>
    <definedName name="________LN12" localSheetId="30">'[1]Water Demand'!#REF!</definedName>
    <definedName name="________LN12" localSheetId="25">'[1]Water Demand'!#REF!</definedName>
    <definedName name="________LN12" localSheetId="28">'[1]Water Demand'!#REF!</definedName>
    <definedName name="________LN12" localSheetId="29">'[1]Water Demand'!#REF!</definedName>
    <definedName name="________LN12" localSheetId="12">'[1]Water Demand'!#REF!</definedName>
    <definedName name="________LN12" localSheetId="43">'[1]Water Demand'!#REF!</definedName>
    <definedName name="________LN12" localSheetId="42">'[1]Water Demand'!#REF!</definedName>
    <definedName name="________LN12" localSheetId="27">'[1]Water Demand'!#REF!</definedName>
    <definedName name="________LN12" localSheetId="45">'[1]Water Demand'!#REF!</definedName>
    <definedName name="________LN12">'[1]Water Demand'!#REF!</definedName>
    <definedName name="________LN13" localSheetId="30">'[1]Water Demand'!#REF!</definedName>
    <definedName name="________LN13" localSheetId="25">'[1]Water Demand'!#REF!</definedName>
    <definedName name="________LN13" localSheetId="28">'[1]Water Demand'!#REF!</definedName>
    <definedName name="________LN13" localSheetId="29">'[1]Water Demand'!#REF!</definedName>
    <definedName name="________LN13" localSheetId="12">'[1]Water Demand'!#REF!</definedName>
    <definedName name="________LN13" localSheetId="43">'[1]Water Demand'!#REF!</definedName>
    <definedName name="________LN13" localSheetId="42">'[1]Water Demand'!#REF!</definedName>
    <definedName name="________LN13" localSheetId="27">'[1]Water Demand'!#REF!</definedName>
    <definedName name="________LN13" localSheetId="45">'[1]Water Demand'!#REF!</definedName>
    <definedName name="________LN13">'[1]Water Demand'!#REF!</definedName>
    <definedName name="________LN14" localSheetId="30">'[1]Water Demand'!#REF!</definedName>
    <definedName name="________LN14" localSheetId="25">'[1]Water Demand'!#REF!</definedName>
    <definedName name="________LN14" localSheetId="28">'[1]Water Demand'!#REF!</definedName>
    <definedName name="________LN14" localSheetId="29">'[1]Water Demand'!#REF!</definedName>
    <definedName name="________LN14" localSheetId="12">'[1]Water Demand'!#REF!</definedName>
    <definedName name="________LN14" localSheetId="43">'[1]Water Demand'!#REF!</definedName>
    <definedName name="________LN14" localSheetId="42">'[1]Water Demand'!#REF!</definedName>
    <definedName name="________LN14" localSheetId="27">'[1]Water Demand'!#REF!</definedName>
    <definedName name="________LN14" localSheetId="45">'[1]Water Demand'!#REF!</definedName>
    <definedName name="________LN14">'[1]Water Demand'!#REF!</definedName>
    <definedName name="________LN15" localSheetId="30">'[1]Water Demand'!#REF!</definedName>
    <definedName name="________LN15" localSheetId="25">'[1]Water Demand'!#REF!</definedName>
    <definedName name="________LN15" localSheetId="28">'[1]Water Demand'!#REF!</definedName>
    <definedName name="________LN15" localSheetId="29">'[1]Water Demand'!#REF!</definedName>
    <definedName name="________LN15" localSheetId="12">'[1]Water Demand'!#REF!</definedName>
    <definedName name="________LN15" localSheetId="43">'[1]Water Demand'!#REF!</definedName>
    <definedName name="________LN15" localSheetId="42">'[1]Water Demand'!#REF!</definedName>
    <definedName name="________LN15" localSheetId="27">'[1]Water Demand'!#REF!</definedName>
    <definedName name="________LN15" localSheetId="45">'[1]Water Demand'!#REF!</definedName>
    <definedName name="________LN15">'[1]Water Demand'!#REF!</definedName>
    <definedName name="________LN16" localSheetId="30">'[1]Water Demand'!#REF!</definedName>
    <definedName name="________LN16" localSheetId="25">'[1]Water Demand'!#REF!</definedName>
    <definedName name="________LN16" localSheetId="28">'[1]Water Demand'!#REF!</definedName>
    <definedName name="________LN16" localSheetId="29">'[1]Water Demand'!#REF!</definedName>
    <definedName name="________LN16" localSheetId="12">'[1]Water Demand'!#REF!</definedName>
    <definedName name="________LN16" localSheetId="43">'[1]Water Demand'!#REF!</definedName>
    <definedName name="________LN16" localSheetId="42">'[1]Water Demand'!#REF!</definedName>
    <definedName name="________LN16" localSheetId="27">'[1]Water Demand'!#REF!</definedName>
    <definedName name="________LN16" localSheetId="45">'[1]Water Demand'!#REF!</definedName>
    <definedName name="________LN16">'[1]Water Demand'!#REF!</definedName>
    <definedName name="________LN17" localSheetId="30">'[1]Water Demand'!#REF!</definedName>
    <definedName name="________LN17" localSheetId="25">'[1]Water Demand'!#REF!</definedName>
    <definedName name="________LN17" localSheetId="28">'[1]Water Demand'!#REF!</definedName>
    <definedName name="________LN17" localSheetId="29">'[1]Water Demand'!#REF!</definedName>
    <definedName name="________LN17" localSheetId="12">'[1]Water Demand'!#REF!</definedName>
    <definedName name="________LN17" localSheetId="43">'[1]Water Demand'!#REF!</definedName>
    <definedName name="________LN17" localSheetId="42">'[1]Water Demand'!#REF!</definedName>
    <definedName name="________LN17" localSheetId="27">'[1]Water Demand'!#REF!</definedName>
    <definedName name="________LN17" localSheetId="45">'[1]Water Demand'!#REF!</definedName>
    <definedName name="________LN17">'[1]Water Demand'!#REF!</definedName>
    <definedName name="________LN18" localSheetId="30">'[1]Water Demand'!#REF!</definedName>
    <definedName name="________LN18" localSheetId="25">'[1]Water Demand'!#REF!</definedName>
    <definedName name="________LN18" localSheetId="28">'[1]Water Demand'!#REF!</definedName>
    <definedName name="________LN18" localSheetId="29">'[1]Water Demand'!#REF!</definedName>
    <definedName name="________LN18" localSheetId="12">'[1]Water Demand'!#REF!</definedName>
    <definedName name="________LN18" localSheetId="43">'[1]Water Demand'!#REF!</definedName>
    <definedName name="________LN18" localSheetId="42">'[1]Water Demand'!#REF!</definedName>
    <definedName name="________LN18" localSheetId="27">'[1]Water Demand'!#REF!</definedName>
    <definedName name="________LN18" localSheetId="45">'[1]Water Demand'!#REF!</definedName>
    <definedName name="________LN18">'[1]Water Demand'!#REF!</definedName>
    <definedName name="________LN19" localSheetId="30">'[1]Water Demand'!#REF!</definedName>
    <definedName name="________LN19" localSheetId="25">'[1]Water Demand'!#REF!</definedName>
    <definedName name="________LN19" localSheetId="28">'[1]Water Demand'!#REF!</definedName>
    <definedName name="________LN19" localSheetId="29">'[1]Water Demand'!#REF!</definedName>
    <definedName name="________LN19" localSheetId="12">'[1]Water Demand'!#REF!</definedName>
    <definedName name="________LN19" localSheetId="43">'[1]Water Demand'!#REF!</definedName>
    <definedName name="________LN19" localSheetId="42">'[1]Water Demand'!#REF!</definedName>
    <definedName name="________LN19" localSheetId="27">'[1]Water Demand'!#REF!</definedName>
    <definedName name="________LN19" localSheetId="45">'[1]Water Demand'!#REF!</definedName>
    <definedName name="________LN19">'[1]Water Demand'!#REF!</definedName>
    <definedName name="________LN2" localSheetId="30">'[1]Water Demand'!#REF!</definedName>
    <definedName name="________LN2" localSheetId="25">'[1]Water Demand'!#REF!</definedName>
    <definedName name="________LN2" localSheetId="28">'[1]Water Demand'!#REF!</definedName>
    <definedName name="________LN2" localSheetId="29">'[1]Water Demand'!#REF!</definedName>
    <definedName name="________LN2" localSheetId="12">'[1]Water Demand'!#REF!</definedName>
    <definedName name="________LN2" localSheetId="43">'[1]Water Demand'!#REF!</definedName>
    <definedName name="________LN2" localSheetId="42">'[1]Water Demand'!#REF!</definedName>
    <definedName name="________LN2" localSheetId="27">'[1]Water Demand'!#REF!</definedName>
    <definedName name="________LN2" localSheetId="45">'[1]Water Demand'!#REF!</definedName>
    <definedName name="________LN2">'[1]Water Demand'!#REF!</definedName>
    <definedName name="________LN20" localSheetId="30">#REF!</definedName>
    <definedName name="________LN20" localSheetId="25">#REF!</definedName>
    <definedName name="________LN20" localSheetId="28">#REF!</definedName>
    <definedName name="________LN20" localSheetId="29">#REF!</definedName>
    <definedName name="________LN20" localSheetId="12">#REF!</definedName>
    <definedName name="________LN20" localSheetId="43">#REF!</definedName>
    <definedName name="________LN20" localSheetId="42">#REF!</definedName>
    <definedName name="________LN20" localSheetId="27">#REF!</definedName>
    <definedName name="________LN20" localSheetId="45">#REF!</definedName>
    <definedName name="________LN20">#REF!</definedName>
    <definedName name="________LN21" localSheetId="30">#REF!</definedName>
    <definedName name="________LN21" localSheetId="25">#REF!</definedName>
    <definedName name="________LN21" localSheetId="28">#REF!</definedName>
    <definedName name="________LN21" localSheetId="29">#REF!</definedName>
    <definedName name="________LN21" localSheetId="12">#REF!</definedName>
    <definedName name="________LN21" localSheetId="43">#REF!</definedName>
    <definedName name="________LN21" localSheetId="42">#REF!</definedName>
    <definedName name="________LN21" localSheetId="27">#REF!</definedName>
    <definedName name="________LN21" localSheetId="45">#REF!</definedName>
    <definedName name="________LN21">#REF!</definedName>
    <definedName name="________LN22" localSheetId="30">'[1]Water Demand'!#REF!</definedName>
    <definedName name="________LN22" localSheetId="25">'[1]Water Demand'!#REF!</definedName>
    <definedName name="________LN22" localSheetId="28">'[1]Water Demand'!#REF!</definedName>
    <definedName name="________LN22" localSheetId="29">'[1]Water Demand'!#REF!</definedName>
    <definedName name="________LN22" localSheetId="12">'[1]Water Demand'!#REF!</definedName>
    <definedName name="________LN22" localSheetId="43">'[1]Water Demand'!#REF!</definedName>
    <definedName name="________LN22" localSheetId="42">'[1]Water Demand'!#REF!</definedName>
    <definedName name="________LN22" localSheetId="27">'[1]Water Demand'!#REF!</definedName>
    <definedName name="________LN22" localSheetId="45">'[1]Water Demand'!#REF!</definedName>
    <definedName name="________LN22">'[1]Water Demand'!#REF!</definedName>
    <definedName name="________LN23" localSheetId="30">'[1]Water Demand'!#REF!</definedName>
    <definedName name="________LN23" localSheetId="25">'[1]Water Demand'!#REF!</definedName>
    <definedName name="________LN23" localSheetId="28">'[1]Water Demand'!#REF!</definedName>
    <definedName name="________LN23" localSheetId="29">'[1]Water Demand'!#REF!</definedName>
    <definedName name="________LN23" localSheetId="12">'[1]Water Demand'!#REF!</definedName>
    <definedName name="________LN23" localSheetId="43">'[1]Water Demand'!#REF!</definedName>
    <definedName name="________LN23" localSheetId="42">'[1]Water Demand'!#REF!</definedName>
    <definedName name="________LN23" localSheetId="27">'[1]Water Demand'!#REF!</definedName>
    <definedName name="________LN23" localSheetId="45">'[1]Water Demand'!#REF!</definedName>
    <definedName name="________LN23">'[1]Water Demand'!#REF!</definedName>
    <definedName name="________LN24" localSheetId="30">'[1]Water Demand'!#REF!</definedName>
    <definedName name="________LN24" localSheetId="25">'[1]Water Demand'!#REF!</definedName>
    <definedName name="________LN24" localSheetId="28">'[1]Water Demand'!#REF!</definedName>
    <definedName name="________LN24" localSheetId="29">'[1]Water Demand'!#REF!</definedName>
    <definedName name="________LN24" localSheetId="12">'[1]Water Demand'!#REF!</definedName>
    <definedName name="________LN24" localSheetId="43">'[1]Water Demand'!#REF!</definedName>
    <definedName name="________LN24" localSheetId="42">'[1]Water Demand'!#REF!</definedName>
    <definedName name="________LN24" localSheetId="27">'[1]Water Demand'!#REF!</definedName>
    <definedName name="________LN24" localSheetId="45">'[1]Water Demand'!#REF!</definedName>
    <definedName name="________LN24">'[1]Water Demand'!#REF!</definedName>
    <definedName name="________LN25" localSheetId="30">'[1]Water Demand'!#REF!</definedName>
    <definedName name="________LN25" localSheetId="25">'[1]Water Demand'!#REF!</definedName>
    <definedName name="________LN25" localSheetId="28">'[1]Water Demand'!#REF!</definedName>
    <definedName name="________LN25" localSheetId="29">'[1]Water Demand'!#REF!</definedName>
    <definedName name="________LN25" localSheetId="12">'[1]Water Demand'!#REF!</definedName>
    <definedName name="________LN25" localSheetId="43">'[1]Water Demand'!#REF!</definedName>
    <definedName name="________LN25" localSheetId="42">'[1]Water Demand'!#REF!</definedName>
    <definedName name="________LN25" localSheetId="27">'[1]Water Demand'!#REF!</definedName>
    <definedName name="________LN25" localSheetId="45">'[1]Water Demand'!#REF!</definedName>
    <definedName name="________LN25">'[1]Water Demand'!#REF!</definedName>
    <definedName name="________LN26" localSheetId="30">'[1]Water Demand'!#REF!</definedName>
    <definedName name="________LN26" localSheetId="25">'[1]Water Demand'!#REF!</definedName>
    <definedName name="________LN26" localSheetId="28">'[1]Water Demand'!#REF!</definedName>
    <definedName name="________LN26" localSheetId="29">'[1]Water Demand'!#REF!</definedName>
    <definedName name="________LN26" localSheetId="12">'[1]Water Demand'!#REF!</definedName>
    <definedName name="________LN26" localSheetId="43">'[1]Water Demand'!#REF!</definedName>
    <definedName name="________LN26" localSheetId="42">'[1]Water Demand'!#REF!</definedName>
    <definedName name="________LN26" localSheetId="27">'[1]Water Demand'!#REF!</definedName>
    <definedName name="________LN26" localSheetId="45">'[1]Water Demand'!#REF!</definedName>
    <definedName name="________LN26">'[1]Water Demand'!#REF!</definedName>
    <definedName name="________LN27" localSheetId="30">'[1]Water Demand'!#REF!</definedName>
    <definedName name="________LN27" localSheetId="25">'[1]Water Demand'!#REF!</definedName>
    <definedName name="________LN27" localSheetId="28">'[1]Water Demand'!#REF!</definedName>
    <definedName name="________LN27" localSheetId="29">'[1]Water Demand'!#REF!</definedName>
    <definedName name="________LN27" localSheetId="12">'[1]Water Demand'!#REF!</definedName>
    <definedName name="________LN27" localSheetId="43">'[1]Water Demand'!#REF!</definedName>
    <definedName name="________LN27" localSheetId="42">'[1]Water Demand'!#REF!</definedName>
    <definedName name="________LN27" localSheetId="27">'[1]Water Demand'!#REF!</definedName>
    <definedName name="________LN27" localSheetId="45">'[1]Water Demand'!#REF!</definedName>
    <definedName name="________LN27">'[1]Water Demand'!#REF!</definedName>
    <definedName name="________LN28" localSheetId="30">'[1]Water Demand'!#REF!</definedName>
    <definedName name="________LN28" localSheetId="25">'[1]Water Demand'!#REF!</definedName>
    <definedName name="________LN28" localSheetId="28">'[1]Water Demand'!#REF!</definedName>
    <definedName name="________LN28" localSheetId="29">'[1]Water Demand'!#REF!</definedName>
    <definedName name="________LN28" localSheetId="12">'[1]Water Demand'!#REF!</definedName>
    <definedName name="________LN28" localSheetId="43">'[1]Water Demand'!#REF!</definedName>
    <definedName name="________LN28" localSheetId="42">'[1]Water Demand'!#REF!</definedName>
    <definedName name="________LN28" localSheetId="27">'[1]Water Demand'!#REF!</definedName>
    <definedName name="________LN28" localSheetId="45">'[1]Water Demand'!#REF!</definedName>
    <definedName name="________LN28">'[1]Water Demand'!#REF!</definedName>
    <definedName name="________LN29" localSheetId="30">'[1]Water Demand'!#REF!</definedName>
    <definedName name="________LN29" localSheetId="25">'[1]Water Demand'!#REF!</definedName>
    <definedName name="________LN29" localSheetId="28">'[1]Water Demand'!#REF!</definedName>
    <definedName name="________LN29" localSheetId="29">'[1]Water Demand'!#REF!</definedName>
    <definedName name="________LN29" localSheetId="12">'[1]Water Demand'!#REF!</definedName>
    <definedName name="________LN29" localSheetId="43">'[1]Water Demand'!#REF!</definedName>
    <definedName name="________LN29" localSheetId="42">'[1]Water Demand'!#REF!</definedName>
    <definedName name="________LN29" localSheetId="27">'[1]Water Demand'!#REF!</definedName>
    <definedName name="________LN29" localSheetId="45">'[1]Water Demand'!#REF!</definedName>
    <definedName name="________LN29">'[1]Water Demand'!#REF!</definedName>
    <definedName name="________LN3" localSheetId="30">#REF!</definedName>
    <definedName name="________LN3" localSheetId="25">#REF!</definedName>
    <definedName name="________LN3" localSheetId="28">#REF!</definedName>
    <definedName name="________LN3" localSheetId="29">#REF!</definedName>
    <definedName name="________LN3" localSheetId="12">#REF!</definedName>
    <definedName name="________LN3" localSheetId="43">#REF!</definedName>
    <definedName name="________LN3" localSheetId="42">#REF!</definedName>
    <definedName name="________LN3" localSheetId="27">#REF!</definedName>
    <definedName name="________LN3" localSheetId="45">#REF!</definedName>
    <definedName name="________LN3">#REF!</definedName>
    <definedName name="________LN30" localSheetId="30">'[1]Water Demand'!#REF!</definedName>
    <definedName name="________LN30" localSheetId="25">'[1]Water Demand'!#REF!</definedName>
    <definedName name="________LN30" localSheetId="28">'[1]Water Demand'!#REF!</definedName>
    <definedName name="________LN30" localSheetId="29">'[1]Water Demand'!#REF!</definedName>
    <definedName name="________LN30" localSheetId="12">'[1]Water Demand'!#REF!</definedName>
    <definedName name="________LN30" localSheetId="43">'[1]Water Demand'!#REF!</definedName>
    <definedName name="________LN30" localSheetId="42">'[1]Water Demand'!#REF!</definedName>
    <definedName name="________LN30" localSheetId="27">'[1]Water Demand'!#REF!</definedName>
    <definedName name="________LN30" localSheetId="45">'[1]Water Demand'!#REF!</definedName>
    <definedName name="________LN30">'[1]Water Demand'!#REF!</definedName>
    <definedName name="________LN31" localSheetId="30">#REF!</definedName>
    <definedName name="________LN31" localSheetId="25">#REF!</definedName>
    <definedName name="________LN31" localSheetId="28">#REF!</definedName>
    <definedName name="________LN31" localSheetId="29">#REF!</definedName>
    <definedName name="________LN31" localSheetId="12">#REF!</definedName>
    <definedName name="________LN31" localSheetId="43">#REF!</definedName>
    <definedName name="________LN31" localSheetId="42">#REF!</definedName>
    <definedName name="________LN31" localSheetId="27">#REF!</definedName>
    <definedName name="________LN31" localSheetId="45">#REF!</definedName>
    <definedName name="________LN31">#REF!</definedName>
    <definedName name="________LN32" localSheetId="30">#REF!</definedName>
    <definedName name="________LN32" localSheetId="25">#REF!</definedName>
    <definedName name="________LN32" localSheetId="28">#REF!</definedName>
    <definedName name="________LN32" localSheetId="29">#REF!</definedName>
    <definedName name="________LN32" localSheetId="12">#REF!</definedName>
    <definedName name="________LN32" localSheetId="43">#REF!</definedName>
    <definedName name="________LN32" localSheetId="42">#REF!</definedName>
    <definedName name="________LN32" localSheetId="27">#REF!</definedName>
    <definedName name="________LN32" localSheetId="45">#REF!</definedName>
    <definedName name="________LN32">#REF!</definedName>
    <definedName name="________LN33" localSheetId="30">#REF!</definedName>
    <definedName name="________LN33" localSheetId="25">#REF!</definedName>
    <definedName name="________LN33" localSheetId="28">#REF!</definedName>
    <definedName name="________LN33" localSheetId="29">#REF!</definedName>
    <definedName name="________LN33" localSheetId="12">#REF!</definedName>
    <definedName name="________LN33" localSheetId="43">#REF!</definedName>
    <definedName name="________LN33" localSheetId="42">#REF!</definedName>
    <definedName name="________LN33" localSheetId="27">#REF!</definedName>
    <definedName name="________LN33" localSheetId="45">#REF!</definedName>
    <definedName name="________LN33">#REF!</definedName>
    <definedName name="________LN34" localSheetId="30">#REF!</definedName>
    <definedName name="________LN34" localSheetId="25">#REF!</definedName>
    <definedName name="________LN34" localSheetId="28">#REF!</definedName>
    <definedName name="________LN34" localSheetId="29">#REF!</definedName>
    <definedName name="________LN34" localSheetId="12">#REF!</definedName>
    <definedName name="________LN34" localSheetId="43">#REF!</definedName>
    <definedName name="________LN34" localSheetId="42">#REF!</definedName>
    <definedName name="________LN34" localSheetId="27">#REF!</definedName>
    <definedName name="________LN34" localSheetId="45">#REF!</definedName>
    <definedName name="________LN34">#REF!</definedName>
    <definedName name="________LN35" localSheetId="30">#REF!</definedName>
    <definedName name="________LN35" localSheetId="25">#REF!</definedName>
    <definedName name="________LN35" localSheetId="28">#REF!</definedName>
    <definedName name="________LN35" localSheetId="29">#REF!</definedName>
    <definedName name="________LN35" localSheetId="12">#REF!</definedName>
    <definedName name="________LN35" localSheetId="43">#REF!</definedName>
    <definedName name="________LN35" localSheetId="42">#REF!</definedName>
    <definedName name="________LN35" localSheetId="27">#REF!</definedName>
    <definedName name="________LN35" localSheetId="45">#REF!</definedName>
    <definedName name="________LN35">#REF!</definedName>
    <definedName name="________LN36" localSheetId="30">#REF!</definedName>
    <definedName name="________LN36" localSheetId="25">#REF!</definedName>
    <definedName name="________LN36" localSheetId="28">#REF!</definedName>
    <definedName name="________LN36" localSheetId="29">#REF!</definedName>
    <definedName name="________LN36" localSheetId="12">#REF!</definedName>
    <definedName name="________LN36" localSheetId="43">#REF!</definedName>
    <definedName name="________LN36" localSheetId="42">#REF!</definedName>
    <definedName name="________LN36" localSheetId="27">#REF!</definedName>
    <definedName name="________LN36" localSheetId="45">#REF!</definedName>
    <definedName name="________LN36">#REF!</definedName>
    <definedName name="________LN37" localSheetId="30">#REF!</definedName>
    <definedName name="________LN37" localSheetId="25">#REF!</definedName>
    <definedName name="________LN37" localSheetId="28">#REF!</definedName>
    <definedName name="________LN37" localSheetId="29">#REF!</definedName>
    <definedName name="________LN37" localSheetId="12">#REF!</definedName>
    <definedName name="________LN37" localSheetId="43">#REF!</definedName>
    <definedName name="________LN37" localSheetId="42">#REF!</definedName>
    <definedName name="________LN37" localSheetId="27">#REF!</definedName>
    <definedName name="________LN37" localSheetId="45">#REF!</definedName>
    <definedName name="________LN37">#REF!</definedName>
    <definedName name="________LN38" localSheetId="30">#REF!</definedName>
    <definedName name="________LN38" localSheetId="25">#REF!</definedName>
    <definedName name="________LN38" localSheetId="28">#REF!</definedName>
    <definedName name="________LN38" localSheetId="29">#REF!</definedName>
    <definedName name="________LN38" localSheetId="12">#REF!</definedName>
    <definedName name="________LN38" localSheetId="43">#REF!</definedName>
    <definedName name="________LN38" localSheetId="42">#REF!</definedName>
    <definedName name="________LN38" localSheetId="27">#REF!</definedName>
    <definedName name="________LN38" localSheetId="45">#REF!</definedName>
    <definedName name="________LN38">#REF!</definedName>
    <definedName name="________LN39" localSheetId="30">#REF!</definedName>
    <definedName name="________LN39" localSheetId="25">#REF!</definedName>
    <definedName name="________LN39" localSheetId="28">#REF!</definedName>
    <definedName name="________LN39" localSheetId="29">#REF!</definedName>
    <definedName name="________LN39" localSheetId="12">#REF!</definedName>
    <definedName name="________LN39" localSheetId="43">#REF!</definedName>
    <definedName name="________LN39" localSheetId="42">#REF!</definedName>
    <definedName name="________LN39" localSheetId="27">#REF!</definedName>
    <definedName name="________LN39" localSheetId="45">#REF!</definedName>
    <definedName name="________LN39">#REF!</definedName>
    <definedName name="________LN4" localSheetId="30">#REF!</definedName>
    <definedName name="________LN4" localSheetId="25">#REF!</definedName>
    <definedName name="________LN4" localSheetId="28">#REF!</definedName>
    <definedName name="________LN4" localSheetId="29">#REF!</definedName>
    <definedName name="________LN4" localSheetId="12">#REF!</definedName>
    <definedName name="________LN4" localSheetId="43">#REF!</definedName>
    <definedName name="________LN4" localSheetId="42">#REF!</definedName>
    <definedName name="________LN4" localSheetId="27">#REF!</definedName>
    <definedName name="________LN4" localSheetId="45">#REF!</definedName>
    <definedName name="________LN4">#REF!</definedName>
    <definedName name="________LN40" localSheetId="30">#REF!</definedName>
    <definedName name="________LN40" localSheetId="25">#REF!</definedName>
    <definedName name="________LN40" localSheetId="28">#REF!</definedName>
    <definedName name="________LN40" localSheetId="29">#REF!</definedName>
    <definedName name="________LN40" localSheetId="12">#REF!</definedName>
    <definedName name="________LN40" localSheetId="43">#REF!</definedName>
    <definedName name="________LN40" localSheetId="42">#REF!</definedName>
    <definedName name="________LN40" localSheetId="27">#REF!</definedName>
    <definedName name="________LN40" localSheetId="45">#REF!</definedName>
    <definedName name="________LN40">#REF!</definedName>
    <definedName name="________LN41" localSheetId="30">#REF!</definedName>
    <definedName name="________LN41" localSheetId="25">#REF!</definedName>
    <definedName name="________LN41" localSheetId="28">#REF!</definedName>
    <definedName name="________LN41" localSheetId="29">#REF!</definedName>
    <definedName name="________LN41" localSheetId="12">#REF!</definedName>
    <definedName name="________LN41" localSheetId="43">#REF!</definedName>
    <definedName name="________LN41" localSheetId="42">#REF!</definedName>
    <definedName name="________LN41" localSheetId="27">#REF!</definedName>
    <definedName name="________LN41" localSheetId="45">#REF!</definedName>
    <definedName name="________LN41">#REF!</definedName>
    <definedName name="________LN42" localSheetId="30">#REF!</definedName>
    <definedName name="________LN42" localSheetId="25">#REF!</definedName>
    <definedName name="________LN42" localSheetId="28">#REF!</definedName>
    <definedName name="________LN42" localSheetId="29">#REF!</definedName>
    <definedName name="________LN42" localSheetId="12">#REF!</definedName>
    <definedName name="________LN42" localSheetId="43">#REF!</definedName>
    <definedName name="________LN42" localSheetId="42">#REF!</definedName>
    <definedName name="________LN42" localSheetId="27">#REF!</definedName>
    <definedName name="________LN42" localSheetId="45">#REF!</definedName>
    <definedName name="________LN42">#REF!</definedName>
    <definedName name="________LN43" localSheetId="30">#REF!</definedName>
    <definedName name="________LN43" localSheetId="25">#REF!</definedName>
    <definedName name="________LN43" localSheetId="28">#REF!</definedName>
    <definedName name="________LN43" localSheetId="29">#REF!</definedName>
    <definedName name="________LN43" localSheetId="12">#REF!</definedName>
    <definedName name="________LN43" localSheetId="43">#REF!</definedName>
    <definedName name="________LN43" localSheetId="42">#REF!</definedName>
    <definedName name="________LN43" localSheetId="27">#REF!</definedName>
    <definedName name="________LN43" localSheetId="45">#REF!</definedName>
    <definedName name="________LN43">#REF!</definedName>
    <definedName name="________LN44" localSheetId="30">#REF!</definedName>
    <definedName name="________LN44" localSheetId="25">#REF!</definedName>
    <definedName name="________LN44" localSheetId="28">#REF!</definedName>
    <definedName name="________LN44" localSheetId="29">#REF!</definedName>
    <definedName name="________LN44" localSheetId="12">#REF!</definedName>
    <definedName name="________LN44" localSheetId="43">#REF!</definedName>
    <definedName name="________LN44" localSheetId="42">#REF!</definedName>
    <definedName name="________LN44" localSheetId="27">#REF!</definedName>
    <definedName name="________LN44" localSheetId="45">#REF!</definedName>
    <definedName name="________LN44">#REF!</definedName>
    <definedName name="________LN45" localSheetId="30">#REF!</definedName>
    <definedName name="________LN45" localSheetId="25">#REF!</definedName>
    <definedName name="________LN45" localSheetId="28">#REF!</definedName>
    <definedName name="________LN45" localSheetId="29">#REF!</definedName>
    <definedName name="________LN45" localSheetId="12">#REF!</definedName>
    <definedName name="________LN45" localSheetId="43">#REF!</definedName>
    <definedName name="________LN45" localSheetId="42">#REF!</definedName>
    <definedName name="________LN45" localSheetId="27">#REF!</definedName>
    <definedName name="________LN45" localSheetId="45">#REF!</definedName>
    <definedName name="________LN45">#REF!</definedName>
    <definedName name="________LN46" localSheetId="30">#REF!</definedName>
    <definedName name="________LN46" localSheetId="25">#REF!</definedName>
    <definedName name="________LN46" localSheetId="28">#REF!</definedName>
    <definedName name="________LN46" localSheetId="29">#REF!</definedName>
    <definedName name="________LN46" localSheetId="12">#REF!</definedName>
    <definedName name="________LN46" localSheetId="43">#REF!</definedName>
    <definedName name="________LN46" localSheetId="42">#REF!</definedName>
    <definedName name="________LN46" localSheetId="27">#REF!</definedName>
    <definedName name="________LN46" localSheetId="45">#REF!</definedName>
    <definedName name="________LN46">#REF!</definedName>
    <definedName name="________LN47" localSheetId="30">#REF!</definedName>
    <definedName name="________LN47" localSheetId="25">#REF!</definedName>
    <definedName name="________LN47" localSheetId="28">#REF!</definedName>
    <definedName name="________LN47" localSheetId="29">#REF!</definedName>
    <definedName name="________LN47" localSheetId="12">#REF!</definedName>
    <definedName name="________LN47" localSheetId="43">#REF!</definedName>
    <definedName name="________LN47" localSheetId="42">#REF!</definedName>
    <definedName name="________LN47" localSheetId="27">#REF!</definedName>
    <definedName name="________LN47" localSheetId="45">#REF!</definedName>
    <definedName name="________LN47">#REF!</definedName>
    <definedName name="________LN48" localSheetId="30">#REF!</definedName>
    <definedName name="________LN48" localSheetId="25">#REF!</definedName>
    <definedName name="________LN48" localSheetId="28">#REF!</definedName>
    <definedName name="________LN48" localSheetId="29">#REF!</definedName>
    <definedName name="________LN48" localSheetId="12">#REF!</definedName>
    <definedName name="________LN48" localSheetId="43">#REF!</definedName>
    <definedName name="________LN48" localSheetId="42">#REF!</definedName>
    <definedName name="________LN48" localSheetId="27">#REF!</definedName>
    <definedName name="________LN48" localSheetId="45">#REF!</definedName>
    <definedName name="________LN48">#REF!</definedName>
    <definedName name="________LN49" localSheetId="30">#REF!</definedName>
    <definedName name="________LN49" localSheetId="25">#REF!</definedName>
    <definedName name="________LN49" localSheetId="28">#REF!</definedName>
    <definedName name="________LN49" localSheetId="29">#REF!</definedName>
    <definedName name="________LN49" localSheetId="12">#REF!</definedName>
    <definedName name="________LN49" localSheetId="43">#REF!</definedName>
    <definedName name="________LN49" localSheetId="42">#REF!</definedName>
    <definedName name="________LN49" localSheetId="27">#REF!</definedName>
    <definedName name="________LN49" localSheetId="45">#REF!</definedName>
    <definedName name="________LN49">#REF!</definedName>
    <definedName name="________LN5" localSheetId="30">#REF!</definedName>
    <definedName name="________LN5" localSheetId="25">#REF!</definedName>
    <definedName name="________LN5" localSheetId="28">#REF!</definedName>
    <definedName name="________LN5" localSheetId="29">#REF!</definedName>
    <definedName name="________LN5" localSheetId="12">#REF!</definedName>
    <definedName name="________LN5" localSheetId="43">#REF!</definedName>
    <definedName name="________LN5" localSheetId="42">#REF!</definedName>
    <definedName name="________LN5" localSheetId="27">#REF!</definedName>
    <definedName name="________LN5" localSheetId="45">#REF!</definedName>
    <definedName name="________LN5">#REF!</definedName>
    <definedName name="________LN50" localSheetId="30">#REF!</definedName>
    <definedName name="________LN50" localSheetId="25">#REF!</definedName>
    <definedName name="________LN50" localSheetId="28">#REF!</definedName>
    <definedName name="________LN50" localSheetId="29">#REF!</definedName>
    <definedName name="________LN50" localSheetId="12">#REF!</definedName>
    <definedName name="________LN50" localSheetId="43">#REF!</definedName>
    <definedName name="________LN50" localSheetId="42">#REF!</definedName>
    <definedName name="________LN50" localSheetId="27">#REF!</definedName>
    <definedName name="________LN50" localSheetId="45">#REF!</definedName>
    <definedName name="________LN50">#REF!</definedName>
    <definedName name="________LN6" localSheetId="30">#REF!</definedName>
    <definedName name="________LN6" localSheetId="25">#REF!</definedName>
    <definedName name="________LN6" localSheetId="28">#REF!</definedName>
    <definedName name="________LN6" localSheetId="29">#REF!</definedName>
    <definedName name="________LN6" localSheetId="12">#REF!</definedName>
    <definedName name="________LN6" localSheetId="43">#REF!</definedName>
    <definedName name="________LN6" localSheetId="42">#REF!</definedName>
    <definedName name="________LN6" localSheetId="27">#REF!</definedName>
    <definedName name="________LN6" localSheetId="45">#REF!</definedName>
    <definedName name="________LN6">#REF!</definedName>
    <definedName name="________LN7" localSheetId="30">#REF!</definedName>
    <definedName name="________LN7" localSheetId="25">#REF!</definedName>
    <definedName name="________LN7" localSheetId="28">#REF!</definedName>
    <definedName name="________LN7" localSheetId="29">#REF!</definedName>
    <definedName name="________LN7" localSheetId="12">#REF!</definedName>
    <definedName name="________LN7" localSheetId="43">#REF!</definedName>
    <definedName name="________LN7" localSheetId="42">#REF!</definedName>
    <definedName name="________LN7" localSheetId="27">#REF!</definedName>
    <definedName name="________LN7" localSheetId="45">#REF!</definedName>
    <definedName name="________LN7">#REF!</definedName>
    <definedName name="________LN8" localSheetId="30">#REF!</definedName>
    <definedName name="________LN8" localSheetId="25">#REF!</definedName>
    <definedName name="________LN8" localSheetId="28">#REF!</definedName>
    <definedName name="________LN8" localSheetId="29">#REF!</definedName>
    <definedName name="________LN8" localSheetId="12">#REF!</definedName>
    <definedName name="________LN8" localSheetId="43">#REF!</definedName>
    <definedName name="________LN8" localSheetId="42">#REF!</definedName>
    <definedName name="________LN8" localSheetId="27">#REF!</definedName>
    <definedName name="________LN8" localSheetId="45">#REF!</definedName>
    <definedName name="________LN8">#REF!</definedName>
    <definedName name="________LN9" localSheetId="30">'[1]Water Demand'!#REF!</definedName>
    <definedName name="________LN9" localSheetId="25">'[1]Water Demand'!#REF!</definedName>
    <definedName name="________LN9" localSheetId="28">'[1]Water Demand'!#REF!</definedName>
    <definedName name="________LN9" localSheetId="29">'[1]Water Demand'!#REF!</definedName>
    <definedName name="________LN9" localSheetId="12">'[1]Water Demand'!#REF!</definedName>
    <definedName name="________LN9" localSheetId="43">'[1]Water Demand'!#REF!</definedName>
    <definedName name="________LN9" localSheetId="42">'[1]Water Demand'!#REF!</definedName>
    <definedName name="________LN9" localSheetId="27">'[1]Water Demand'!#REF!</definedName>
    <definedName name="________LN9" localSheetId="45">'[1]Water Demand'!#REF!</definedName>
    <definedName name="________LN9">'[1]Water Demand'!#REF!</definedName>
    <definedName name="________Re8">[5]DR!$D$33</definedName>
    <definedName name="________RSD1">'[3]Data-Table'!$D$26</definedName>
    <definedName name="________RSD2">'[3]Data-Table'!$D$27</definedName>
    <definedName name="________WN11">'[6]Pop Density'!$H$14</definedName>
    <definedName name="________WN13">'[6]Pop Density'!$H$16</definedName>
    <definedName name="________WN15">'[6]Pop Density'!$H$18</definedName>
    <definedName name="________WN16">'[6]Pop Density'!$H$19</definedName>
    <definedName name="________WN17">'[6]Pop Density'!$H$20</definedName>
    <definedName name="________WN18">'[6]Pop Density'!$H$21</definedName>
    <definedName name="________WN20">'[7]Pop Density'!$H$23</definedName>
    <definedName name="________WN21">'[7]Pop Density'!$H$24</definedName>
    <definedName name="________WN22">'[7]Pop Density'!$H$25</definedName>
    <definedName name="________WN5">'[6]Pop Density'!$H$8</definedName>
    <definedName name="________WN6">'[6]Pop Density'!$H$9</definedName>
    <definedName name="________WN7">'[6]Pop Density'!$H$10</definedName>
    <definedName name="_______agg10">[8]MatCol!$K$106</definedName>
    <definedName name="_______agg20">[8]MatCol!$K$100</definedName>
    <definedName name="_______agg40">[8]MatCol!$K$94</definedName>
    <definedName name="_______cgi26">[8]MatCol!$K$59</definedName>
    <definedName name="_______DPC124" localSheetId="30">#REF!</definedName>
    <definedName name="_______DPC124" localSheetId="25">#REF!</definedName>
    <definedName name="_______DPC124" localSheetId="28">#REF!</definedName>
    <definedName name="_______DPC124" localSheetId="29">#REF!</definedName>
    <definedName name="_______DPC124" localSheetId="12">#REF!</definedName>
    <definedName name="_______DPC124" localSheetId="43">#REF!</definedName>
    <definedName name="_______DPC124" localSheetId="42">#REF!</definedName>
    <definedName name="_______DPC124" localSheetId="27">#REF!</definedName>
    <definedName name="_______DPC124" localSheetId="45">#REF!</definedName>
    <definedName name="_______DPC124">#REF!</definedName>
    <definedName name="_______DPC136" localSheetId="30">#REF!</definedName>
    <definedName name="_______DPC136" localSheetId="25">#REF!</definedName>
    <definedName name="_______DPC136" localSheetId="28">#REF!</definedName>
    <definedName name="_______DPC136" localSheetId="29">#REF!</definedName>
    <definedName name="_______DPC136" localSheetId="12">#REF!</definedName>
    <definedName name="_______DPC136" localSheetId="43">#REF!</definedName>
    <definedName name="_______DPC136" localSheetId="42">#REF!</definedName>
    <definedName name="_______DPC136" localSheetId="27">#REF!</definedName>
    <definedName name="_______DPC136" localSheetId="45">#REF!</definedName>
    <definedName name="_______DPC136">#REF!</definedName>
    <definedName name="_______DPC148" localSheetId="30">#REF!</definedName>
    <definedName name="_______DPC148" localSheetId="25">#REF!</definedName>
    <definedName name="_______DPC148" localSheetId="28">#REF!</definedName>
    <definedName name="_______DPC148" localSheetId="29">#REF!</definedName>
    <definedName name="_______DPC148" localSheetId="12">#REF!</definedName>
    <definedName name="_______DPC148" localSheetId="43">#REF!</definedName>
    <definedName name="_______DPC148" localSheetId="42">#REF!</definedName>
    <definedName name="_______DPC148" localSheetId="27">#REF!</definedName>
    <definedName name="_______DPC148" localSheetId="45">#REF!</definedName>
    <definedName name="_______DPC148">#REF!</definedName>
    <definedName name="_______LN1" localSheetId="30">'[1]Water Demand'!#REF!</definedName>
    <definedName name="_______LN1" localSheetId="25">'[1]Water Demand'!#REF!</definedName>
    <definedName name="_______LN1" localSheetId="28">'[1]Water Demand'!#REF!</definedName>
    <definedName name="_______LN1" localSheetId="29">'[1]Water Demand'!#REF!</definedName>
    <definedName name="_______LN1" localSheetId="12">'[1]Water Demand'!#REF!</definedName>
    <definedName name="_______LN1" localSheetId="43">'[1]Water Demand'!#REF!</definedName>
    <definedName name="_______LN1" localSheetId="42">'[1]Water Demand'!#REF!</definedName>
    <definedName name="_______LN1" localSheetId="27">'[1]Water Demand'!#REF!</definedName>
    <definedName name="_______LN1" localSheetId="45">'[1]Water Demand'!#REF!</definedName>
    <definedName name="_______LN1">'[1]Water Demand'!#REF!</definedName>
    <definedName name="_______LN10" localSheetId="30">'[1]Water Demand'!#REF!</definedName>
    <definedName name="_______LN10" localSheetId="25">'[1]Water Demand'!#REF!</definedName>
    <definedName name="_______LN10" localSheetId="28">'[1]Water Demand'!#REF!</definedName>
    <definedName name="_______LN10" localSheetId="29">'[1]Water Demand'!#REF!</definedName>
    <definedName name="_______LN10" localSheetId="12">'[1]Water Demand'!#REF!</definedName>
    <definedName name="_______LN10" localSheetId="43">'[1]Water Demand'!#REF!</definedName>
    <definedName name="_______LN10" localSheetId="42">'[1]Water Demand'!#REF!</definedName>
    <definedName name="_______LN10" localSheetId="27">'[1]Water Demand'!#REF!</definedName>
    <definedName name="_______LN10" localSheetId="45">'[1]Water Demand'!#REF!</definedName>
    <definedName name="_______LN10">'[1]Water Demand'!#REF!</definedName>
    <definedName name="_______LN11" localSheetId="30">'[1]Water Demand'!#REF!</definedName>
    <definedName name="_______LN11" localSheetId="25">'[1]Water Demand'!#REF!</definedName>
    <definedName name="_______LN11" localSheetId="28">'[1]Water Demand'!#REF!</definedName>
    <definedName name="_______LN11" localSheetId="29">'[1]Water Demand'!#REF!</definedName>
    <definedName name="_______LN11" localSheetId="12">'[1]Water Demand'!#REF!</definedName>
    <definedName name="_______LN11" localSheetId="43">'[1]Water Demand'!#REF!</definedName>
    <definedName name="_______LN11" localSheetId="42">'[1]Water Demand'!#REF!</definedName>
    <definedName name="_______LN11" localSheetId="27">'[1]Water Demand'!#REF!</definedName>
    <definedName name="_______LN11" localSheetId="45">'[1]Water Demand'!#REF!</definedName>
    <definedName name="_______LN11">'[1]Water Demand'!#REF!</definedName>
    <definedName name="_______LN12" localSheetId="30">'[1]Water Demand'!#REF!</definedName>
    <definedName name="_______LN12" localSheetId="25">'[1]Water Demand'!#REF!</definedName>
    <definedName name="_______LN12" localSheetId="28">'[1]Water Demand'!#REF!</definedName>
    <definedName name="_______LN12" localSheetId="29">'[1]Water Demand'!#REF!</definedName>
    <definedName name="_______LN12" localSheetId="12">'[1]Water Demand'!#REF!</definedName>
    <definedName name="_______LN12" localSheetId="43">'[1]Water Demand'!#REF!</definedName>
    <definedName name="_______LN12" localSheetId="42">'[1]Water Demand'!#REF!</definedName>
    <definedName name="_______LN12" localSheetId="27">'[1]Water Demand'!#REF!</definedName>
    <definedName name="_______LN12" localSheetId="45">'[1]Water Demand'!#REF!</definedName>
    <definedName name="_______LN12">'[1]Water Demand'!#REF!</definedName>
    <definedName name="_______LN13" localSheetId="30">'[1]Water Demand'!#REF!</definedName>
    <definedName name="_______LN13" localSheetId="25">'[1]Water Demand'!#REF!</definedName>
    <definedName name="_______LN13" localSheetId="28">'[1]Water Demand'!#REF!</definedName>
    <definedName name="_______LN13" localSheetId="29">'[1]Water Demand'!#REF!</definedName>
    <definedName name="_______LN13" localSheetId="12">'[1]Water Demand'!#REF!</definedName>
    <definedName name="_______LN13" localSheetId="43">'[1]Water Demand'!#REF!</definedName>
    <definedName name="_______LN13" localSheetId="42">'[1]Water Demand'!#REF!</definedName>
    <definedName name="_______LN13" localSheetId="27">'[1]Water Demand'!#REF!</definedName>
    <definedName name="_______LN13" localSheetId="45">'[1]Water Demand'!#REF!</definedName>
    <definedName name="_______LN13">'[1]Water Demand'!#REF!</definedName>
    <definedName name="_______LN14" localSheetId="30">'[1]Water Demand'!#REF!</definedName>
    <definedName name="_______LN14" localSheetId="25">'[1]Water Demand'!#REF!</definedName>
    <definedName name="_______LN14" localSheetId="28">'[1]Water Demand'!#REF!</definedName>
    <definedName name="_______LN14" localSheetId="29">'[1]Water Demand'!#REF!</definedName>
    <definedName name="_______LN14" localSheetId="12">'[1]Water Demand'!#REF!</definedName>
    <definedName name="_______LN14" localSheetId="43">'[1]Water Demand'!#REF!</definedName>
    <definedName name="_______LN14" localSheetId="42">'[1]Water Demand'!#REF!</definedName>
    <definedName name="_______LN14" localSheetId="27">'[1]Water Demand'!#REF!</definedName>
    <definedName name="_______LN14" localSheetId="45">'[1]Water Demand'!#REF!</definedName>
    <definedName name="_______LN14">'[1]Water Demand'!#REF!</definedName>
    <definedName name="_______LN15" localSheetId="30">'[1]Water Demand'!#REF!</definedName>
    <definedName name="_______LN15" localSheetId="25">'[1]Water Demand'!#REF!</definedName>
    <definedName name="_______LN15" localSheetId="28">'[1]Water Demand'!#REF!</definedName>
    <definedName name="_______LN15" localSheetId="29">'[1]Water Demand'!#REF!</definedName>
    <definedName name="_______LN15" localSheetId="12">'[1]Water Demand'!#REF!</definedName>
    <definedName name="_______LN15" localSheetId="43">'[1]Water Demand'!#REF!</definedName>
    <definedName name="_______LN15" localSheetId="42">'[1]Water Demand'!#REF!</definedName>
    <definedName name="_______LN15" localSheetId="27">'[1]Water Demand'!#REF!</definedName>
    <definedName name="_______LN15" localSheetId="45">'[1]Water Demand'!#REF!</definedName>
    <definedName name="_______LN15">'[1]Water Demand'!#REF!</definedName>
    <definedName name="_______LN16" localSheetId="30">'[1]Water Demand'!#REF!</definedName>
    <definedName name="_______LN16" localSheetId="25">'[1]Water Demand'!#REF!</definedName>
    <definedName name="_______LN16" localSheetId="28">'[1]Water Demand'!#REF!</definedName>
    <definedName name="_______LN16" localSheetId="29">'[1]Water Demand'!#REF!</definedName>
    <definedName name="_______LN16" localSheetId="12">'[1]Water Demand'!#REF!</definedName>
    <definedName name="_______LN16" localSheetId="43">'[1]Water Demand'!#REF!</definedName>
    <definedName name="_______LN16" localSheetId="42">'[1]Water Demand'!#REF!</definedName>
    <definedName name="_______LN16" localSheetId="27">'[1]Water Demand'!#REF!</definedName>
    <definedName name="_______LN16" localSheetId="45">'[1]Water Demand'!#REF!</definedName>
    <definedName name="_______LN16">'[1]Water Demand'!#REF!</definedName>
    <definedName name="_______LN17" localSheetId="30">'[1]Water Demand'!#REF!</definedName>
    <definedName name="_______LN17" localSheetId="25">'[1]Water Demand'!#REF!</definedName>
    <definedName name="_______LN17" localSheetId="28">'[1]Water Demand'!#REF!</definedName>
    <definedName name="_______LN17" localSheetId="29">'[1]Water Demand'!#REF!</definedName>
    <definedName name="_______LN17" localSheetId="12">'[1]Water Demand'!#REF!</definedName>
    <definedName name="_______LN17" localSheetId="43">'[1]Water Demand'!#REF!</definedName>
    <definedName name="_______LN17" localSheetId="42">'[1]Water Demand'!#REF!</definedName>
    <definedName name="_______LN17" localSheetId="27">'[1]Water Demand'!#REF!</definedName>
    <definedName name="_______LN17" localSheetId="45">'[1]Water Demand'!#REF!</definedName>
    <definedName name="_______LN17">'[1]Water Demand'!#REF!</definedName>
    <definedName name="_______LN18" localSheetId="30">'[1]Water Demand'!#REF!</definedName>
    <definedName name="_______LN18" localSheetId="25">'[1]Water Demand'!#REF!</definedName>
    <definedName name="_______LN18" localSheetId="28">'[1]Water Demand'!#REF!</definedName>
    <definedName name="_______LN18" localSheetId="29">'[1]Water Demand'!#REF!</definedName>
    <definedName name="_______LN18" localSheetId="12">'[1]Water Demand'!#REF!</definedName>
    <definedName name="_______LN18" localSheetId="43">'[1]Water Demand'!#REF!</definedName>
    <definedName name="_______LN18" localSheetId="42">'[1]Water Demand'!#REF!</definedName>
    <definedName name="_______LN18" localSheetId="27">'[1]Water Demand'!#REF!</definedName>
    <definedName name="_______LN18" localSheetId="45">'[1]Water Demand'!#REF!</definedName>
    <definedName name="_______LN18">'[1]Water Demand'!#REF!</definedName>
    <definedName name="_______LN19" localSheetId="30">'[1]Water Demand'!#REF!</definedName>
    <definedName name="_______LN19" localSheetId="25">'[1]Water Demand'!#REF!</definedName>
    <definedName name="_______LN19" localSheetId="28">'[1]Water Demand'!#REF!</definedName>
    <definedName name="_______LN19" localSheetId="29">'[1]Water Demand'!#REF!</definedName>
    <definedName name="_______LN19" localSheetId="12">'[1]Water Demand'!#REF!</definedName>
    <definedName name="_______LN19" localSheetId="43">'[1]Water Demand'!#REF!</definedName>
    <definedName name="_______LN19" localSheetId="42">'[1]Water Demand'!#REF!</definedName>
    <definedName name="_______LN19" localSheetId="27">'[1]Water Demand'!#REF!</definedName>
    <definedName name="_______LN19" localSheetId="45">'[1]Water Demand'!#REF!</definedName>
    <definedName name="_______LN19">'[1]Water Demand'!#REF!</definedName>
    <definedName name="_______LN2" localSheetId="30">'[1]Water Demand'!#REF!</definedName>
    <definedName name="_______LN2" localSheetId="25">'[1]Water Demand'!#REF!</definedName>
    <definedName name="_______LN2" localSheetId="28">'[1]Water Demand'!#REF!</definedName>
    <definedName name="_______LN2" localSheetId="29">'[1]Water Demand'!#REF!</definedName>
    <definedName name="_______LN2" localSheetId="12">'[1]Water Demand'!#REF!</definedName>
    <definedName name="_______LN2" localSheetId="43">'[1]Water Demand'!#REF!</definedName>
    <definedName name="_______LN2" localSheetId="42">'[1]Water Demand'!#REF!</definedName>
    <definedName name="_______LN2" localSheetId="27">'[1]Water Demand'!#REF!</definedName>
    <definedName name="_______LN2" localSheetId="45">'[1]Water Demand'!#REF!</definedName>
    <definedName name="_______LN2">'[1]Water Demand'!#REF!</definedName>
    <definedName name="_______LN20" localSheetId="30">#REF!</definedName>
    <definedName name="_______LN20" localSheetId="25">#REF!</definedName>
    <definedName name="_______LN20" localSheetId="28">#REF!</definedName>
    <definedName name="_______LN20" localSheetId="29">#REF!</definedName>
    <definedName name="_______LN20" localSheetId="12">#REF!</definedName>
    <definedName name="_______LN20" localSheetId="43">#REF!</definedName>
    <definedName name="_______LN20" localSheetId="42">#REF!</definedName>
    <definedName name="_______LN20" localSheetId="27">#REF!</definedName>
    <definedName name="_______LN20" localSheetId="45">#REF!</definedName>
    <definedName name="_______LN20">#REF!</definedName>
    <definedName name="_______LN21" localSheetId="30">#REF!</definedName>
    <definedName name="_______LN21" localSheetId="25">#REF!</definedName>
    <definedName name="_______LN21" localSheetId="28">#REF!</definedName>
    <definedName name="_______LN21" localSheetId="29">#REF!</definedName>
    <definedName name="_______LN21" localSheetId="12">#REF!</definedName>
    <definedName name="_______LN21" localSheetId="43">#REF!</definedName>
    <definedName name="_______LN21" localSheetId="42">#REF!</definedName>
    <definedName name="_______LN21" localSheetId="27">#REF!</definedName>
    <definedName name="_______LN21" localSheetId="45">#REF!</definedName>
    <definedName name="_______LN21">#REF!</definedName>
    <definedName name="_______LN22" localSheetId="30">'[1]Water Demand'!#REF!</definedName>
    <definedName name="_______LN22" localSheetId="25">'[1]Water Demand'!#REF!</definedName>
    <definedName name="_______LN22" localSheetId="28">'[1]Water Demand'!#REF!</definedName>
    <definedName name="_______LN22" localSheetId="29">'[1]Water Demand'!#REF!</definedName>
    <definedName name="_______LN22" localSheetId="12">'[1]Water Demand'!#REF!</definedName>
    <definedName name="_______LN22" localSheetId="43">'[1]Water Demand'!#REF!</definedName>
    <definedName name="_______LN22" localSheetId="42">'[1]Water Demand'!#REF!</definedName>
    <definedName name="_______LN22" localSheetId="27">'[1]Water Demand'!#REF!</definedName>
    <definedName name="_______LN22" localSheetId="45">'[1]Water Demand'!#REF!</definedName>
    <definedName name="_______LN22">'[1]Water Demand'!#REF!</definedName>
    <definedName name="_______LN23" localSheetId="30">'[1]Water Demand'!#REF!</definedName>
    <definedName name="_______LN23" localSheetId="25">'[1]Water Demand'!#REF!</definedName>
    <definedName name="_______LN23" localSheetId="28">'[1]Water Demand'!#REF!</definedName>
    <definedName name="_______LN23" localSheetId="29">'[1]Water Demand'!#REF!</definedName>
    <definedName name="_______LN23" localSheetId="12">'[1]Water Demand'!#REF!</definedName>
    <definedName name="_______LN23" localSheetId="43">'[1]Water Demand'!#REF!</definedName>
    <definedName name="_______LN23" localSheetId="42">'[1]Water Demand'!#REF!</definedName>
    <definedName name="_______LN23" localSheetId="27">'[1]Water Demand'!#REF!</definedName>
    <definedName name="_______LN23" localSheetId="45">'[1]Water Demand'!#REF!</definedName>
    <definedName name="_______LN23">'[1]Water Demand'!#REF!</definedName>
    <definedName name="_______LN24" localSheetId="30">'[1]Water Demand'!#REF!</definedName>
    <definedName name="_______LN24" localSheetId="25">'[1]Water Demand'!#REF!</definedName>
    <definedName name="_______LN24" localSheetId="28">'[1]Water Demand'!#REF!</definedName>
    <definedName name="_______LN24" localSheetId="29">'[1]Water Demand'!#REF!</definedName>
    <definedName name="_______LN24" localSheetId="12">'[1]Water Demand'!#REF!</definedName>
    <definedName name="_______LN24" localSheetId="43">'[1]Water Demand'!#REF!</definedName>
    <definedName name="_______LN24" localSheetId="42">'[1]Water Demand'!#REF!</definedName>
    <definedName name="_______LN24" localSheetId="27">'[1]Water Demand'!#REF!</definedName>
    <definedName name="_______LN24" localSheetId="45">'[1]Water Demand'!#REF!</definedName>
    <definedName name="_______LN24">'[1]Water Demand'!#REF!</definedName>
    <definedName name="_______LN25" localSheetId="30">'[1]Water Demand'!#REF!</definedName>
    <definedName name="_______LN25" localSheetId="25">'[1]Water Demand'!#REF!</definedName>
    <definedName name="_______LN25" localSheetId="28">'[1]Water Demand'!#REF!</definedName>
    <definedName name="_______LN25" localSheetId="29">'[1]Water Demand'!#REF!</definedName>
    <definedName name="_______LN25" localSheetId="12">'[1]Water Demand'!#REF!</definedName>
    <definedName name="_______LN25" localSheetId="43">'[1]Water Demand'!#REF!</definedName>
    <definedName name="_______LN25" localSheetId="42">'[1]Water Demand'!#REF!</definedName>
    <definedName name="_______LN25" localSheetId="27">'[1]Water Demand'!#REF!</definedName>
    <definedName name="_______LN25" localSheetId="45">'[1]Water Demand'!#REF!</definedName>
    <definedName name="_______LN25">'[1]Water Demand'!#REF!</definedName>
    <definedName name="_______LN26" localSheetId="30">'[1]Water Demand'!#REF!</definedName>
    <definedName name="_______LN26" localSheetId="25">'[1]Water Demand'!#REF!</definedName>
    <definedName name="_______LN26" localSheetId="28">'[1]Water Demand'!#REF!</definedName>
    <definedName name="_______LN26" localSheetId="29">'[1]Water Demand'!#REF!</definedName>
    <definedName name="_______LN26" localSheetId="12">'[1]Water Demand'!#REF!</definedName>
    <definedName name="_______LN26" localSheetId="43">'[1]Water Demand'!#REF!</definedName>
    <definedName name="_______LN26" localSheetId="42">'[1]Water Demand'!#REF!</definedName>
    <definedName name="_______LN26" localSheetId="27">'[1]Water Demand'!#REF!</definedName>
    <definedName name="_______LN26" localSheetId="45">'[1]Water Demand'!#REF!</definedName>
    <definedName name="_______LN26">'[1]Water Demand'!#REF!</definedName>
    <definedName name="_______LN27" localSheetId="30">'[1]Water Demand'!#REF!</definedName>
    <definedName name="_______LN27" localSheetId="25">'[1]Water Demand'!#REF!</definedName>
    <definedName name="_______LN27" localSheetId="28">'[1]Water Demand'!#REF!</definedName>
    <definedName name="_______LN27" localSheetId="29">'[1]Water Demand'!#REF!</definedName>
    <definedName name="_______LN27" localSheetId="12">'[1]Water Demand'!#REF!</definedName>
    <definedName name="_______LN27" localSheetId="43">'[1]Water Demand'!#REF!</definedName>
    <definedName name="_______LN27" localSheetId="42">'[1]Water Demand'!#REF!</definedName>
    <definedName name="_______LN27" localSheetId="27">'[1]Water Demand'!#REF!</definedName>
    <definedName name="_______LN27" localSheetId="45">'[1]Water Demand'!#REF!</definedName>
    <definedName name="_______LN27">'[1]Water Demand'!#REF!</definedName>
    <definedName name="_______LN28" localSheetId="30">'[1]Water Demand'!#REF!</definedName>
    <definedName name="_______LN28" localSheetId="25">'[1]Water Demand'!#REF!</definedName>
    <definedName name="_______LN28" localSheetId="28">'[1]Water Demand'!#REF!</definedName>
    <definedName name="_______LN28" localSheetId="29">'[1]Water Demand'!#REF!</definedName>
    <definedName name="_______LN28" localSheetId="12">'[1]Water Demand'!#REF!</definedName>
    <definedName name="_______LN28" localSheetId="43">'[1]Water Demand'!#REF!</definedName>
    <definedName name="_______LN28" localSheetId="42">'[1]Water Demand'!#REF!</definedName>
    <definedName name="_______LN28" localSheetId="27">'[1]Water Demand'!#REF!</definedName>
    <definedName name="_______LN28" localSheetId="45">'[1]Water Demand'!#REF!</definedName>
    <definedName name="_______LN28">'[1]Water Demand'!#REF!</definedName>
    <definedName name="_______LN29" localSheetId="30">'[1]Water Demand'!#REF!</definedName>
    <definedName name="_______LN29" localSheetId="25">'[1]Water Demand'!#REF!</definedName>
    <definedName name="_______LN29" localSheetId="28">'[1]Water Demand'!#REF!</definedName>
    <definedName name="_______LN29" localSheetId="29">'[1]Water Demand'!#REF!</definedName>
    <definedName name="_______LN29" localSheetId="12">'[1]Water Demand'!#REF!</definedName>
    <definedName name="_______LN29" localSheetId="43">'[1]Water Demand'!#REF!</definedName>
    <definedName name="_______LN29" localSheetId="42">'[1]Water Demand'!#REF!</definedName>
    <definedName name="_______LN29" localSheetId="27">'[1]Water Demand'!#REF!</definedName>
    <definedName name="_______LN29" localSheetId="45">'[1]Water Demand'!#REF!</definedName>
    <definedName name="_______LN29">'[1]Water Demand'!#REF!</definedName>
    <definedName name="_______LN3" localSheetId="30">#REF!</definedName>
    <definedName name="_______LN3" localSheetId="25">#REF!</definedName>
    <definedName name="_______LN3" localSheetId="28">#REF!</definedName>
    <definedName name="_______LN3" localSheetId="29">#REF!</definedName>
    <definedName name="_______LN3" localSheetId="12">#REF!</definedName>
    <definedName name="_______LN3" localSheetId="43">#REF!</definedName>
    <definedName name="_______LN3" localSheetId="42">#REF!</definedName>
    <definedName name="_______LN3" localSheetId="27">#REF!</definedName>
    <definedName name="_______LN3" localSheetId="45">#REF!</definedName>
    <definedName name="_______LN3">#REF!</definedName>
    <definedName name="_______LN30" localSheetId="30">'[1]Water Demand'!#REF!</definedName>
    <definedName name="_______LN30" localSheetId="25">'[1]Water Demand'!#REF!</definedName>
    <definedName name="_______LN30" localSheetId="28">'[1]Water Demand'!#REF!</definedName>
    <definedName name="_______LN30" localSheetId="29">'[1]Water Demand'!#REF!</definedName>
    <definedName name="_______LN30" localSheetId="12">'[1]Water Demand'!#REF!</definedName>
    <definedName name="_______LN30" localSheetId="43">'[1]Water Demand'!#REF!</definedName>
    <definedName name="_______LN30" localSheetId="42">'[1]Water Demand'!#REF!</definedName>
    <definedName name="_______LN30" localSheetId="27">'[1]Water Demand'!#REF!</definedName>
    <definedName name="_______LN30" localSheetId="45">'[1]Water Demand'!#REF!</definedName>
    <definedName name="_______LN30">'[1]Water Demand'!#REF!</definedName>
    <definedName name="_______LN31" localSheetId="30">#REF!</definedName>
    <definedName name="_______LN31" localSheetId="25">#REF!</definedName>
    <definedName name="_______LN31" localSheetId="28">#REF!</definedName>
    <definedName name="_______LN31" localSheetId="29">#REF!</definedName>
    <definedName name="_______LN31" localSheetId="12">#REF!</definedName>
    <definedName name="_______LN31" localSheetId="43">#REF!</definedName>
    <definedName name="_______LN31" localSheetId="42">#REF!</definedName>
    <definedName name="_______LN31" localSheetId="27">#REF!</definedName>
    <definedName name="_______LN31" localSheetId="45">#REF!</definedName>
    <definedName name="_______LN31">#REF!</definedName>
    <definedName name="_______LN32" localSheetId="30">#REF!</definedName>
    <definedName name="_______LN32" localSheetId="25">#REF!</definedName>
    <definedName name="_______LN32" localSheetId="28">#REF!</definedName>
    <definedName name="_______LN32" localSheetId="29">#REF!</definedName>
    <definedName name="_______LN32" localSheetId="12">#REF!</definedName>
    <definedName name="_______LN32" localSheetId="43">#REF!</definedName>
    <definedName name="_______LN32" localSheetId="42">#REF!</definedName>
    <definedName name="_______LN32" localSheetId="27">#REF!</definedName>
    <definedName name="_______LN32" localSheetId="45">#REF!</definedName>
    <definedName name="_______LN32">#REF!</definedName>
    <definedName name="_______LN33" localSheetId="30">#REF!</definedName>
    <definedName name="_______LN33" localSheetId="25">#REF!</definedName>
    <definedName name="_______LN33" localSheetId="28">#REF!</definedName>
    <definedName name="_______LN33" localSheetId="29">#REF!</definedName>
    <definedName name="_______LN33" localSheetId="12">#REF!</definedName>
    <definedName name="_______LN33" localSheetId="43">#REF!</definedName>
    <definedName name="_______LN33" localSheetId="42">#REF!</definedName>
    <definedName name="_______LN33" localSheetId="27">#REF!</definedName>
    <definedName name="_______LN33" localSheetId="45">#REF!</definedName>
    <definedName name="_______LN33">#REF!</definedName>
    <definedName name="_______LN34" localSheetId="30">#REF!</definedName>
    <definedName name="_______LN34" localSheetId="25">#REF!</definedName>
    <definedName name="_______LN34" localSheetId="28">#REF!</definedName>
    <definedName name="_______LN34" localSheetId="29">#REF!</definedName>
    <definedName name="_______LN34" localSheetId="12">#REF!</definedName>
    <definedName name="_______LN34" localSheetId="43">#REF!</definedName>
    <definedName name="_______LN34" localSheetId="42">#REF!</definedName>
    <definedName name="_______LN34" localSheetId="27">#REF!</definedName>
    <definedName name="_______LN34" localSheetId="45">#REF!</definedName>
    <definedName name="_______LN34">#REF!</definedName>
    <definedName name="_______LN35" localSheetId="30">#REF!</definedName>
    <definedName name="_______LN35" localSheetId="25">#REF!</definedName>
    <definedName name="_______LN35" localSheetId="28">#REF!</definedName>
    <definedName name="_______LN35" localSheetId="29">#REF!</definedName>
    <definedName name="_______LN35" localSheetId="12">#REF!</definedName>
    <definedName name="_______LN35" localSheetId="43">#REF!</definedName>
    <definedName name="_______LN35" localSheetId="42">#REF!</definedName>
    <definedName name="_______LN35" localSheetId="27">#REF!</definedName>
    <definedName name="_______LN35" localSheetId="45">#REF!</definedName>
    <definedName name="_______LN35">#REF!</definedName>
    <definedName name="_______LN36" localSheetId="30">#REF!</definedName>
    <definedName name="_______LN36" localSheetId="25">#REF!</definedName>
    <definedName name="_______LN36" localSheetId="28">#REF!</definedName>
    <definedName name="_______LN36" localSheetId="29">#REF!</definedName>
    <definedName name="_______LN36" localSheetId="12">#REF!</definedName>
    <definedName name="_______LN36" localSheetId="43">#REF!</definedName>
    <definedName name="_______LN36" localSheetId="42">#REF!</definedName>
    <definedName name="_______LN36" localSheetId="27">#REF!</definedName>
    <definedName name="_______LN36" localSheetId="45">#REF!</definedName>
    <definedName name="_______LN36">#REF!</definedName>
    <definedName name="_______LN37" localSheetId="30">#REF!</definedName>
    <definedName name="_______LN37" localSheetId="25">#REF!</definedName>
    <definedName name="_______LN37" localSheetId="28">#REF!</definedName>
    <definedName name="_______LN37" localSheetId="29">#REF!</definedName>
    <definedName name="_______LN37" localSheetId="12">#REF!</definedName>
    <definedName name="_______LN37" localSheetId="43">#REF!</definedName>
    <definedName name="_______LN37" localSheetId="42">#REF!</definedName>
    <definedName name="_______LN37" localSheetId="27">#REF!</definedName>
    <definedName name="_______LN37" localSheetId="45">#REF!</definedName>
    <definedName name="_______LN37">#REF!</definedName>
    <definedName name="_______LN38" localSheetId="30">#REF!</definedName>
    <definedName name="_______LN38" localSheetId="25">#REF!</definedName>
    <definedName name="_______LN38" localSheetId="28">#REF!</definedName>
    <definedName name="_______LN38" localSheetId="29">#REF!</definedName>
    <definedName name="_______LN38" localSheetId="12">#REF!</definedName>
    <definedName name="_______LN38" localSheetId="43">#REF!</definedName>
    <definedName name="_______LN38" localSheetId="42">#REF!</definedName>
    <definedName name="_______LN38" localSheetId="27">#REF!</definedName>
    <definedName name="_______LN38" localSheetId="45">#REF!</definedName>
    <definedName name="_______LN38">#REF!</definedName>
    <definedName name="_______LN39" localSheetId="30">#REF!</definedName>
    <definedName name="_______LN39" localSheetId="25">#REF!</definedName>
    <definedName name="_______LN39" localSheetId="28">#REF!</definedName>
    <definedName name="_______LN39" localSheetId="29">#REF!</definedName>
    <definedName name="_______LN39" localSheetId="12">#REF!</definedName>
    <definedName name="_______LN39" localSheetId="43">#REF!</definedName>
    <definedName name="_______LN39" localSheetId="42">#REF!</definedName>
    <definedName name="_______LN39" localSheetId="27">#REF!</definedName>
    <definedName name="_______LN39" localSheetId="45">#REF!</definedName>
    <definedName name="_______LN39">#REF!</definedName>
    <definedName name="_______LN4" localSheetId="30">#REF!</definedName>
    <definedName name="_______LN4" localSheetId="25">#REF!</definedName>
    <definedName name="_______LN4" localSheetId="28">#REF!</definedName>
    <definedName name="_______LN4" localSheetId="29">#REF!</definedName>
    <definedName name="_______LN4" localSheetId="12">#REF!</definedName>
    <definedName name="_______LN4" localSheetId="43">#REF!</definedName>
    <definedName name="_______LN4" localSheetId="42">#REF!</definedName>
    <definedName name="_______LN4" localSheetId="27">#REF!</definedName>
    <definedName name="_______LN4" localSheetId="45">#REF!</definedName>
    <definedName name="_______LN4">#REF!</definedName>
    <definedName name="_______LN40" localSheetId="30">#REF!</definedName>
    <definedName name="_______LN40" localSheetId="25">#REF!</definedName>
    <definedName name="_______LN40" localSheetId="28">#REF!</definedName>
    <definedName name="_______LN40" localSheetId="29">#REF!</definedName>
    <definedName name="_______LN40" localSheetId="12">#REF!</definedName>
    <definedName name="_______LN40" localSheetId="43">#REF!</definedName>
    <definedName name="_______LN40" localSheetId="42">#REF!</definedName>
    <definedName name="_______LN40" localSheetId="27">#REF!</definedName>
    <definedName name="_______LN40" localSheetId="45">#REF!</definedName>
    <definedName name="_______LN40">#REF!</definedName>
    <definedName name="_______LN41" localSheetId="30">#REF!</definedName>
    <definedName name="_______LN41" localSheetId="25">#REF!</definedName>
    <definedName name="_______LN41" localSheetId="28">#REF!</definedName>
    <definedName name="_______LN41" localSheetId="29">#REF!</definedName>
    <definedName name="_______LN41" localSheetId="12">#REF!</definedName>
    <definedName name="_______LN41" localSheetId="43">#REF!</definedName>
    <definedName name="_______LN41" localSheetId="42">#REF!</definedName>
    <definedName name="_______LN41" localSheetId="27">#REF!</definedName>
    <definedName name="_______LN41" localSheetId="45">#REF!</definedName>
    <definedName name="_______LN41">#REF!</definedName>
    <definedName name="_______LN42" localSheetId="30">#REF!</definedName>
    <definedName name="_______LN42" localSheetId="25">#REF!</definedName>
    <definedName name="_______LN42" localSheetId="28">#REF!</definedName>
    <definedName name="_______LN42" localSheetId="29">#REF!</definedName>
    <definedName name="_______LN42" localSheetId="12">#REF!</definedName>
    <definedName name="_______LN42" localSheetId="43">#REF!</definedName>
    <definedName name="_______LN42" localSheetId="42">#REF!</definedName>
    <definedName name="_______LN42" localSheetId="27">#REF!</definedName>
    <definedName name="_______LN42" localSheetId="45">#REF!</definedName>
    <definedName name="_______LN42">#REF!</definedName>
    <definedName name="_______LN43" localSheetId="30">#REF!</definedName>
    <definedName name="_______LN43" localSheetId="25">#REF!</definedName>
    <definedName name="_______LN43" localSheetId="28">#REF!</definedName>
    <definedName name="_______LN43" localSheetId="29">#REF!</definedName>
    <definedName name="_______LN43" localSheetId="12">#REF!</definedName>
    <definedName name="_______LN43" localSheetId="43">#REF!</definedName>
    <definedName name="_______LN43" localSheetId="42">#REF!</definedName>
    <definedName name="_______LN43" localSheetId="27">#REF!</definedName>
    <definedName name="_______LN43" localSheetId="45">#REF!</definedName>
    <definedName name="_______LN43">#REF!</definedName>
    <definedName name="_______LN44" localSheetId="30">#REF!</definedName>
    <definedName name="_______LN44" localSheetId="25">#REF!</definedName>
    <definedName name="_______LN44" localSheetId="28">#REF!</definedName>
    <definedName name="_______LN44" localSheetId="29">#REF!</definedName>
    <definedName name="_______LN44" localSheetId="12">#REF!</definedName>
    <definedName name="_______LN44" localSheetId="43">#REF!</definedName>
    <definedName name="_______LN44" localSheetId="42">#REF!</definedName>
    <definedName name="_______LN44" localSheetId="27">#REF!</definedName>
    <definedName name="_______LN44" localSheetId="45">#REF!</definedName>
    <definedName name="_______LN44">#REF!</definedName>
    <definedName name="_______LN45" localSheetId="30">#REF!</definedName>
    <definedName name="_______LN45" localSheetId="25">#REF!</definedName>
    <definedName name="_______LN45" localSheetId="28">#REF!</definedName>
    <definedName name="_______LN45" localSheetId="29">#REF!</definedName>
    <definedName name="_______LN45" localSheetId="12">#REF!</definedName>
    <definedName name="_______LN45" localSheetId="43">#REF!</definedName>
    <definedName name="_______LN45" localSheetId="42">#REF!</definedName>
    <definedName name="_______LN45" localSheetId="27">#REF!</definedName>
    <definedName name="_______LN45" localSheetId="45">#REF!</definedName>
    <definedName name="_______LN45">#REF!</definedName>
    <definedName name="_______LN46" localSheetId="30">#REF!</definedName>
    <definedName name="_______LN46" localSheetId="25">#REF!</definedName>
    <definedName name="_______LN46" localSheetId="28">#REF!</definedName>
    <definedName name="_______LN46" localSheetId="29">#REF!</definedName>
    <definedName name="_______LN46" localSheetId="12">#REF!</definedName>
    <definedName name="_______LN46" localSheetId="43">#REF!</definedName>
    <definedName name="_______LN46" localSheetId="42">#REF!</definedName>
    <definedName name="_______LN46" localSheetId="27">#REF!</definedName>
    <definedName name="_______LN46" localSheetId="45">#REF!</definedName>
    <definedName name="_______LN46">#REF!</definedName>
    <definedName name="_______LN47" localSheetId="30">#REF!</definedName>
    <definedName name="_______LN47" localSheetId="25">#REF!</definedName>
    <definedName name="_______LN47" localSheetId="28">#REF!</definedName>
    <definedName name="_______LN47" localSheetId="29">#REF!</definedName>
    <definedName name="_______LN47" localSheetId="12">#REF!</definedName>
    <definedName name="_______LN47" localSheetId="43">#REF!</definedName>
    <definedName name="_______LN47" localSheetId="42">#REF!</definedName>
    <definedName name="_______LN47" localSheetId="27">#REF!</definedName>
    <definedName name="_______LN47" localSheetId="45">#REF!</definedName>
    <definedName name="_______LN47">#REF!</definedName>
    <definedName name="_______LN48" localSheetId="30">#REF!</definedName>
    <definedName name="_______LN48" localSheetId="25">#REF!</definedName>
    <definedName name="_______LN48" localSheetId="28">#REF!</definedName>
    <definedName name="_______LN48" localSheetId="29">#REF!</definedName>
    <definedName name="_______LN48" localSheetId="12">#REF!</definedName>
    <definedName name="_______LN48" localSheetId="43">#REF!</definedName>
    <definedName name="_______LN48" localSheetId="42">#REF!</definedName>
    <definedName name="_______LN48" localSheetId="27">#REF!</definedName>
    <definedName name="_______LN48" localSheetId="45">#REF!</definedName>
    <definedName name="_______LN48">#REF!</definedName>
    <definedName name="_______LN49" localSheetId="30">#REF!</definedName>
    <definedName name="_______LN49" localSheetId="25">#REF!</definedName>
    <definedName name="_______LN49" localSheetId="28">#REF!</definedName>
    <definedName name="_______LN49" localSheetId="29">#REF!</definedName>
    <definedName name="_______LN49" localSheetId="12">#REF!</definedName>
    <definedName name="_______LN49" localSheetId="43">#REF!</definedName>
    <definedName name="_______LN49" localSheetId="42">#REF!</definedName>
    <definedName name="_______LN49" localSheetId="27">#REF!</definedName>
    <definedName name="_______LN49" localSheetId="45">#REF!</definedName>
    <definedName name="_______LN49">#REF!</definedName>
    <definedName name="_______LN5" localSheetId="30">#REF!</definedName>
    <definedName name="_______LN5" localSheetId="25">#REF!</definedName>
    <definedName name="_______LN5" localSheetId="28">#REF!</definedName>
    <definedName name="_______LN5" localSheetId="29">#REF!</definedName>
    <definedName name="_______LN5" localSheetId="12">#REF!</definedName>
    <definedName name="_______LN5" localSheetId="43">#REF!</definedName>
    <definedName name="_______LN5" localSheetId="42">#REF!</definedName>
    <definedName name="_______LN5" localSheetId="27">#REF!</definedName>
    <definedName name="_______LN5" localSheetId="45">#REF!</definedName>
    <definedName name="_______LN5">#REF!</definedName>
    <definedName name="_______LN50" localSheetId="30">#REF!</definedName>
    <definedName name="_______LN50" localSheetId="25">#REF!</definedName>
    <definedName name="_______LN50" localSheetId="28">#REF!</definedName>
    <definedName name="_______LN50" localSheetId="29">#REF!</definedName>
    <definedName name="_______LN50" localSheetId="12">#REF!</definedName>
    <definedName name="_______LN50" localSheetId="43">#REF!</definedName>
    <definedName name="_______LN50" localSheetId="42">#REF!</definedName>
    <definedName name="_______LN50" localSheetId="27">#REF!</definedName>
    <definedName name="_______LN50" localSheetId="45">#REF!</definedName>
    <definedName name="_______LN50">#REF!</definedName>
    <definedName name="_______LN6" localSheetId="30">#REF!</definedName>
    <definedName name="_______LN6" localSheetId="25">#REF!</definedName>
    <definedName name="_______LN6" localSheetId="28">#REF!</definedName>
    <definedName name="_______LN6" localSheetId="29">#REF!</definedName>
    <definedName name="_______LN6" localSheetId="12">#REF!</definedName>
    <definedName name="_______LN6" localSheetId="43">#REF!</definedName>
    <definedName name="_______LN6" localSheetId="42">#REF!</definedName>
    <definedName name="_______LN6" localSheetId="27">#REF!</definedName>
    <definedName name="_______LN6" localSheetId="45">#REF!</definedName>
    <definedName name="_______LN6">#REF!</definedName>
    <definedName name="_______LN7" localSheetId="30">#REF!</definedName>
    <definedName name="_______LN7" localSheetId="25">#REF!</definedName>
    <definedName name="_______LN7" localSheetId="28">#REF!</definedName>
    <definedName name="_______LN7" localSheetId="29">#REF!</definedName>
    <definedName name="_______LN7" localSheetId="12">#REF!</definedName>
    <definedName name="_______LN7" localSheetId="43">#REF!</definedName>
    <definedName name="_______LN7" localSheetId="42">#REF!</definedName>
    <definedName name="_______LN7" localSheetId="27">#REF!</definedName>
    <definedName name="_______LN7" localSheetId="45">#REF!</definedName>
    <definedName name="_______LN7">#REF!</definedName>
    <definedName name="_______LN8" localSheetId="30">#REF!</definedName>
    <definedName name="_______LN8" localSheetId="25">#REF!</definedName>
    <definedName name="_______LN8" localSheetId="28">#REF!</definedName>
    <definedName name="_______LN8" localSheetId="29">#REF!</definedName>
    <definedName name="_______LN8" localSheetId="12">#REF!</definedName>
    <definedName name="_______LN8" localSheetId="43">#REF!</definedName>
    <definedName name="_______LN8" localSheetId="42">#REF!</definedName>
    <definedName name="_______LN8" localSheetId="27">#REF!</definedName>
    <definedName name="_______LN8" localSheetId="45">#REF!</definedName>
    <definedName name="_______LN8">#REF!</definedName>
    <definedName name="_______LN9" localSheetId="30">'[1]Water Demand'!#REF!</definedName>
    <definedName name="_______LN9" localSheetId="25">'[1]Water Demand'!#REF!</definedName>
    <definedName name="_______LN9" localSheetId="28">'[1]Water Demand'!#REF!</definedName>
    <definedName name="_______LN9" localSheetId="29">'[1]Water Demand'!#REF!</definedName>
    <definedName name="_______LN9" localSheetId="12">'[1]Water Demand'!#REF!</definedName>
    <definedName name="_______LN9" localSheetId="43">'[1]Water Demand'!#REF!</definedName>
    <definedName name="_______LN9" localSheetId="42">'[1]Water Demand'!#REF!</definedName>
    <definedName name="_______LN9" localSheetId="27">'[1]Water Demand'!#REF!</definedName>
    <definedName name="_______LN9" localSheetId="45">'[1]Water Demand'!#REF!</definedName>
    <definedName name="_______LN9">'[1]Water Demand'!#REF!</definedName>
    <definedName name="_______Re8">[5]DR!$D$33</definedName>
    <definedName name="_______RSD1">'[3]Data-Table'!$D$26</definedName>
    <definedName name="_______RSD2">'[2]Data-Table'!$D$27</definedName>
    <definedName name="_______WN11">'[6]Pop Density'!$H$14</definedName>
    <definedName name="_______WN13">'[6]Pop Density'!$H$16</definedName>
    <definedName name="_______WN15">'[6]Pop Density'!$H$18</definedName>
    <definedName name="_______WN16">'[6]Pop Density'!$H$19</definedName>
    <definedName name="_______WN17">'[6]Pop Density'!$H$20</definedName>
    <definedName name="_______WN18">'[6]Pop Density'!$H$21</definedName>
    <definedName name="_______WN20">'[7]Pop Density'!$H$23</definedName>
    <definedName name="_______WN21">'[7]Pop Density'!$H$24</definedName>
    <definedName name="_______WN22">'[7]Pop Density'!$H$25</definedName>
    <definedName name="_______WN3">'[7]Pop Density'!$H$6</definedName>
    <definedName name="_______WN4">'[7]Pop Density'!$H$7</definedName>
    <definedName name="_______WN5">'[6]Pop Density'!$H$8</definedName>
    <definedName name="_______WN6">'[6]Pop Density'!$H$9</definedName>
    <definedName name="_______WN7">'[6]Pop Density'!$H$10</definedName>
    <definedName name="______agg10">[8]MatCol!$K$106</definedName>
    <definedName name="______agg20">[8]MatCol!$K$100</definedName>
    <definedName name="______agg40">[8]MatCol!$K$94</definedName>
    <definedName name="______cgi26">'[9]update Rate'!$E$92</definedName>
    <definedName name="______DPC124" localSheetId="30">#REF!</definedName>
    <definedName name="______DPC124" localSheetId="25">#REF!</definedName>
    <definedName name="______DPC124" localSheetId="28">#REF!</definedName>
    <definedName name="______DPC124" localSheetId="29">#REF!</definedName>
    <definedName name="______DPC124" localSheetId="12">#REF!</definedName>
    <definedName name="______DPC124" localSheetId="43">#REF!</definedName>
    <definedName name="______DPC124" localSheetId="42">#REF!</definedName>
    <definedName name="______DPC124" localSheetId="27">#REF!</definedName>
    <definedName name="______DPC124" localSheetId="45">#REF!</definedName>
    <definedName name="______DPC124">#REF!</definedName>
    <definedName name="______DPC136" localSheetId="30">#REF!</definedName>
    <definedName name="______DPC136" localSheetId="25">#REF!</definedName>
    <definedName name="______DPC136" localSheetId="28">#REF!</definedName>
    <definedName name="______DPC136" localSheetId="29">#REF!</definedName>
    <definedName name="______DPC136" localSheetId="12">#REF!</definedName>
    <definedName name="______DPC136" localSheetId="43">#REF!</definedName>
    <definedName name="______DPC136" localSheetId="42">#REF!</definedName>
    <definedName name="______DPC136" localSheetId="27">#REF!</definedName>
    <definedName name="______DPC136" localSheetId="45">#REF!</definedName>
    <definedName name="______DPC136">#REF!</definedName>
    <definedName name="______DPC148" localSheetId="30">#REF!</definedName>
    <definedName name="______DPC148" localSheetId="25">#REF!</definedName>
    <definedName name="______DPC148" localSheetId="28">#REF!</definedName>
    <definedName name="______DPC148" localSheetId="29">#REF!</definedName>
    <definedName name="______DPC148" localSheetId="12">#REF!</definedName>
    <definedName name="______DPC148" localSheetId="43">#REF!</definedName>
    <definedName name="______DPC148" localSheetId="42">#REF!</definedName>
    <definedName name="______DPC148" localSheetId="27">#REF!</definedName>
    <definedName name="______DPC148" localSheetId="45">#REF!</definedName>
    <definedName name="______DPC148">#REF!</definedName>
    <definedName name="______LN20" localSheetId="30">#REF!</definedName>
    <definedName name="______LN20" localSheetId="25">#REF!</definedName>
    <definedName name="______LN20" localSheetId="28">#REF!</definedName>
    <definedName name="______LN20" localSheetId="29">#REF!</definedName>
    <definedName name="______LN20" localSheetId="12">#REF!</definedName>
    <definedName name="______LN20" localSheetId="43">#REF!</definedName>
    <definedName name="______LN20" localSheetId="42">#REF!</definedName>
    <definedName name="______LN20" localSheetId="27">#REF!</definedName>
    <definedName name="______LN20" localSheetId="45">#REF!</definedName>
    <definedName name="______LN20">#REF!</definedName>
    <definedName name="______LN21" localSheetId="30">#REF!</definedName>
    <definedName name="______LN21" localSheetId="25">#REF!</definedName>
    <definedName name="______LN21" localSheetId="28">#REF!</definedName>
    <definedName name="______LN21" localSheetId="29">#REF!</definedName>
    <definedName name="______LN21" localSheetId="12">#REF!</definedName>
    <definedName name="______LN21" localSheetId="43">#REF!</definedName>
    <definedName name="______LN21" localSheetId="42">#REF!</definedName>
    <definedName name="______LN21" localSheetId="27">#REF!</definedName>
    <definedName name="______LN21" localSheetId="45">#REF!</definedName>
    <definedName name="______LN21">#REF!</definedName>
    <definedName name="______LN3" localSheetId="30">#REF!</definedName>
    <definedName name="______LN3" localSheetId="25">#REF!</definedName>
    <definedName name="______LN3" localSheetId="28">#REF!</definedName>
    <definedName name="______LN3" localSheetId="29">#REF!</definedName>
    <definedName name="______LN3" localSheetId="12">#REF!</definedName>
    <definedName name="______LN3" localSheetId="43">#REF!</definedName>
    <definedName name="______LN3" localSheetId="42">#REF!</definedName>
    <definedName name="______LN3" localSheetId="27">#REF!</definedName>
    <definedName name="______LN3" localSheetId="45">#REF!</definedName>
    <definedName name="______LN3">#REF!</definedName>
    <definedName name="______LN31" localSheetId="30">#REF!</definedName>
    <definedName name="______LN31" localSheetId="25">#REF!</definedName>
    <definedName name="______LN31" localSheetId="28">#REF!</definedName>
    <definedName name="______LN31" localSheetId="29">#REF!</definedName>
    <definedName name="______LN31" localSheetId="12">#REF!</definedName>
    <definedName name="______LN31" localSheetId="43">#REF!</definedName>
    <definedName name="______LN31" localSheetId="42">#REF!</definedName>
    <definedName name="______LN31" localSheetId="27">#REF!</definedName>
    <definedName name="______LN31" localSheetId="45">#REF!</definedName>
    <definedName name="______LN31">#REF!</definedName>
    <definedName name="______LN32" localSheetId="30">#REF!</definedName>
    <definedName name="______LN32" localSheetId="25">#REF!</definedName>
    <definedName name="______LN32" localSheetId="28">#REF!</definedName>
    <definedName name="______LN32" localSheetId="29">#REF!</definedName>
    <definedName name="______LN32" localSheetId="12">#REF!</definedName>
    <definedName name="______LN32" localSheetId="43">#REF!</definedName>
    <definedName name="______LN32" localSheetId="42">#REF!</definedName>
    <definedName name="______LN32" localSheetId="27">#REF!</definedName>
    <definedName name="______LN32" localSheetId="45">#REF!</definedName>
    <definedName name="______LN32">#REF!</definedName>
    <definedName name="______LN33" localSheetId="30">#REF!</definedName>
    <definedName name="______LN33" localSheetId="25">#REF!</definedName>
    <definedName name="______LN33" localSheetId="28">#REF!</definedName>
    <definedName name="______LN33" localSheetId="29">#REF!</definedName>
    <definedName name="______LN33" localSheetId="12">#REF!</definedName>
    <definedName name="______LN33" localSheetId="43">#REF!</definedName>
    <definedName name="______LN33" localSheetId="42">#REF!</definedName>
    <definedName name="______LN33" localSheetId="27">#REF!</definedName>
    <definedName name="______LN33" localSheetId="45">#REF!</definedName>
    <definedName name="______LN33">#REF!</definedName>
    <definedName name="______LN34" localSheetId="30">#REF!</definedName>
    <definedName name="______LN34" localSheetId="25">#REF!</definedName>
    <definedName name="______LN34" localSheetId="28">#REF!</definedName>
    <definedName name="______LN34" localSheetId="29">#REF!</definedName>
    <definedName name="______LN34" localSheetId="12">#REF!</definedName>
    <definedName name="______LN34" localSheetId="43">#REF!</definedName>
    <definedName name="______LN34" localSheetId="42">#REF!</definedName>
    <definedName name="______LN34" localSheetId="27">#REF!</definedName>
    <definedName name="______LN34" localSheetId="45">#REF!</definedName>
    <definedName name="______LN34">#REF!</definedName>
    <definedName name="______LN35" localSheetId="30">#REF!</definedName>
    <definedName name="______LN35" localSheetId="25">#REF!</definedName>
    <definedName name="______LN35" localSheetId="28">#REF!</definedName>
    <definedName name="______LN35" localSheetId="29">#REF!</definedName>
    <definedName name="______LN35" localSheetId="12">#REF!</definedName>
    <definedName name="______LN35" localSheetId="43">#REF!</definedName>
    <definedName name="______LN35" localSheetId="42">#REF!</definedName>
    <definedName name="______LN35" localSheetId="27">#REF!</definedName>
    <definedName name="______LN35" localSheetId="45">#REF!</definedName>
    <definedName name="______LN35">#REF!</definedName>
    <definedName name="______LN36" localSheetId="30">#REF!</definedName>
    <definedName name="______LN36" localSheetId="25">#REF!</definedName>
    <definedName name="______LN36" localSheetId="28">#REF!</definedName>
    <definedName name="______LN36" localSheetId="29">#REF!</definedName>
    <definedName name="______LN36" localSheetId="12">#REF!</definedName>
    <definedName name="______LN36" localSheetId="43">#REF!</definedName>
    <definedName name="______LN36" localSheetId="42">#REF!</definedName>
    <definedName name="______LN36" localSheetId="27">#REF!</definedName>
    <definedName name="______LN36" localSheetId="45">#REF!</definedName>
    <definedName name="______LN36">#REF!</definedName>
    <definedName name="______LN37" localSheetId="30">#REF!</definedName>
    <definedName name="______LN37" localSheetId="25">#REF!</definedName>
    <definedName name="______LN37" localSheetId="28">#REF!</definedName>
    <definedName name="______LN37" localSheetId="29">#REF!</definedName>
    <definedName name="______LN37" localSheetId="12">#REF!</definedName>
    <definedName name="______LN37" localSheetId="43">#REF!</definedName>
    <definedName name="______LN37" localSheetId="42">#REF!</definedName>
    <definedName name="______LN37" localSheetId="27">#REF!</definedName>
    <definedName name="______LN37" localSheetId="45">#REF!</definedName>
    <definedName name="______LN37">#REF!</definedName>
    <definedName name="______LN38" localSheetId="30">#REF!</definedName>
    <definedName name="______LN38" localSheetId="25">#REF!</definedName>
    <definedName name="______LN38" localSheetId="28">#REF!</definedName>
    <definedName name="______LN38" localSheetId="29">#REF!</definedName>
    <definedName name="______LN38" localSheetId="12">#REF!</definedName>
    <definedName name="______LN38" localSheetId="43">#REF!</definedName>
    <definedName name="______LN38" localSheetId="42">#REF!</definedName>
    <definedName name="______LN38" localSheetId="27">#REF!</definedName>
    <definedName name="______LN38" localSheetId="45">#REF!</definedName>
    <definedName name="______LN38">#REF!</definedName>
    <definedName name="______LN39" localSheetId="30">#REF!</definedName>
    <definedName name="______LN39" localSheetId="25">#REF!</definedName>
    <definedName name="______LN39" localSheetId="28">#REF!</definedName>
    <definedName name="______LN39" localSheetId="29">#REF!</definedName>
    <definedName name="______LN39" localSheetId="12">#REF!</definedName>
    <definedName name="______LN39" localSheetId="43">#REF!</definedName>
    <definedName name="______LN39" localSheetId="42">#REF!</definedName>
    <definedName name="______LN39" localSheetId="27">#REF!</definedName>
    <definedName name="______LN39" localSheetId="45">#REF!</definedName>
    <definedName name="______LN39">#REF!</definedName>
    <definedName name="______LN4" localSheetId="30">#REF!</definedName>
    <definedName name="______LN4" localSheetId="25">#REF!</definedName>
    <definedName name="______LN4" localSheetId="28">#REF!</definedName>
    <definedName name="______LN4" localSheetId="29">#REF!</definedName>
    <definedName name="______LN4" localSheetId="12">#REF!</definedName>
    <definedName name="______LN4" localSheetId="43">#REF!</definedName>
    <definedName name="______LN4" localSheetId="42">#REF!</definedName>
    <definedName name="______LN4" localSheetId="27">#REF!</definedName>
    <definedName name="______LN4" localSheetId="45">#REF!</definedName>
    <definedName name="______LN4">#REF!</definedName>
    <definedName name="______LN40" localSheetId="30">#REF!</definedName>
    <definedName name="______LN40" localSheetId="25">#REF!</definedName>
    <definedName name="______LN40" localSheetId="28">#REF!</definedName>
    <definedName name="______LN40" localSheetId="29">#REF!</definedName>
    <definedName name="______LN40" localSheetId="12">#REF!</definedName>
    <definedName name="______LN40" localSheetId="43">#REF!</definedName>
    <definedName name="______LN40" localSheetId="42">#REF!</definedName>
    <definedName name="______LN40" localSheetId="27">#REF!</definedName>
    <definedName name="______LN40" localSheetId="45">#REF!</definedName>
    <definedName name="______LN40">#REF!</definedName>
    <definedName name="______LN41" localSheetId="30">#REF!</definedName>
    <definedName name="______LN41" localSheetId="25">#REF!</definedName>
    <definedName name="______LN41" localSheetId="28">#REF!</definedName>
    <definedName name="______LN41" localSheetId="29">#REF!</definedName>
    <definedName name="______LN41" localSheetId="12">#REF!</definedName>
    <definedName name="______LN41" localSheetId="43">#REF!</definedName>
    <definedName name="______LN41" localSheetId="42">#REF!</definedName>
    <definedName name="______LN41" localSheetId="27">#REF!</definedName>
    <definedName name="______LN41" localSheetId="45">#REF!</definedName>
    <definedName name="______LN41">#REF!</definedName>
    <definedName name="______LN42" localSheetId="30">#REF!</definedName>
    <definedName name="______LN42" localSheetId="25">#REF!</definedName>
    <definedName name="______LN42" localSheetId="28">#REF!</definedName>
    <definedName name="______LN42" localSheetId="29">#REF!</definedName>
    <definedName name="______LN42" localSheetId="12">#REF!</definedName>
    <definedName name="______LN42" localSheetId="43">#REF!</definedName>
    <definedName name="______LN42" localSheetId="42">#REF!</definedName>
    <definedName name="______LN42" localSheetId="27">#REF!</definedName>
    <definedName name="______LN42" localSheetId="45">#REF!</definedName>
    <definedName name="______LN42">#REF!</definedName>
    <definedName name="______LN43" localSheetId="30">#REF!</definedName>
    <definedName name="______LN43" localSheetId="25">#REF!</definedName>
    <definedName name="______LN43" localSheetId="28">#REF!</definedName>
    <definedName name="______LN43" localSheetId="29">#REF!</definedName>
    <definedName name="______LN43" localSheetId="12">#REF!</definedName>
    <definedName name="______LN43" localSheetId="43">#REF!</definedName>
    <definedName name="______LN43" localSheetId="42">#REF!</definedName>
    <definedName name="______LN43" localSheetId="27">#REF!</definedName>
    <definedName name="______LN43" localSheetId="45">#REF!</definedName>
    <definedName name="______LN43">#REF!</definedName>
    <definedName name="______LN44" localSheetId="30">#REF!</definedName>
    <definedName name="______LN44" localSheetId="25">#REF!</definedName>
    <definedName name="______LN44" localSheetId="28">#REF!</definedName>
    <definedName name="______LN44" localSheetId="29">#REF!</definedName>
    <definedName name="______LN44" localSheetId="12">#REF!</definedName>
    <definedName name="______LN44" localSheetId="43">#REF!</definedName>
    <definedName name="______LN44" localSheetId="42">#REF!</definedName>
    <definedName name="______LN44" localSheetId="27">#REF!</definedName>
    <definedName name="______LN44" localSheetId="45">#REF!</definedName>
    <definedName name="______LN44">#REF!</definedName>
    <definedName name="______LN45" localSheetId="30">#REF!</definedName>
    <definedName name="______LN45" localSheetId="25">#REF!</definedName>
    <definedName name="______LN45" localSheetId="28">#REF!</definedName>
    <definedName name="______LN45" localSheetId="29">#REF!</definedName>
    <definedName name="______LN45" localSheetId="12">#REF!</definedName>
    <definedName name="______LN45" localSheetId="43">#REF!</definedName>
    <definedName name="______LN45" localSheetId="42">#REF!</definedName>
    <definedName name="______LN45" localSheetId="27">#REF!</definedName>
    <definedName name="______LN45" localSheetId="45">#REF!</definedName>
    <definedName name="______LN45">#REF!</definedName>
    <definedName name="______LN46" localSheetId="30">#REF!</definedName>
    <definedName name="______LN46" localSheetId="25">#REF!</definedName>
    <definedName name="______LN46" localSheetId="28">#REF!</definedName>
    <definedName name="______LN46" localSheetId="29">#REF!</definedName>
    <definedName name="______LN46" localSheetId="12">#REF!</definedName>
    <definedName name="______LN46" localSheetId="43">#REF!</definedName>
    <definedName name="______LN46" localSheetId="42">#REF!</definedName>
    <definedName name="______LN46" localSheetId="27">#REF!</definedName>
    <definedName name="______LN46" localSheetId="45">#REF!</definedName>
    <definedName name="______LN46">#REF!</definedName>
    <definedName name="______LN47" localSheetId="30">#REF!</definedName>
    <definedName name="______LN47" localSheetId="25">#REF!</definedName>
    <definedName name="______LN47" localSheetId="28">#REF!</definedName>
    <definedName name="______LN47" localSheetId="29">#REF!</definedName>
    <definedName name="______LN47" localSheetId="12">#REF!</definedName>
    <definedName name="______LN47" localSheetId="43">#REF!</definedName>
    <definedName name="______LN47" localSheetId="42">#REF!</definedName>
    <definedName name="______LN47" localSheetId="27">#REF!</definedName>
    <definedName name="______LN47" localSheetId="45">#REF!</definedName>
    <definedName name="______LN47">#REF!</definedName>
    <definedName name="______LN48" localSheetId="30">#REF!</definedName>
    <definedName name="______LN48" localSheetId="25">#REF!</definedName>
    <definedName name="______LN48" localSheetId="28">#REF!</definedName>
    <definedName name="______LN48" localSheetId="29">#REF!</definedName>
    <definedName name="______LN48" localSheetId="12">#REF!</definedName>
    <definedName name="______LN48" localSheetId="43">#REF!</definedName>
    <definedName name="______LN48" localSheetId="42">#REF!</definedName>
    <definedName name="______LN48" localSheetId="27">#REF!</definedName>
    <definedName name="______LN48" localSheetId="45">#REF!</definedName>
    <definedName name="______LN48">#REF!</definedName>
    <definedName name="______LN49" localSheetId="30">#REF!</definedName>
    <definedName name="______LN49" localSheetId="25">#REF!</definedName>
    <definedName name="______LN49" localSheetId="28">#REF!</definedName>
    <definedName name="______LN49" localSheetId="29">#REF!</definedName>
    <definedName name="______LN49" localSheetId="12">#REF!</definedName>
    <definedName name="______LN49" localSheetId="43">#REF!</definedName>
    <definedName name="______LN49" localSheetId="42">#REF!</definedName>
    <definedName name="______LN49" localSheetId="27">#REF!</definedName>
    <definedName name="______LN49" localSheetId="45">#REF!</definedName>
    <definedName name="______LN49">#REF!</definedName>
    <definedName name="______LN5" localSheetId="30">#REF!</definedName>
    <definedName name="______LN5" localSheetId="25">#REF!</definedName>
    <definedName name="______LN5" localSheetId="28">#REF!</definedName>
    <definedName name="______LN5" localSheetId="29">#REF!</definedName>
    <definedName name="______LN5" localSheetId="12">#REF!</definedName>
    <definedName name="______LN5" localSheetId="43">#REF!</definedName>
    <definedName name="______LN5" localSheetId="42">#REF!</definedName>
    <definedName name="______LN5" localSheetId="27">#REF!</definedName>
    <definedName name="______LN5" localSheetId="45">#REF!</definedName>
    <definedName name="______LN5">#REF!</definedName>
    <definedName name="______LN50" localSheetId="30">#REF!</definedName>
    <definedName name="______LN50" localSheetId="25">#REF!</definedName>
    <definedName name="______LN50" localSheetId="28">#REF!</definedName>
    <definedName name="______LN50" localSheetId="29">#REF!</definedName>
    <definedName name="______LN50" localSheetId="12">#REF!</definedName>
    <definedName name="______LN50" localSheetId="43">#REF!</definedName>
    <definedName name="______LN50" localSheetId="42">#REF!</definedName>
    <definedName name="______LN50" localSheetId="27">#REF!</definedName>
    <definedName name="______LN50" localSheetId="45">#REF!</definedName>
    <definedName name="______LN50">#REF!</definedName>
    <definedName name="______LN6" localSheetId="30">#REF!</definedName>
    <definedName name="______LN6" localSheetId="25">#REF!</definedName>
    <definedName name="______LN6" localSheetId="28">#REF!</definedName>
    <definedName name="______LN6" localSheetId="29">#REF!</definedName>
    <definedName name="______LN6" localSheetId="12">#REF!</definedName>
    <definedName name="______LN6" localSheetId="43">#REF!</definedName>
    <definedName name="______LN6" localSheetId="42">#REF!</definedName>
    <definedName name="______LN6" localSheetId="27">#REF!</definedName>
    <definedName name="______LN6" localSheetId="45">#REF!</definedName>
    <definedName name="______LN6">#REF!</definedName>
    <definedName name="______LN7" localSheetId="30">#REF!</definedName>
    <definedName name="______LN7" localSheetId="25">#REF!</definedName>
    <definedName name="______LN7" localSheetId="28">#REF!</definedName>
    <definedName name="______LN7" localSheetId="29">#REF!</definedName>
    <definedName name="______LN7" localSheetId="12">#REF!</definedName>
    <definedName name="______LN7" localSheetId="43">#REF!</definedName>
    <definedName name="______LN7" localSheetId="42">#REF!</definedName>
    <definedName name="______LN7" localSheetId="27">#REF!</definedName>
    <definedName name="______LN7" localSheetId="45">#REF!</definedName>
    <definedName name="______LN7">#REF!</definedName>
    <definedName name="______LN8" localSheetId="30">#REF!</definedName>
    <definedName name="______LN8" localSheetId="25">#REF!</definedName>
    <definedName name="______LN8" localSheetId="28">#REF!</definedName>
    <definedName name="______LN8" localSheetId="29">#REF!</definedName>
    <definedName name="______LN8" localSheetId="12">#REF!</definedName>
    <definedName name="______LN8" localSheetId="43">#REF!</definedName>
    <definedName name="______LN8" localSheetId="42">#REF!</definedName>
    <definedName name="______LN8" localSheetId="27">#REF!</definedName>
    <definedName name="______LN8" localSheetId="45">#REF!</definedName>
    <definedName name="______LN8">#REF!</definedName>
    <definedName name="______Re8">[5]DR!$D$33</definedName>
    <definedName name="______RSD1">'[2]Data-Table'!$D$26</definedName>
    <definedName name="______RSD2">'[2]Data-Table'!$D$27</definedName>
    <definedName name="______WN11">'[6]Pop Density'!$H$14</definedName>
    <definedName name="______WN13">'[6]Pop Density'!$H$16</definedName>
    <definedName name="______WN15">'[6]Pop Density'!$H$18</definedName>
    <definedName name="______WN16">'[6]Pop Density'!$H$19</definedName>
    <definedName name="______WN17">'[6]Pop Density'!$H$20</definedName>
    <definedName name="______WN18">'[6]Pop Density'!$H$21</definedName>
    <definedName name="______WN20">'[7]Pop Density'!$H$23</definedName>
    <definedName name="______WN21">'[7]Pop Density'!$H$24</definedName>
    <definedName name="______WN22">'[7]Pop Density'!$H$25</definedName>
    <definedName name="______WN3">'[7]Pop Density'!$H$6</definedName>
    <definedName name="______WN4">'[7]Pop Density'!$H$7</definedName>
    <definedName name="______WN5">'[6]Pop Density'!$H$8</definedName>
    <definedName name="______WN6">'[6]Pop Density'!$H$9</definedName>
    <definedName name="______WN7">'[6]Pop Density'!$H$10</definedName>
    <definedName name="_____agg10">[8]MatCol!$K$106</definedName>
    <definedName name="_____agg20">[8]MatCol!$K$100</definedName>
    <definedName name="_____agg40">[8]MatCol!$K$94</definedName>
    <definedName name="_____cgi26">[8]MatCol!$K$59</definedName>
    <definedName name="_____DPC124" localSheetId="30">#REF!</definedName>
    <definedName name="_____DPC124" localSheetId="25">#REF!</definedName>
    <definedName name="_____DPC124" localSheetId="28">#REF!</definedName>
    <definedName name="_____DPC124" localSheetId="29">#REF!</definedName>
    <definedName name="_____DPC124" localSheetId="12">#REF!</definedName>
    <definedName name="_____DPC124" localSheetId="43">#REF!</definedName>
    <definedName name="_____DPC124" localSheetId="42">#REF!</definedName>
    <definedName name="_____DPC124" localSheetId="27">#REF!</definedName>
    <definedName name="_____DPC124" localSheetId="45">#REF!</definedName>
    <definedName name="_____DPC124">#REF!</definedName>
    <definedName name="_____DPC136" localSheetId="30">#REF!</definedName>
    <definedName name="_____DPC136" localSheetId="25">#REF!</definedName>
    <definedName name="_____DPC136" localSheetId="28">#REF!</definedName>
    <definedName name="_____DPC136" localSheetId="29">#REF!</definedName>
    <definedName name="_____DPC136" localSheetId="12">#REF!</definedName>
    <definedName name="_____DPC136" localSheetId="43">#REF!</definedName>
    <definedName name="_____DPC136" localSheetId="42">#REF!</definedName>
    <definedName name="_____DPC136" localSheetId="27">#REF!</definedName>
    <definedName name="_____DPC136" localSheetId="45">#REF!</definedName>
    <definedName name="_____DPC136">#REF!</definedName>
    <definedName name="_____DPC148" localSheetId="30">#REF!</definedName>
    <definedName name="_____DPC148" localSheetId="25">#REF!</definedName>
    <definedName name="_____DPC148" localSheetId="28">#REF!</definedName>
    <definedName name="_____DPC148" localSheetId="29">#REF!</definedName>
    <definedName name="_____DPC148" localSheetId="12">#REF!</definedName>
    <definedName name="_____DPC148" localSheetId="43">#REF!</definedName>
    <definedName name="_____DPC148" localSheetId="42">#REF!</definedName>
    <definedName name="_____DPC148" localSheetId="27">#REF!</definedName>
    <definedName name="_____DPC148" localSheetId="45">#REF!</definedName>
    <definedName name="_____DPC148">#REF!</definedName>
    <definedName name="_____LN1" localSheetId="30">'[1]Water Demand'!#REF!</definedName>
    <definedName name="_____LN1" localSheetId="25">'[1]Water Demand'!#REF!</definedName>
    <definedName name="_____LN1" localSheetId="28">'[1]Water Demand'!#REF!</definedName>
    <definedName name="_____LN1" localSheetId="29">'[1]Water Demand'!#REF!</definedName>
    <definedName name="_____LN1" localSheetId="12">'[1]Water Demand'!#REF!</definedName>
    <definedName name="_____LN1" localSheetId="43">'[1]Water Demand'!#REF!</definedName>
    <definedName name="_____LN1" localSheetId="42">'[1]Water Demand'!#REF!</definedName>
    <definedName name="_____LN1" localSheetId="27">'[1]Water Demand'!#REF!</definedName>
    <definedName name="_____LN1" localSheetId="45">'[1]Water Demand'!#REF!</definedName>
    <definedName name="_____LN1">'[1]Water Demand'!#REF!</definedName>
    <definedName name="_____LN10" localSheetId="30">'[1]Water Demand'!#REF!</definedName>
    <definedName name="_____LN10" localSheetId="25">'[1]Water Demand'!#REF!</definedName>
    <definedName name="_____LN10" localSheetId="28">'[1]Water Demand'!#REF!</definedName>
    <definedName name="_____LN10" localSheetId="29">'[1]Water Demand'!#REF!</definedName>
    <definedName name="_____LN10" localSheetId="12">'[1]Water Demand'!#REF!</definedName>
    <definedName name="_____LN10" localSheetId="43">'[1]Water Demand'!#REF!</definedName>
    <definedName name="_____LN10" localSheetId="42">'[1]Water Demand'!#REF!</definedName>
    <definedName name="_____LN10" localSheetId="27">'[1]Water Demand'!#REF!</definedName>
    <definedName name="_____LN10" localSheetId="45">'[1]Water Demand'!#REF!</definedName>
    <definedName name="_____LN10">'[1]Water Demand'!#REF!</definedName>
    <definedName name="_____LN11" localSheetId="30">'[1]Water Demand'!#REF!</definedName>
    <definedName name="_____LN11" localSheetId="25">'[1]Water Demand'!#REF!</definedName>
    <definedName name="_____LN11" localSheetId="28">'[1]Water Demand'!#REF!</definedName>
    <definedName name="_____LN11" localSheetId="29">'[1]Water Demand'!#REF!</definedName>
    <definedName name="_____LN11" localSheetId="12">'[1]Water Demand'!#REF!</definedName>
    <definedName name="_____LN11" localSheetId="43">'[1]Water Demand'!#REF!</definedName>
    <definedName name="_____LN11" localSheetId="42">'[1]Water Demand'!#REF!</definedName>
    <definedName name="_____LN11" localSheetId="27">'[1]Water Demand'!#REF!</definedName>
    <definedName name="_____LN11" localSheetId="45">'[1]Water Demand'!#REF!</definedName>
    <definedName name="_____LN11">'[1]Water Demand'!#REF!</definedName>
    <definedName name="_____LN12" localSheetId="30">'[1]Water Demand'!#REF!</definedName>
    <definedName name="_____LN12" localSheetId="25">'[1]Water Demand'!#REF!</definedName>
    <definedName name="_____LN12" localSheetId="28">'[1]Water Demand'!#REF!</definedName>
    <definedName name="_____LN12" localSheetId="29">'[1]Water Demand'!#REF!</definedName>
    <definedName name="_____LN12" localSheetId="12">'[1]Water Demand'!#REF!</definedName>
    <definedName name="_____LN12" localSheetId="43">'[1]Water Demand'!#REF!</definedName>
    <definedName name="_____LN12" localSheetId="42">'[1]Water Demand'!#REF!</definedName>
    <definedName name="_____LN12" localSheetId="27">'[1]Water Demand'!#REF!</definedName>
    <definedName name="_____LN12" localSheetId="45">'[1]Water Demand'!#REF!</definedName>
    <definedName name="_____LN12">'[1]Water Demand'!#REF!</definedName>
    <definedName name="_____LN13" localSheetId="30">'[1]Water Demand'!#REF!</definedName>
    <definedName name="_____LN13" localSheetId="25">'[1]Water Demand'!#REF!</definedName>
    <definedName name="_____LN13" localSheetId="28">'[1]Water Demand'!#REF!</definedName>
    <definedName name="_____LN13" localSheetId="29">'[1]Water Demand'!#REF!</definedName>
    <definedName name="_____LN13" localSheetId="12">'[1]Water Demand'!#REF!</definedName>
    <definedName name="_____LN13" localSheetId="43">'[1]Water Demand'!#REF!</definedName>
    <definedName name="_____LN13" localSheetId="42">'[1]Water Demand'!#REF!</definedName>
    <definedName name="_____LN13" localSheetId="27">'[1]Water Demand'!#REF!</definedName>
    <definedName name="_____LN13" localSheetId="45">'[1]Water Demand'!#REF!</definedName>
    <definedName name="_____LN13">'[1]Water Demand'!#REF!</definedName>
    <definedName name="_____LN14" localSheetId="30">'[1]Water Demand'!#REF!</definedName>
    <definedName name="_____LN14" localSheetId="25">'[1]Water Demand'!#REF!</definedName>
    <definedName name="_____LN14" localSheetId="28">'[1]Water Demand'!#REF!</definedName>
    <definedName name="_____LN14" localSheetId="29">'[1]Water Demand'!#REF!</definedName>
    <definedName name="_____LN14" localSheetId="12">'[1]Water Demand'!#REF!</definedName>
    <definedName name="_____LN14" localSheetId="43">'[1]Water Demand'!#REF!</definedName>
    <definedName name="_____LN14" localSheetId="42">'[1]Water Demand'!#REF!</definedName>
    <definedName name="_____LN14" localSheetId="27">'[1]Water Demand'!#REF!</definedName>
    <definedName name="_____LN14" localSheetId="45">'[1]Water Demand'!#REF!</definedName>
    <definedName name="_____LN14">'[1]Water Demand'!#REF!</definedName>
    <definedName name="_____LN15" localSheetId="30">'[1]Water Demand'!#REF!</definedName>
    <definedName name="_____LN15" localSheetId="25">'[1]Water Demand'!#REF!</definedName>
    <definedName name="_____LN15" localSheetId="28">'[1]Water Demand'!#REF!</definedName>
    <definedName name="_____LN15" localSheetId="29">'[1]Water Demand'!#REF!</definedName>
    <definedName name="_____LN15" localSheetId="12">'[1]Water Demand'!#REF!</definedName>
    <definedName name="_____LN15" localSheetId="43">'[1]Water Demand'!#REF!</definedName>
    <definedName name="_____LN15" localSheetId="42">'[1]Water Demand'!#REF!</definedName>
    <definedName name="_____LN15" localSheetId="27">'[1]Water Demand'!#REF!</definedName>
    <definedName name="_____LN15" localSheetId="45">'[1]Water Demand'!#REF!</definedName>
    <definedName name="_____LN15">'[1]Water Demand'!#REF!</definedName>
    <definedName name="_____LN16" localSheetId="30">'[1]Water Demand'!#REF!</definedName>
    <definedName name="_____LN16" localSheetId="25">'[1]Water Demand'!#REF!</definedName>
    <definedName name="_____LN16" localSheetId="28">'[1]Water Demand'!#REF!</definedName>
    <definedName name="_____LN16" localSheetId="29">'[1]Water Demand'!#REF!</definedName>
    <definedName name="_____LN16" localSheetId="12">'[1]Water Demand'!#REF!</definedName>
    <definedName name="_____LN16" localSheetId="43">'[1]Water Demand'!#REF!</definedName>
    <definedName name="_____LN16" localSheetId="42">'[1]Water Demand'!#REF!</definedName>
    <definedName name="_____LN16" localSheetId="27">'[1]Water Demand'!#REF!</definedName>
    <definedName name="_____LN16" localSheetId="45">'[1]Water Demand'!#REF!</definedName>
    <definedName name="_____LN16">'[1]Water Demand'!#REF!</definedName>
    <definedName name="_____LN17" localSheetId="30">'[1]Water Demand'!#REF!</definedName>
    <definedName name="_____LN17" localSheetId="25">'[1]Water Demand'!#REF!</definedName>
    <definedName name="_____LN17" localSheetId="28">'[1]Water Demand'!#REF!</definedName>
    <definedName name="_____LN17" localSheetId="29">'[1]Water Demand'!#REF!</definedName>
    <definedName name="_____LN17" localSheetId="12">'[1]Water Demand'!#REF!</definedName>
    <definedName name="_____LN17" localSheetId="43">'[1]Water Demand'!#REF!</definedName>
    <definedName name="_____LN17" localSheetId="42">'[1]Water Demand'!#REF!</definedName>
    <definedName name="_____LN17" localSheetId="27">'[1]Water Demand'!#REF!</definedName>
    <definedName name="_____LN17" localSheetId="45">'[1]Water Demand'!#REF!</definedName>
    <definedName name="_____LN17">'[1]Water Demand'!#REF!</definedName>
    <definedName name="_____LN18" localSheetId="30">'[1]Water Demand'!#REF!</definedName>
    <definedName name="_____LN18" localSheetId="25">'[1]Water Demand'!#REF!</definedName>
    <definedName name="_____LN18" localSheetId="28">'[1]Water Demand'!#REF!</definedName>
    <definedName name="_____LN18" localSheetId="29">'[1]Water Demand'!#REF!</definedName>
    <definedName name="_____LN18" localSheetId="12">'[1]Water Demand'!#REF!</definedName>
    <definedName name="_____LN18" localSheetId="43">'[1]Water Demand'!#REF!</definedName>
    <definedName name="_____LN18" localSheetId="42">'[1]Water Demand'!#REF!</definedName>
    <definedName name="_____LN18" localSheetId="27">'[1]Water Demand'!#REF!</definedName>
    <definedName name="_____LN18" localSheetId="45">'[1]Water Demand'!#REF!</definedName>
    <definedName name="_____LN18">'[1]Water Demand'!#REF!</definedName>
    <definedName name="_____LN19" localSheetId="30">'[1]Water Demand'!#REF!</definedName>
    <definedName name="_____LN19" localSheetId="25">'[1]Water Demand'!#REF!</definedName>
    <definedName name="_____LN19" localSheetId="28">'[1]Water Demand'!#REF!</definedName>
    <definedName name="_____LN19" localSheetId="29">'[1]Water Demand'!#REF!</definedName>
    <definedName name="_____LN19" localSheetId="12">'[1]Water Demand'!#REF!</definedName>
    <definedName name="_____LN19" localSheetId="43">'[1]Water Demand'!#REF!</definedName>
    <definedName name="_____LN19" localSheetId="42">'[1]Water Demand'!#REF!</definedName>
    <definedName name="_____LN19" localSheetId="27">'[1]Water Demand'!#REF!</definedName>
    <definedName name="_____LN19" localSheetId="45">'[1]Water Demand'!#REF!</definedName>
    <definedName name="_____LN19">'[1]Water Demand'!#REF!</definedName>
    <definedName name="_____LN2" localSheetId="30">'[1]Water Demand'!#REF!</definedName>
    <definedName name="_____LN2" localSheetId="25">'[1]Water Demand'!#REF!</definedName>
    <definedName name="_____LN2" localSheetId="28">'[1]Water Demand'!#REF!</definedName>
    <definedName name="_____LN2" localSheetId="29">'[1]Water Demand'!#REF!</definedName>
    <definedName name="_____LN2" localSheetId="12">'[1]Water Demand'!#REF!</definedName>
    <definedName name="_____LN2" localSheetId="43">'[1]Water Demand'!#REF!</definedName>
    <definedName name="_____LN2" localSheetId="42">'[1]Water Demand'!#REF!</definedName>
    <definedName name="_____LN2" localSheetId="27">'[1]Water Demand'!#REF!</definedName>
    <definedName name="_____LN2" localSheetId="45">'[1]Water Demand'!#REF!</definedName>
    <definedName name="_____LN2">'[1]Water Demand'!#REF!</definedName>
    <definedName name="_____LN22" localSheetId="30">'[1]Water Demand'!#REF!</definedName>
    <definedName name="_____LN22" localSheetId="25">'[1]Water Demand'!#REF!</definedName>
    <definedName name="_____LN22" localSheetId="28">'[1]Water Demand'!#REF!</definedName>
    <definedName name="_____LN22" localSheetId="29">'[1]Water Demand'!#REF!</definedName>
    <definedName name="_____LN22" localSheetId="12">'[1]Water Demand'!#REF!</definedName>
    <definedName name="_____LN22" localSheetId="43">'[1]Water Demand'!#REF!</definedName>
    <definedName name="_____LN22" localSheetId="42">'[1]Water Demand'!#REF!</definedName>
    <definedName name="_____LN22" localSheetId="27">'[1]Water Demand'!#REF!</definedName>
    <definedName name="_____LN22" localSheetId="45">'[1]Water Demand'!#REF!</definedName>
    <definedName name="_____LN22">'[1]Water Demand'!#REF!</definedName>
    <definedName name="_____LN23" localSheetId="30">'[1]Water Demand'!#REF!</definedName>
    <definedName name="_____LN23" localSheetId="25">'[1]Water Demand'!#REF!</definedName>
    <definedName name="_____LN23" localSheetId="28">'[1]Water Demand'!#REF!</definedName>
    <definedName name="_____LN23" localSheetId="29">'[1]Water Demand'!#REF!</definedName>
    <definedName name="_____LN23" localSheetId="12">'[1]Water Demand'!#REF!</definedName>
    <definedName name="_____LN23" localSheetId="43">'[1]Water Demand'!#REF!</definedName>
    <definedName name="_____LN23" localSheetId="42">'[1]Water Demand'!#REF!</definedName>
    <definedName name="_____LN23" localSheetId="27">'[1]Water Demand'!#REF!</definedName>
    <definedName name="_____LN23" localSheetId="45">'[1]Water Demand'!#REF!</definedName>
    <definedName name="_____LN23">'[1]Water Demand'!#REF!</definedName>
    <definedName name="_____LN24" localSheetId="30">'[1]Water Demand'!#REF!</definedName>
    <definedName name="_____LN24" localSheetId="25">'[1]Water Demand'!#REF!</definedName>
    <definedName name="_____LN24" localSheetId="28">'[1]Water Demand'!#REF!</definedName>
    <definedName name="_____LN24" localSheetId="29">'[1]Water Demand'!#REF!</definedName>
    <definedName name="_____LN24" localSheetId="12">'[1]Water Demand'!#REF!</definedName>
    <definedName name="_____LN24" localSheetId="43">'[1]Water Demand'!#REF!</definedName>
    <definedName name="_____LN24" localSheetId="42">'[1]Water Demand'!#REF!</definedName>
    <definedName name="_____LN24" localSheetId="27">'[1]Water Demand'!#REF!</definedName>
    <definedName name="_____LN24" localSheetId="45">'[1]Water Demand'!#REF!</definedName>
    <definedName name="_____LN24">'[1]Water Demand'!#REF!</definedName>
    <definedName name="_____LN25" localSheetId="30">'[1]Water Demand'!#REF!</definedName>
    <definedName name="_____LN25" localSheetId="25">'[1]Water Demand'!#REF!</definedName>
    <definedName name="_____LN25" localSheetId="28">'[1]Water Demand'!#REF!</definedName>
    <definedName name="_____LN25" localSheetId="29">'[1]Water Demand'!#REF!</definedName>
    <definedName name="_____LN25" localSheetId="12">'[1]Water Demand'!#REF!</definedName>
    <definedName name="_____LN25" localSheetId="43">'[1]Water Demand'!#REF!</definedName>
    <definedName name="_____LN25" localSheetId="42">'[1]Water Demand'!#REF!</definedName>
    <definedName name="_____LN25" localSheetId="27">'[1]Water Demand'!#REF!</definedName>
    <definedName name="_____LN25" localSheetId="45">'[1]Water Demand'!#REF!</definedName>
    <definedName name="_____LN25">'[1]Water Demand'!#REF!</definedName>
    <definedName name="_____LN26" localSheetId="30">'[1]Water Demand'!#REF!</definedName>
    <definedName name="_____LN26" localSheetId="25">'[1]Water Demand'!#REF!</definedName>
    <definedName name="_____LN26" localSheetId="28">'[1]Water Demand'!#REF!</definedName>
    <definedName name="_____LN26" localSheetId="29">'[1]Water Demand'!#REF!</definedName>
    <definedName name="_____LN26" localSheetId="12">'[1]Water Demand'!#REF!</definedName>
    <definedName name="_____LN26" localSheetId="43">'[1]Water Demand'!#REF!</definedName>
    <definedName name="_____LN26" localSheetId="42">'[1]Water Demand'!#REF!</definedName>
    <definedName name="_____LN26" localSheetId="27">'[1]Water Demand'!#REF!</definedName>
    <definedName name="_____LN26" localSheetId="45">'[1]Water Demand'!#REF!</definedName>
    <definedName name="_____LN26">'[1]Water Demand'!#REF!</definedName>
    <definedName name="_____LN27" localSheetId="30">'[1]Water Demand'!#REF!</definedName>
    <definedName name="_____LN27" localSheetId="25">'[1]Water Demand'!#REF!</definedName>
    <definedName name="_____LN27" localSheetId="28">'[1]Water Demand'!#REF!</definedName>
    <definedName name="_____LN27" localSheetId="29">'[1]Water Demand'!#REF!</definedName>
    <definedName name="_____LN27" localSheetId="12">'[1]Water Demand'!#REF!</definedName>
    <definedName name="_____LN27" localSheetId="43">'[1]Water Demand'!#REF!</definedName>
    <definedName name="_____LN27" localSheetId="42">'[1]Water Demand'!#REF!</definedName>
    <definedName name="_____LN27" localSheetId="27">'[1]Water Demand'!#REF!</definedName>
    <definedName name="_____LN27" localSheetId="45">'[1]Water Demand'!#REF!</definedName>
    <definedName name="_____LN27">'[1]Water Demand'!#REF!</definedName>
    <definedName name="_____LN28" localSheetId="30">'[1]Water Demand'!#REF!</definedName>
    <definedName name="_____LN28" localSheetId="25">'[1]Water Demand'!#REF!</definedName>
    <definedName name="_____LN28" localSheetId="28">'[1]Water Demand'!#REF!</definedName>
    <definedName name="_____LN28" localSheetId="29">'[1]Water Demand'!#REF!</definedName>
    <definedName name="_____LN28" localSheetId="12">'[1]Water Demand'!#REF!</definedName>
    <definedName name="_____LN28" localSheetId="43">'[1]Water Demand'!#REF!</definedName>
    <definedName name="_____LN28" localSheetId="42">'[1]Water Demand'!#REF!</definedName>
    <definedName name="_____LN28" localSheetId="27">'[1]Water Demand'!#REF!</definedName>
    <definedName name="_____LN28" localSheetId="45">'[1]Water Demand'!#REF!</definedName>
    <definedName name="_____LN28">'[1]Water Demand'!#REF!</definedName>
    <definedName name="_____LN29" localSheetId="30">'[1]Water Demand'!#REF!</definedName>
    <definedName name="_____LN29" localSheetId="25">'[1]Water Demand'!#REF!</definedName>
    <definedName name="_____LN29" localSheetId="28">'[1]Water Demand'!#REF!</definedName>
    <definedName name="_____LN29" localSheetId="29">'[1]Water Demand'!#REF!</definedName>
    <definedName name="_____LN29" localSheetId="12">'[1]Water Demand'!#REF!</definedName>
    <definedName name="_____LN29" localSheetId="43">'[1]Water Demand'!#REF!</definedName>
    <definedName name="_____LN29" localSheetId="42">'[1]Water Demand'!#REF!</definedName>
    <definedName name="_____LN29" localSheetId="27">'[1]Water Demand'!#REF!</definedName>
    <definedName name="_____LN29" localSheetId="45">'[1]Water Demand'!#REF!</definedName>
    <definedName name="_____LN29">'[1]Water Demand'!#REF!</definedName>
    <definedName name="_____LN30" localSheetId="30">'[1]Water Demand'!#REF!</definedName>
    <definedName name="_____LN30" localSheetId="25">'[1]Water Demand'!#REF!</definedName>
    <definedName name="_____LN30" localSheetId="28">'[1]Water Demand'!#REF!</definedName>
    <definedName name="_____LN30" localSheetId="29">'[1]Water Demand'!#REF!</definedName>
    <definedName name="_____LN30" localSheetId="12">'[1]Water Demand'!#REF!</definedName>
    <definedName name="_____LN30" localSheetId="43">'[1]Water Demand'!#REF!</definedName>
    <definedName name="_____LN30" localSheetId="42">'[1]Water Demand'!#REF!</definedName>
    <definedName name="_____LN30" localSheetId="27">'[1]Water Demand'!#REF!</definedName>
    <definedName name="_____LN30" localSheetId="45">'[1]Water Demand'!#REF!</definedName>
    <definedName name="_____LN30">'[1]Water Demand'!#REF!</definedName>
    <definedName name="_____LN9" localSheetId="30">'[1]Water Demand'!#REF!</definedName>
    <definedName name="_____LN9" localSheetId="25">'[1]Water Demand'!#REF!</definedName>
    <definedName name="_____LN9" localSheetId="28">'[1]Water Demand'!#REF!</definedName>
    <definedName name="_____LN9" localSheetId="29">'[1]Water Demand'!#REF!</definedName>
    <definedName name="_____LN9" localSheetId="12">'[1]Water Demand'!#REF!</definedName>
    <definedName name="_____LN9" localSheetId="43">'[1]Water Demand'!#REF!</definedName>
    <definedName name="_____LN9" localSheetId="42">'[1]Water Demand'!#REF!</definedName>
    <definedName name="_____LN9" localSheetId="27">'[1]Water Demand'!#REF!</definedName>
    <definedName name="_____LN9" localSheetId="45">'[1]Water Demand'!#REF!</definedName>
    <definedName name="_____LN9">'[1]Water Demand'!#REF!</definedName>
    <definedName name="_____MC3" localSheetId="30" hidden="1">#REF!</definedName>
    <definedName name="_____MC3" localSheetId="25" hidden="1">#REF!</definedName>
    <definedName name="_____MC3" localSheetId="28" hidden="1">#REF!</definedName>
    <definedName name="_____MC3" localSheetId="29" hidden="1">#REF!</definedName>
    <definedName name="_____MC3" localSheetId="7" hidden="1">#REF!</definedName>
    <definedName name="_____MC3" localSheetId="12" hidden="1">#REF!</definedName>
    <definedName name="_____MC3" localSheetId="43" hidden="1">#REF!</definedName>
    <definedName name="_____MC3" localSheetId="42" hidden="1">#REF!</definedName>
    <definedName name="_____MC3" localSheetId="27" hidden="1">#REF!</definedName>
    <definedName name="_____MC3" localSheetId="45" hidden="1">#REF!</definedName>
    <definedName name="_____MC3" hidden="1">#REF!</definedName>
    <definedName name="_____Re8">[5]DR!$D$33</definedName>
    <definedName name="_____RSD1">'[2]Data-Table'!$D$26</definedName>
    <definedName name="_____RSD2">'[2]Data-Table'!$D$27</definedName>
    <definedName name="_____WN13">'[10]Pop Density'!$H$16</definedName>
    <definedName name="_____WN14">'[10]Pop Density'!$H$17</definedName>
    <definedName name="_____WN18">'[7]Pop Density'!$H$21</definedName>
    <definedName name="_____WN20">'[7]Pop Density'!$H$23</definedName>
    <definedName name="_____WN21">'[7]Pop Density'!$H$24</definedName>
    <definedName name="_____WN22">'[7]Pop Density'!$H$25</definedName>
    <definedName name="_____WN3">'[10]Pop Density'!$H$6</definedName>
    <definedName name="_____WN4">'[10]Pop Density'!$H$7</definedName>
    <definedName name="_____WN8">'[10]Pop Density'!$H$11</definedName>
    <definedName name="____agg10">[8]MatCol!$K$106</definedName>
    <definedName name="____agg20">[8]MatCol!$K$100</definedName>
    <definedName name="____agg40">[8]MatCol!$K$94</definedName>
    <definedName name="____cgi26">[8]MatCol!$K$59</definedName>
    <definedName name="____DPC124" localSheetId="30">#REF!</definedName>
    <definedName name="____DPC124" localSheetId="25">#REF!</definedName>
    <definedName name="____DPC124" localSheetId="28">#REF!</definedName>
    <definedName name="____DPC124" localSheetId="29">#REF!</definedName>
    <definedName name="____DPC124" localSheetId="12">#REF!</definedName>
    <definedName name="____DPC124" localSheetId="43">#REF!</definedName>
    <definedName name="____DPC124" localSheetId="42">#REF!</definedName>
    <definedName name="____DPC124" localSheetId="27">#REF!</definedName>
    <definedName name="____DPC124" localSheetId="45">#REF!</definedName>
    <definedName name="____DPC124">#REF!</definedName>
    <definedName name="____DPC136" localSheetId="30">#REF!</definedName>
    <definedName name="____DPC136" localSheetId="25">#REF!</definedName>
    <definedName name="____DPC136" localSheetId="28">#REF!</definedName>
    <definedName name="____DPC136" localSheetId="29">#REF!</definedName>
    <definedName name="____DPC136" localSheetId="12">#REF!</definedName>
    <definedName name="____DPC136" localSheetId="43">#REF!</definedName>
    <definedName name="____DPC136" localSheetId="42">#REF!</definedName>
    <definedName name="____DPC136" localSheetId="27">#REF!</definedName>
    <definedName name="____DPC136" localSheetId="45">#REF!</definedName>
    <definedName name="____DPC136">#REF!</definedName>
    <definedName name="____DPC148" localSheetId="30">#REF!</definedName>
    <definedName name="____DPC148" localSheetId="25">#REF!</definedName>
    <definedName name="____DPC148" localSheetId="28">#REF!</definedName>
    <definedName name="____DPC148" localSheetId="29">#REF!</definedName>
    <definedName name="____DPC148" localSheetId="12">#REF!</definedName>
    <definedName name="____DPC148" localSheetId="43">#REF!</definedName>
    <definedName name="____DPC148" localSheetId="42">#REF!</definedName>
    <definedName name="____DPC148" localSheetId="27">#REF!</definedName>
    <definedName name="____DPC148" localSheetId="45">#REF!</definedName>
    <definedName name="____DPC148">#REF!</definedName>
    <definedName name="____LN1" localSheetId="30">'[1]Water Demand'!#REF!</definedName>
    <definedName name="____LN1" localSheetId="25">'[1]Water Demand'!#REF!</definedName>
    <definedName name="____LN1" localSheetId="28">'[1]Water Demand'!#REF!</definedName>
    <definedName name="____LN1" localSheetId="29">'[1]Water Demand'!#REF!</definedName>
    <definedName name="____LN1" localSheetId="12">'[1]Water Demand'!#REF!</definedName>
    <definedName name="____LN1" localSheetId="43">'[1]Water Demand'!#REF!</definedName>
    <definedName name="____LN1" localSheetId="42">'[1]Water Demand'!#REF!</definedName>
    <definedName name="____LN1" localSheetId="27">'[1]Water Demand'!#REF!</definedName>
    <definedName name="____LN1" localSheetId="45">'[1]Water Demand'!#REF!</definedName>
    <definedName name="____LN1">'[1]Water Demand'!#REF!</definedName>
    <definedName name="____LN10" localSheetId="30">'[1]Water Demand'!#REF!</definedName>
    <definedName name="____LN10" localSheetId="25">'[1]Water Demand'!#REF!</definedName>
    <definedName name="____LN10" localSheetId="28">'[1]Water Demand'!#REF!</definedName>
    <definedName name="____LN10" localSheetId="29">'[1]Water Demand'!#REF!</definedName>
    <definedName name="____LN10" localSheetId="12">'[1]Water Demand'!#REF!</definedName>
    <definedName name="____LN10" localSheetId="43">'[1]Water Demand'!#REF!</definedName>
    <definedName name="____LN10" localSheetId="42">'[1]Water Demand'!#REF!</definedName>
    <definedName name="____LN10" localSheetId="27">'[1]Water Demand'!#REF!</definedName>
    <definedName name="____LN10" localSheetId="45">'[1]Water Demand'!#REF!</definedName>
    <definedName name="____LN10">'[1]Water Demand'!#REF!</definedName>
    <definedName name="____LN11" localSheetId="30">'[1]Water Demand'!#REF!</definedName>
    <definedName name="____LN11" localSheetId="25">'[1]Water Demand'!#REF!</definedName>
    <definedName name="____LN11" localSheetId="28">'[1]Water Demand'!#REF!</definedName>
    <definedName name="____LN11" localSheetId="29">'[1]Water Demand'!#REF!</definedName>
    <definedName name="____LN11" localSheetId="12">'[1]Water Demand'!#REF!</definedName>
    <definedName name="____LN11" localSheetId="43">'[1]Water Demand'!#REF!</definedName>
    <definedName name="____LN11" localSheetId="42">'[1]Water Demand'!#REF!</definedName>
    <definedName name="____LN11" localSheetId="27">'[1]Water Demand'!#REF!</definedName>
    <definedName name="____LN11" localSheetId="45">'[1]Water Demand'!#REF!</definedName>
    <definedName name="____LN11">'[1]Water Demand'!#REF!</definedName>
    <definedName name="____LN12" localSheetId="30">'[1]Water Demand'!#REF!</definedName>
    <definedName name="____LN12" localSheetId="25">'[1]Water Demand'!#REF!</definedName>
    <definedName name="____LN12" localSheetId="28">'[1]Water Demand'!#REF!</definedName>
    <definedName name="____LN12" localSheetId="29">'[1]Water Demand'!#REF!</definedName>
    <definedName name="____LN12" localSheetId="12">'[1]Water Demand'!#REF!</definedName>
    <definedName name="____LN12" localSheetId="43">'[1]Water Demand'!#REF!</definedName>
    <definedName name="____LN12" localSheetId="42">'[1]Water Demand'!#REF!</definedName>
    <definedName name="____LN12" localSheetId="27">'[1]Water Demand'!#REF!</definedName>
    <definedName name="____LN12" localSheetId="45">'[1]Water Demand'!#REF!</definedName>
    <definedName name="____LN12">'[1]Water Demand'!#REF!</definedName>
    <definedName name="____LN13" localSheetId="30">'[1]Water Demand'!#REF!</definedName>
    <definedName name="____LN13" localSheetId="25">'[1]Water Demand'!#REF!</definedName>
    <definedName name="____LN13" localSheetId="28">'[1]Water Demand'!#REF!</definedName>
    <definedName name="____LN13" localSheetId="29">'[1]Water Demand'!#REF!</definedName>
    <definedName name="____LN13" localSheetId="12">'[1]Water Demand'!#REF!</definedName>
    <definedName name="____LN13" localSheetId="43">'[1]Water Demand'!#REF!</definedName>
    <definedName name="____LN13" localSheetId="42">'[1]Water Demand'!#REF!</definedName>
    <definedName name="____LN13" localSheetId="27">'[1]Water Demand'!#REF!</definedName>
    <definedName name="____LN13" localSheetId="45">'[1]Water Demand'!#REF!</definedName>
    <definedName name="____LN13">'[1]Water Demand'!#REF!</definedName>
    <definedName name="____LN14" localSheetId="30">'[1]Water Demand'!#REF!</definedName>
    <definedName name="____LN14" localSheetId="25">'[1]Water Demand'!#REF!</definedName>
    <definedName name="____LN14" localSheetId="28">'[1]Water Demand'!#REF!</definedName>
    <definedName name="____LN14" localSheetId="29">'[1]Water Demand'!#REF!</definedName>
    <definedName name="____LN14" localSheetId="12">'[1]Water Demand'!#REF!</definedName>
    <definedName name="____LN14" localSheetId="43">'[1]Water Demand'!#REF!</definedName>
    <definedName name="____LN14" localSheetId="42">'[1]Water Demand'!#REF!</definedName>
    <definedName name="____LN14" localSheetId="27">'[1]Water Demand'!#REF!</definedName>
    <definedName name="____LN14" localSheetId="45">'[1]Water Demand'!#REF!</definedName>
    <definedName name="____LN14">'[1]Water Demand'!#REF!</definedName>
    <definedName name="____LN15" localSheetId="30">'[1]Water Demand'!#REF!</definedName>
    <definedName name="____LN15" localSheetId="25">'[1]Water Demand'!#REF!</definedName>
    <definedName name="____LN15" localSheetId="28">'[1]Water Demand'!#REF!</definedName>
    <definedName name="____LN15" localSheetId="29">'[1]Water Demand'!#REF!</definedName>
    <definedName name="____LN15" localSheetId="12">'[1]Water Demand'!#REF!</definedName>
    <definedName name="____LN15" localSheetId="43">'[1]Water Demand'!#REF!</definedName>
    <definedName name="____LN15" localSheetId="42">'[1]Water Demand'!#REF!</definedName>
    <definedName name="____LN15" localSheetId="27">'[1]Water Demand'!#REF!</definedName>
    <definedName name="____LN15" localSheetId="45">'[1]Water Demand'!#REF!</definedName>
    <definedName name="____LN15">'[1]Water Demand'!#REF!</definedName>
    <definedName name="____LN16" localSheetId="30">'[1]Water Demand'!#REF!</definedName>
    <definedName name="____LN16" localSheetId="25">'[1]Water Demand'!#REF!</definedName>
    <definedName name="____LN16" localSheetId="28">'[1]Water Demand'!#REF!</definedName>
    <definedName name="____LN16" localSheetId="29">'[1]Water Demand'!#REF!</definedName>
    <definedName name="____LN16" localSheetId="12">'[1]Water Demand'!#REF!</definedName>
    <definedName name="____LN16" localSheetId="43">'[1]Water Demand'!#REF!</definedName>
    <definedName name="____LN16" localSheetId="42">'[1]Water Demand'!#REF!</definedName>
    <definedName name="____LN16" localSheetId="27">'[1]Water Demand'!#REF!</definedName>
    <definedName name="____LN16" localSheetId="45">'[1]Water Demand'!#REF!</definedName>
    <definedName name="____LN16">'[1]Water Demand'!#REF!</definedName>
    <definedName name="____LN17" localSheetId="30">'[1]Water Demand'!#REF!</definedName>
    <definedName name="____LN17" localSheetId="25">'[1]Water Demand'!#REF!</definedName>
    <definedName name="____LN17" localSheetId="28">'[1]Water Demand'!#REF!</definedName>
    <definedName name="____LN17" localSheetId="29">'[1]Water Demand'!#REF!</definedName>
    <definedName name="____LN17" localSheetId="12">'[1]Water Demand'!#REF!</definedName>
    <definedName name="____LN17" localSheetId="43">'[1]Water Demand'!#REF!</definedName>
    <definedName name="____LN17" localSheetId="42">'[1]Water Demand'!#REF!</definedName>
    <definedName name="____LN17" localSheetId="27">'[1]Water Demand'!#REF!</definedName>
    <definedName name="____LN17" localSheetId="45">'[1]Water Demand'!#REF!</definedName>
    <definedName name="____LN17">'[1]Water Demand'!#REF!</definedName>
    <definedName name="____LN18" localSheetId="30">'[1]Water Demand'!#REF!</definedName>
    <definedName name="____LN18" localSheetId="25">'[1]Water Demand'!#REF!</definedName>
    <definedName name="____LN18" localSheetId="28">'[1]Water Demand'!#REF!</definedName>
    <definedName name="____LN18" localSheetId="29">'[1]Water Demand'!#REF!</definedName>
    <definedName name="____LN18" localSheetId="12">'[1]Water Demand'!#REF!</definedName>
    <definedName name="____LN18" localSheetId="43">'[1]Water Demand'!#REF!</definedName>
    <definedName name="____LN18" localSheetId="42">'[1]Water Demand'!#REF!</definedName>
    <definedName name="____LN18" localSheetId="27">'[1]Water Demand'!#REF!</definedName>
    <definedName name="____LN18" localSheetId="45">'[1]Water Demand'!#REF!</definedName>
    <definedName name="____LN18">'[1]Water Demand'!#REF!</definedName>
    <definedName name="____LN19" localSheetId="30">'[1]Water Demand'!#REF!</definedName>
    <definedName name="____LN19" localSheetId="25">'[1]Water Demand'!#REF!</definedName>
    <definedName name="____LN19" localSheetId="28">'[1]Water Demand'!#REF!</definedName>
    <definedName name="____LN19" localSheetId="29">'[1]Water Demand'!#REF!</definedName>
    <definedName name="____LN19" localSheetId="12">'[1]Water Demand'!#REF!</definedName>
    <definedName name="____LN19" localSheetId="43">'[1]Water Demand'!#REF!</definedName>
    <definedName name="____LN19" localSheetId="42">'[1]Water Demand'!#REF!</definedName>
    <definedName name="____LN19" localSheetId="27">'[1]Water Demand'!#REF!</definedName>
    <definedName name="____LN19" localSheetId="45">'[1]Water Demand'!#REF!</definedName>
    <definedName name="____LN19">'[1]Water Demand'!#REF!</definedName>
    <definedName name="____LN2" localSheetId="30">'[1]Water Demand'!#REF!</definedName>
    <definedName name="____LN2" localSheetId="25">'[1]Water Demand'!#REF!</definedName>
    <definedName name="____LN2" localSheetId="28">'[1]Water Demand'!#REF!</definedName>
    <definedName name="____LN2" localSheetId="29">'[1]Water Demand'!#REF!</definedName>
    <definedName name="____LN2" localSheetId="12">'[1]Water Demand'!#REF!</definedName>
    <definedName name="____LN2" localSheetId="43">'[1]Water Demand'!#REF!</definedName>
    <definedName name="____LN2" localSheetId="42">'[1]Water Demand'!#REF!</definedName>
    <definedName name="____LN2" localSheetId="27">'[1]Water Demand'!#REF!</definedName>
    <definedName name="____LN2" localSheetId="45">'[1]Water Demand'!#REF!</definedName>
    <definedName name="____LN2">'[1]Water Demand'!#REF!</definedName>
    <definedName name="____LN20" localSheetId="30">#REF!</definedName>
    <definedName name="____LN20" localSheetId="25">#REF!</definedName>
    <definedName name="____LN20" localSheetId="28">#REF!</definedName>
    <definedName name="____LN20" localSheetId="29">#REF!</definedName>
    <definedName name="____LN20" localSheetId="12">#REF!</definedName>
    <definedName name="____LN20" localSheetId="43">#REF!</definedName>
    <definedName name="____LN20" localSheetId="42">#REF!</definedName>
    <definedName name="____LN20" localSheetId="27">#REF!</definedName>
    <definedName name="____LN20" localSheetId="45">#REF!</definedName>
    <definedName name="____LN20">#REF!</definedName>
    <definedName name="____LN21" localSheetId="30">#REF!</definedName>
    <definedName name="____LN21" localSheetId="25">#REF!</definedName>
    <definedName name="____LN21" localSheetId="28">#REF!</definedName>
    <definedName name="____LN21" localSheetId="29">#REF!</definedName>
    <definedName name="____LN21" localSheetId="12">#REF!</definedName>
    <definedName name="____LN21" localSheetId="43">#REF!</definedName>
    <definedName name="____LN21" localSheetId="42">#REF!</definedName>
    <definedName name="____LN21" localSheetId="27">#REF!</definedName>
    <definedName name="____LN21" localSheetId="45">#REF!</definedName>
    <definedName name="____LN21">#REF!</definedName>
    <definedName name="____LN22" localSheetId="30">'[1]Water Demand'!#REF!</definedName>
    <definedName name="____LN22" localSheetId="25">'[1]Water Demand'!#REF!</definedName>
    <definedName name="____LN22" localSheetId="28">'[1]Water Demand'!#REF!</definedName>
    <definedName name="____LN22" localSheetId="29">'[1]Water Demand'!#REF!</definedName>
    <definedName name="____LN22" localSheetId="12">'[1]Water Demand'!#REF!</definedName>
    <definedName name="____LN22" localSheetId="43">'[1]Water Demand'!#REF!</definedName>
    <definedName name="____LN22" localSheetId="42">'[1]Water Demand'!#REF!</definedName>
    <definedName name="____LN22" localSheetId="27">'[1]Water Demand'!#REF!</definedName>
    <definedName name="____LN22" localSheetId="45">'[1]Water Demand'!#REF!</definedName>
    <definedName name="____LN22">'[1]Water Demand'!#REF!</definedName>
    <definedName name="____LN23" localSheetId="30">'[1]Water Demand'!#REF!</definedName>
    <definedName name="____LN23" localSheetId="25">'[1]Water Demand'!#REF!</definedName>
    <definedName name="____LN23" localSheetId="28">'[1]Water Demand'!#REF!</definedName>
    <definedName name="____LN23" localSheetId="29">'[1]Water Demand'!#REF!</definedName>
    <definedName name="____LN23" localSheetId="12">'[1]Water Demand'!#REF!</definedName>
    <definedName name="____LN23" localSheetId="43">'[1]Water Demand'!#REF!</definedName>
    <definedName name="____LN23" localSheetId="42">'[1]Water Demand'!#REF!</definedName>
    <definedName name="____LN23" localSheetId="27">'[1]Water Demand'!#REF!</definedName>
    <definedName name="____LN23" localSheetId="45">'[1]Water Demand'!#REF!</definedName>
    <definedName name="____LN23">'[1]Water Demand'!#REF!</definedName>
    <definedName name="____LN24" localSheetId="30">'[1]Water Demand'!#REF!</definedName>
    <definedName name="____LN24" localSheetId="25">'[1]Water Demand'!#REF!</definedName>
    <definedName name="____LN24" localSheetId="28">'[1]Water Demand'!#REF!</definedName>
    <definedName name="____LN24" localSheetId="29">'[1]Water Demand'!#REF!</definedName>
    <definedName name="____LN24" localSheetId="12">'[1]Water Demand'!#REF!</definedName>
    <definedName name="____LN24" localSheetId="43">'[1]Water Demand'!#REF!</definedName>
    <definedName name="____LN24" localSheetId="42">'[1]Water Demand'!#REF!</definedName>
    <definedName name="____LN24" localSheetId="27">'[1]Water Demand'!#REF!</definedName>
    <definedName name="____LN24" localSheetId="45">'[1]Water Demand'!#REF!</definedName>
    <definedName name="____LN24">'[1]Water Demand'!#REF!</definedName>
    <definedName name="____LN25" localSheetId="30">'[1]Water Demand'!#REF!</definedName>
    <definedName name="____LN25" localSheetId="25">'[1]Water Demand'!#REF!</definedName>
    <definedName name="____LN25" localSheetId="28">'[1]Water Demand'!#REF!</definedName>
    <definedName name="____LN25" localSheetId="29">'[1]Water Demand'!#REF!</definedName>
    <definedName name="____LN25" localSheetId="12">'[1]Water Demand'!#REF!</definedName>
    <definedName name="____LN25" localSheetId="43">'[1]Water Demand'!#REF!</definedName>
    <definedName name="____LN25" localSheetId="42">'[1]Water Demand'!#REF!</definedName>
    <definedName name="____LN25" localSheetId="27">'[1]Water Demand'!#REF!</definedName>
    <definedName name="____LN25" localSheetId="45">'[1]Water Demand'!#REF!</definedName>
    <definedName name="____LN25">'[1]Water Demand'!#REF!</definedName>
    <definedName name="____LN26" localSheetId="30">'[1]Water Demand'!#REF!</definedName>
    <definedName name="____LN26" localSheetId="25">'[1]Water Demand'!#REF!</definedName>
    <definedName name="____LN26" localSheetId="28">'[1]Water Demand'!#REF!</definedName>
    <definedName name="____LN26" localSheetId="29">'[1]Water Demand'!#REF!</definedName>
    <definedName name="____LN26" localSheetId="12">'[1]Water Demand'!#REF!</definedName>
    <definedName name="____LN26" localSheetId="43">'[1]Water Demand'!#REF!</definedName>
    <definedName name="____LN26" localSheetId="42">'[1]Water Demand'!#REF!</definedName>
    <definedName name="____LN26" localSheetId="27">'[1]Water Demand'!#REF!</definedName>
    <definedName name="____LN26" localSheetId="45">'[1]Water Demand'!#REF!</definedName>
    <definedName name="____LN26">'[1]Water Demand'!#REF!</definedName>
    <definedName name="____LN27" localSheetId="30">'[1]Water Demand'!#REF!</definedName>
    <definedName name="____LN27" localSheetId="25">'[1]Water Demand'!#REF!</definedName>
    <definedName name="____LN27" localSheetId="28">'[1]Water Demand'!#REF!</definedName>
    <definedName name="____LN27" localSheetId="29">'[1]Water Demand'!#REF!</definedName>
    <definedName name="____LN27" localSheetId="12">'[1]Water Demand'!#REF!</definedName>
    <definedName name="____LN27" localSheetId="43">'[1]Water Demand'!#REF!</definedName>
    <definedName name="____LN27" localSheetId="42">'[1]Water Demand'!#REF!</definedName>
    <definedName name="____LN27" localSheetId="27">'[1]Water Demand'!#REF!</definedName>
    <definedName name="____LN27" localSheetId="45">'[1]Water Demand'!#REF!</definedName>
    <definedName name="____LN27">'[1]Water Demand'!#REF!</definedName>
    <definedName name="____LN28" localSheetId="30">'[1]Water Demand'!#REF!</definedName>
    <definedName name="____LN28" localSheetId="25">'[1]Water Demand'!#REF!</definedName>
    <definedName name="____LN28" localSheetId="28">'[1]Water Demand'!#REF!</definedName>
    <definedName name="____LN28" localSheetId="29">'[1]Water Demand'!#REF!</definedName>
    <definedName name="____LN28" localSheetId="12">'[1]Water Demand'!#REF!</definedName>
    <definedName name="____LN28" localSheetId="43">'[1]Water Demand'!#REF!</definedName>
    <definedName name="____LN28" localSheetId="42">'[1]Water Demand'!#REF!</definedName>
    <definedName name="____LN28" localSheetId="27">'[1]Water Demand'!#REF!</definedName>
    <definedName name="____LN28" localSheetId="45">'[1]Water Demand'!#REF!</definedName>
    <definedName name="____LN28">'[1]Water Demand'!#REF!</definedName>
    <definedName name="____LN29" localSheetId="30">'[1]Water Demand'!#REF!</definedName>
    <definedName name="____LN29" localSheetId="25">'[1]Water Demand'!#REF!</definedName>
    <definedName name="____LN29" localSheetId="28">'[1]Water Demand'!#REF!</definedName>
    <definedName name="____LN29" localSheetId="29">'[1]Water Demand'!#REF!</definedName>
    <definedName name="____LN29" localSheetId="12">'[1]Water Demand'!#REF!</definedName>
    <definedName name="____LN29" localSheetId="43">'[1]Water Demand'!#REF!</definedName>
    <definedName name="____LN29" localSheetId="42">'[1]Water Demand'!#REF!</definedName>
    <definedName name="____LN29" localSheetId="27">'[1]Water Demand'!#REF!</definedName>
    <definedName name="____LN29" localSheetId="45">'[1]Water Demand'!#REF!</definedName>
    <definedName name="____LN29">'[1]Water Demand'!#REF!</definedName>
    <definedName name="____LN3" localSheetId="30">#REF!</definedName>
    <definedName name="____LN3" localSheetId="25">#REF!</definedName>
    <definedName name="____LN3" localSheetId="28">#REF!</definedName>
    <definedName name="____LN3" localSheetId="29">#REF!</definedName>
    <definedName name="____LN3" localSheetId="12">#REF!</definedName>
    <definedName name="____LN3" localSheetId="43">#REF!</definedName>
    <definedName name="____LN3" localSheetId="42">#REF!</definedName>
    <definedName name="____LN3" localSheetId="27">#REF!</definedName>
    <definedName name="____LN3" localSheetId="45">#REF!</definedName>
    <definedName name="____LN3">#REF!</definedName>
    <definedName name="____LN30" localSheetId="30">'[1]Water Demand'!#REF!</definedName>
    <definedName name="____LN30" localSheetId="25">'[1]Water Demand'!#REF!</definedName>
    <definedName name="____LN30" localSheetId="28">'[1]Water Demand'!#REF!</definedName>
    <definedName name="____LN30" localSheetId="29">'[1]Water Demand'!#REF!</definedName>
    <definedName name="____LN30" localSheetId="12">'[1]Water Demand'!#REF!</definedName>
    <definedName name="____LN30" localSheetId="43">'[1]Water Demand'!#REF!</definedName>
    <definedName name="____LN30" localSheetId="42">'[1]Water Demand'!#REF!</definedName>
    <definedName name="____LN30" localSheetId="27">'[1]Water Demand'!#REF!</definedName>
    <definedName name="____LN30" localSheetId="45">'[1]Water Demand'!#REF!</definedName>
    <definedName name="____LN30">'[1]Water Demand'!#REF!</definedName>
    <definedName name="____LN31" localSheetId="30">#REF!</definedName>
    <definedName name="____LN31" localSheetId="25">#REF!</definedName>
    <definedName name="____LN31" localSheetId="28">#REF!</definedName>
    <definedName name="____LN31" localSheetId="29">#REF!</definedName>
    <definedName name="____LN31" localSheetId="12">#REF!</definedName>
    <definedName name="____LN31" localSheetId="43">#REF!</definedName>
    <definedName name="____LN31" localSheetId="42">#REF!</definedName>
    <definedName name="____LN31" localSheetId="27">#REF!</definedName>
    <definedName name="____LN31" localSheetId="45">#REF!</definedName>
    <definedName name="____LN31">#REF!</definedName>
    <definedName name="____LN32" localSheetId="30">#REF!</definedName>
    <definedName name="____LN32" localSheetId="25">#REF!</definedName>
    <definedName name="____LN32" localSheetId="28">#REF!</definedName>
    <definedName name="____LN32" localSheetId="29">#REF!</definedName>
    <definedName name="____LN32" localSheetId="12">#REF!</definedName>
    <definedName name="____LN32" localSheetId="43">#REF!</definedName>
    <definedName name="____LN32" localSheetId="42">#REF!</definedName>
    <definedName name="____LN32" localSheetId="27">#REF!</definedName>
    <definedName name="____LN32" localSheetId="45">#REF!</definedName>
    <definedName name="____LN32">#REF!</definedName>
    <definedName name="____LN33" localSheetId="30">#REF!</definedName>
    <definedName name="____LN33" localSheetId="25">#REF!</definedName>
    <definedName name="____LN33" localSheetId="28">#REF!</definedName>
    <definedName name="____LN33" localSheetId="29">#REF!</definedName>
    <definedName name="____LN33" localSheetId="12">#REF!</definedName>
    <definedName name="____LN33" localSheetId="43">#REF!</definedName>
    <definedName name="____LN33" localSheetId="42">#REF!</definedName>
    <definedName name="____LN33" localSheetId="27">#REF!</definedName>
    <definedName name="____LN33" localSheetId="45">#REF!</definedName>
    <definedName name="____LN33">#REF!</definedName>
    <definedName name="____LN34" localSheetId="30">#REF!</definedName>
    <definedName name="____LN34" localSheetId="25">#REF!</definedName>
    <definedName name="____LN34" localSheetId="28">#REF!</definedName>
    <definedName name="____LN34" localSheetId="29">#REF!</definedName>
    <definedName name="____LN34" localSheetId="12">#REF!</definedName>
    <definedName name="____LN34" localSheetId="43">#REF!</definedName>
    <definedName name="____LN34" localSheetId="42">#REF!</definedName>
    <definedName name="____LN34" localSheetId="27">#REF!</definedName>
    <definedName name="____LN34" localSheetId="45">#REF!</definedName>
    <definedName name="____LN34">#REF!</definedName>
    <definedName name="____LN35" localSheetId="30">#REF!</definedName>
    <definedName name="____LN35" localSheetId="25">#REF!</definedName>
    <definedName name="____LN35" localSheetId="28">#REF!</definedName>
    <definedName name="____LN35" localSheetId="29">#REF!</definedName>
    <definedName name="____LN35" localSheetId="12">#REF!</definedName>
    <definedName name="____LN35" localSheetId="43">#REF!</definedName>
    <definedName name="____LN35" localSheetId="42">#REF!</definedName>
    <definedName name="____LN35" localSheetId="27">#REF!</definedName>
    <definedName name="____LN35" localSheetId="45">#REF!</definedName>
    <definedName name="____LN35">#REF!</definedName>
    <definedName name="____LN36" localSheetId="30">#REF!</definedName>
    <definedName name="____LN36" localSheetId="25">#REF!</definedName>
    <definedName name="____LN36" localSheetId="28">#REF!</definedName>
    <definedName name="____LN36" localSheetId="29">#REF!</definedName>
    <definedName name="____LN36" localSheetId="12">#REF!</definedName>
    <definedName name="____LN36" localSheetId="43">#REF!</definedName>
    <definedName name="____LN36" localSheetId="42">#REF!</definedName>
    <definedName name="____LN36" localSheetId="27">#REF!</definedName>
    <definedName name="____LN36" localSheetId="45">#REF!</definedName>
    <definedName name="____LN36">#REF!</definedName>
    <definedName name="____LN37" localSheetId="30">#REF!</definedName>
    <definedName name="____LN37" localSheetId="25">#REF!</definedName>
    <definedName name="____LN37" localSheetId="28">#REF!</definedName>
    <definedName name="____LN37" localSheetId="29">#REF!</definedName>
    <definedName name="____LN37" localSheetId="12">#REF!</definedName>
    <definedName name="____LN37" localSheetId="43">#REF!</definedName>
    <definedName name="____LN37" localSheetId="42">#REF!</definedName>
    <definedName name="____LN37" localSheetId="27">#REF!</definedName>
    <definedName name="____LN37" localSheetId="45">#REF!</definedName>
    <definedName name="____LN37">#REF!</definedName>
    <definedName name="____LN38" localSheetId="30">#REF!</definedName>
    <definedName name="____LN38" localSheetId="25">#REF!</definedName>
    <definedName name="____LN38" localSheetId="28">#REF!</definedName>
    <definedName name="____LN38" localSheetId="29">#REF!</definedName>
    <definedName name="____LN38" localSheetId="12">#REF!</definedName>
    <definedName name="____LN38" localSheetId="43">#REF!</definedName>
    <definedName name="____LN38" localSheetId="42">#REF!</definedName>
    <definedName name="____LN38" localSheetId="27">#REF!</definedName>
    <definedName name="____LN38" localSheetId="45">#REF!</definedName>
    <definedName name="____LN38">#REF!</definedName>
    <definedName name="____LN39" localSheetId="30">#REF!</definedName>
    <definedName name="____LN39" localSheetId="25">#REF!</definedName>
    <definedName name="____LN39" localSheetId="28">#REF!</definedName>
    <definedName name="____LN39" localSheetId="29">#REF!</definedName>
    <definedName name="____LN39" localSheetId="12">#REF!</definedName>
    <definedName name="____LN39" localSheetId="43">#REF!</definedName>
    <definedName name="____LN39" localSheetId="42">#REF!</definedName>
    <definedName name="____LN39" localSheetId="27">#REF!</definedName>
    <definedName name="____LN39" localSheetId="45">#REF!</definedName>
    <definedName name="____LN39">#REF!</definedName>
    <definedName name="____LN4" localSheetId="30">#REF!</definedName>
    <definedName name="____LN4" localSheetId="25">#REF!</definedName>
    <definedName name="____LN4" localSheetId="28">#REF!</definedName>
    <definedName name="____LN4" localSheetId="29">#REF!</definedName>
    <definedName name="____LN4" localSheetId="12">#REF!</definedName>
    <definedName name="____LN4" localSheetId="43">#REF!</definedName>
    <definedName name="____LN4" localSheetId="42">#REF!</definedName>
    <definedName name="____LN4" localSheetId="27">#REF!</definedName>
    <definedName name="____LN4" localSheetId="45">#REF!</definedName>
    <definedName name="____LN4">#REF!</definedName>
    <definedName name="____LN40" localSheetId="30">#REF!</definedName>
    <definedName name="____LN40" localSheetId="25">#REF!</definedName>
    <definedName name="____LN40" localSheetId="28">#REF!</definedName>
    <definedName name="____LN40" localSheetId="29">#REF!</definedName>
    <definedName name="____LN40" localSheetId="12">#REF!</definedName>
    <definedName name="____LN40" localSheetId="43">#REF!</definedName>
    <definedName name="____LN40" localSheetId="42">#REF!</definedName>
    <definedName name="____LN40" localSheetId="27">#REF!</definedName>
    <definedName name="____LN40" localSheetId="45">#REF!</definedName>
    <definedName name="____LN40">#REF!</definedName>
    <definedName name="____LN41" localSheetId="30">#REF!</definedName>
    <definedName name="____LN41" localSheetId="25">#REF!</definedName>
    <definedName name="____LN41" localSheetId="28">#REF!</definedName>
    <definedName name="____LN41" localSheetId="29">#REF!</definedName>
    <definedName name="____LN41" localSheetId="12">#REF!</definedName>
    <definedName name="____LN41" localSheetId="43">#REF!</definedName>
    <definedName name="____LN41" localSheetId="42">#REF!</definedName>
    <definedName name="____LN41" localSheetId="27">#REF!</definedName>
    <definedName name="____LN41" localSheetId="45">#REF!</definedName>
    <definedName name="____LN41">#REF!</definedName>
    <definedName name="____LN42" localSheetId="30">#REF!</definedName>
    <definedName name="____LN42" localSheetId="25">#REF!</definedName>
    <definedName name="____LN42" localSheetId="28">#REF!</definedName>
    <definedName name="____LN42" localSheetId="29">#REF!</definedName>
    <definedName name="____LN42" localSheetId="12">#REF!</definedName>
    <definedName name="____LN42" localSheetId="43">#REF!</definedName>
    <definedName name="____LN42" localSheetId="42">#REF!</definedName>
    <definedName name="____LN42" localSheetId="27">#REF!</definedName>
    <definedName name="____LN42" localSheetId="45">#REF!</definedName>
    <definedName name="____LN42">#REF!</definedName>
    <definedName name="____LN43" localSheetId="30">#REF!</definedName>
    <definedName name="____LN43" localSheetId="25">#REF!</definedName>
    <definedName name="____LN43" localSheetId="28">#REF!</definedName>
    <definedName name="____LN43" localSheetId="29">#REF!</definedName>
    <definedName name="____LN43" localSheetId="12">#REF!</definedName>
    <definedName name="____LN43" localSheetId="43">#REF!</definedName>
    <definedName name="____LN43" localSheetId="42">#REF!</definedName>
    <definedName name="____LN43" localSheetId="27">#REF!</definedName>
    <definedName name="____LN43" localSheetId="45">#REF!</definedName>
    <definedName name="____LN43">#REF!</definedName>
    <definedName name="____LN44" localSheetId="30">#REF!</definedName>
    <definedName name="____LN44" localSheetId="25">#REF!</definedName>
    <definedName name="____LN44" localSheetId="28">#REF!</definedName>
    <definedName name="____LN44" localSheetId="29">#REF!</definedName>
    <definedName name="____LN44" localSheetId="12">#REF!</definedName>
    <definedName name="____LN44" localSheetId="43">#REF!</definedName>
    <definedName name="____LN44" localSheetId="42">#REF!</definedName>
    <definedName name="____LN44" localSheetId="27">#REF!</definedName>
    <definedName name="____LN44" localSheetId="45">#REF!</definedName>
    <definedName name="____LN44">#REF!</definedName>
    <definedName name="____LN45" localSheetId="30">#REF!</definedName>
    <definedName name="____LN45" localSheetId="25">#REF!</definedName>
    <definedName name="____LN45" localSheetId="28">#REF!</definedName>
    <definedName name="____LN45" localSheetId="29">#REF!</definedName>
    <definedName name="____LN45" localSheetId="12">#REF!</definedName>
    <definedName name="____LN45" localSheetId="43">#REF!</definedName>
    <definedName name="____LN45" localSheetId="42">#REF!</definedName>
    <definedName name="____LN45" localSheetId="27">#REF!</definedName>
    <definedName name="____LN45" localSheetId="45">#REF!</definedName>
    <definedName name="____LN45">#REF!</definedName>
    <definedName name="____LN46" localSheetId="30">#REF!</definedName>
    <definedName name="____LN46" localSheetId="25">#REF!</definedName>
    <definedName name="____LN46" localSheetId="28">#REF!</definedName>
    <definedName name="____LN46" localSheetId="29">#REF!</definedName>
    <definedName name="____LN46" localSheetId="12">#REF!</definedName>
    <definedName name="____LN46" localSheetId="43">#REF!</definedName>
    <definedName name="____LN46" localSheetId="42">#REF!</definedName>
    <definedName name="____LN46" localSheetId="27">#REF!</definedName>
    <definedName name="____LN46" localSheetId="45">#REF!</definedName>
    <definedName name="____LN46">#REF!</definedName>
    <definedName name="____LN47" localSheetId="30">#REF!</definedName>
    <definedName name="____LN47" localSheetId="25">#REF!</definedName>
    <definedName name="____LN47" localSheetId="28">#REF!</definedName>
    <definedName name="____LN47" localSheetId="29">#REF!</definedName>
    <definedName name="____LN47" localSheetId="12">#REF!</definedName>
    <definedName name="____LN47" localSheetId="43">#REF!</definedName>
    <definedName name="____LN47" localSheetId="42">#REF!</definedName>
    <definedName name="____LN47" localSheetId="27">#REF!</definedName>
    <definedName name="____LN47" localSheetId="45">#REF!</definedName>
    <definedName name="____LN47">#REF!</definedName>
    <definedName name="____LN48" localSheetId="30">#REF!</definedName>
    <definedName name="____LN48" localSheetId="25">#REF!</definedName>
    <definedName name="____LN48" localSheetId="28">#REF!</definedName>
    <definedName name="____LN48" localSheetId="29">#REF!</definedName>
    <definedName name="____LN48" localSheetId="12">#REF!</definedName>
    <definedName name="____LN48" localSheetId="43">#REF!</definedName>
    <definedName name="____LN48" localSheetId="42">#REF!</definedName>
    <definedName name="____LN48" localSheetId="27">#REF!</definedName>
    <definedName name="____LN48" localSheetId="45">#REF!</definedName>
    <definedName name="____LN48">#REF!</definedName>
    <definedName name="____LN49" localSheetId="30">#REF!</definedName>
    <definedName name="____LN49" localSheetId="25">#REF!</definedName>
    <definedName name="____LN49" localSheetId="28">#REF!</definedName>
    <definedName name="____LN49" localSheetId="29">#REF!</definedName>
    <definedName name="____LN49" localSheetId="12">#REF!</definedName>
    <definedName name="____LN49" localSheetId="43">#REF!</definedName>
    <definedName name="____LN49" localSheetId="42">#REF!</definedName>
    <definedName name="____LN49" localSheetId="27">#REF!</definedName>
    <definedName name="____LN49" localSheetId="45">#REF!</definedName>
    <definedName name="____LN49">#REF!</definedName>
    <definedName name="____LN5" localSheetId="30">#REF!</definedName>
    <definedName name="____LN5" localSheetId="25">#REF!</definedName>
    <definedName name="____LN5" localSheetId="28">#REF!</definedName>
    <definedName name="____LN5" localSheetId="29">#REF!</definedName>
    <definedName name="____LN5" localSheetId="12">#REF!</definedName>
    <definedName name="____LN5" localSheetId="43">#REF!</definedName>
    <definedName name="____LN5" localSheetId="42">#REF!</definedName>
    <definedName name="____LN5" localSheetId="27">#REF!</definedName>
    <definedName name="____LN5" localSheetId="45">#REF!</definedName>
    <definedName name="____LN5">#REF!</definedName>
    <definedName name="____LN50" localSheetId="30">#REF!</definedName>
    <definedName name="____LN50" localSheetId="25">#REF!</definedName>
    <definedName name="____LN50" localSheetId="28">#REF!</definedName>
    <definedName name="____LN50" localSheetId="29">#REF!</definedName>
    <definedName name="____LN50" localSheetId="12">#REF!</definedName>
    <definedName name="____LN50" localSheetId="43">#REF!</definedName>
    <definedName name="____LN50" localSheetId="42">#REF!</definedName>
    <definedName name="____LN50" localSheetId="27">#REF!</definedName>
    <definedName name="____LN50" localSheetId="45">#REF!</definedName>
    <definedName name="____LN50">#REF!</definedName>
    <definedName name="____LN6" localSheetId="30">#REF!</definedName>
    <definedName name="____LN6" localSheetId="25">#REF!</definedName>
    <definedName name="____LN6" localSheetId="28">#REF!</definedName>
    <definedName name="____LN6" localSheetId="29">#REF!</definedName>
    <definedName name="____LN6" localSheetId="12">#REF!</definedName>
    <definedName name="____LN6" localSheetId="43">#REF!</definedName>
    <definedName name="____LN6" localSheetId="42">#REF!</definedName>
    <definedName name="____LN6" localSheetId="27">#REF!</definedName>
    <definedName name="____LN6" localSheetId="45">#REF!</definedName>
    <definedName name="____LN6">#REF!</definedName>
    <definedName name="____LN7" localSheetId="30">#REF!</definedName>
    <definedName name="____LN7" localSheetId="25">#REF!</definedName>
    <definedName name="____LN7" localSheetId="28">#REF!</definedName>
    <definedName name="____LN7" localSheetId="29">#REF!</definedName>
    <definedName name="____LN7" localSheetId="12">#REF!</definedName>
    <definedName name="____LN7" localSheetId="43">#REF!</definedName>
    <definedName name="____LN7" localSheetId="42">#REF!</definedName>
    <definedName name="____LN7" localSheetId="27">#REF!</definedName>
    <definedName name="____LN7" localSheetId="45">#REF!</definedName>
    <definedName name="____LN7">#REF!</definedName>
    <definedName name="____LN8" localSheetId="30">#REF!</definedName>
    <definedName name="____LN8" localSheetId="25">#REF!</definedName>
    <definedName name="____LN8" localSheetId="28">#REF!</definedName>
    <definedName name="____LN8" localSheetId="29">#REF!</definedName>
    <definedName name="____LN8" localSheetId="12">#REF!</definedName>
    <definedName name="____LN8" localSheetId="43">#REF!</definedName>
    <definedName name="____LN8" localSheetId="42">#REF!</definedName>
    <definedName name="____LN8" localSheetId="27">#REF!</definedName>
    <definedName name="____LN8" localSheetId="45">#REF!</definedName>
    <definedName name="____LN8">#REF!</definedName>
    <definedName name="____LN9" localSheetId="30">'[1]Water Demand'!#REF!</definedName>
    <definedName name="____LN9" localSheetId="25">'[1]Water Demand'!#REF!</definedName>
    <definedName name="____LN9" localSheetId="28">'[1]Water Demand'!#REF!</definedName>
    <definedName name="____LN9" localSheetId="29">'[1]Water Demand'!#REF!</definedName>
    <definedName name="____LN9" localSheetId="12">'[1]Water Demand'!#REF!</definedName>
    <definedName name="____LN9" localSheetId="43">'[1]Water Demand'!#REF!</definedName>
    <definedName name="____LN9" localSheetId="42">'[1]Water Demand'!#REF!</definedName>
    <definedName name="____LN9" localSheetId="27">'[1]Water Demand'!#REF!</definedName>
    <definedName name="____LN9" localSheetId="45">'[1]Water Demand'!#REF!</definedName>
    <definedName name="____LN9">'[1]Water Demand'!#REF!</definedName>
    <definedName name="____Re8">[5]DR!$D$33</definedName>
    <definedName name="____RSD1">'[2]Data-Table'!$D$26</definedName>
    <definedName name="____RSD2">'[2]Data-Table'!$D$27</definedName>
    <definedName name="____WN18">'[7]Pop Density'!$H$21</definedName>
    <definedName name="____WN20">'[7]Pop Density'!$H$23</definedName>
    <definedName name="____WN21">'[7]Pop Density'!$H$24</definedName>
    <definedName name="____WN22">'[7]Pop Density'!$H$25</definedName>
    <definedName name="____WN3">'[7]Pop Density'!$H$6</definedName>
    <definedName name="____WN4">'[7]Pop Density'!$H$7</definedName>
    <definedName name="___agg10">[8]MatCol!$K$106</definedName>
    <definedName name="___agg20">[8]MatCol!$K$100</definedName>
    <definedName name="___agg40">[8]MatCol!$K$94</definedName>
    <definedName name="___cgi26">[8]MatCol!$K$59</definedName>
    <definedName name="___DPC124" localSheetId="30">#REF!</definedName>
    <definedName name="___DPC124" localSheetId="25">#REF!</definedName>
    <definedName name="___DPC124" localSheetId="28">#REF!</definedName>
    <definedName name="___DPC124" localSheetId="29">#REF!</definedName>
    <definedName name="___DPC124" localSheetId="12">#REF!</definedName>
    <definedName name="___DPC124" localSheetId="43">#REF!</definedName>
    <definedName name="___DPC124" localSheetId="42">#REF!</definedName>
    <definedName name="___DPC124" localSheetId="27">#REF!</definedName>
    <definedName name="___DPC124" localSheetId="45">#REF!</definedName>
    <definedName name="___DPC124">#REF!</definedName>
    <definedName name="___DPC136" localSheetId="30">#REF!</definedName>
    <definedName name="___DPC136" localSheetId="25">#REF!</definedName>
    <definedName name="___DPC136" localSheetId="28">#REF!</definedName>
    <definedName name="___DPC136" localSheetId="29">#REF!</definedName>
    <definedName name="___DPC136" localSheetId="12">#REF!</definedName>
    <definedName name="___DPC136" localSheetId="43">#REF!</definedName>
    <definedName name="___DPC136" localSheetId="42">#REF!</definedName>
    <definedName name="___DPC136" localSheetId="27">#REF!</definedName>
    <definedName name="___DPC136" localSheetId="45">#REF!</definedName>
    <definedName name="___DPC136">#REF!</definedName>
    <definedName name="___DPC148" localSheetId="30">#REF!</definedName>
    <definedName name="___DPC148" localSheetId="25">#REF!</definedName>
    <definedName name="___DPC148" localSheetId="28">#REF!</definedName>
    <definedName name="___DPC148" localSheetId="29">#REF!</definedName>
    <definedName name="___DPC148" localSheetId="12">#REF!</definedName>
    <definedName name="___DPC148" localSheetId="43">#REF!</definedName>
    <definedName name="___DPC148" localSheetId="42">#REF!</definedName>
    <definedName name="___DPC148" localSheetId="27">#REF!</definedName>
    <definedName name="___DPC148" localSheetId="45">#REF!</definedName>
    <definedName name="___DPC148">#REF!</definedName>
    <definedName name="___LN1" localSheetId="30">'[1]Water Demand'!#REF!</definedName>
    <definedName name="___LN1" localSheetId="25">'[1]Water Demand'!#REF!</definedName>
    <definedName name="___LN1" localSheetId="28">'[1]Water Demand'!#REF!</definedName>
    <definedName name="___LN1" localSheetId="29">'[1]Water Demand'!#REF!</definedName>
    <definedName name="___LN1" localSheetId="12">'[1]Water Demand'!#REF!</definedName>
    <definedName name="___LN1" localSheetId="43">'[1]Water Demand'!#REF!</definedName>
    <definedName name="___LN1" localSheetId="42">'[1]Water Demand'!#REF!</definedName>
    <definedName name="___LN1" localSheetId="27">'[1]Water Demand'!#REF!</definedName>
    <definedName name="___LN1" localSheetId="45">'[1]Water Demand'!#REF!</definedName>
    <definedName name="___LN1">'[1]Water Demand'!#REF!</definedName>
    <definedName name="___LN10" localSheetId="30">'[1]Water Demand'!#REF!</definedName>
    <definedName name="___LN10" localSheetId="25">'[1]Water Demand'!#REF!</definedName>
    <definedName name="___LN10" localSheetId="28">'[1]Water Demand'!#REF!</definedName>
    <definedName name="___LN10" localSheetId="29">'[1]Water Demand'!#REF!</definedName>
    <definedName name="___LN10" localSheetId="12">'[1]Water Demand'!#REF!</definedName>
    <definedName name="___LN10" localSheetId="43">'[1]Water Demand'!#REF!</definedName>
    <definedName name="___LN10" localSheetId="42">'[1]Water Demand'!#REF!</definedName>
    <definedName name="___LN10" localSheetId="27">'[1]Water Demand'!#REF!</definedName>
    <definedName name="___LN10" localSheetId="45">'[1]Water Demand'!#REF!</definedName>
    <definedName name="___LN10">'[1]Water Demand'!#REF!</definedName>
    <definedName name="___LN11" localSheetId="30">'[1]Water Demand'!#REF!</definedName>
    <definedName name="___LN11" localSheetId="25">'[1]Water Demand'!#REF!</definedName>
    <definedName name="___LN11" localSheetId="28">'[1]Water Demand'!#REF!</definedName>
    <definedName name="___LN11" localSheetId="29">'[1]Water Demand'!#REF!</definedName>
    <definedName name="___LN11" localSheetId="12">'[1]Water Demand'!#REF!</definedName>
    <definedName name="___LN11" localSheetId="43">'[1]Water Demand'!#REF!</definedName>
    <definedName name="___LN11" localSheetId="42">'[1]Water Demand'!#REF!</definedName>
    <definedName name="___LN11" localSheetId="27">'[1]Water Demand'!#REF!</definedName>
    <definedName name="___LN11" localSheetId="45">'[1]Water Demand'!#REF!</definedName>
    <definedName name="___LN11">'[1]Water Demand'!#REF!</definedName>
    <definedName name="___LN12" localSheetId="30">'[1]Water Demand'!#REF!</definedName>
    <definedName name="___LN12" localSheetId="25">'[1]Water Demand'!#REF!</definedName>
    <definedName name="___LN12" localSheetId="28">'[1]Water Demand'!#REF!</definedName>
    <definedName name="___LN12" localSheetId="29">'[1]Water Demand'!#REF!</definedName>
    <definedName name="___LN12" localSheetId="12">'[1]Water Demand'!#REF!</definedName>
    <definedName name="___LN12" localSheetId="43">'[1]Water Demand'!#REF!</definedName>
    <definedName name="___LN12" localSheetId="42">'[1]Water Demand'!#REF!</definedName>
    <definedName name="___LN12" localSheetId="27">'[1]Water Demand'!#REF!</definedName>
    <definedName name="___LN12" localSheetId="45">'[1]Water Demand'!#REF!</definedName>
    <definedName name="___LN12">'[1]Water Demand'!#REF!</definedName>
    <definedName name="___LN13" localSheetId="30">'[1]Water Demand'!#REF!</definedName>
    <definedName name="___LN13" localSheetId="25">'[1]Water Demand'!#REF!</definedName>
    <definedName name="___LN13" localSheetId="28">'[1]Water Demand'!#REF!</definedName>
    <definedName name="___LN13" localSheetId="29">'[1]Water Demand'!#REF!</definedName>
    <definedName name="___LN13" localSheetId="12">'[1]Water Demand'!#REF!</definedName>
    <definedName name="___LN13" localSheetId="43">'[1]Water Demand'!#REF!</definedName>
    <definedName name="___LN13" localSheetId="42">'[1]Water Demand'!#REF!</definedName>
    <definedName name="___LN13" localSheetId="27">'[1]Water Demand'!#REF!</definedName>
    <definedName name="___LN13" localSheetId="45">'[1]Water Demand'!#REF!</definedName>
    <definedName name="___LN13">'[1]Water Demand'!#REF!</definedName>
    <definedName name="___LN14" localSheetId="30">'[1]Water Demand'!#REF!</definedName>
    <definedName name="___LN14" localSheetId="25">'[1]Water Demand'!#REF!</definedName>
    <definedName name="___LN14" localSheetId="28">'[1]Water Demand'!#REF!</definedName>
    <definedName name="___LN14" localSheetId="29">'[1]Water Demand'!#REF!</definedName>
    <definedName name="___LN14" localSheetId="12">'[1]Water Demand'!#REF!</definedName>
    <definedName name="___LN14" localSheetId="43">'[1]Water Demand'!#REF!</definedName>
    <definedName name="___LN14" localSheetId="42">'[1]Water Demand'!#REF!</definedName>
    <definedName name="___LN14" localSheetId="27">'[1]Water Demand'!#REF!</definedName>
    <definedName name="___LN14" localSheetId="45">'[1]Water Demand'!#REF!</definedName>
    <definedName name="___LN14">'[1]Water Demand'!#REF!</definedName>
    <definedName name="___LN15" localSheetId="30">'[1]Water Demand'!#REF!</definedName>
    <definedName name="___LN15" localSheetId="25">'[1]Water Demand'!#REF!</definedName>
    <definedName name="___LN15" localSheetId="28">'[1]Water Demand'!#REF!</definedName>
    <definedName name="___LN15" localSheetId="29">'[1]Water Demand'!#REF!</definedName>
    <definedName name="___LN15" localSheetId="12">'[1]Water Demand'!#REF!</definedName>
    <definedName name="___LN15" localSheetId="43">'[1]Water Demand'!#REF!</definedName>
    <definedName name="___LN15" localSheetId="42">'[1]Water Demand'!#REF!</definedName>
    <definedName name="___LN15" localSheetId="27">'[1]Water Demand'!#REF!</definedName>
    <definedName name="___LN15" localSheetId="45">'[1]Water Demand'!#REF!</definedName>
    <definedName name="___LN15">'[1]Water Demand'!#REF!</definedName>
    <definedName name="___LN16" localSheetId="30">'[1]Water Demand'!#REF!</definedName>
    <definedName name="___LN16" localSheetId="25">'[1]Water Demand'!#REF!</definedName>
    <definedName name="___LN16" localSheetId="28">'[1]Water Demand'!#REF!</definedName>
    <definedName name="___LN16" localSheetId="29">'[1]Water Demand'!#REF!</definedName>
    <definedName name="___LN16" localSheetId="12">'[1]Water Demand'!#REF!</definedName>
    <definedName name="___LN16" localSheetId="43">'[1]Water Demand'!#REF!</definedName>
    <definedName name="___LN16" localSheetId="42">'[1]Water Demand'!#REF!</definedName>
    <definedName name="___LN16" localSheetId="27">'[1]Water Demand'!#REF!</definedName>
    <definedName name="___LN16" localSheetId="45">'[1]Water Demand'!#REF!</definedName>
    <definedName name="___LN16">'[1]Water Demand'!#REF!</definedName>
    <definedName name="___LN17" localSheetId="30">'[1]Water Demand'!#REF!</definedName>
    <definedName name="___LN17" localSheetId="25">'[1]Water Demand'!#REF!</definedName>
    <definedName name="___LN17" localSheetId="28">'[1]Water Demand'!#REF!</definedName>
    <definedName name="___LN17" localSheetId="29">'[1]Water Demand'!#REF!</definedName>
    <definedName name="___LN17" localSheetId="12">'[1]Water Demand'!#REF!</definedName>
    <definedName name="___LN17" localSheetId="43">'[1]Water Demand'!#REF!</definedName>
    <definedName name="___LN17" localSheetId="42">'[1]Water Demand'!#REF!</definedName>
    <definedName name="___LN17" localSheetId="27">'[1]Water Demand'!#REF!</definedName>
    <definedName name="___LN17" localSheetId="45">'[1]Water Demand'!#REF!</definedName>
    <definedName name="___LN17">'[1]Water Demand'!#REF!</definedName>
    <definedName name="___LN18" localSheetId="30">'[1]Water Demand'!#REF!</definedName>
    <definedName name="___LN18" localSheetId="25">'[1]Water Demand'!#REF!</definedName>
    <definedName name="___LN18" localSheetId="28">'[1]Water Demand'!#REF!</definedName>
    <definedName name="___LN18" localSheetId="29">'[1]Water Demand'!#REF!</definedName>
    <definedName name="___LN18" localSheetId="12">'[1]Water Demand'!#REF!</definedName>
    <definedName name="___LN18" localSheetId="43">'[1]Water Demand'!#REF!</definedName>
    <definedName name="___LN18" localSheetId="42">'[1]Water Demand'!#REF!</definedName>
    <definedName name="___LN18" localSheetId="27">'[1]Water Demand'!#REF!</definedName>
    <definedName name="___LN18" localSheetId="45">'[1]Water Demand'!#REF!</definedName>
    <definedName name="___LN18">'[1]Water Demand'!#REF!</definedName>
    <definedName name="___LN19" localSheetId="30">'[1]Water Demand'!#REF!</definedName>
    <definedName name="___LN19" localSheetId="25">'[1]Water Demand'!#REF!</definedName>
    <definedName name="___LN19" localSheetId="28">'[1]Water Demand'!#REF!</definedName>
    <definedName name="___LN19" localSheetId="29">'[1]Water Demand'!#REF!</definedName>
    <definedName name="___LN19" localSheetId="12">'[1]Water Demand'!#REF!</definedName>
    <definedName name="___LN19" localSheetId="43">'[1]Water Demand'!#REF!</definedName>
    <definedName name="___LN19" localSheetId="42">'[1]Water Demand'!#REF!</definedName>
    <definedName name="___LN19" localSheetId="27">'[1]Water Demand'!#REF!</definedName>
    <definedName name="___LN19" localSheetId="45">'[1]Water Demand'!#REF!</definedName>
    <definedName name="___LN19">'[1]Water Demand'!#REF!</definedName>
    <definedName name="___LN2" localSheetId="30">'[1]Water Demand'!#REF!</definedName>
    <definedName name="___LN2" localSheetId="25">'[1]Water Demand'!#REF!</definedName>
    <definedName name="___LN2" localSheetId="28">'[1]Water Demand'!#REF!</definedName>
    <definedName name="___LN2" localSheetId="29">'[1]Water Demand'!#REF!</definedName>
    <definedName name="___LN2" localSheetId="12">'[1]Water Demand'!#REF!</definedName>
    <definedName name="___LN2" localSheetId="43">'[1]Water Demand'!#REF!</definedName>
    <definedName name="___LN2" localSheetId="42">'[1]Water Demand'!#REF!</definedName>
    <definedName name="___LN2" localSheetId="27">'[1]Water Demand'!#REF!</definedName>
    <definedName name="___LN2" localSheetId="45">'[1]Water Demand'!#REF!</definedName>
    <definedName name="___LN2">'[1]Water Demand'!#REF!</definedName>
    <definedName name="___LN20" localSheetId="30">#REF!</definedName>
    <definedName name="___LN20" localSheetId="25">#REF!</definedName>
    <definedName name="___LN20" localSheetId="28">#REF!</definedName>
    <definedName name="___LN20" localSheetId="29">#REF!</definedName>
    <definedName name="___LN20" localSheetId="12">#REF!</definedName>
    <definedName name="___LN20" localSheetId="43">#REF!</definedName>
    <definedName name="___LN20" localSheetId="42">#REF!</definedName>
    <definedName name="___LN20" localSheetId="27">#REF!</definedName>
    <definedName name="___LN20" localSheetId="45">#REF!</definedName>
    <definedName name="___LN20">#REF!</definedName>
    <definedName name="___LN21" localSheetId="30">#REF!</definedName>
    <definedName name="___LN21" localSheetId="25">#REF!</definedName>
    <definedName name="___LN21" localSheetId="28">#REF!</definedName>
    <definedName name="___LN21" localSheetId="29">#REF!</definedName>
    <definedName name="___LN21" localSheetId="12">#REF!</definedName>
    <definedName name="___LN21" localSheetId="43">#REF!</definedName>
    <definedName name="___LN21" localSheetId="42">#REF!</definedName>
    <definedName name="___LN21" localSheetId="27">#REF!</definedName>
    <definedName name="___LN21" localSheetId="45">#REF!</definedName>
    <definedName name="___LN21">#REF!</definedName>
    <definedName name="___LN22" localSheetId="30">'[1]Water Demand'!#REF!</definedName>
    <definedName name="___LN22" localSheetId="25">'[1]Water Demand'!#REF!</definedName>
    <definedName name="___LN22" localSheetId="28">'[1]Water Demand'!#REF!</definedName>
    <definedName name="___LN22" localSheetId="29">'[1]Water Demand'!#REF!</definedName>
    <definedName name="___LN22" localSheetId="12">'[1]Water Demand'!#REF!</definedName>
    <definedName name="___LN22" localSheetId="43">'[1]Water Demand'!#REF!</definedName>
    <definedName name="___LN22" localSheetId="42">'[1]Water Demand'!#REF!</definedName>
    <definedName name="___LN22" localSheetId="27">'[1]Water Demand'!#REF!</definedName>
    <definedName name="___LN22" localSheetId="45">'[1]Water Demand'!#REF!</definedName>
    <definedName name="___LN22">'[1]Water Demand'!#REF!</definedName>
    <definedName name="___LN23" localSheetId="30">'[1]Water Demand'!#REF!</definedName>
    <definedName name="___LN23" localSheetId="25">'[1]Water Demand'!#REF!</definedName>
    <definedName name="___LN23" localSheetId="28">'[1]Water Demand'!#REF!</definedName>
    <definedName name="___LN23" localSheetId="29">'[1]Water Demand'!#REF!</definedName>
    <definedName name="___LN23" localSheetId="12">'[1]Water Demand'!#REF!</definedName>
    <definedName name="___LN23" localSheetId="43">'[1]Water Demand'!#REF!</definedName>
    <definedName name="___LN23" localSheetId="42">'[1]Water Demand'!#REF!</definedName>
    <definedName name="___LN23" localSheetId="27">'[1]Water Demand'!#REF!</definedName>
    <definedName name="___LN23" localSheetId="45">'[1]Water Demand'!#REF!</definedName>
    <definedName name="___LN23">'[1]Water Demand'!#REF!</definedName>
    <definedName name="___LN24" localSheetId="30">'[1]Water Demand'!#REF!</definedName>
    <definedName name="___LN24" localSheetId="25">'[1]Water Demand'!#REF!</definedName>
    <definedName name="___LN24" localSheetId="28">'[1]Water Demand'!#REF!</definedName>
    <definedName name="___LN24" localSheetId="29">'[1]Water Demand'!#REF!</definedName>
    <definedName name="___LN24" localSheetId="12">'[1]Water Demand'!#REF!</definedName>
    <definedName name="___LN24" localSheetId="43">'[1]Water Demand'!#REF!</definedName>
    <definedName name="___LN24" localSheetId="42">'[1]Water Demand'!#REF!</definedName>
    <definedName name="___LN24" localSheetId="27">'[1]Water Demand'!#REF!</definedName>
    <definedName name="___LN24" localSheetId="45">'[1]Water Demand'!#REF!</definedName>
    <definedName name="___LN24">'[1]Water Demand'!#REF!</definedName>
    <definedName name="___LN25" localSheetId="30">'[1]Water Demand'!#REF!</definedName>
    <definedName name="___LN25" localSheetId="25">'[1]Water Demand'!#REF!</definedName>
    <definedName name="___LN25" localSheetId="28">'[1]Water Demand'!#REF!</definedName>
    <definedName name="___LN25" localSheetId="29">'[1]Water Demand'!#REF!</definedName>
    <definedName name="___LN25" localSheetId="12">'[1]Water Demand'!#REF!</definedName>
    <definedName name="___LN25" localSheetId="43">'[1]Water Demand'!#REF!</definedName>
    <definedName name="___LN25" localSheetId="42">'[1]Water Demand'!#REF!</definedName>
    <definedName name="___LN25" localSheetId="27">'[1]Water Demand'!#REF!</definedName>
    <definedName name="___LN25" localSheetId="45">'[1]Water Demand'!#REF!</definedName>
    <definedName name="___LN25">'[1]Water Demand'!#REF!</definedName>
    <definedName name="___LN26" localSheetId="30">'[1]Water Demand'!#REF!</definedName>
    <definedName name="___LN26" localSheetId="25">'[1]Water Demand'!#REF!</definedName>
    <definedName name="___LN26" localSheetId="28">'[1]Water Demand'!#REF!</definedName>
    <definedName name="___LN26" localSheetId="29">'[1]Water Demand'!#REF!</definedName>
    <definedName name="___LN26" localSheetId="12">'[1]Water Demand'!#REF!</definedName>
    <definedName name="___LN26" localSheetId="43">'[1]Water Demand'!#REF!</definedName>
    <definedName name="___LN26" localSheetId="42">'[1]Water Demand'!#REF!</definedName>
    <definedName name="___LN26" localSheetId="27">'[1]Water Demand'!#REF!</definedName>
    <definedName name="___LN26" localSheetId="45">'[1]Water Demand'!#REF!</definedName>
    <definedName name="___LN26">'[1]Water Demand'!#REF!</definedName>
    <definedName name="___LN27" localSheetId="30">'[1]Water Demand'!#REF!</definedName>
    <definedName name="___LN27" localSheetId="25">'[1]Water Demand'!#REF!</definedName>
    <definedName name="___LN27" localSheetId="28">'[1]Water Demand'!#REF!</definedName>
    <definedName name="___LN27" localSheetId="29">'[1]Water Demand'!#REF!</definedName>
    <definedName name="___LN27" localSheetId="12">'[1]Water Demand'!#REF!</definedName>
    <definedName name="___LN27" localSheetId="43">'[1]Water Demand'!#REF!</definedName>
    <definedName name="___LN27" localSheetId="42">'[1]Water Demand'!#REF!</definedName>
    <definedName name="___LN27" localSheetId="27">'[1]Water Demand'!#REF!</definedName>
    <definedName name="___LN27" localSheetId="45">'[1]Water Demand'!#REF!</definedName>
    <definedName name="___LN27">'[1]Water Demand'!#REF!</definedName>
    <definedName name="___LN28" localSheetId="30">'[1]Water Demand'!#REF!</definedName>
    <definedName name="___LN28" localSheetId="25">'[1]Water Demand'!#REF!</definedName>
    <definedName name="___LN28" localSheetId="28">'[1]Water Demand'!#REF!</definedName>
    <definedName name="___LN28" localSheetId="29">'[1]Water Demand'!#REF!</definedName>
    <definedName name="___LN28" localSheetId="12">'[1]Water Demand'!#REF!</definedName>
    <definedName name="___LN28" localSheetId="43">'[1]Water Demand'!#REF!</definedName>
    <definedName name="___LN28" localSheetId="42">'[1]Water Demand'!#REF!</definedName>
    <definedName name="___LN28" localSheetId="27">'[1]Water Demand'!#REF!</definedName>
    <definedName name="___LN28" localSheetId="45">'[1]Water Demand'!#REF!</definedName>
    <definedName name="___LN28">'[1]Water Demand'!#REF!</definedName>
    <definedName name="___LN29" localSheetId="30">'[1]Water Demand'!#REF!</definedName>
    <definedName name="___LN29" localSheetId="25">'[1]Water Demand'!#REF!</definedName>
    <definedName name="___LN29" localSheetId="28">'[1]Water Demand'!#REF!</definedName>
    <definedName name="___LN29" localSheetId="29">'[1]Water Demand'!#REF!</definedName>
    <definedName name="___LN29" localSheetId="12">'[1]Water Demand'!#REF!</definedName>
    <definedName name="___LN29" localSheetId="43">'[1]Water Demand'!#REF!</definedName>
    <definedName name="___LN29" localSheetId="42">'[1]Water Demand'!#REF!</definedName>
    <definedName name="___LN29" localSheetId="27">'[1]Water Demand'!#REF!</definedName>
    <definedName name="___LN29" localSheetId="45">'[1]Water Demand'!#REF!</definedName>
    <definedName name="___LN29">'[1]Water Demand'!#REF!</definedName>
    <definedName name="___LN3" localSheetId="30">#REF!</definedName>
    <definedName name="___LN3" localSheetId="25">#REF!</definedName>
    <definedName name="___LN3" localSheetId="28">#REF!</definedName>
    <definedName name="___LN3" localSheetId="29">#REF!</definedName>
    <definedName name="___LN3" localSheetId="12">#REF!</definedName>
    <definedName name="___LN3" localSheetId="43">#REF!</definedName>
    <definedName name="___LN3" localSheetId="42">#REF!</definedName>
    <definedName name="___LN3" localSheetId="27">#REF!</definedName>
    <definedName name="___LN3" localSheetId="45">#REF!</definedName>
    <definedName name="___LN3">#REF!</definedName>
    <definedName name="___LN30" localSheetId="30">'[1]Water Demand'!#REF!</definedName>
    <definedName name="___LN30" localSheetId="25">'[1]Water Demand'!#REF!</definedName>
    <definedName name="___LN30" localSheetId="28">'[1]Water Demand'!#REF!</definedName>
    <definedName name="___LN30" localSheetId="29">'[1]Water Demand'!#REF!</definedName>
    <definedName name="___LN30" localSheetId="12">'[1]Water Demand'!#REF!</definedName>
    <definedName name="___LN30" localSheetId="43">'[1]Water Demand'!#REF!</definedName>
    <definedName name="___LN30" localSheetId="42">'[1]Water Demand'!#REF!</definedName>
    <definedName name="___LN30" localSheetId="27">'[1]Water Demand'!#REF!</definedName>
    <definedName name="___LN30" localSheetId="45">'[1]Water Demand'!#REF!</definedName>
    <definedName name="___LN30">'[1]Water Demand'!#REF!</definedName>
    <definedName name="___LN31" localSheetId="30">#REF!</definedName>
    <definedName name="___LN31" localSheetId="25">#REF!</definedName>
    <definedName name="___LN31" localSheetId="28">#REF!</definedName>
    <definedName name="___LN31" localSheetId="29">#REF!</definedName>
    <definedName name="___LN31" localSheetId="12">#REF!</definedName>
    <definedName name="___LN31" localSheetId="43">#REF!</definedName>
    <definedName name="___LN31" localSheetId="42">#REF!</definedName>
    <definedName name="___LN31" localSheetId="27">#REF!</definedName>
    <definedName name="___LN31" localSheetId="45">#REF!</definedName>
    <definedName name="___LN31">#REF!</definedName>
    <definedName name="___LN32" localSheetId="30">#REF!</definedName>
    <definedName name="___LN32" localSheetId="25">#REF!</definedName>
    <definedName name="___LN32" localSheetId="28">#REF!</definedName>
    <definedName name="___LN32" localSheetId="29">#REF!</definedName>
    <definedName name="___LN32" localSheetId="12">#REF!</definedName>
    <definedName name="___LN32" localSheetId="43">#REF!</definedName>
    <definedName name="___LN32" localSheetId="42">#REF!</definedName>
    <definedName name="___LN32" localSheetId="27">#REF!</definedName>
    <definedName name="___LN32" localSheetId="45">#REF!</definedName>
    <definedName name="___LN32">#REF!</definedName>
    <definedName name="___LN33" localSheetId="30">#REF!</definedName>
    <definedName name="___LN33" localSheetId="25">#REF!</definedName>
    <definedName name="___LN33" localSheetId="28">#REF!</definedName>
    <definedName name="___LN33" localSheetId="29">#REF!</definedName>
    <definedName name="___LN33" localSheetId="12">#REF!</definedName>
    <definedName name="___LN33" localSheetId="43">#REF!</definedName>
    <definedName name="___LN33" localSheetId="42">#REF!</definedName>
    <definedName name="___LN33" localSheetId="27">#REF!</definedName>
    <definedName name="___LN33" localSheetId="45">#REF!</definedName>
    <definedName name="___LN33">#REF!</definedName>
    <definedName name="___LN34" localSheetId="30">#REF!</definedName>
    <definedName name="___LN34" localSheetId="25">#REF!</definedName>
    <definedName name="___LN34" localSheetId="28">#REF!</definedName>
    <definedName name="___LN34" localSheetId="29">#REF!</definedName>
    <definedName name="___LN34" localSheetId="12">#REF!</definedName>
    <definedName name="___LN34" localSheetId="43">#REF!</definedName>
    <definedName name="___LN34" localSheetId="42">#REF!</definedName>
    <definedName name="___LN34" localSheetId="27">#REF!</definedName>
    <definedName name="___LN34" localSheetId="45">#REF!</definedName>
    <definedName name="___LN34">#REF!</definedName>
    <definedName name="___LN35" localSheetId="30">#REF!</definedName>
    <definedName name="___LN35" localSheetId="25">#REF!</definedName>
    <definedName name="___LN35" localSheetId="28">#REF!</definedName>
    <definedName name="___LN35" localSheetId="29">#REF!</definedName>
    <definedName name="___LN35" localSheetId="12">#REF!</definedName>
    <definedName name="___LN35" localSheetId="43">#REF!</definedName>
    <definedName name="___LN35" localSheetId="42">#REF!</definedName>
    <definedName name="___LN35" localSheetId="27">#REF!</definedName>
    <definedName name="___LN35" localSheetId="45">#REF!</definedName>
    <definedName name="___LN35">#REF!</definedName>
    <definedName name="___LN36" localSheetId="30">#REF!</definedName>
    <definedName name="___LN36" localSheetId="25">#REF!</definedName>
    <definedName name="___LN36" localSheetId="28">#REF!</definedName>
    <definedName name="___LN36" localSheetId="29">#REF!</definedName>
    <definedName name="___LN36" localSheetId="12">#REF!</definedName>
    <definedName name="___LN36" localSheetId="43">#REF!</definedName>
    <definedName name="___LN36" localSheetId="42">#REF!</definedName>
    <definedName name="___LN36" localSheetId="27">#REF!</definedName>
    <definedName name="___LN36" localSheetId="45">#REF!</definedName>
    <definedName name="___LN36">#REF!</definedName>
    <definedName name="___LN37" localSheetId="30">#REF!</definedName>
    <definedName name="___LN37" localSheetId="25">#REF!</definedName>
    <definedName name="___LN37" localSheetId="28">#REF!</definedName>
    <definedName name="___LN37" localSheetId="29">#REF!</definedName>
    <definedName name="___LN37" localSheetId="12">#REF!</definedName>
    <definedName name="___LN37" localSheetId="43">#REF!</definedName>
    <definedName name="___LN37" localSheetId="42">#REF!</definedName>
    <definedName name="___LN37" localSheetId="27">#REF!</definedName>
    <definedName name="___LN37" localSheetId="45">#REF!</definedName>
    <definedName name="___LN37">#REF!</definedName>
    <definedName name="___LN38" localSheetId="30">#REF!</definedName>
    <definedName name="___LN38" localSheetId="25">#REF!</definedName>
    <definedName name="___LN38" localSheetId="28">#REF!</definedName>
    <definedName name="___LN38" localSheetId="29">#REF!</definedName>
    <definedName name="___LN38" localSheetId="12">#REF!</definedName>
    <definedName name="___LN38" localSheetId="43">#REF!</definedName>
    <definedName name="___LN38" localSheetId="42">#REF!</definedName>
    <definedName name="___LN38" localSheetId="27">#REF!</definedName>
    <definedName name="___LN38" localSheetId="45">#REF!</definedName>
    <definedName name="___LN38">#REF!</definedName>
    <definedName name="___LN39" localSheetId="30">#REF!</definedName>
    <definedName name="___LN39" localSheetId="25">#REF!</definedName>
    <definedName name="___LN39" localSheetId="28">#REF!</definedName>
    <definedName name="___LN39" localSheetId="29">#REF!</definedName>
    <definedName name="___LN39" localSheetId="12">#REF!</definedName>
    <definedName name="___LN39" localSheetId="43">#REF!</definedName>
    <definedName name="___LN39" localSheetId="42">#REF!</definedName>
    <definedName name="___LN39" localSheetId="27">#REF!</definedName>
    <definedName name="___LN39" localSheetId="45">#REF!</definedName>
    <definedName name="___LN39">#REF!</definedName>
    <definedName name="___LN4" localSheetId="30">#REF!</definedName>
    <definedName name="___LN4" localSheetId="25">#REF!</definedName>
    <definedName name="___LN4" localSheetId="28">#REF!</definedName>
    <definedName name="___LN4" localSheetId="29">#REF!</definedName>
    <definedName name="___LN4" localSheetId="12">#REF!</definedName>
    <definedName name="___LN4" localSheetId="43">#REF!</definedName>
    <definedName name="___LN4" localSheetId="42">#REF!</definedName>
    <definedName name="___LN4" localSheetId="27">#REF!</definedName>
    <definedName name="___LN4" localSheetId="45">#REF!</definedName>
    <definedName name="___LN4">#REF!</definedName>
    <definedName name="___LN40" localSheetId="30">#REF!</definedName>
    <definedName name="___LN40" localSheetId="25">#REF!</definedName>
    <definedName name="___LN40" localSheetId="28">#REF!</definedName>
    <definedName name="___LN40" localSheetId="29">#REF!</definedName>
    <definedName name="___LN40" localSheetId="12">#REF!</definedName>
    <definedName name="___LN40" localSheetId="43">#REF!</definedName>
    <definedName name="___LN40" localSheetId="42">#REF!</definedName>
    <definedName name="___LN40" localSheetId="27">#REF!</definedName>
    <definedName name="___LN40" localSheetId="45">#REF!</definedName>
    <definedName name="___LN40">#REF!</definedName>
    <definedName name="___LN41" localSheetId="30">#REF!</definedName>
    <definedName name="___LN41" localSheetId="25">#REF!</definedName>
    <definedName name="___LN41" localSheetId="28">#REF!</definedName>
    <definedName name="___LN41" localSheetId="29">#REF!</definedName>
    <definedName name="___LN41" localSheetId="12">#REF!</definedName>
    <definedName name="___LN41" localSheetId="43">#REF!</definedName>
    <definedName name="___LN41" localSheetId="42">#REF!</definedName>
    <definedName name="___LN41" localSheetId="27">#REF!</definedName>
    <definedName name="___LN41" localSheetId="45">#REF!</definedName>
    <definedName name="___LN41">#REF!</definedName>
    <definedName name="___LN42" localSheetId="30">#REF!</definedName>
    <definedName name="___LN42" localSheetId="25">#REF!</definedName>
    <definedName name="___LN42" localSheetId="28">#REF!</definedName>
    <definedName name="___LN42" localSheetId="29">#REF!</definedName>
    <definedName name="___LN42" localSheetId="12">#REF!</definedName>
    <definedName name="___LN42" localSheetId="43">#REF!</definedName>
    <definedName name="___LN42" localSheetId="42">#REF!</definedName>
    <definedName name="___LN42" localSheetId="27">#REF!</definedName>
    <definedName name="___LN42" localSheetId="45">#REF!</definedName>
    <definedName name="___LN42">#REF!</definedName>
    <definedName name="___LN43" localSheetId="30">#REF!</definedName>
    <definedName name="___LN43" localSheetId="25">#REF!</definedName>
    <definedName name="___LN43" localSheetId="28">#REF!</definedName>
    <definedName name="___LN43" localSheetId="29">#REF!</definedName>
    <definedName name="___LN43" localSheetId="12">#REF!</definedName>
    <definedName name="___LN43" localSheetId="43">#REF!</definedName>
    <definedName name="___LN43" localSheetId="42">#REF!</definedName>
    <definedName name="___LN43" localSheetId="27">#REF!</definedName>
    <definedName name="___LN43" localSheetId="45">#REF!</definedName>
    <definedName name="___LN43">#REF!</definedName>
    <definedName name="___LN44" localSheetId="30">#REF!</definedName>
    <definedName name="___LN44" localSheetId="25">#REF!</definedName>
    <definedName name="___LN44" localSheetId="28">#REF!</definedName>
    <definedName name="___LN44" localSheetId="29">#REF!</definedName>
    <definedName name="___LN44" localSheetId="12">#REF!</definedName>
    <definedName name="___LN44" localSheetId="43">#REF!</definedName>
    <definedName name="___LN44" localSheetId="42">#REF!</definedName>
    <definedName name="___LN44" localSheetId="27">#REF!</definedName>
    <definedName name="___LN44" localSheetId="45">#REF!</definedName>
    <definedName name="___LN44">#REF!</definedName>
    <definedName name="___LN45" localSheetId="30">#REF!</definedName>
    <definedName name="___LN45" localSheetId="25">#REF!</definedName>
    <definedName name="___LN45" localSheetId="28">#REF!</definedName>
    <definedName name="___LN45" localSheetId="29">#REF!</definedName>
    <definedName name="___LN45" localSheetId="12">#REF!</definedName>
    <definedName name="___LN45" localSheetId="43">#REF!</definedName>
    <definedName name="___LN45" localSheetId="42">#REF!</definedName>
    <definedName name="___LN45" localSheetId="27">#REF!</definedName>
    <definedName name="___LN45" localSheetId="45">#REF!</definedName>
    <definedName name="___LN45">#REF!</definedName>
    <definedName name="___LN46" localSheetId="30">#REF!</definedName>
    <definedName name="___LN46" localSheetId="25">#REF!</definedName>
    <definedName name="___LN46" localSheetId="28">#REF!</definedName>
    <definedName name="___LN46" localSheetId="29">#REF!</definedName>
    <definedName name="___LN46" localSheetId="12">#REF!</definedName>
    <definedName name="___LN46" localSheetId="43">#REF!</definedName>
    <definedName name="___LN46" localSheetId="42">#REF!</definedName>
    <definedName name="___LN46" localSheetId="27">#REF!</definedName>
    <definedName name="___LN46" localSheetId="45">#REF!</definedName>
    <definedName name="___LN46">#REF!</definedName>
    <definedName name="___LN47" localSheetId="30">#REF!</definedName>
    <definedName name="___LN47" localSheetId="25">#REF!</definedName>
    <definedName name="___LN47" localSheetId="28">#REF!</definedName>
    <definedName name="___LN47" localSheetId="29">#REF!</definedName>
    <definedName name="___LN47" localSheetId="12">#REF!</definedName>
    <definedName name="___LN47" localSheetId="43">#REF!</definedName>
    <definedName name="___LN47" localSheetId="42">#REF!</definedName>
    <definedName name="___LN47" localSheetId="27">#REF!</definedName>
    <definedName name="___LN47" localSheetId="45">#REF!</definedName>
    <definedName name="___LN47">#REF!</definedName>
    <definedName name="___LN48" localSheetId="30">#REF!</definedName>
    <definedName name="___LN48" localSheetId="25">#REF!</definedName>
    <definedName name="___LN48" localSheetId="28">#REF!</definedName>
    <definedName name="___LN48" localSheetId="29">#REF!</definedName>
    <definedName name="___LN48" localSheetId="12">#REF!</definedName>
    <definedName name="___LN48" localSheetId="43">#REF!</definedName>
    <definedName name="___LN48" localSheetId="42">#REF!</definedName>
    <definedName name="___LN48" localSheetId="27">#REF!</definedName>
    <definedName name="___LN48" localSheetId="45">#REF!</definedName>
    <definedName name="___LN48">#REF!</definedName>
    <definedName name="___LN49" localSheetId="30">#REF!</definedName>
    <definedName name="___LN49" localSheetId="25">#REF!</definedName>
    <definedName name="___LN49" localSheetId="28">#REF!</definedName>
    <definedName name="___LN49" localSheetId="29">#REF!</definedName>
    <definedName name="___LN49" localSheetId="12">#REF!</definedName>
    <definedName name="___LN49" localSheetId="43">#REF!</definedName>
    <definedName name="___LN49" localSheetId="42">#REF!</definedName>
    <definedName name="___LN49" localSheetId="27">#REF!</definedName>
    <definedName name="___LN49" localSheetId="45">#REF!</definedName>
    <definedName name="___LN49">#REF!</definedName>
    <definedName name="___LN5" localSheetId="30">#REF!</definedName>
    <definedName name="___LN5" localSheetId="25">#REF!</definedName>
    <definedName name="___LN5" localSheetId="28">#REF!</definedName>
    <definedName name="___LN5" localSheetId="29">#REF!</definedName>
    <definedName name="___LN5" localSheetId="12">#REF!</definedName>
    <definedName name="___LN5" localSheetId="43">#REF!</definedName>
    <definedName name="___LN5" localSheetId="42">#REF!</definedName>
    <definedName name="___LN5" localSheetId="27">#REF!</definedName>
    <definedName name="___LN5" localSheetId="45">#REF!</definedName>
    <definedName name="___LN5">#REF!</definedName>
    <definedName name="___LN50" localSheetId="30">#REF!</definedName>
    <definedName name="___LN50" localSheetId="25">#REF!</definedName>
    <definedName name="___LN50" localSheetId="28">#REF!</definedName>
    <definedName name="___LN50" localSheetId="29">#REF!</definedName>
    <definedName name="___LN50" localSheetId="12">#REF!</definedName>
    <definedName name="___LN50" localSheetId="43">#REF!</definedName>
    <definedName name="___LN50" localSheetId="42">#REF!</definedName>
    <definedName name="___LN50" localSheetId="27">#REF!</definedName>
    <definedName name="___LN50" localSheetId="45">#REF!</definedName>
    <definedName name="___LN50">#REF!</definedName>
    <definedName name="___LN6" localSheetId="30">#REF!</definedName>
    <definedName name="___LN6" localSheetId="25">#REF!</definedName>
    <definedName name="___LN6" localSheetId="28">#REF!</definedName>
    <definedName name="___LN6" localSheetId="29">#REF!</definedName>
    <definedName name="___LN6" localSheetId="12">#REF!</definedName>
    <definedName name="___LN6" localSheetId="43">#REF!</definedName>
    <definedName name="___LN6" localSheetId="42">#REF!</definedName>
    <definedName name="___LN6" localSheetId="27">#REF!</definedName>
    <definedName name="___LN6" localSheetId="45">#REF!</definedName>
    <definedName name="___LN6">#REF!</definedName>
    <definedName name="___LN7" localSheetId="30">#REF!</definedName>
    <definedName name="___LN7" localSheetId="25">#REF!</definedName>
    <definedName name="___LN7" localSheetId="28">#REF!</definedName>
    <definedName name="___LN7" localSheetId="29">#REF!</definedName>
    <definedName name="___LN7" localSheetId="12">#REF!</definedName>
    <definedName name="___LN7" localSheetId="43">#REF!</definedName>
    <definedName name="___LN7" localSheetId="42">#REF!</definedName>
    <definedName name="___LN7" localSheetId="27">#REF!</definedName>
    <definedName name="___LN7" localSheetId="45">#REF!</definedName>
    <definedName name="___LN7">#REF!</definedName>
    <definedName name="___LN8" localSheetId="30">#REF!</definedName>
    <definedName name="___LN8" localSheetId="25">#REF!</definedName>
    <definedName name="___LN8" localSheetId="28">#REF!</definedName>
    <definedName name="___LN8" localSheetId="29">#REF!</definedName>
    <definedName name="___LN8" localSheetId="12">#REF!</definedName>
    <definedName name="___LN8" localSheetId="43">#REF!</definedName>
    <definedName name="___LN8" localSheetId="42">#REF!</definedName>
    <definedName name="___LN8" localSheetId="27">#REF!</definedName>
    <definedName name="___LN8" localSheetId="45">#REF!</definedName>
    <definedName name="___LN8">#REF!</definedName>
    <definedName name="___LN9" localSheetId="30">'[1]Water Demand'!#REF!</definedName>
    <definedName name="___LN9" localSheetId="25">'[1]Water Demand'!#REF!</definedName>
    <definedName name="___LN9" localSheetId="28">'[1]Water Demand'!#REF!</definedName>
    <definedName name="___LN9" localSheetId="29">'[1]Water Demand'!#REF!</definedName>
    <definedName name="___LN9" localSheetId="12">'[1]Water Demand'!#REF!</definedName>
    <definedName name="___LN9" localSheetId="43">'[1]Water Demand'!#REF!</definedName>
    <definedName name="___LN9" localSheetId="42">'[1]Water Demand'!#REF!</definedName>
    <definedName name="___LN9" localSheetId="27">'[1]Water Demand'!#REF!</definedName>
    <definedName name="___LN9" localSheetId="45">'[1]Water Demand'!#REF!</definedName>
    <definedName name="___LN9">'[1]Water Demand'!#REF!</definedName>
    <definedName name="___MC3" localSheetId="30" hidden="1">#REF!</definedName>
    <definedName name="___MC3" localSheetId="25" hidden="1">#REF!</definedName>
    <definedName name="___MC3" localSheetId="28" hidden="1">#REF!</definedName>
    <definedName name="___MC3" localSheetId="29" hidden="1">#REF!</definedName>
    <definedName name="___MC3" localSheetId="7" hidden="1">#REF!</definedName>
    <definedName name="___MC3" localSheetId="12" hidden="1">#REF!</definedName>
    <definedName name="___MC3" localSheetId="43" hidden="1">#REF!</definedName>
    <definedName name="___MC3" localSheetId="42" hidden="1">#REF!</definedName>
    <definedName name="___MC3" localSheetId="27" hidden="1">#REF!</definedName>
    <definedName name="___MC3" localSheetId="45" hidden="1">#REF!</definedName>
    <definedName name="___MC3" hidden="1">#REF!</definedName>
    <definedName name="___Re8">[5]DR!$D$33</definedName>
    <definedName name="___RSD1">'[2]Data-Table'!$D$26</definedName>
    <definedName name="___RSD2">'[2]Data-Table'!$D$27</definedName>
    <definedName name="___WN10">'[11]Pop Density'!$H$13</definedName>
    <definedName name="___WN11">'[11]Pop Density'!$H$14</definedName>
    <definedName name="___WN12">'[11]Pop Density'!$H$15</definedName>
    <definedName name="___WN13">'[11]Pop Density'!$H$16</definedName>
    <definedName name="___WN14">'[11]Pop Density'!$H$17</definedName>
    <definedName name="___WN15">'[11]Pop Density'!$H$18</definedName>
    <definedName name="___WN16">'[11]Pop Density'!$H$19</definedName>
    <definedName name="___WN17">'[11]Pop Density'!$H$20</definedName>
    <definedName name="___WN18">'[11]Pop Density'!$H$21</definedName>
    <definedName name="___WN2">'[11]Pop Density'!$H$5</definedName>
    <definedName name="___WN20">'[11]Pop Density'!$H$23</definedName>
    <definedName name="___WN21">'[11]Pop Density'!$H$24</definedName>
    <definedName name="___WN22">'[11]Pop Density'!$H$25</definedName>
    <definedName name="___WN3">'[11]Pop Density'!$H$6</definedName>
    <definedName name="___WN4">'[11]Pop Density'!$H$7</definedName>
    <definedName name="___WN5">'[11]Pop Density'!$H$8</definedName>
    <definedName name="___WN6">'[11]Pop Density'!$H$9</definedName>
    <definedName name="___WN7">'[11]Pop Density'!$H$10</definedName>
    <definedName name="___WN8">'[11]Pop Density'!$H$11</definedName>
    <definedName name="___WN9">'[11]Pop Density'!$H$12</definedName>
    <definedName name="__agg10">[8]MatCol!$K$106</definedName>
    <definedName name="__agg20">[8]MatCol!$K$100</definedName>
    <definedName name="__agg40">[8]MatCol!$K$94</definedName>
    <definedName name="__cgi26">[8]MatCol!$K$59</definedName>
    <definedName name="__DPC124" localSheetId="30">#REF!</definedName>
    <definedName name="__DPC124" localSheetId="25">#REF!</definedName>
    <definedName name="__DPC124" localSheetId="28">#REF!</definedName>
    <definedName name="__DPC124" localSheetId="29">#REF!</definedName>
    <definedName name="__DPC124" localSheetId="12">#REF!</definedName>
    <definedName name="__DPC124" localSheetId="43">#REF!</definedName>
    <definedName name="__DPC124" localSheetId="42">#REF!</definedName>
    <definedName name="__DPC124" localSheetId="27">#REF!</definedName>
    <definedName name="__DPC124" localSheetId="45">#REF!</definedName>
    <definedName name="__DPC124">#REF!</definedName>
    <definedName name="__DPC136" localSheetId="30">#REF!</definedName>
    <definedName name="__DPC136" localSheetId="25">#REF!</definedName>
    <definedName name="__DPC136" localSheetId="28">#REF!</definedName>
    <definedName name="__DPC136" localSheetId="29">#REF!</definedName>
    <definedName name="__DPC136" localSheetId="12">#REF!</definedName>
    <definedName name="__DPC136" localSheetId="43">#REF!</definedName>
    <definedName name="__DPC136" localSheetId="42">#REF!</definedName>
    <definedName name="__DPC136" localSheetId="27">#REF!</definedName>
    <definedName name="__DPC136" localSheetId="45">#REF!</definedName>
    <definedName name="__DPC136">#REF!</definedName>
    <definedName name="__DPC148" localSheetId="30">#REF!</definedName>
    <definedName name="__DPC148" localSheetId="25">#REF!</definedName>
    <definedName name="__DPC148" localSheetId="28">#REF!</definedName>
    <definedName name="__DPC148" localSheetId="29">#REF!</definedName>
    <definedName name="__DPC148" localSheetId="12">#REF!</definedName>
    <definedName name="__DPC148" localSheetId="43">#REF!</definedName>
    <definedName name="__DPC148" localSheetId="42">#REF!</definedName>
    <definedName name="__DPC148" localSheetId="27">#REF!</definedName>
    <definedName name="__DPC148" localSheetId="45">#REF!</definedName>
    <definedName name="__DPC148">#REF!</definedName>
    <definedName name="__FRT18" localSheetId="30" hidden="1">[12]FRT!#REF!</definedName>
    <definedName name="__FRT18" localSheetId="25" hidden="1">[12]FRT!#REF!</definedName>
    <definedName name="__FRT18" localSheetId="28" hidden="1">[12]FRT!#REF!</definedName>
    <definedName name="__FRT18" localSheetId="29" hidden="1">[12]FRT!#REF!</definedName>
    <definedName name="__FRT18" localSheetId="7" hidden="1">[12]FRT!#REF!</definedName>
    <definedName name="__FRT18" localSheetId="12" hidden="1">[12]FRT!#REF!</definedName>
    <definedName name="__FRT18" localSheetId="43" hidden="1">[12]FRT!#REF!</definedName>
    <definedName name="__FRT18" localSheetId="42" hidden="1">[12]FRT!#REF!</definedName>
    <definedName name="__FRT18" localSheetId="27" hidden="1">[12]FRT!#REF!</definedName>
    <definedName name="__FRT18" localSheetId="45" hidden="1">[12]FRT!#REF!</definedName>
    <definedName name="__FRT18" hidden="1">[12]FRT!#REF!</definedName>
    <definedName name="__FRT2" hidden="1">[12]FRT!$K$87</definedName>
    <definedName name="__FRT20" hidden="1">[8]FRT!$K$333</definedName>
    <definedName name="__FRT3" localSheetId="30" hidden="1">[8]FRT!#REF!</definedName>
    <definedName name="__FRT3" localSheetId="25" hidden="1">[8]FRT!#REF!</definedName>
    <definedName name="__FRT3" localSheetId="28" hidden="1">[8]FRT!#REF!</definedName>
    <definedName name="__FRT3" localSheetId="29" hidden="1">[8]FRT!#REF!</definedName>
    <definedName name="__FRT3" localSheetId="12" hidden="1">[8]FRT!#REF!</definedName>
    <definedName name="__FRT3" localSheetId="43" hidden="1">[8]FRT!#REF!</definedName>
    <definedName name="__FRT3" localSheetId="42" hidden="1">[8]FRT!#REF!</definedName>
    <definedName name="__FRT3" localSheetId="27" hidden="1">[8]FRT!#REF!</definedName>
    <definedName name="__FRT3" localSheetId="45" hidden="1">[8]FRT!#REF!</definedName>
    <definedName name="__FRT3" hidden="1">[8]FRT!#REF!</definedName>
    <definedName name="__FRT4" hidden="1">[8]FRT!$K$169</definedName>
    <definedName name="__FRT5" localSheetId="30" hidden="1">'[13]FRT 1'!#REF!</definedName>
    <definedName name="__FRT5" localSheetId="25" hidden="1">'[13]FRT 1'!#REF!</definedName>
    <definedName name="__FRT5" localSheetId="28" hidden="1">'[13]FRT 1'!#REF!</definedName>
    <definedName name="__FRT5" localSheetId="29" hidden="1">'[13]FRT 1'!#REF!</definedName>
    <definedName name="__FRT5" localSheetId="12" hidden="1">'[13]FRT 1'!#REF!</definedName>
    <definedName name="__FRT5" localSheetId="43" hidden="1">'[13]FRT 1'!#REF!</definedName>
    <definedName name="__FRT5" localSheetId="42" hidden="1">'[13]FRT 1'!#REF!</definedName>
    <definedName name="__FRT5" localSheetId="27" hidden="1">'[13]FRT 1'!#REF!</definedName>
    <definedName name="__FRT5" localSheetId="45" hidden="1">'[13]FRT 1'!#REF!</definedName>
    <definedName name="__FRT5" hidden="1">'[13]FRT 1'!#REF!</definedName>
    <definedName name="__FRT6" hidden="1">[8]FRT!$K$87</definedName>
    <definedName name="__FRT9" hidden="1">[8]FRT!$K$251</definedName>
    <definedName name="__LN1" localSheetId="30">'[1]Water Demand'!#REF!</definedName>
    <definedName name="__LN1" localSheetId="25">'[1]Water Demand'!#REF!</definedName>
    <definedName name="__LN1" localSheetId="28">'[1]Water Demand'!#REF!</definedName>
    <definedName name="__LN1" localSheetId="29">'[1]Water Demand'!#REF!</definedName>
    <definedName name="__LN1" localSheetId="12">'[1]Water Demand'!#REF!</definedName>
    <definedName name="__LN1" localSheetId="43">'[1]Water Demand'!#REF!</definedName>
    <definedName name="__LN1" localSheetId="42">'[1]Water Demand'!#REF!</definedName>
    <definedName name="__LN1" localSheetId="27">'[1]Water Demand'!#REF!</definedName>
    <definedName name="__LN1" localSheetId="45">'[1]Water Demand'!#REF!</definedName>
    <definedName name="__LN1">'[1]Water Demand'!#REF!</definedName>
    <definedName name="__LN10" localSheetId="30">'[1]Water Demand'!#REF!</definedName>
    <definedName name="__LN10" localSheetId="25">'[1]Water Demand'!#REF!</definedName>
    <definedName name="__LN10" localSheetId="28">'[1]Water Demand'!#REF!</definedName>
    <definedName name="__LN10" localSheetId="29">'[1]Water Demand'!#REF!</definedName>
    <definedName name="__LN10" localSheetId="12">'[1]Water Demand'!#REF!</definedName>
    <definedName name="__LN10" localSheetId="43">'[1]Water Demand'!#REF!</definedName>
    <definedName name="__LN10" localSheetId="42">'[1]Water Demand'!#REF!</definedName>
    <definedName name="__LN10" localSheetId="27">'[1]Water Demand'!#REF!</definedName>
    <definedName name="__LN10" localSheetId="45">'[1]Water Demand'!#REF!</definedName>
    <definedName name="__LN10">'[1]Water Demand'!#REF!</definedName>
    <definedName name="__LN11" localSheetId="30">'[1]Water Demand'!#REF!</definedName>
    <definedName name="__LN11" localSheetId="25">'[1]Water Demand'!#REF!</definedName>
    <definedName name="__LN11" localSheetId="28">'[1]Water Demand'!#REF!</definedName>
    <definedName name="__LN11" localSheetId="29">'[1]Water Demand'!#REF!</definedName>
    <definedName name="__LN11" localSheetId="12">'[1]Water Demand'!#REF!</definedName>
    <definedName name="__LN11" localSheetId="43">'[1]Water Demand'!#REF!</definedName>
    <definedName name="__LN11" localSheetId="42">'[1]Water Demand'!#REF!</definedName>
    <definedName name="__LN11" localSheetId="27">'[1]Water Demand'!#REF!</definedName>
    <definedName name="__LN11" localSheetId="45">'[1]Water Demand'!#REF!</definedName>
    <definedName name="__LN11">'[1]Water Demand'!#REF!</definedName>
    <definedName name="__LN12" localSheetId="30">'[1]Water Demand'!#REF!</definedName>
    <definedName name="__LN12" localSheetId="25">'[1]Water Demand'!#REF!</definedName>
    <definedName name="__LN12" localSheetId="28">'[1]Water Demand'!#REF!</definedName>
    <definedName name="__LN12" localSheetId="29">'[1]Water Demand'!#REF!</definedName>
    <definedName name="__LN12" localSheetId="12">'[1]Water Demand'!#REF!</definedName>
    <definedName name="__LN12" localSheetId="43">'[1]Water Demand'!#REF!</definedName>
    <definedName name="__LN12" localSheetId="42">'[1]Water Demand'!#REF!</definedName>
    <definedName name="__LN12" localSheetId="27">'[1]Water Demand'!#REF!</definedName>
    <definedName name="__LN12" localSheetId="45">'[1]Water Demand'!#REF!</definedName>
    <definedName name="__LN12">'[1]Water Demand'!#REF!</definedName>
    <definedName name="__LN13" localSheetId="30">'[1]Water Demand'!#REF!</definedName>
    <definedName name="__LN13" localSheetId="25">'[1]Water Demand'!#REF!</definedName>
    <definedName name="__LN13" localSheetId="28">'[1]Water Demand'!#REF!</definedName>
    <definedName name="__LN13" localSheetId="29">'[1]Water Demand'!#REF!</definedName>
    <definedName name="__LN13" localSheetId="12">'[1]Water Demand'!#REF!</definedName>
    <definedName name="__LN13" localSheetId="43">'[1]Water Demand'!#REF!</definedName>
    <definedName name="__LN13" localSheetId="42">'[1]Water Demand'!#REF!</definedName>
    <definedName name="__LN13" localSheetId="27">'[1]Water Demand'!#REF!</definedName>
    <definedName name="__LN13" localSheetId="45">'[1]Water Demand'!#REF!</definedName>
    <definedName name="__LN13">'[1]Water Demand'!#REF!</definedName>
    <definedName name="__LN14" localSheetId="30">'[1]Water Demand'!#REF!</definedName>
    <definedName name="__LN14" localSheetId="25">'[1]Water Demand'!#REF!</definedName>
    <definedName name="__LN14" localSheetId="28">'[1]Water Demand'!#REF!</definedName>
    <definedName name="__LN14" localSheetId="29">'[1]Water Demand'!#REF!</definedName>
    <definedName name="__LN14" localSheetId="12">'[1]Water Demand'!#REF!</definedName>
    <definedName name="__LN14" localSheetId="43">'[1]Water Demand'!#REF!</definedName>
    <definedName name="__LN14" localSheetId="42">'[1]Water Demand'!#REF!</definedName>
    <definedName name="__LN14" localSheetId="27">'[1]Water Demand'!#REF!</definedName>
    <definedName name="__LN14" localSheetId="45">'[1]Water Demand'!#REF!</definedName>
    <definedName name="__LN14">'[1]Water Demand'!#REF!</definedName>
    <definedName name="__LN15" localSheetId="30">'[1]Water Demand'!#REF!</definedName>
    <definedName name="__LN15" localSheetId="25">'[1]Water Demand'!#REF!</definedName>
    <definedName name="__LN15" localSheetId="28">'[1]Water Demand'!#REF!</definedName>
    <definedName name="__LN15" localSheetId="29">'[1]Water Demand'!#REF!</definedName>
    <definedName name="__LN15" localSheetId="12">'[1]Water Demand'!#REF!</definedName>
    <definedName name="__LN15" localSheetId="43">'[1]Water Demand'!#REF!</definedName>
    <definedName name="__LN15" localSheetId="42">'[1]Water Demand'!#REF!</definedName>
    <definedName name="__LN15" localSheetId="27">'[1]Water Demand'!#REF!</definedName>
    <definedName name="__LN15" localSheetId="45">'[1]Water Demand'!#REF!</definedName>
    <definedName name="__LN15">'[1]Water Demand'!#REF!</definedName>
    <definedName name="__LN16" localSheetId="30">'[1]Water Demand'!#REF!</definedName>
    <definedName name="__LN16" localSheetId="25">'[1]Water Demand'!#REF!</definedName>
    <definedName name="__LN16" localSheetId="28">'[1]Water Demand'!#REF!</definedName>
    <definedName name="__LN16" localSheetId="29">'[1]Water Demand'!#REF!</definedName>
    <definedName name="__LN16" localSheetId="12">'[1]Water Demand'!#REF!</definedName>
    <definedName name="__LN16" localSheetId="43">'[1]Water Demand'!#REF!</definedName>
    <definedName name="__LN16" localSheetId="42">'[1]Water Demand'!#REF!</definedName>
    <definedName name="__LN16" localSheetId="27">'[1]Water Demand'!#REF!</definedName>
    <definedName name="__LN16" localSheetId="45">'[1]Water Demand'!#REF!</definedName>
    <definedName name="__LN16">'[1]Water Demand'!#REF!</definedName>
    <definedName name="__LN17" localSheetId="30">'[1]Water Demand'!#REF!</definedName>
    <definedName name="__LN17" localSheetId="25">'[1]Water Demand'!#REF!</definedName>
    <definedName name="__LN17" localSheetId="28">'[1]Water Demand'!#REF!</definedName>
    <definedName name="__LN17" localSheetId="29">'[1]Water Demand'!#REF!</definedName>
    <definedName name="__LN17" localSheetId="12">'[1]Water Demand'!#REF!</definedName>
    <definedName name="__LN17" localSheetId="43">'[1]Water Demand'!#REF!</definedName>
    <definedName name="__LN17" localSheetId="42">'[1]Water Demand'!#REF!</definedName>
    <definedName name="__LN17" localSheetId="27">'[1]Water Demand'!#REF!</definedName>
    <definedName name="__LN17" localSheetId="45">'[1]Water Demand'!#REF!</definedName>
    <definedName name="__LN17">'[1]Water Demand'!#REF!</definedName>
    <definedName name="__LN18" localSheetId="30">'[1]Water Demand'!#REF!</definedName>
    <definedName name="__LN18" localSheetId="25">'[1]Water Demand'!#REF!</definedName>
    <definedName name="__LN18" localSheetId="28">'[1]Water Demand'!#REF!</definedName>
    <definedName name="__LN18" localSheetId="29">'[1]Water Demand'!#REF!</definedName>
    <definedName name="__LN18" localSheetId="12">'[1]Water Demand'!#REF!</definedName>
    <definedName name="__LN18" localSheetId="43">'[1]Water Demand'!#REF!</definedName>
    <definedName name="__LN18" localSheetId="42">'[1]Water Demand'!#REF!</definedName>
    <definedName name="__LN18" localSheetId="27">'[1]Water Demand'!#REF!</definedName>
    <definedName name="__LN18" localSheetId="45">'[1]Water Demand'!#REF!</definedName>
    <definedName name="__LN18">'[1]Water Demand'!#REF!</definedName>
    <definedName name="__LN19" localSheetId="30">'[1]Water Demand'!#REF!</definedName>
    <definedName name="__LN19" localSheetId="25">'[1]Water Demand'!#REF!</definedName>
    <definedName name="__LN19" localSheetId="28">'[1]Water Demand'!#REF!</definedName>
    <definedName name="__LN19" localSheetId="29">'[1]Water Demand'!#REF!</definedName>
    <definedName name="__LN19" localSheetId="12">'[1]Water Demand'!#REF!</definedName>
    <definedName name="__LN19" localSheetId="43">'[1]Water Demand'!#REF!</definedName>
    <definedName name="__LN19" localSheetId="42">'[1]Water Demand'!#REF!</definedName>
    <definedName name="__LN19" localSheetId="27">'[1]Water Demand'!#REF!</definedName>
    <definedName name="__LN19" localSheetId="45">'[1]Water Demand'!#REF!</definedName>
    <definedName name="__LN19">'[1]Water Demand'!#REF!</definedName>
    <definedName name="__LN2" localSheetId="30">'[1]Water Demand'!#REF!</definedName>
    <definedName name="__LN2" localSheetId="25">'[1]Water Demand'!#REF!</definedName>
    <definedName name="__LN2" localSheetId="28">'[1]Water Demand'!#REF!</definedName>
    <definedName name="__LN2" localSheetId="29">'[1]Water Demand'!#REF!</definedName>
    <definedName name="__LN2" localSheetId="12">'[1]Water Demand'!#REF!</definedName>
    <definedName name="__LN2" localSheetId="43">'[1]Water Demand'!#REF!</definedName>
    <definedName name="__LN2" localSheetId="42">'[1]Water Demand'!#REF!</definedName>
    <definedName name="__LN2" localSheetId="27">'[1]Water Demand'!#REF!</definedName>
    <definedName name="__LN2" localSheetId="45">'[1]Water Demand'!#REF!</definedName>
    <definedName name="__LN2">'[1]Water Demand'!#REF!</definedName>
    <definedName name="__LN20" localSheetId="30">#REF!</definedName>
    <definedName name="__LN20" localSheetId="25">#REF!</definedName>
    <definedName name="__LN20" localSheetId="28">#REF!</definedName>
    <definedName name="__LN20" localSheetId="29">#REF!</definedName>
    <definedName name="__LN20" localSheetId="12">#REF!</definedName>
    <definedName name="__LN20" localSheetId="43">#REF!</definedName>
    <definedName name="__LN20" localSheetId="42">#REF!</definedName>
    <definedName name="__LN20" localSheetId="27">#REF!</definedName>
    <definedName name="__LN20" localSheetId="45">#REF!</definedName>
    <definedName name="__LN20">#REF!</definedName>
    <definedName name="__LN21" localSheetId="30">#REF!</definedName>
    <definedName name="__LN21" localSheetId="25">#REF!</definedName>
    <definedName name="__LN21" localSheetId="28">#REF!</definedName>
    <definedName name="__LN21" localSheetId="29">#REF!</definedName>
    <definedName name="__LN21" localSheetId="12">#REF!</definedName>
    <definedName name="__LN21" localSheetId="43">#REF!</definedName>
    <definedName name="__LN21" localSheetId="42">#REF!</definedName>
    <definedName name="__LN21" localSheetId="27">#REF!</definedName>
    <definedName name="__LN21" localSheetId="45">#REF!</definedName>
    <definedName name="__LN21">#REF!</definedName>
    <definedName name="__LN22" localSheetId="30">'[1]Water Demand'!#REF!</definedName>
    <definedName name="__LN22" localSheetId="25">'[1]Water Demand'!#REF!</definedName>
    <definedName name="__LN22" localSheetId="28">'[1]Water Demand'!#REF!</definedName>
    <definedName name="__LN22" localSheetId="29">'[1]Water Demand'!#REF!</definedName>
    <definedName name="__LN22" localSheetId="12">'[1]Water Demand'!#REF!</definedName>
    <definedName name="__LN22" localSheetId="43">'[1]Water Demand'!#REF!</definedName>
    <definedName name="__LN22" localSheetId="42">'[1]Water Demand'!#REF!</definedName>
    <definedName name="__LN22" localSheetId="27">'[1]Water Demand'!#REF!</definedName>
    <definedName name="__LN22" localSheetId="45">'[1]Water Demand'!#REF!</definedName>
    <definedName name="__LN22">'[1]Water Demand'!#REF!</definedName>
    <definedName name="__LN23" localSheetId="30">'[1]Water Demand'!#REF!</definedName>
    <definedName name="__LN23" localSheetId="25">'[1]Water Demand'!#REF!</definedName>
    <definedName name="__LN23" localSheetId="28">'[1]Water Demand'!#REF!</definedName>
    <definedName name="__LN23" localSheetId="29">'[1]Water Demand'!#REF!</definedName>
    <definedName name="__LN23" localSheetId="12">'[1]Water Demand'!#REF!</definedName>
    <definedName name="__LN23" localSheetId="43">'[1]Water Demand'!#REF!</definedName>
    <definedName name="__LN23" localSheetId="42">'[1]Water Demand'!#REF!</definedName>
    <definedName name="__LN23" localSheetId="27">'[1]Water Demand'!#REF!</definedName>
    <definedName name="__LN23" localSheetId="45">'[1]Water Demand'!#REF!</definedName>
    <definedName name="__LN23">'[1]Water Demand'!#REF!</definedName>
    <definedName name="__LN24" localSheetId="30">'[1]Water Demand'!#REF!</definedName>
    <definedName name="__LN24" localSheetId="25">'[1]Water Demand'!#REF!</definedName>
    <definedName name="__LN24" localSheetId="28">'[1]Water Demand'!#REF!</definedName>
    <definedName name="__LN24" localSheetId="29">'[1]Water Demand'!#REF!</definedName>
    <definedName name="__LN24" localSheetId="12">'[1]Water Demand'!#REF!</definedName>
    <definedName name="__LN24" localSheetId="43">'[1]Water Demand'!#REF!</definedName>
    <definedName name="__LN24" localSheetId="42">'[1]Water Demand'!#REF!</definedName>
    <definedName name="__LN24" localSheetId="27">'[1]Water Demand'!#REF!</definedName>
    <definedName name="__LN24" localSheetId="45">'[1]Water Demand'!#REF!</definedName>
    <definedName name="__LN24">'[1]Water Demand'!#REF!</definedName>
    <definedName name="__LN25" localSheetId="30">'[1]Water Demand'!#REF!</definedName>
    <definedName name="__LN25" localSheetId="25">'[1]Water Demand'!#REF!</definedName>
    <definedName name="__LN25" localSheetId="28">'[1]Water Demand'!#REF!</definedName>
    <definedName name="__LN25" localSheetId="29">'[1]Water Demand'!#REF!</definedName>
    <definedName name="__LN25" localSheetId="12">'[1]Water Demand'!#REF!</definedName>
    <definedName name="__LN25" localSheetId="43">'[1]Water Demand'!#REF!</definedName>
    <definedName name="__LN25" localSheetId="42">'[1]Water Demand'!#REF!</definedName>
    <definedName name="__LN25" localSheetId="27">'[1]Water Demand'!#REF!</definedName>
    <definedName name="__LN25" localSheetId="45">'[1]Water Demand'!#REF!</definedName>
    <definedName name="__LN25">'[1]Water Demand'!#REF!</definedName>
    <definedName name="__LN26" localSheetId="30">'[1]Water Demand'!#REF!</definedName>
    <definedName name="__LN26" localSheetId="25">'[1]Water Demand'!#REF!</definedName>
    <definedName name="__LN26" localSheetId="28">'[1]Water Demand'!#REF!</definedName>
    <definedName name="__LN26" localSheetId="29">'[1]Water Demand'!#REF!</definedName>
    <definedName name="__LN26" localSheetId="12">'[1]Water Demand'!#REF!</definedName>
    <definedName name="__LN26" localSheetId="43">'[1]Water Demand'!#REF!</definedName>
    <definedName name="__LN26" localSheetId="42">'[1]Water Demand'!#REF!</definedName>
    <definedName name="__LN26" localSheetId="27">'[1]Water Demand'!#REF!</definedName>
    <definedName name="__LN26" localSheetId="45">'[1]Water Demand'!#REF!</definedName>
    <definedName name="__LN26">'[1]Water Demand'!#REF!</definedName>
    <definedName name="__LN27" localSheetId="30">'[1]Water Demand'!#REF!</definedName>
    <definedName name="__LN27" localSheetId="25">'[1]Water Demand'!#REF!</definedName>
    <definedName name="__LN27" localSheetId="28">'[1]Water Demand'!#REF!</definedName>
    <definedName name="__LN27" localSheetId="29">'[1]Water Demand'!#REF!</definedName>
    <definedName name="__LN27" localSheetId="12">'[1]Water Demand'!#REF!</definedName>
    <definedName name="__LN27" localSheetId="43">'[1]Water Demand'!#REF!</definedName>
    <definedName name="__LN27" localSheetId="42">'[1]Water Demand'!#REF!</definedName>
    <definedName name="__LN27" localSheetId="27">'[1]Water Demand'!#REF!</definedName>
    <definedName name="__LN27" localSheetId="45">'[1]Water Demand'!#REF!</definedName>
    <definedName name="__LN27">'[1]Water Demand'!#REF!</definedName>
    <definedName name="__LN28" localSheetId="30">'[1]Water Demand'!#REF!</definedName>
    <definedName name="__LN28" localSheetId="25">'[1]Water Demand'!#REF!</definedName>
    <definedName name="__LN28" localSheetId="28">'[1]Water Demand'!#REF!</definedName>
    <definedName name="__LN28" localSheetId="29">'[1]Water Demand'!#REF!</definedName>
    <definedName name="__LN28" localSheetId="12">'[1]Water Demand'!#REF!</definedName>
    <definedName name="__LN28" localSheetId="43">'[1]Water Demand'!#REF!</definedName>
    <definedName name="__LN28" localSheetId="42">'[1]Water Demand'!#REF!</definedName>
    <definedName name="__LN28" localSheetId="27">'[1]Water Demand'!#REF!</definedName>
    <definedName name="__LN28" localSheetId="45">'[1]Water Demand'!#REF!</definedName>
    <definedName name="__LN28">'[1]Water Demand'!#REF!</definedName>
    <definedName name="__LN29" localSheetId="30">'[1]Water Demand'!#REF!</definedName>
    <definedName name="__LN29" localSheetId="25">'[1]Water Demand'!#REF!</definedName>
    <definedName name="__LN29" localSheetId="28">'[1]Water Demand'!#REF!</definedName>
    <definedName name="__LN29" localSheetId="29">'[1]Water Demand'!#REF!</definedName>
    <definedName name="__LN29" localSheetId="12">'[1]Water Demand'!#REF!</definedName>
    <definedName name="__LN29" localSheetId="43">'[1]Water Demand'!#REF!</definedName>
    <definedName name="__LN29" localSheetId="42">'[1]Water Demand'!#REF!</definedName>
    <definedName name="__LN29" localSheetId="27">'[1]Water Demand'!#REF!</definedName>
    <definedName name="__LN29" localSheetId="45">'[1]Water Demand'!#REF!</definedName>
    <definedName name="__LN29">'[1]Water Demand'!#REF!</definedName>
    <definedName name="__LN3" localSheetId="30">#REF!</definedName>
    <definedName name="__LN3" localSheetId="25">#REF!</definedName>
    <definedName name="__LN3" localSheetId="28">#REF!</definedName>
    <definedName name="__LN3" localSheetId="29">#REF!</definedName>
    <definedName name="__LN3" localSheetId="12">#REF!</definedName>
    <definedName name="__LN3" localSheetId="43">#REF!</definedName>
    <definedName name="__LN3" localSheetId="42">#REF!</definedName>
    <definedName name="__LN3" localSheetId="27">#REF!</definedName>
    <definedName name="__LN3" localSheetId="45">#REF!</definedName>
    <definedName name="__LN3">#REF!</definedName>
    <definedName name="__LN30" localSheetId="30">'[1]Water Demand'!#REF!</definedName>
    <definedName name="__LN30" localSheetId="25">'[1]Water Demand'!#REF!</definedName>
    <definedName name="__LN30" localSheetId="28">'[1]Water Demand'!#REF!</definedName>
    <definedName name="__LN30" localSheetId="29">'[1]Water Demand'!#REF!</definedName>
    <definedName name="__LN30" localSheetId="12">'[1]Water Demand'!#REF!</definedName>
    <definedName name="__LN30" localSheetId="43">'[1]Water Demand'!#REF!</definedName>
    <definedName name="__LN30" localSheetId="42">'[1]Water Demand'!#REF!</definedName>
    <definedName name="__LN30" localSheetId="27">'[1]Water Demand'!#REF!</definedName>
    <definedName name="__LN30" localSheetId="45">'[1]Water Demand'!#REF!</definedName>
    <definedName name="__LN30">'[1]Water Demand'!#REF!</definedName>
    <definedName name="__LN31" localSheetId="30">#REF!</definedName>
    <definedName name="__LN31" localSheetId="25">#REF!</definedName>
    <definedName name="__LN31" localSheetId="28">#REF!</definedName>
    <definedName name="__LN31" localSheetId="29">#REF!</definedName>
    <definedName name="__LN31" localSheetId="12">#REF!</definedName>
    <definedName name="__LN31" localSheetId="43">#REF!</definedName>
    <definedName name="__LN31" localSheetId="42">#REF!</definedName>
    <definedName name="__LN31" localSheetId="27">#REF!</definedName>
    <definedName name="__LN31" localSheetId="45">#REF!</definedName>
    <definedName name="__LN31">#REF!</definedName>
    <definedName name="__LN32" localSheetId="30">#REF!</definedName>
    <definedName name="__LN32" localSheetId="25">#REF!</definedName>
    <definedName name="__LN32" localSheetId="28">#REF!</definedName>
    <definedName name="__LN32" localSheetId="29">#REF!</definedName>
    <definedName name="__LN32" localSheetId="12">#REF!</definedName>
    <definedName name="__LN32" localSheetId="43">#REF!</definedName>
    <definedName name="__LN32" localSheetId="42">#REF!</definedName>
    <definedName name="__LN32" localSheetId="27">#REF!</definedName>
    <definedName name="__LN32" localSheetId="45">#REF!</definedName>
    <definedName name="__LN32">#REF!</definedName>
    <definedName name="__LN33" localSheetId="30">#REF!</definedName>
    <definedName name="__LN33" localSheetId="25">#REF!</definedName>
    <definedName name="__LN33" localSheetId="28">#REF!</definedName>
    <definedName name="__LN33" localSheetId="29">#REF!</definedName>
    <definedName name="__LN33" localSheetId="12">#REF!</definedName>
    <definedName name="__LN33" localSheetId="43">#REF!</definedName>
    <definedName name="__LN33" localSheetId="42">#REF!</definedName>
    <definedName name="__LN33" localSheetId="27">#REF!</definedName>
    <definedName name="__LN33" localSheetId="45">#REF!</definedName>
    <definedName name="__LN33">#REF!</definedName>
    <definedName name="__LN34" localSheetId="30">#REF!</definedName>
    <definedName name="__LN34" localSheetId="25">#REF!</definedName>
    <definedName name="__LN34" localSheetId="28">#REF!</definedName>
    <definedName name="__LN34" localSheetId="29">#REF!</definedName>
    <definedName name="__LN34" localSheetId="12">#REF!</definedName>
    <definedName name="__LN34" localSheetId="43">#REF!</definedName>
    <definedName name="__LN34" localSheetId="42">#REF!</definedName>
    <definedName name="__LN34" localSheetId="27">#REF!</definedName>
    <definedName name="__LN34" localSheetId="45">#REF!</definedName>
    <definedName name="__LN34">#REF!</definedName>
    <definedName name="__LN35" localSheetId="30">#REF!</definedName>
    <definedName name="__LN35" localSheetId="25">#REF!</definedName>
    <definedName name="__LN35" localSheetId="28">#REF!</definedName>
    <definedName name="__LN35" localSheetId="29">#REF!</definedName>
    <definedName name="__LN35" localSheetId="12">#REF!</definedName>
    <definedName name="__LN35" localSheetId="43">#REF!</definedName>
    <definedName name="__LN35" localSheetId="42">#REF!</definedName>
    <definedName name="__LN35" localSheetId="27">#REF!</definedName>
    <definedName name="__LN35" localSheetId="45">#REF!</definedName>
    <definedName name="__LN35">#REF!</definedName>
    <definedName name="__LN36" localSheetId="30">#REF!</definedName>
    <definedName name="__LN36" localSheetId="25">#REF!</definedName>
    <definedName name="__LN36" localSheetId="28">#REF!</definedName>
    <definedName name="__LN36" localSheetId="29">#REF!</definedName>
    <definedName name="__LN36" localSheetId="12">#REF!</definedName>
    <definedName name="__LN36" localSheetId="43">#REF!</definedName>
    <definedName name="__LN36" localSheetId="42">#REF!</definedName>
    <definedName name="__LN36" localSheetId="27">#REF!</definedName>
    <definedName name="__LN36" localSheetId="45">#REF!</definedName>
    <definedName name="__LN36">#REF!</definedName>
    <definedName name="__LN37" localSheetId="30">#REF!</definedName>
    <definedName name="__LN37" localSheetId="25">#REF!</definedName>
    <definedName name="__LN37" localSheetId="28">#REF!</definedName>
    <definedName name="__LN37" localSheetId="29">#REF!</definedName>
    <definedName name="__LN37" localSheetId="12">#REF!</definedName>
    <definedName name="__LN37" localSheetId="43">#REF!</definedName>
    <definedName name="__LN37" localSheetId="42">#REF!</definedName>
    <definedName name="__LN37" localSheetId="27">#REF!</definedName>
    <definedName name="__LN37" localSheetId="45">#REF!</definedName>
    <definedName name="__LN37">#REF!</definedName>
    <definedName name="__LN38" localSheetId="30">#REF!</definedName>
    <definedName name="__LN38" localSheetId="25">#REF!</definedName>
    <definedName name="__LN38" localSheetId="28">#REF!</definedName>
    <definedName name="__LN38" localSheetId="29">#REF!</definedName>
    <definedName name="__LN38" localSheetId="12">#REF!</definedName>
    <definedName name="__LN38" localSheetId="43">#REF!</definedName>
    <definedName name="__LN38" localSheetId="42">#REF!</definedName>
    <definedName name="__LN38" localSheetId="27">#REF!</definedName>
    <definedName name="__LN38" localSheetId="45">#REF!</definedName>
    <definedName name="__LN38">#REF!</definedName>
    <definedName name="__LN39" localSheetId="30">#REF!</definedName>
    <definedName name="__LN39" localSheetId="25">#REF!</definedName>
    <definedName name="__LN39" localSheetId="28">#REF!</definedName>
    <definedName name="__LN39" localSheetId="29">#REF!</definedName>
    <definedName name="__LN39" localSheetId="12">#REF!</definedName>
    <definedName name="__LN39" localSheetId="43">#REF!</definedName>
    <definedName name="__LN39" localSheetId="42">#REF!</definedName>
    <definedName name="__LN39" localSheetId="27">#REF!</definedName>
    <definedName name="__LN39" localSheetId="45">#REF!</definedName>
    <definedName name="__LN39">#REF!</definedName>
    <definedName name="__LN4" localSheetId="30">#REF!</definedName>
    <definedName name="__LN4" localSheetId="25">#REF!</definedName>
    <definedName name="__LN4" localSheetId="28">#REF!</definedName>
    <definedName name="__LN4" localSheetId="29">#REF!</definedName>
    <definedName name="__LN4" localSheetId="12">#REF!</definedName>
    <definedName name="__LN4" localSheetId="43">#REF!</definedName>
    <definedName name="__LN4" localSheetId="42">#REF!</definedName>
    <definedName name="__LN4" localSheetId="27">#REF!</definedName>
    <definedName name="__LN4" localSheetId="45">#REF!</definedName>
    <definedName name="__LN4">#REF!</definedName>
    <definedName name="__LN40" localSheetId="30">#REF!</definedName>
    <definedName name="__LN40" localSheetId="25">#REF!</definedName>
    <definedName name="__LN40" localSheetId="28">#REF!</definedName>
    <definedName name="__LN40" localSheetId="29">#REF!</definedName>
    <definedName name="__LN40" localSheetId="12">#REF!</definedName>
    <definedName name="__LN40" localSheetId="43">#REF!</definedName>
    <definedName name="__LN40" localSheetId="42">#REF!</definedName>
    <definedName name="__LN40" localSheetId="27">#REF!</definedName>
    <definedName name="__LN40" localSheetId="45">#REF!</definedName>
    <definedName name="__LN40">#REF!</definedName>
    <definedName name="__LN41" localSheetId="30">#REF!</definedName>
    <definedName name="__LN41" localSheetId="25">#REF!</definedName>
    <definedName name="__LN41" localSheetId="28">#REF!</definedName>
    <definedName name="__LN41" localSheetId="29">#REF!</definedName>
    <definedName name="__LN41" localSheetId="12">#REF!</definedName>
    <definedName name="__LN41" localSheetId="43">#REF!</definedName>
    <definedName name="__LN41" localSheetId="42">#REF!</definedName>
    <definedName name="__LN41" localSheetId="27">#REF!</definedName>
    <definedName name="__LN41" localSheetId="45">#REF!</definedName>
    <definedName name="__LN41">#REF!</definedName>
    <definedName name="__LN42" localSheetId="30">#REF!</definedName>
    <definedName name="__LN42" localSheetId="25">#REF!</definedName>
    <definedName name="__LN42" localSheetId="28">#REF!</definedName>
    <definedName name="__LN42" localSheetId="29">#REF!</definedName>
    <definedName name="__LN42" localSheetId="12">#REF!</definedName>
    <definedName name="__LN42" localSheetId="43">#REF!</definedName>
    <definedName name="__LN42" localSheetId="42">#REF!</definedName>
    <definedName name="__LN42" localSheetId="27">#REF!</definedName>
    <definedName name="__LN42" localSheetId="45">#REF!</definedName>
    <definedName name="__LN42">#REF!</definedName>
    <definedName name="__LN43" localSheetId="30">#REF!</definedName>
    <definedName name="__LN43" localSheetId="25">#REF!</definedName>
    <definedName name="__LN43" localSheetId="28">#REF!</definedName>
    <definedName name="__LN43" localSheetId="29">#REF!</definedName>
    <definedName name="__LN43" localSheetId="12">#REF!</definedName>
    <definedName name="__LN43" localSheetId="43">#REF!</definedName>
    <definedName name="__LN43" localSheetId="42">#REF!</definedName>
    <definedName name="__LN43" localSheetId="27">#REF!</definedName>
    <definedName name="__LN43" localSheetId="45">#REF!</definedName>
    <definedName name="__LN43">#REF!</definedName>
    <definedName name="__LN44" localSheetId="30">#REF!</definedName>
    <definedName name="__LN44" localSheetId="25">#REF!</definedName>
    <definedName name="__LN44" localSheetId="28">#REF!</definedName>
    <definedName name="__LN44" localSheetId="29">#REF!</definedName>
    <definedName name="__LN44" localSheetId="12">#REF!</definedName>
    <definedName name="__LN44" localSheetId="43">#REF!</definedName>
    <definedName name="__LN44" localSheetId="42">#REF!</definedName>
    <definedName name="__LN44" localSheetId="27">#REF!</definedName>
    <definedName name="__LN44" localSheetId="45">#REF!</definedName>
    <definedName name="__LN44">#REF!</definedName>
    <definedName name="__LN45" localSheetId="30">#REF!</definedName>
    <definedName name="__LN45" localSheetId="25">#REF!</definedName>
    <definedName name="__LN45" localSheetId="28">#REF!</definedName>
    <definedName name="__LN45" localSheetId="29">#REF!</definedName>
    <definedName name="__LN45" localSheetId="12">#REF!</definedName>
    <definedName name="__LN45" localSheetId="43">#REF!</definedName>
    <definedName name="__LN45" localSheetId="42">#REF!</definedName>
    <definedName name="__LN45" localSheetId="27">#REF!</definedName>
    <definedName name="__LN45" localSheetId="45">#REF!</definedName>
    <definedName name="__LN45">#REF!</definedName>
    <definedName name="__LN46" localSheetId="30">#REF!</definedName>
    <definedName name="__LN46" localSheetId="25">#REF!</definedName>
    <definedName name="__LN46" localSheetId="28">#REF!</definedName>
    <definedName name="__LN46" localSheetId="29">#REF!</definedName>
    <definedName name="__LN46" localSheetId="12">#REF!</definedName>
    <definedName name="__LN46" localSheetId="43">#REF!</definedName>
    <definedName name="__LN46" localSheetId="42">#REF!</definedName>
    <definedName name="__LN46" localSheetId="27">#REF!</definedName>
    <definedName name="__LN46" localSheetId="45">#REF!</definedName>
    <definedName name="__LN46">#REF!</definedName>
    <definedName name="__LN47" localSheetId="30">#REF!</definedName>
    <definedName name="__LN47" localSheetId="25">#REF!</definedName>
    <definedName name="__LN47" localSheetId="28">#REF!</definedName>
    <definedName name="__LN47" localSheetId="29">#REF!</definedName>
    <definedName name="__LN47" localSheetId="12">#REF!</definedName>
    <definedName name="__LN47" localSheetId="43">#REF!</definedName>
    <definedName name="__LN47" localSheetId="42">#REF!</definedName>
    <definedName name="__LN47" localSheetId="27">#REF!</definedName>
    <definedName name="__LN47" localSheetId="45">#REF!</definedName>
    <definedName name="__LN47">#REF!</definedName>
    <definedName name="__LN48" localSheetId="30">#REF!</definedName>
    <definedName name="__LN48" localSheetId="25">#REF!</definedName>
    <definedName name="__LN48" localSheetId="28">#REF!</definedName>
    <definedName name="__LN48" localSheetId="29">#REF!</definedName>
    <definedName name="__LN48" localSheetId="12">#REF!</definedName>
    <definedName name="__LN48" localSheetId="43">#REF!</definedName>
    <definedName name="__LN48" localSheetId="42">#REF!</definedName>
    <definedName name="__LN48" localSheetId="27">#REF!</definedName>
    <definedName name="__LN48" localSheetId="45">#REF!</definedName>
    <definedName name="__LN48">#REF!</definedName>
    <definedName name="__LN49" localSheetId="30">#REF!</definedName>
    <definedName name="__LN49" localSheetId="25">#REF!</definedName>
    <definedName name="__LN49" localSheetId="28">#REF!</definedName>
    <definedName name="__LN49" localSheetId="29">#REF!</definedName>
    <definedName name="__LN49" localSheetId="12">#REF!</definedName>
    <definedName name="__LN49" localSheetId="43">#REF!</definedName>
    <definedName name="__LN49" localSheetId="42">#REF!</definedName>
    <definedName name="__LN49" localSheetId="27">#REF!</definedName>
    <definedName name="__LN49" localSheetId="45">#REF!</definedName>
    <definedName name="__LN49">#REF!</definedName>
    <definedName name="__LN5" localSheetId="30">#REF!</definedName>
    <definedName name="__LN5" localSheetId="25">#REF!</definedName>
    <definedName name="__LN5" localSheetId="28">#REF!</definedName>
    <definedName name="__LN5" localSheetId="29">#REF!</definedName>
    <definedName name="__LN5" localSheetId="12">#REF!</definedName>
    <definedName name="__LN5" localSheetId="43">#REF!</definedName>
    <definedName name="__LN5" localSheetId="42">#REF!</definedName>
    <definedName name="__LN5" localSheetId="27">#REF!</definedName>
    <definedName name="__LN5" localSheetId="45">#REF!</definedName>
    <definedName name="__LN5">#REF!</definedName>
    <definedName name="__LN50" localSheetId="30">#REF!</definedName>
    <definedName name="__LN50" localSheetId="25">#REF!</definedName>
    <definedName name="__LN50" localSheetId="28">#REF!</definedName>
    <definedName name="__LN50" localSheetId="29">#REF!</definedName>
    <definedName name="__LN50" localSheetId="12">#REF!</definedName>
    <definedName name="__LN50" localSheetId="43">#REF!</definedName>
    <definedName name="__LN50" localSheetId="42">#REF!</definedName>
    <definedName name="__LN50" localSheetId="27">#REF!</definedName>
    <definedName name="__LN50" localSheetId="45">#REF!</definedName>
    <definedName name="__LN50">#REF!</definedName>
    <definedName name="__LN6" localSheetId="30">#REF!</definedName>
    <definedName name="__LN6" localSheetId="25">#REF!</definedName>
    <definedName name="__LN6" localSheetId="28">#REF!</definedName>
    <definedName name="__LN6" localSheetId="29">#REF!</definedName>
    <definedName name="__LN6" localSheetId="12">#REF!</definedName>
    <definedName name="__LN6" localSheetId="43">#REF!</definedName>
    <definedName name="__LN6" localSheetId="42">#REF!</definedName>
    <definedName name="__LN6" localSheetId="27">#REF!</definedName>
    <definedName name="__LN6" localSheetId="45">#REF!</definedName>
    <definedName name="__LN6">#REF!</definedName>
    <definedName name="__LN7" localSheetId="30">#REF!</definedName>
    <definedName name="__LN7" localSheetId="25">#REF!</definedName>
    <definedName name="__LN7" localSheetId="28">#REF!</definedName>
    <definedName name="__LN7" localSheetId="29">#REF!</definedName>
    <definedName name="__LN7" localSheetId="12">#REF!</definedName>
    <definedName name="__LN7" localSheetId="43">#REF!</definedName>
    <definedName name="__LN7" localSheetId="42">#REF!</definedName>
    <definedName name="__LN7" localSheetId="27">#REF!</definedName>
    <definedName name="__LN7" localSheetId="45">#REF!</definedName>
    <definedName name="__LN7">#REF!</definedName>
    <definedName name="__LN8" localSheetId="30">#REF!</definedName>
    <definedName name="__LN8" localSheetId="25">#REF!</definedName>
    <definedName name="__LN8" localSheetId="28">#REF!</definedName>
    <definedName name="__LN8" localSheetId="29">#REF!</definedName>
    <definedName name="__LN8" localSheetId="12">#REF!</definedName>
    <definedName name="__LN8" localSheetId="43">#REF!</definedName>
    <definedName name="__LN8" localSheetId="42">#REF!</definedName>
    <definedName name="__LN8" localSheetId="27">#REF!</definedName>
    <definedName name="__LN8" localSheetId="45">#REF!</definedName>
    <definedName name="__LN8">#REF!</definedName>
    <definedName name="__LN9" localSheetId="30">'[1]Water Demand'!#REF!</definedName>
    <definedName name="__LN9" localSheetId="25">'[1]Water Demand'!#REF!</definedName>
    <definedName name="__LN9" localSheetId="28">'[1]Water Demand'!#REF!</definedName>
    <definedName name="__LN9" localSheetId="29">'[1]Water Demand'!#REF!</definedName>
    <definedName name="__LN9" localSheetId="12">'[1]Water Demand'!#REF!</definedName>
    <definedName name="__LN9" localSheetId="43">'[1]Water Demand'!#REF!</definedName>
    <definedName name="__LN9" localSheetId="42">'[1]Water Demand'!#REF!</definedName>
    <definedName name="__LN9" localSheetId="27">'[1]Water Demand'!#REF!</definedName>
    <definedName name="__LN9" localSheetId="45">'[1]Water Demand'!#REF!</definedName>
    <definedName name="__LN9">'[1]Water Demand'!#REF!</definedName>
    <definedName name="__MC3" localSheetId="30" hidden="1">#REF!</definedName>
    <definedName name="__MC3" localSheetId="25" hidden="1">#REF!</definedName>
    <definedName name="__MC3" localSheetId="28" hidden="1">#REF!</definedName>
    <definedName name="__MC3" localSheetId="29" hidden="1">#REF!</definedName>
    <definedName name="__MC3" localSheetId="7" hidden="1">#REF!</definedName>
    <definedName name="__MC3" localSheetId="12" hidden="1">#REF!</definedName>
    <definedName name="__MC3" localSheetId="43" hidden="1">#REF!</definedName>
    <definedName name="__MC3" localSheetId="42" hidden="1">#REF!</definedName>
    <definedName name="__MC3" localSheetId="27" hidden="1">#REF!</definedName>
    <definedName name="__MC3" localSheetId="45" hidden="1">#REF!</definedName>
    <definedName name="__MC3" hidden="1">#REF!</definedName>
    <definedName name="__Re8">[5]DR!$D$33</definedName>
    <definedName name="__RSD1">'[2]Data-Table'!$D$26</definedName>
    <definedName name="__RSD2">'[2]Data-Table'!$D$27</definedName>
    <definedName name="__WN11">'[6]Pop Density'!$H$14</definedName>
    <definedName name="__WN13">'[6]Pop Density'!$H$16</definedName>
    <definedName name="__WN15">'[6]Pop Density'!$H$18</definedName>
    <definedName name="__WN16">'[6]Pop Density'!$H$19</definedName>
    <definedName name="__WN17">'[6]Pop Density'!$H$20</definedName>
    <definedName name="__WN18">'[6]Pop Density'!$H$21</definedName>
    <definedName name="__WN20">'[7]Pop Density'!$H$23</definedName>
    <definedName name="__WN21">'[7]Pop Density'!$H$24</definedName>
    <definedName name="__WN22">'[7]Pop Density'!$H$25</definedName>
    <definedName name="__WN3">'[7]Pop Density'!$H$6</definedName>
    <definedName name="__WN4">'[7]Pop Density'!$H$7</definedName>
    <definedName name="__WN5">'[6]Pop Density'!$H$8</definedName>
    <definedName name="__WN6">'[6]Pop Density'!$H$9</definedName>
    <definedName name="__WN7">'[6]Pop Density'!$H$10</definedName>
    <definedName name="_1">#N/A</definedName>
    <definedName name="_1_.0Print_Titles" localSheetId="30">'[1]od-id'!$A$2:$IV$2,'[1]od-id'!#REF!</definedName>
    <definedName name="_1_.0Print_Titles" localSheetId="25">'[1]od-id'!$A$2:$IV$2,'[1]od-id'!#REF!</definedName>
    <definedName name="_1_.0Print_Titles" localSheetId="28">'[1]od-id'!$A$2:$IV$2,'[1]od-id'!#REF!</definedName>
    <definedName name="_1_.0Print_Titles" localSheetId="29">'[1]od-id'!$A$2:$IV$2,'[1]od-id'!#REF!</definedName>
    <definedName name="_1_.0Print_Titles" localSheetId="12">'[1]od-id'!$A$2:$IV$2,'[1]od-id'!#REF!</definedName>
    <definedName name="_1_.0Print_Titles" localSheetId="43">'[1]od-id'!$A$2:$IV$2,'[1]od-id'!#REF!</definedName>
    <definedName name="_1_.0Print_Titles" localSheetId="42">'[1]od-id'!$A$2:$IV$2,'[1]od-id'!#REF!</definedName>
    <definedName name="_1_.0Print_Titles" localSheetId="27">'[1]od-id'!$A$2:$IV$2,'[1]od-id'!#REF!</definedName>
    <definedName name="_1_.0Print_Titles" localSheetId="45">'[1]od-id'!$A$2:$IV$2,'[1]od-id'!#REF!</definedName>
    <definedName name="_1_.0Print_Titles">'[1]od-id'!$A$2:$IV$2,'[1]od-id'!#REF!</definedName>
    <definedName name="_11__.0Print_Titles" localSheetId="30">'[1]od-id'!$A$2:$IV$2,'[1]od-id'!#REF!</definedName>
    <definedName name="_11__.0Print_Titles" localSheetId="25">'[1]od-id'!$A$2:$IV$2,'[1]od-id'!#REF!</definedName>
    <definedName name="_11__.0Print_Titles" localSheetId="28">'[1]od-id'!$A$2:$IV$2,'[1]od-id'!#REF!</definedName>
    <definedName name="_11__.0Print_Titles" localSheetId="29">'[1]od-id'!$A$2:$IV$2,'[1]od-id'!#REF!</definedName>
    <definedName name="_11__.0Print_Titles" localSheetId="12">'[1]od-id'!$A$2:$IV$2,'[1]od-id'!#REF!</definedName>
    <definedName name="_11__.0Print_Titles" localSheetId="43">'[1]od-id'!$A$2:$IV$2,'[1]od-id'!#REF!</definedName>
    <definedName name="_11__.0Print_Titles" localSheetId="42">'[1]od-id'!$A$2:$IV$2,'[1]od-id'!#REF!</definedName>
    <definedName name="_11__.0Print_Titles" localSheetId="27">'[1]od-id'!$A$2:$IV$2,'[1]od-id'!#REF!</definedName>
    <definedName name="_11__.0Print_Titles" localSheetId="45">'[1]od-id'!$A$2:$IV$2,'[1]od-id'!#REF!</definedName>
    <definedName name="_11__.0Print_Titles">'[1]od-id'!$A$2:$IV$2,'[1]od-id'!#REF!</definedName>
    <definedName name="_12_CRITE_IA11" localSheetId="30">#REF!</definedName>
    <definedName name="_12_CRITE_IA11" localSheetId="25">#REF!</definedName>
    <definedName name="_12_CRITE_IA11" localSheetId="28">#REF!</definedName>
    <definedName name="_12_CRITE_IA11" localSheetId="29">#REF!</definedName>
    <definedName name="_12_CRITE_IA11" localSheetId="12">#REF!</definedName>
    <definedName name="_12_CRITE_IA11" localSheetId="43">#REF!</definedName>
    <definedName name="_12_CRITE_IA11" localSheetId="42">#REF!</definedName>
    <definedName name="_12_CRITE_IA11" localSheetId="27">#REF!</definedName>
    <definedName name="_12_CRITE_IA11" localSheetId="45">#REF!</definedName>
    <definedName name="_12_CRITE_IA11">#REF!</definedName>
    <definedName name="_2_.0Print_Titles" localSheetId="30">'[1]od-id'!$A$2:$IV$2,'[1]od-id'!#REF!</definedName>
    <definedName name="_2_.0Print_Titles" localSheetId="25">'[1]od-id'!$A$2:$IV$2,'[1]od-id'!#REF!</definedName>
    <definedName name="_2_.0Print_Titles" localSheetId="28">'[1]od-id'!$A$2:$IV$2,'[1]od-id'!#REF!</definedName>
    <definedName name="_2_.0Print_Titles" localSheetId="29">'[1]od-id'!$A$2:$IV$2,'[1]od-id'!#REF!</definedName>
    <definedName name="_2_.0Print_Titles" localSheetId="12">'[1]od-id'!$A$2:$IV$2,'[1]od-id'!#REF!</definedName>
    <definedName name="_2_.0Print_Titles" localSheetId="43">'[1]od-id'!$A$2:$IV$2,'[1]od-id'!#REF!</definedName>
    <definedName name="_2_.0Print_Titles" localSheetId="42">'[1]od-id'!$A$2:$IV$2,'[1]od-id'!#REF!</definedName>
    <definedName name="_2_.0Print_Titles" localSheetId="27">'[1]od-id'!$A$2:$IV$2,'[1]od-id'!#REF!</definedName>
    <definedName name="_2_.0Print_Titles" localSheetId="45">'[1]od-id'!$A$2:$IV$2,'[1]od-id'!#REF!</definedName>
    <definedName name="_2_.0Print_Titles">'[1]od-id'!$A$2:$IV$2,'[1]od-id'!#REF!</definedName>
    <definedName name="_21CRITE_IA11" localSheetId="30">#REF!</definedName>
    <definedName name="_21CRITE_IA11" localSheetId="25">#REF!</definedName>
    <definedName name="_21CRITE_IA11" localSheetId="28">#REF!</definedName>
    <definedName name="_21CRITE_IA11" localSheetId="29">#REF!</definedName>
    <definedName name="_21CRITE_IA11" localSheetId="12">#REF!</definedName>
    <definedName name="_21CRITE_IA11" localSheetId="43">#REF!</definedName>
    <definedName name="_21CRITE_IA11" localSheetId="42">#REF!</definedName>
    <definedName name="_21CRITE_IA11" localSheetId="27">#REF!</definedName>
    <definedName name="_21CRITE_IA11" localSheetId="45">#REF!</definedName>
    <definedName name="_21CRITE_IA11">#REF!</definedName>
    <definedName name="_2CRITE_IA11" localSheetId="30">#REF!</definedName>
    <definedName name="_2CRITE_IA11" localSheetId="25">#REF!</definedName>
    <definedName name="_2CRITE_IA11" localSheetId="28">#REF!</definedName>
    <definedName name="_2CRITE_IA11" localSheetId="29">#REF!</definedName>
    <definedName name="_2CRITE_IA11" localSheetId="12">#REF!</definedName>
    <definedName name="_2CRITE_IA11" localSheetId="43">#REF!</definedName>
    <definedName name="_2CRITE_IA11" localSheetId="42">#REF!</definedName>
    <definedName name="_2CRITE_IA11" localSheetId="27">#REF!</definedName>
    <definedName name="_2CRITE_IA11" localSheetId="45">#REF!</definedName>
    <definedName name="_2CRITE_IA11">#REF!</definedName>
    <definedName name="_3_.0Print_Titles" localSheetId="30">'[1]od-id'!$A$2:$IV$2,'[1]od-id'!#REF!</definedName>
    <definedName name="_3_.0Print_Titles" localSheetId="25">'[1]od-id'!$A$2:$IV$2,'[1]od-id'!#REF!</definedName>
    <definedName name="_3_.0Print_Titles" localSheetId="28">'[1]od-id'!$A$2:$IV$2,'[1]od-id'!#REF!</definedName>
    <definedName name="_3_.0Print_Titles" localSheetId="29">'[1]od-id'!$A$2:$IV$2,'[1]od-id'!#REF!</definedName>
    <definedName name="_3_.0Print_Titles" localSheetId="12">'[1]od-id'!$A$2:$IV$2,'[1]od-id'!#REF!</definedName>
    <definedName name="_3_.0Print_Titles" localSheetId="43">'[1]od-id'!$A$2:$IV$2,'[1]od-id'!#REF!</definedName>
    <definedName name="_3_.0Print_Titles" localSheetId="42">'[1]od-id'!$A$2:$IV$2,'[1]od-id'!#REF!</definedName>
    <definedName name="_3_.0Print_Titles" localSheetId="27">'[1]od-id'!$A$2:$IV$2,'[1]od-id'!#REF!</definedName>
    <definedName name="_3_.0Print_Titles" localSheetId="45">'[1]od-id'!$A$2:$IV$2,'[1]od-id'!#REF!</definedName>
    <definedName name="_3_.0Print_Titles">'[1]od-id'!$A$2:$IV$2,'[1]od-id'!#REF!</definedName>
    <definedName name="_3mmMS">[4]Sheet1!$D$70</definedName>
    <definedName name="_4_.0Print_Titles" localSheetId="30">'[1]od-id'!$A$2:$IV$2,'[1]od-id'!#REF!</definedName>
    <definedName name="_4_.0Print_Titles" localSheetId="25">'[1]od-id'!$A$2:$IV$2,'[1]od-id'!#REF!</definedName>
    <definedName name="_4_.0Print_Titles" localSheetId="28">'[1]od-id'!$A$2:$IV$2,'[1]od-id'!#REF!</definedName>
    <definedName name="_4_.0Print_Titles" localSheetId="29">'[1]od-id'!$A$2:$IV$2,'[1]od-id'!#REF!</definedName>
    <definedName name="_4_.0Print_Titles" localSheetId="12">'[1]od-id'!$A$2:$IV$2,'[1]od-id'!#REF!</definedName>
    <definedName name="_4_.0Print_Titles" localSheetId="43">'[1]od-id'!$A$2:$IV$2,'[1]od-id'!#REF!</definedName>
    <definedName name="_4_.0Print_Titles" localSheetId="42">'[1]od-id'!$A$2:$IV$2,'[1]od-id'!#REF!</definedName>
    <definedName name="_4_.0Print_Titles" localSheetId="27">'[1]od-id'!$A$2:$IV$2,'[1]od-id'!#REF!</definedName>
    <definedName name="_4_.0Print_Titles" localSheetId="45">'[1]od-id'!$A$2:$IV$2,'[1]od-id'!#REF!</definedName>
    <definedName name="_4_.0Print_Titles">'[1]od-id'!$A$2:$IV$2,'[1]od-id'!#REF!</definedName>
    <definedName name="_6_.0Print_Titles" localSheetId="30">'[1]od-id'!$A$2:$IV$2,'[1]od-id'!#REF!</definedName>
    <definedName name="_6_.0Print_Titles" localSheetId="25">'[1]od-id'!$A$2:$IV$2,'[1]od-id'!#REF!</definedName>
    <definedName name="_6_.0Print_Titles" localSheetId="28">'[1]od-id'!$A$2:$IV$2,'[1]od-id'!#REF!</definedName>
    <definedName name="_6_.0Print_Titles" localSheetId="29">'[1]od-id'!$A$2:$IV$2,'[1]od-id'!#REF!</definedName>
    <definedName name="_6_.0Print_Titles" localSheetId="12">'[1]od-id'!$A$2:$IV$2,'[1]od-id'!#REF!</definedName>
    <definedName name="_6_.0Print_Titles" localSheetId="43">'[1]od-id'!$A$2:$IV$2,'[1]od-id'!#REF!</definedName>
    <definedName name="_6_.0Print_Titles" localSheetId="42">'[1]od-id'!$A$2:$IV$2,'[1]od-id'!#REF!</definedName>
    <definedName name="_6_.0Print_Titles" localSheetId="27">'[1]od-id'!$A$2:$IV$2,'[1]od-id'!#REF!</definedName>
    <definedName name="_6_.0Print_Titles" localSheetId="45">'[1]od-id'!$A$2:$IV$2,'[1]od-id'!#REF!</definedName>
    <definedName name="_6_.0Print_Titles">'[1]od-id'!$A$2:$IV$2,'[1]od-id'!#REF!</definedName>
    <definedName name="_7CRITE_IA11" localSheetId="30">#REF!</definedName>
    <definedName name="_7CRITE_IA11" localSheetId="25">#REF!</definedName>
    <definedName name="_7CRITE_IA11" localSheetId="28">#REF!</definedName>
    <definedName name="_7CRITE_IA11" localSheetId="29">#REF!</definedName>
    <definedName name="_7CRITE_IA11" localSheetId="12">#REF!</definedName>
    <definedName name="_7CRITE_IA11" localSheetId="43">#REF!</definedName>
    <definedName name="_7CRITE_IA11" localSheetId="42">#REF!</definedName>
    <definedName name="_7CRITE_IA11" localSheetId="27">#REF!</definedName>
    <definedName name="_7CRITE_IA11" localSheetId="45">#REF!</definedName>
    <definedName name="_7CRITE_IA11">#REF!</definedName>
    <definedName name="_9_.0Print_Titles" localSheetId="30">'[1]od-id'!$A$2:$IV$2,'[1]od-id'!#REF!</definedName>
    <definedName name="_9_.0Print_Titles" localSheetId="25">'[1]od-id'!$A$2:$IV$2,'[1]od-id'!#REF!</definedName>
    <definedName name="_9_.0Print_Titles" localSheetId="28">'[1]od-id'!$A$2:$IV$2,'[1]od-id'!#REF!</definedName>
    <definedName name="_9_.0Print_Titles" localSheetId="29">'[1]od-id'!$A$2:$IV$2,'[1]od-id'!#REF!</definedName>
    <definedName name="_9_.0Print_Titles" localSheetId="12">'[1]od-id'!$A$2:$IV$2,'[1]od-id'!#REF!</definedName>
    <definedName name="_9_.0Print_Titles" localSheetId="43">'[1]od-id'!$A$2:$IV$2,'[1]od-id'!#REF!</definedName>
    <definedName name="_9_.0Print_Titles" localSheetId="42">'[1]od-id'!$A$2:$IV$2,'[1]od-id'!#REF!</definedName>
    <definedName name="_9_.0Print_Titles" localSheetId="27">'[1]od-id'!$A$2:$IV$2,'[1]od-id'!#REF!</definedName>
    <definedName name="_9_.0Print_Titles" localSheetId="45">'[1]od-id'!$A$2:$IV$2,'[1]od-id'!#REF!</definedName>
    <definedName name="_9_.0Print_Titles">'[1]od-id'!$A$2:$IV$2,'[1]od-id'!#REF!</definedName>
    <definedName name="_agg10">[8]MatCol!$K$106</definedName>
    <definedName name="_agg20">[8]MatCol!$K$100</definedName>
    <definedName name="_agg40">[8]MatCol!$K$94</definedName>
    <definedName name="_cgi24">'[14]update Rate'!$E$86</definedName>
    <definedName name="_cgi26">'[14]update Rate'!$E$87</definedName>
    <definedName name="_DPC124" localSheetId="30">#REF!</definedName>
    <definedName name="_DPC124" localSheetId="25">#REF!</definedName>
    <definedName name="_DPC124" localSheetId="28">#REF!</definedName>
    <definedName name="_DPC124" localSheetId="29">#REF!</definedName>
    <definedName name="_DPC124" localSheetId="12">#REF!</definedName>
    <definedName name="_DPC124" localSheetId="43">#REF!</definedName>
    <definedName name="_DPC124" localSheetId="42">#REF!</definedName>
    <definedName name="_DPC124" localSheetId="27">#REF!</definedName>
    <definedName name="_DPC124" localSheetId="45">#REF!</definedName>
    <definedName name="_DPC124">#REF!</definedName>
    <definedName name="_DPC136" localSheetId="30">#REF!</definedName>
    <definedName name="_DPC136" localSheetId="25">#REF!</definedName>
    <definedName name="_DPC136" localSheetId="28">#REF!</definedName>
    <definedName name="_DPC136" localSheetId="29">#REF!</definedName>
    <definedName name="_DPC136" localSheetId="12">#REF!</definedName>
    <definedName name="_DPC136" localSheetId="43">#REF!</definedName>
    <definedName name="_DPC136" localSheetId="42">#REF!</definedName>
    <definedName name="_DPC136" localSheetId="27">#REF!</definedName>
    <definedName name="_DPC136" localSheetId="45">#REF!</definedName>
    <definedName name="_DPC136">#REF!</definedName>
    <definedName name="_DPC148" localSheetId="30">#REF!</definedName>
    <definedName name="_DPC148" localSheetId="25">#REF!</definedName>
    <definedName name="_DPC148" localSheetId="28">#REF!</definedName>
    <definedName name="_DPC148" localSheetId="29">#REF!</definedName>
    <definedName name="_DPC148" localSheetId="12">#REF!</definedName>
    <definedName name="_DPC148" localSheetId="43">#REF!</definedName>
    <definedName name="_DPC148" localSheetId="42">#REF!</definedName>
    <definedName name="_DPC148" localSheetId="27">#REF!</definedName>
    <definedName name="_DPC148" localSheetId="45">#REF!</definedName>
    <definedName name="_DPC148">#REF!</definedName>
    <definedName name="_Fill" localSheetId="30" hidden="1">#REF!</definedName>
    <definedName name="_Fill" localSheetId="25" hidden="1">#REF!</definedName>
    <definedName name="_Fill" localSheetId="4" hidden="1">#REF!</definedName>
    <definedName name="_Fill" localSheetId="28" hidden="1">#REF!</definedName>
    <definedName name="_Fill" localSheetId="29" hidden="1">#REF!</definedName>
    <definedName name="_Fill" localSheetId="7" hidden="1">#REF!</definedName>
    <definedName name="_Fill" localSheetId="12" hidden="1">#REF!</definedName>
    <definedName name="_Fill" localSheetId="10" hidden="1">#REF!</definedName>
    <definedName name="_Fill" localSheetId="43" hidden="1">#REF!</definedName>
    <definedName name="_Fill" localSheetId="42" hidden="1">#REF!</definedName>
    <definedName name="_Fill" localSheetId="5" hidden="1">#REF!</definedName>
    <definedName name="_Fill" localSheetId="27" hidden="1">#REF!</definedName>
    <definedName name="_Fill" localSheetId="45" hidden="1">#REF!</definedName>
    <definedName name="_Fill" hidden="1">#REF!</definedName>
    <definedName name="_FRT18" localSheetId="30" hidden="1">[12]FRT!#REF!</definedName>
    <definedName name="_FRT18" localSheetId="25" hidden="1">[12]FRT!#REF!</definedName>
    <definedName name="_FRT18" localSheetId="28" hidden="1">[12]FRT!#REF!</definedName>
    <definedName name="_FRT18" localSheetId="29" hidden="1">[12]FRT!#REF!</definedName>
    <definedName name="_FRT18" localSheetId="12" hidden="1">[12]FRT!#REF!</definedName>
    <definedName name="_FRT18" localSheetId="43" hidden="1">[12]FRT!#REF!</definedName>
    <definedName name="_FRT18" localSheetId="42" hidden="1">[12]FRT!#REF!</definedName>
    <definedName name="_FRT18" localSheetId="27" hidden="1">[12]FRT!#REF!</definedName>
    <definedName name="_FRT18" localSheetId="45" hidden="1">[12]FRT!#REF!</definedName>
    <definedName name="_FRT18" hidden="1">[12]FRT!#REF!</definedName>
    <definedName name="_FRT2" hidden="1">[12]FRT!$K$87</definedName>
    <definedName name="_FRT20" hidden="1">[8]FRT!$K$333</definedName>
    <definedName name="_FRT3" localSheetId="30" hidden="1">[8]FRT!#REF!</definedName>
    <definedName name="_FRT3" localSheetId="25" hidden="1">[8]FRT!#REF!</definedName>
    <definedName name="_FRT3" localSheetId="28" hidden="1">[8]FRT!#REF!</definedName>
    <definedName name="_FRT3" localSheetId="29" hidden="1">[8]FRT!#REF!</definedName>
    <definedName name="_FRT3" localSheetId="12" hidden="1">[8]FRT!#REF!</definedName>
    <definedName name="_FRT3" localSheetId="43" hidden="1">[8]FRT!#REF!</definedName>
    <definedName name="_FRT3" localSheetId="42" hidden="1">[8]FRT!#REF!</definedName>
    <definedName name="_FRT3" localSheetId="27" hidden="1">[8]FRT!#REF!</definedName>
    <definedName name="_FRT3" localSheetId="45" hidden="1">[8]FRT!#REF!</definedName>
    <definedName name="_FRT3" hidden="1">[8]FRT!#REF!</definedName>
    <definedName name="_FRT4" hidden="1">[8]FRT!$K$169</definedName>
    <definedName name="_FRT5" localSheetId="30" hidden="1">'[13]FRT 1'!#REF!</definedName>
    <definedName name="_FRT5" localSheetId="25" hidden="1">'[13]FRT 1'!#REF!</definedName>
    <definedName name="_FRT5" localSheetId="28" hidden="1">'[13]FRT 1'!#REF!</definedName>
    <definedName name="_FRT5" localSheetId="29" hidden="1">'[13]FRT 1'!#REF!</definedName>
    <definedName name="_FRT5" localSheetId="12" hidden="1">'[13]FRT 1'!#REF!</definedName>
    <definedName name="_FRT5" localSheetId="43" hidden="1">'[13]FRT 1'!#REF!</definedName>
    <definedName name="_FRT5" localSheetId="42" hidden="1">'[13]FRT 1'!#REF!</definedName>
    <definedName name="_FRT5" localSheetId="27" hidden="1">'[13]FRT 1'!#REF!</definedName>
    <definedName name="_FRT5" localSheetId="45" hidden="1">'[13]FRT 1'!#REF!</definedName>
    <definedName name="_FRT5" hidden="1">'[13]FRT 1'!#REF!</definedName>
    <definedName name="_FRT6" hidden="1">[8]FRT!$K$87</definedName>
    <definedName name="_FRT9" hidden="1">[8]FRT!$K$251</definedName>
    <definedName name="_gls4">[4]Sheet1!$D$44</definedName>
    <definedName name="_Key2" localSheetId="30" hidden="1">#REF!</definedName>
    <definedName name="_Key2" localSheetId="25" hidden="1">#REF!</definedName>
    <definedName name="_Key2" localSheetId="4" hidden="1">#REF!</definedName>
    <definedName name="_Key2" localSheetId="28" hidden="1">#REF!</definedName>
    <definedName name="_Key2" localSheetId="29" hidden="1">#REF!</definedName>
    <definedName name="_Key2" localSheetId="7" hidden="1">#REF!</definedName>
    <definedName name="_Key2" localSheetId="12" hidden="1">#REF!</definedName>
    <definedName name="_Key2" localSheetId="10" hidden="1">#REF!</definedName>
    <definedName name="_Key2" localSheetId="43" hidden="1">#REF!</definedName>
    <definedName name="_Key2" localSheetId="42" hidden="1">#REF!</definedName>
    <definedName name="_Key2" localSheetId="5" hidden="1">#REF!</definedName>
    <definedName name="_Key2" localSheetId="27" hidden="1">#REF!</definedName>
    <definedName name="_Key2" localSheetId="45" hidden="1">#REF!</definedName>
    <definedName name="_Key2" hidden="1">#REF!</definedName>
    <definedName name="_LN1" localSheetId="30">'[1]Water Demand'!#REF!</definedName>
    <definedName name="_LN1" localSheetId="25">'[1]Water Demand'!#REF!</definedName>
    <definedName name="_LN1" localSheetId="28">'[1]Water Demand'!#REF!</definedName>
    <definedName name="_LN1" localSheetId="29">'[1]Water Demand'!#REF!</definedName>
    <definedName name="_LN1" localSheetId="12">'[1]Water Demand'!#REF!</definedName>
    <definedName name="_LN1" localSheetId="43">'[1]Water Demand'!#REF!</definedName>
    <definedName name="_LN1" localSheetId="42">'[1]Water Demand'!#REF!</definedName>
    <definedName name="_LN1" localSheetId="27">'[1]Water Demand'!#REF!</definedName>
    <definedName name="_LN1" localSheetId="45">'[1]Water Demand'!#REF!</definedName>
    <definedName name="_LN1">'[1]Water Demand'!#REF!</definedName>
    <definedName name="_LN10" localSheetId="30">'[1]Water Demand'!#REF!</definedName>
    <definedName name="_LN10" localSheetId="25">'[1]Water Demand'!#REF!</definedName>
    <definedName name="_LN10" localSheetId="28">'[1]Water Demand'!#REF!</definedName>
    <definedName name="_LN10" localSheetId="29">'[1]Water Demand'!#REF!</definedName>
    <definedName name="_LN10" localSheetId="12">'[1]Water Demand'!#REF!</definedName>
    <definedName name="_LN10" localSheetId="43">'[1]Water Demand'!#REF!</definedName>
    <definedName name="_LN10" localSheetId="42">'[1]Water Demand'!#REF!</definedName>
    <definedName name="_LN10" localSheetId="27">'[1]Water Demand'!#REF!</definedName>
    <definedName name="_LN10" localSheetId="45">'[1]Water Demand'!#REF!</definedName>
    <definedName name="_LN10">'[1]Water Demand'!#REF!</definedName>
    <definedName name="_LN11" localSheetId="30">'[1]Water Demand'!#REF!</definedName>
    <definedName name="_LN11" localSheetId="25">'[1]Water Demand'!#REF!</definedName>
    <definedName name="_LN11" localSheetId="28">'[1]Water Demand'!#REF!</definedName>
    <definedName name="_LN11" localSheetId="29">'[1]Water Demand'!#REF!</definedName>
    <definedName name="_LN11" localSheetId="12">'[1]Water Demand'!#REF!</definedName>
    <definedName name="_LN11" localSheetId="43">'[1]Water Demand'!#REF!</definedName>
    <definedName name="_LN11" localSheetId="42">'[1]Water Demand'!#REF!</definedName>
    <definedName name="_LN11" localSheetId="27">'[1]Water Demand'!#REF!</definedName>
    <definedName name="_LN11" localSheetId="45">'[1]Water Demand'!#REF!</definedName>
    <definedName name="_LN11">'[1]Water Demand'!#REF!</definedName>
    <definedName name="_LN12" localSheetId="30">'[1]Water Demand'!#REF!</definedName>
    <definedName name="_LN12" localSheetId="25">'[1]Water Demand'!#REF!</definedName>
    <definedName name="_LN12" localSheetId="28">'[1]Water Demand'!#REF!</definedName>
    <definedName name="_LN12" localSheetId="29">'[1]Water Demand'!#REF!</definedName>
    <definedName name="_LN12" localSheetId="12">'[1]Water Demand'!#REF!</definedName>
    <definedName name="_LN12" localSheetId="43">'[1]Water Demand'!#REF!</definedName>
    <definedName name="_LN12" localSheetId="42">'[1]Water Demand'!#REF!</definedName>
    <definedName name="_LN12" localSheetId="27">'[1]Water Demand'!#REF!</definedName>
    <definedName name="_LN12" localSheetId="45">'[1]Water Demand'!#REF!</definedName>
    <definedName name="_LN12">'[1]Water Demand'!#REF!</definedName>
    <definedName name="_LN13" localSheetId="30">'[1]Water Demand'!#REF!</definedName>
    <definedName name="_LN13" localSheetId="25">'[1]Water Demand'!#REF!</definedName>
    <definedName name="_LN13" localSheetId="28">'[1]Water Demand'!#REF!</definedName>
    <definedName name="_LN13" localSheetId="29">'[1]Water Demand'!#REF!</definedName>
    <definedName name="_LN13" localSheetId="12">'[1]Water Demand'!#REF!</definedName>
    <definedName name="_LN13" localSheetId="43">'[1]Water Demand'!#REF!</definedName>
    <definedName name="_LN13" localSheetId="42">'[1]Water Demand'!#REF!</definedName>
    <definedName name="_LN13" localSheetId="27">'[1]Water Demand'!#REF!</definedName>
    <definedName name="_LN13" localSheetId="45">'[1]Water Demand'!#REF!</definedName>
    <definedName name="_LN13">'[1]Water Demand'!#REF!</definedName>
    <definedName name="_LN14" localSheetId="30">'[1]Water Demand'!#REF!</definedName>
    <definedName name="_LN14" localSheetId="25">'[1]Water Demand'!#REF!</definedName>
    <definedName name="_LN14" localSheetId="28">'[1]Water Demand'!#REF!</definedName>
    <definedName name="_LN14" localSheetId="29">'[1]Water Demand'!#REF!</definedName>
    <definedName name="_LN14" localSheetId="12">'[1]Water Demand'!#REF!</definedName>
    <definedName name="_LN14" localSheetId="43">'[1]Water Demand'!#REF!</definedName>
    <definedName name="_LN14" localSheetId="42">'[1]Water Demand'!#REF!</definedName>
    <definedName name="_LN14" localSheetId="27">'[1]Water Demand'!#REF!</definedName>
    <definedName name="_LN14" localSheetId="45">'[1]Water Demand'!#REF!</definedName>
    <definedName name="_LN14">'[1]Water Demand'!#REF!</definedName>
    <definedName name="_LN15" localSheetId="30">'[1]Water Demand'!#REF!</definedName>
    <definedName name="_LN15" localSheetId="25">'[1]Water Demand'!#REF!</definedName>
    <definedName name="_LN15" localSheetId="28">'[1]Water Demand'!#REF!</definedName>
    <definedName name="_LN15" localSheetId="29">'[1]Water Demand'!#REF!</definedName>
    <definedName name="_LN15" localSheetId="12">'[1]Water Demand'!#REF!</definedName>
    <definedName name="_LN15" localSheetId="43">'[1]Water Demand'!#REF!</definedName>
    <definedName name="_LN15" localSheetId="42">'[1]Water Demand'!#REF!</definedName>
    <definedName name="_LN15" localSheetId="27">'[1]Water Demand'!#REF!</definedName>
    <definedName name="_LN15" localSheetId="45">'[1]Water Demand'!#REF!</definedName>
    <definedName name="_LN15">'[1]Water Demand'!#REF!</definedName>
    <definedName name="_LN16" localSheetId="30">'[1]Water Demand'!#REF!</definedName>
    <definedName name="_LN16" localSheetId="25">'[1]Water Demand'!#REF!</definedName>
    <definedName name="_LN16" localSheetId="28">'[1]Water Demand'!#REF!</definedName>
    <definedName name="_LN16" localSheetId="29">'[1]Water Demand'!#REF!</definedName>
    <definedName name="_LN16" localSheetId="12">'[1]Water Demand'!#REF!</definedName>
    <definedName name="_LN16" localSheetId="43">'[1]Water Demand'!#REF!</definedName>
    <definedName name="_LN16" localSheetId="42">'[1]Water Demand'!#REF!</definedName>
    <definedName name="_LN16" localSheetId="27">'[1]Water Demand'!#REF!</definedName>
    <definedName name="_LN16" localSheetId="45">'[1]Water Demand'!#REF!</definedName>
    <definedName name="_LN16">'[1]Water Demand'!#REF!</definedName>
    <definedName name="_LN17" localSheetId="30">'[1]Water Demand'!#REF!</definedName>
    <definedName name="_LN17" localSheetId="25">'[1]Water Demand'!#REF!</definedName>
    <definedName name="_LN17" localSheetId="28">'[1]Water Demand'!#REF!</definedName>
    <definedName name="_LN17" localSheetId="29">'[1]Water Demand'!#REF!</definedName>
    <definedName name="_LN17" localSheetId="12">'[1]Water Demand'!#REF!</definedName>
    <definedName name="_LN17" localSheetId="43">'[1]Water Demand'!#REF!</definedName>
    <definedName name="_LN17" localSheetId="42">'[1]Water Demand'!#REF!</definedName>
    <definedName name="_LN17" localSheetId="27">'[1]Water Demand'!#REF!</definedName>
    <definedName name="_LN17" localSheetId="45">'[1]Water Demand'!#REF!</definedName>
    <definedName name="_LN17">'[1]Water Demand'!#REF!</definedName>
    <definedName name="_LN18" localSheetId="30">'[1]Water Demand'!#REF!</definedName>
    <definedName name="_LN18" localSheetId="25">'[1]Water Demand'!#REF!</definedName>
    <definedName name="_LN18" localSheetId="28">'[1]Water Demand'!#REF!</definedName>
    <definedName name="_LN18" localSheetId="29">'[1]Water Demand'!#REF!</definedName>
    <definedName name="_LN18" localSheetId="12">'[1]Water Demand'!#REF!</definedName>
    <definedName name="_LN18" localSheetId="43">'[1]Water Demand'!#REF!</definedName>
    <definedName name="_LN18" localSheetId="42">'[1]Water Demand'!#REF!</definedName>
    <definedName name="_LN18" localSheetId="27">'[1]Water Demand'!#REF!</definedName>
    <definedName name="_LN18" localSheetId="45">'[1]Water Demand'!#REF!</definedName>
    <definedName name="_LN18">'[1]Water Demand'!#REF!</definedName>
    <definedName name="_LN19" localSheetId="30">'[1]Water Demand'!#REF!</definedName>
    <definedName name="_LN19" localSheetId="25">'[1]Water Demand'!#REF!</definedName>
    <definedName name="_LN19" localSheetId="28">'[1]Water Demand'!#REF!</definedName>
    <definedName name="_LN19" localSheetId="29">'[1]Water Demand'!#REF!</definedName>
    <definedName name="_LN19" localSheetId="12">'[1]Water Demand'!#REF!</definedName>
    <definedName name="_LN19" localSheetId="43">'[1]Water Demand'!#REF!</definedName>
    <definedName name="_LN19" localSheetId="42">'[1]Water Demand'!#REF!</definedName>
    <definedName name="_LN19" localSheetId="27">'[1]Water Demand'!#REF!</definedName>
    <definedName name="_LN19" localSheetId="45">'[1]Water Demand'!#REF!</definedName>
    <definedName name="_LN19">'[1]Water Demand'!#REF!</definedName>
    <definedName name="_LN2" localSheetId="30">'[1]Water Demand'!#REF!</definedName>
    <definedName name="_LN2" localSheetId="25">'[1]Water Demand'!#REF!</definedName>
    <definedName name="_LN2" localSheetId="28">'[1]Water Demand'!#REF!</definedName>
    <definedName name="_LN2" localSheetId="29">'[1]Water Demand'!#REF!</definedName>
    <definedName name="_LN2" localSheetId="12">'[1]Water Demand'!#REF!</definedName>
    <definedName name="_LN2" localSheetId="43">'[1]Water Demand'!#REF!</definedName>
    <definedName name="_LN2" localSheetId="42">'[1]Water Demand'!#REF!</definedName>
    <definedName name="_LN2" localSheetId="27">'[1]Water Demand'!#REF!</definedName>
    <definedName name="_LN2" localSheetId="45">'[1]Water Demand'!#REF!</definedName>
    <definedName name="_LN2">'[1]Water Demand'!#REF!</definedName>
    <definedName name="_LN20" localSheetId="30">#REF!</definedName>
    <definedName name="_LN20" localSheetId="25">#REF!</definedName>
    <definedName name="_LN20" localSheetId="28">#REF!</definedName>
    <definedName name="_LN20" localSheetId="29">#REF!</definedName>
    <definedName name="_LN20" localSheetId="12">#REF!</definedName>
    <definedName name="_LN20" localSheetId="43">#REF!</definedName>
    <definedName name="_LN20" localSheetId="42">#REF!</definedName>
    <definedName name="_LN20" localSheetId="27">#REF!</definedName>
    <definedName name="_LN20" localSheetId="45">#REF!</definedName>
    <definedName name="_LN20">#REF!</definedName>
    <definedName name="_LN21" localSheetId="30">#REF!</definedName>
    <definedName name="_LN21" localSheetId="25">#REF!</definedName>
    <definedName name="_LN21" localSheetId="28">#REF!</definedName>
    <definedName name="_LN21" localSheetId="29">#REF!</definedName>
    <definedName name="_LN21" localSheetId="12">#REF!</definedName>
    <definedName name="_LN21" localSheetId="43">#REF!</definedName>
    <definedName name="_LN21" localSheetId="42">#REF!</definedName>
    <definedName name="_LN21" localSheetId="27">#REF!</definedName>
    <definedName name="_LN21" localSheetId="45">#REF!</definedName>
    <definedName name="_LN21">#REF!</definedName>
    <definedName name="_LN22" localSheetId="30">'[1]Water Demand'!#REF!</definedName>
    <definedName name="_LN22" localSheetId="25">'[1]Water Demand'!#REF!</definedName>
    <definedName name="_LN22" localSheetId="28">'[1]Water Demand'!#REF!</definedName>
    <definedName name="_LN22" localSheetId="29">'[1]Water Demand'!#REF!</definedName>
    <definedName name="_LN22" localSheetId="12">'[1]Water Demand'!#REF!</definedName>
    <definedName name="_LN22" localSheetId="43">'[1]Water Demand'!#REF!</definedName>
    <definedName name="_LN22" localSheetId="42">'[1]Water Demand'!#REF!</definedName>
    <definedName name="_LN22" localSheetId="27">'[1]Water Demand'!#REF!</definedName>
    <definedName name="_LN22" localSheetId="45">'[1]Water Demand'!#REF!</definedName>
    <definedName name="_LN22">'[1]Water Demand'!#REF!</definedName>
    <definedName name="_LN23" localSheetId="30">'[1]Water Demand'!#REF!</definedName>
    <definedName name="_LN23" localSheetId="25">'[1]Water Demand'!#REF!</definedName>
    <definedName name="_LN23" localSheetId="28">'[1]Water Demand'!#REF!</definedName>
    <definedName name="_LN23" localSheetId="29">'[1]Water Demand'!#REF!</definedName>
    <definedName name="_LN23" localSheetId="12">'[1]Water Demand'!#REF!</definedName>
    <definedName name="_LN23" localSheetId="43">'[1]Water Demand'!#REF!</definedName>
    <definedName name="_LN23" localSheetId="42">'[1]Water Demand'!#REF!</definedName>
    <definedName name="_LN23" localSheetId="27">'[1]Water Demand'!#REF!</definedName>
    <definedName name="_LN23" localSheetId="45">'[1]Water Demand'!#REF!</definedName>
    <definedName name="_LN23">'[1]Water Demand'!#REF!</definedName>
    <definedName name="_LN24" localSheetId="30">'[1]Water Demand'!#REF!</definedName>
    <definedName name="_LN24" localSheetId="25">'[1]Water Demand'!#REF!</definedName>
    <definedName name="_LN24" localSheetId="28">'[1]Water Demand'!#REF!</definedName>
    <definedName name="_LN24" localSheetId="29">'[1]Water Demand'!#REF!</definedName>
    <definedName name="_LN24" localSheetId="12">'[1]Water Demand'!#REF!</definedName>
    <definedName name="_LN24" localSheetId="43">'[1]Water Demand'!#REF!</definedName>
    <definedName name="_LN24" localSheetId="42">'[1]Water Demand'!#REF!</definedName>
    <definedName name="_LN24" localSheetId="27">'[1]Water Demand'!#REF!</definedName>
    <definedName name="_LN24" localSheetId="45">'[1]Water Demand'!#REF!</definedName>
    <definedName name="_LN24">'[1]Water Demand'!#REF!</definedName>
    <definedName name="_LN25" localSheetId="30">'[1]Water Demand'!#REF!</definedName>
    <definedName name="_LN25" localSheetId="25">'[1]Water Demand'!#REF!</definedName>
    <definedName name="_LN25" localSheetId="28">'[1]Water Demand'!#REF!</definedName>
    <definedName name="_LN25" localSheetId="29">'[1]Water Demand'!#REF!</definedName>
    <definedName name="_LN25" localSheetId="12">'[1]Water Demand'!#REF!</definedName>
    <definedName name="_LN25" localSheetId="43">'[1]Water Demand'!#REF!</definedName>
    <definedName name="_LN25" localSheetId="42">'[1]Water Demand'!#REF!</definedName>
    <definedName name="_LN25" localSheetId="27">'[1]Water Demand'!#REF!</definedName>
    <definedName name="_LN25" localSheetId="45">'[1]Water Demand'!#REF!</definedName>
    <definedName name="_LN25">'[1]Water Demand'!#REF!</definedName>
    <definedName name="_LN26" localSheetId="30">'[1]Water Demand'!#REF!</definedName>
    <definedName name="_LN26" localSheetId="25">'[1]Water Demand'!#REF!</definedName>
    <definedName name="_LN26" localSheetId="28">'[1]Water Demand'!#REF!</definedName>
    <definedName name="_LN26" localSheetId="29">'[1]Water Demand'!#REF!</definedName>
    <definedName name="_LN26" localSheetId="12">'[1]Water Demand'!#REF!</definedName>
    <definedName name="_LN26" localSheetId="43">'[1]Water Demand'!#REF!</definedName>
    <definedName name="_LN26" localSheetId="42">'[1]Water Demand'!#REF!</definedName>
    <definedName name="_LN26" localSheetId="27">'[1]Water Demand'!#REF!</definedName>
    <definedName name="_LN26" localSheetId="45">'[1]Water Demand'!#REF!</definedName>
    <definedName name="_LN26">'[1]Water Demand'!#REF!</definedName>
    <definedName name="_LN27" localSheetId="30">'[1]Water Demand'!#REF!</definedName>
    <definedName name="_LN27" localSheetId="25">'[1]Water Demand'!#REF!</definedName>
    <definedName name="_LN27" localSheetId="28">'[1]Water Demand'!#REF!</definedName>
    <definedName name="_LN27" localSheetId="29">'[1]Water Demand'!#REF!</definedName>
    <definedName name="_LN27" localSheetId="12">'[1]Water Demand'!#REF!</definedName>
    <definedName name="_LN27" localSheetId="43">'[1]Water Demand'!#REF!</definedName>
    <definedName name="_LN27" localSheetId="42">'[1]Water Demand'!#REF!</definedName>
    <definedName name="_LN27" localSheetId="27">'[1]Water Demand'!#REF!</definedName>
    <definedName name="_LN27" localSheetId="45">'[1]Water Demand'!#REF!</definedName>
    <definedName name="_LN27">'[1]Water Demand'!#REF!</definedName>
    <definedName name="_LN28" localSheetId="30">'[1]Water Demand'!#REF!</definedName>
    <definedName name="_LN28" localSheetId="25">'[1]Water Demand'!#REF!</definedName>
    <definedName name="_LN28" localSheetId="28">'[1]Water Demand'!#REF!</definedName>
    <definedName name="_LN28" localSheetId="29">'[1]Water Demand'!#REF!</definedName>
    <definedName name="_LN28" localSheetId="12">'[1]Water Demand'!#REF!</definedName>
    <definedName name="_LN28" localSheetId="43">'[1]Water Demand'!#REF!</definedName>
    <definedName name="_LN28" localSheetId="42">'[1]Water Demand'!#REF!</definedName>
    <definedName name="_LN28" localSheetId="27">'[1]Water Demand'!#REF!</definedName>
    <definedName name="_LN28" localSheetId="45">'[1]Water Demand'!#REF!</definedName>
    <definedName name="_LN28">'[1]Water Demand'!#REF!</definedName>
    <definedName name="_LN29" localSheetId="30">'[1]Water Demand'!#REF!</definedName>
    <definedName name="_LN29" localSheetId="25">'[1]Water Demand'!#REF!</definedName>
    <definedName name="_LN29" localSheetId="28">'[1]Water Demand'!#REF!</definedName>
    <definedName name="_LN29" localSheetId="29">'[1]Water Demand'!#REF!</definedName>
    <definedName name="_LN29" localSheetId="12">'[1]Water Demand'!#REF!</definedName>
    <definedName name="_LN29" localSheetId="43">'[1]Water Demand'!#REF!</definedName>
    <definedName name="_LN29" localSheetId="42">'[1]Water Demand'!#REF!</definedName>
    <definedName name="_LN29" localSheetId="27">'[1]Water Demand'!#REF!</definedName>
    <definedName name="_LN29" localSheetId="45">'[1]Water Demand'!#REF!</definedName>
    <definedName name="_LN29">'[1]Water Demand'!#REF!</definedName>
    <definedName name="_LN3" localSheetId="30">#REF!</definedName>
    <definedName name="_LN3" localSheetId="25">#REF!</definedName>
    <definedName name="_LN3" localSheetId="28">#REF!</definedName>
    <definedName name="_LN3" localSheetId="29">#REF!</definedName>
    <definedName name="_LN3" localSheetId="12">#REF!</definedName>
    <definedName name="_LN3" localSheetId="43">#REF!</definedName>
    <definedName name="_LN3" localSheetId="42">#REF!</definedName>
    <definedName name="_LN3" localSheetId="27">#REF!</definedName>
    <definedName name="_LN3" localSheetId="45">#REF!</definedName>
    <definedName name="_LN3">#REF!</definedName>
    <definedName name="_LN30" localSheetId="30">'[1]Water Demand'!#REF!</definedName>
    <definedName name="_LN30" localSheetId="25">'[1]Water Demand'!#REF!</definedName>
    <definedName name="_LN30" localSheetId="28">'[1]Water Demand'!#REF!</definedName>
    <definedName name="_LN30" localSheetId="29">'[1]Water Demand'!#REF!</definedName>
    <definedName name="_LN30" localSheetId="12">'[1]Water Demand'!#REF!</definedName>
    <definedName name="_LN30" localSheetId="43">'[1]Water Demand'!#REF!</definedName>
    <definedName name="_LN30" localSheetId="42">'[1]Water Demand'!#REF!</definedName>
    <definedName name="_LN30" localSheetId="27">'[1]Water Demand'!#REF!</definedName>
    <definedName name="_LN30" localSheetId="45">'[1]Water Demand'!#REF!</definedName>
    <definedName name="_LN30">'[1]Water Demand'!#REF!</definedName>
    <definedName name="_LN31" localSheetId="30">#REF!</definedName>
    <definedName name="_LN31" localSheetId="25">#REF!</definedName>
    <definedName name="_LN31" localSheetId="28">#REF!</definedName>
    <definedName name="_LN31" localSheetId="29">#REF!</definedName>
    <definedName name="_LN31" localSheetId="12">#REF!</definedName>
    <definedName name="_LN31" localSheetId="43">#REF!</definedName>
    <definedName name="_LN31" localSheetId="42">#REF!</definedName>
    <definedName name="_LN31" localSheetId="27">#REF!</definedName>
    <definedName name="_LN31" localSheetId="45">#REF!</definedName>
    <definedName name="_LN31">#REF!</definedName>
    <definedName name="_LN32" localSheetId="30">#REF!</definedName>
    <definedName name="_LN32" localSheetId="25">#REF!</definedName>
    <definedName name="_LN32" localSheetId="28">#REF!</definedName>
    <definedName name="_LN32" localSheetId="29">#REF!</definedName>
    <definedName name="_LN32" localSheetId="12">#REF!</definedName>
    <definedName name="_LN32" localSheetId="43">#REF!</definedName>
    <definedName name="_LN32" localSheetId="42">#REF!</definedName>
    <definedName name="_LN32" localSheetId="27">#REF!</definedName>
    <definedName name="_LN32" localSheetId="45">#REF!</definedName>
    <definedName name="_LN32">#REF!</definedName>
    <definedName name="_LN33" localSheetId="30">#REF!</definedName>
    <definedName name="_LN33" localSheetId="25">#REF!</definedName>
    <definedName name="_LN33" localSheetId="28">#REF!</definedName>
    <definedName name="_LN33" localSheetId="29">#REF!</definedName>
    <definedName name="_LN33" localSheetId="12">#REF!</definedName>
    <definedName name="_LN33" localSheetId="43">#REF!</definedName>
    <definedName name="_LN33" localSheetId="42">#REF!</definedName>
    <definedName name="_LN33" localSheetId="27">#REF!</definedName>
    <definedName name="_LN33" localSheetId="45">#REF!</definedName>
    <definedName name="_LN33">#REF!</definedName>
    <definedName name="_LN34" localSheetId="30">#REF!</definedName>
    <definedName name="_LN34" localSheetId="25">#REF!</definedName>
    <definedName name="_LN34" localSheetId="28">#REF!</definedName>
    <definedName name="_LN34" localSheetId="29">#REF!</definedName>
    <definedName name="_LN34" localSheetId="12">#REF!</definedName>
    <definedName name="_LN34" localSheetId="43">#REF!</definedName>
    <definedName name="_LN34" localSheetId="42">#REF!</definedName>
    <definedName name="_LN34" localSheetId="27">#REF!</definedName>
    <definedName name="_LN34" localSheetId="45">#REF!</definedName>
    <definedName name="_LN34">#REF!</definedName>
    <definedName name="_LN35" localSheetId="30">#REF!</definedName>
    <definedName name="_LN35" localSheetId="25">#REF!</definedName>
    <definedName name="_LN35" localSheetId="28">#REF!</definedName>
    <definedName name="_LN35" localSheetId="29">#REF!</definedName>
    <definedName name="_LN35" localSheetId="12">#REF!</definedName>
    <definedName name="_LN35" localSheetId="43">#REF!</definedName>
    <definedName name="_LN35" localSheetId="42">#REF!</definedName>
    <definedName name="_LN35" localSheetId="27">#REF!</definedName>
    <definedName name="_LN35" localSheetId="45">#REF!</definedName>
    <definedName name="_LN35">#REF!</definedName>
    <definedName name="_LN36" localSheetId="30">#REF!</definedName>
    <definedName name="_LN36" localSheetId="25">#REF!</definedName>
    <definedName name="_LN36" localSheetId="28">#REF!</definedName>
    <definedName name="_LN36" localSheetId="29">#REF!</definedName>
    <definedName name="_LN36" localSheetId="12">#REF!</definedName>
    <definedName name="_LN36" localSheetId="43">#REF!</definedName>
    <definedName name="_LN36" localSheetId="42">#REF!</definedName>
    <definedName name="_LN36" localSheetId="27">#REF!</definedName>
    <definedName name="_LN36" localSheetId="45">#REF!</definedName>
    <definedName name="_LN36">#REF!</definedName>
    <definedName name="_LN37" localSheetId="30">#REF!</definedName>
    <definedName name="_LN37" localSheetId="25">#REF!</definedName>
    <definedName name="_LN37" localSheetId="28">#REF!</definedName>
    <definedName name="_LN37" localSheetId="29">#REF!</definedName>
    <definedName name="_LN37" localSheetId="12">#REF!</definedName>
    <definedName name="_LN37" localSheetId="43">#REF!</definedName>
    <definedName name="_LN37" localSheetId="42">#REF!</definedName>
    <definedName name="_LN37" localSheetId="27">#REF!</definedName>
    <definedName name="_LN37" localSheetId="45">#REF!</definedName>
    <definedName name="_LN37">#REF!</definedName>
    <definedName name="_LN38" localSheetId="30">#REF!</definedName>
    <definedName name="_LN38" localSheetId="25">#REF!</definedName>
    <definedName name="_LN38" localSheetId="28">#REF!</definedName>
    <definedName name="_LN38" localSheetId="29">#REF!</definedName>
    <definedName name="_LN38" localSheetId="12">#REF!</definedName>
    <definedName name="_LN38" localSheetId="43">#REF!</definedName>
    <definedName name="_LN38" localSheetId="42">#REF!</definedName>
    <definedName name="_LN38" localSheetId="27">#REF!</definedName>
    <definedName name="_LN38" localSheetId="45">#REF!</definedName>
    <definedName name="_LN38">#REF!</definedName>
    <definedName name="_LN39" localSheetId="30">#REF!</definedName>
    <definedName name="_LN39" localSheetId="25">#REF!</definedName>
    <definedName name="_LN39" localSheetId="28">#REF!</definedName>
    <definedName name="_LN39" localSheetId="29">#REF!</definedName>
    <definedName name="_LN39" localSheetId="12">#REF!</definedName>
    <definedName name="_LN39" localSheetId="43">#REF!</definedName>
    <definedName name="_LN39" localSheetId="42">#REF!</definedName>
    <definedName name="_LN39" localSheetId="27">#REF!</definedName>
    <definedName name="_LN39" localSheetId="45">#REF!</definedName>
    <definedName name="_LN39">#REF!</definedName>
    <definedName name="_LN4" localSheetId="30">#REF!</definedName>
    <definedName name="_LN4" localSheetId="25">#REF!</definedName>
    <definedName name="_LN4" localSheetId="28">#REF!</definedName>
    <definedName name="_LN4" localSheetId="29">#REF!</definedName>
    <definedName name="_LN4" localSheetId="12">#REF!</definedName>
    <definedName name="_LN4" localSheetId="43">#REF!</definedName>
    <definedName name="_LN4" localSheetId="42">#REF!</definedName>
    <definedName name="_LN4" localSheetId="27">#REF!</definedName>
    <definedName name="_LN4" localSheetId="45">#REF!</definedName>
    <definedName name="_LN4">#REF!</definedName>
    <definedName name="_LN40" localSheetId="30">#REF!</definedName>
    <definedName name="_LN40" localSheetId="25">#REF!</definedName>
    <definedName name="_LN40" localSheetId="28">#REF!</definedName>
    <definedName name="_LN40" localSheetId="29">#REF!</definedName>
    <definedName name="_LN40" localSheetId="12">#REF!</definedName>
    <definedName name="_LN40" localSheetId="43">#REF!</definedName>
    <definedName name="_LN40" localSheetId="42">#REF!</definedName>
    <definedName name="_LN40" localSheetId="27">#REF!</definedName>
    <definedName name="_LN40" localSheetId="45">#REF!</definedName>
    <definedName name="_LN40">#REF!</definedName>
    <definedName name="_LN41" localSheetId="30">#REF!</definedName>
    <definedName name="_LN41" localSheetId="25">#REF!</definedName>
    <definedName name="_LN41" localSheetId="28">#REF!</definedName>
    <definedName name="_LN41" localSheetId="29">#REF!</definedName>
    <definedName name="_LN41" localSheetId="12">#REF!</definedName>
    <definedName name="_LN41" localSheetId="43">#REF!</definedName>
    <definedName name="_LN41" localSheetId="42">#REF!</definedName>
    <definedName name="_LN41" localSheetId="27">#REF!</definedName>
    <definedName name="_LN41" localSheetId="45">#REF!</definedName>
    <definedName name="_LN41">#REF!</definedName>
    <definedName name="_LN42" localSheetId="30">#REF!</definedName>
    <definedName name="_LN42" localSheetId="25">#REF!</definedName>
    <definedName name="_LN42" localSheetId="28">#REF!</definedName>
    <definedName name="_LN42" localSheetId="29">#REF!</definedName>
    <definedName name="_LN42" localSheetId="12">#REF!</definedName>
    <definedName name="_LN42" localSheetId="43">#REF!</definedName>
    <definedName name="_LN42" localSheetId="42">#REF!</definedName>
    <definedName name="_LN42" localSheetId="27">#REF!</definedName>
    <definedName name="_LN42" localSheetId="45">#REF!</definedName>
    <definedName name="_LN42">#REF!</definedName>
    <definedName name="_LN43" localSheetId="30">#REF!</definedName>
    <definedName name="_LN43" localSheetId="25">#REF!</definedName>
    <definedName name="_LN43" localSheetId="28">#REF!</definedName>
    <definedName name="_LN43" localSheetId="29">#REF!</definedName>
    <definedName name="_LN43" localSheetId="12">#REF!</definedName>
    <definedName name="_LN43" localSheetId="43">#REF!</definedName>
    <definedName name="_LN43" localSheetId="42">#REF!</definedName>
    <definedName name="_LN43" localSheetId="27">#REF!</definedName>
    <definedName name="_LN43" localSheetId="45">#REF!</definedName>
    <definedName name="_LN43">#REF!</definedName>
    <definedName name="_LN44" localSheetId="30">#REF!</definedName>
    <definedName name="_LN44" localSheetId="25">#REF!</definedName>
    <definedName name="_LN44" localSheetId="28">#REF!</definedName>
    <definedName name="_LN44" localSheetId="29">#REF!</definedName>
    <definedName name="_LN44" localSheetId="12">#REF!</definedName>
    <definedName name="_LN44" localSheetId="43">#REF!</definedName>
    <definedName name="_LN44" localSheetId="42">#REF!</definedName>
    <definedName name="_LN44" localSheetId="27">#REF!</definedName>
    <definedName name="_LN44" localSheetId="45">#REF!</definedName>
    <definedName name="_LN44">#REF!</definedName>
    <definedName name="_LN45" localSheetId="30">#REF!</definedName>
    <definedName name="_LN45" localSheetId="25">#REF!</definedName>
    <definedName name="_LN45" localSheetId="28">#REF!</definedName>
    <definedName name="_LN45" localSheetId="29">#REF!</definedName>
    <definedName name="_LN45" localSheetId="12">#REF!</definedName>
    <definedName name="_LN45" localSheetId="43">#REF!</definedName>
    <definedName name="_LN45" localSheetId="42">#REF!</definedName>
    <definedName name="_LN45" localSheetId="27">#REF!</definedName>
    <definedName name="_LN45" localSheetId="45">#REF!</definedName>
    <definedName name="_LN45">#REF!</definedName>
    <definedName name="_LN46" localSheetId="30">#REF!</definedName>
    <definedName name="_LN46" localSheetId="25">#REF!</definedName>
    <definedName name="_LN46" localSheetId="28">#REF!</definedName>
    <definedName name="_LN46" localSheetId="29">#REF!</definedName>
    <definedName name="_LN46" localSheetId="12">#REF!</definedName>
    <definedName name="_LN46" localSheetId="43">#REF!</definedName>
    <definedName name="_LN46" localSheetId="42">#REF!</definedName>
    <definedName name="_LN46" localSheetId="27">#REF!</definedName>
    <definedName name="_LN46" localSheetId="45">#REF!</definedName>
    <definedName name="_LN46">#REF!</definedName>
    <definedName name="_LN47" localSheetId="30">#REF!</definedName>
    <definedName name="_LN47" localSheetId="25">#REF!</definedName>
    <definedName name="_LN47" localSheetId="28">#REF!</definedName>
    <definedName name="_LN47" localSheetId="29">#REF!</definedName>
    <definedName name="_LN47" localSheetId="12">#REF!</definedName>
    <definedName name="_LN47" localSheetId="43">#REF!</definedName>
    <definedName name="_LN47" localSheetId="42">#REF!</definedName>
    <definedName name="_LN47" localSheetId="27">#REF!</definedName>
    <definedName name="_LN47" localSheetId="45">#REF!</definedName>
    <definedName name="_LN47">#REF!</definedName>
    <definedName name="_LN48" localSheetId="30">#REF!</definedName>
    <definedName name="_LN48" localSheetId="25">#REF!</definedName>
    <definedName name="_LN48" localSheetId="28">#REF!</definedName>
    <definedName name="_LN48" localSheetId="29">#REF!</definedName>
    <definedName name="_LN48" localSheetId="12">#REF!</definedName>
    <definedName name="_LN48" localSheetId="43">#REF!</definedName>
    <definedName name="_LN48" localSheetId="42">#REF!</definedName>
    <definedName name="_LN48" localSheetId="27">#REF!</definedName>
    <definedName name="_LN48" localSheetId="45">#REF!</definedName>
    <definedName name="_LN48">#REF!</definedName>
    <definedName name="_LN49" localSheetId="30">#REF!</definedName>
    <definedName name="_LN49" localSheetId="25">#REF!</definedName>
    <definedName name="_LN49" localSheetId="28">#REF!</definedName>
    <definedName name="_LN49" localSheetId="29">#REF!</definedName>
    <definedName name="_LN49" localSheetId="12">#REF!</definedName>
    <definedName name="_LN49" localSheetId="43">#REF!</definedName>
    <definedName name="_LN49" localSheetId="42">#REF!</definedName>
    <definedName name="_LN49" localSheetId="27">#REF!</definedName>
    <definedName name="_LN49" localSheetId="45">#REF!</definedName>
    <definedName name="_LN49">#REF!</definedName>
    <definedName name="_LN5" localSheetId="30">#REF!</definedName>
    <definedName name="_LN5" localSheetId="25">#REF!</definedName>
    <definedName name="_LN5" localSheetId="28">#REF!</definedName>
    <definedName name="_LN5" localSheetId="29">#REF!</definedName>
    <definedName name="_LN5" localSheetId="12">#REF!</definedName>
    <definedName name="_LN5" localSheetId="43">#REF!</definedName>
    <definedName name="_LN5" localSheetId="42">#REF!</definedName>
    <definedName name="_LN5" localSheetId="27">#REF!</definedName>
    <definedName name="_LN5" localSheetId="45">#REF!</definedName>
    <definedName name="_LN5">#REF!</definedName>
    <definedName name="_LN50" localSheetId="30">#REF!</definedName>
    <definedName name="_LN50" localSheetId="25">#REF!</definedName>
    <definedName name="_LN50" localSheetId="28">#REF!</definedName>
    <definedName name="_LN50" localSheetId="29">#REF!</definedName>
    <definedName name="_LN50" localSheetId="12">#REF!</definedName>
    <definedName name="_LN50" localSheetId="43">#REF!</definedName>
    <definedName name="_LN50" localSheetId="42">#REF!</definedName>
    <definedName name="_LN50" localSheetId="27">#REF!</definedName>
    <definedName name="_LN50" localSheetId="45">#REF!</definedName>
    <definedName name="_LN50">#REF!</definedName>
    <definedName name="_LN6" localSheetId="30">#REF!</definedName>
    <definedName name="_LN6" localSheetId="25">#REF!</definedName>
    <definedName name="_LN6" localSheetId="28">#REF!</definedName>
    <definedName name="_LN6" localSheetId="29">#REF!</definedName>
    <definedName name="_LN6" localSheetId="12">#REF!</definedName>
    <definedName name="_LN6" localSheetId="43">#REF!</definedName>
    <definedName name="_LN6" localSheetId="42">#REF!</definedName>
    <definedName name="_LN6" localSheetId="27">#REF!</definedName>
    <definedName name="_LN6" localSheetId="45">#REF!</definedName>
    <definedName name="_LN6">#REF!</definedName>
    <definedName name="_LN7" localSheetId="30">#REF!</definedName>
    <definedName name="_LN7" localSheetId="25">#REF!</definedName>
    <definedName name="_LN7" localSheetId="28">#REF!</definedName>
    <definedName name="_LN7" localSheetId="29">#REF!</definedName>
    <definedName name="_LN7" localSheetId="12">#REF!</definedName>
    <definedName name="_LN7" localSheetId="43">#REF!</definedName>
    <definedName name="_LN7" localSheetId="42">#REF!</definedName>
    <definedName name="_LN7" localSheetId="27">#REF!</definedName>
    <definedName name="_LN7" localSheetId="45">#REF!</definedName>
    <definedName name="_LN7">#REF!</definedName>
    <definedName name="_LN8" localSheetId="30">#REF!</definedName>
    <definedName name="_LN8" localSheetId="25">#REF!</definedName>
    <definedName name="_LN8" localSheetId="28">#REF!</definedName>
    <definedName name="_LN8" localSheetId="29">#REF!</definedName>
    <definedName name="_LN8" localSheetId="12">#REF!</definedName>
    <definedName name="_LN8" localSheetId="43">#REF!</definedName>
    <definedName name="_LN8" localSheetId="42">#REF!</definedName>
    <definedName name="_LN8" localSheetId="27">#REF!</definedName>
    <definedName name="_LN8" localSheetId="45">#REF!</definedName>
    <definedName name="_LN8">#REF!</definedName>
    <definedName name="_LN9" localSheetId="30">'[1]Water Demand'!#REF!</definedName>
    <definedName name="_LN9" localSheetId="25">'[1]Water Demand'!#REF!</definedName>
    <definedName name="_LN9" localSheetId="28">'[1]Water Demand'!#REF!</definedName>
    <definedName name="_LN9" localSheetId="29">'[1]Water Demand'!#REF!</definedName>
    <definedName name="_LN9" localSheetId="12">'[1]Water Demand'!#REF!</definedName>
    <definedName name="_LN9" localSheetId="43">'[1]Water Demand'!#REF!</definedName>
    <definedName name="_LN9" localSheetId="42">'[1]Water Demand'!#REF!</definedName>
    <definedName name="_LN9" localSheetId="27">'[1]Water Demand'!#REF!</definedName>
    <definedName name="_LN9" localSheetId="45">'[1]Water Demand'!#REF!</definedName>
    <definedName name="_LN9">'[1]Water Demand'!#REF!</definedName>
    <definedName name="_MC3" localSheetId="30" hidden="1">#REF!</definedName>
    <definedName name="_MC3" localSheetId="25" hidden="1">#REF!</definedName>
    <definedName name="_MC3" localSheetId="28" hidden="1">#REF!</definedName>
    <definedName name="_MC3" localSheetId="29" hidden="1">#REF!</definedName>
    <definedName name="_MC3" localSheetId="7" hidden="1">#REF!</definedName>
    <definedName name="_MC3" localSheetId="12" hidden="1">#REF!</definedName>
    <definedName name="_MC3" localSheetId="43" hidden="1">#REF!</definedName>
    <definedName name="_MC3" localSheetId="42" hidden="1">#REF!</definedName>
    <definedName name="_MC3" localSheetId="27" hidden="1">#REF!</definedName>
    <definedName name="_MC3" localSheetId="45" hidden="1">#REF!</definedName>
    <definedName name="_MC3" hidden="1">#REF!</definedName>
    <definedName name="_mh70" localSheetId="30" hidden="1">[15]DRates!#REF!</definedName>
    <definedName name="_mh70" localSheetId="25" hidden="1">[15]DRates!#REF!</definedName>
    <definedName name="_mh70" localSheetId="28" hidden="1">[15]DRates!#REF!</definedName>
    <definedName name="_mh70" localSheetId="29" hidden="1">[15]DRates!#REF!</definedName>
    <definedName name="_mh70" localSheetId="12" hidden="1">[15]DRates!#REF!</definedName>
    <definedName name="_mh70" localSheetId="43" hidden="1">[15]DRates!#REF!</definedName>
    <definedName name="_mh70" localSheetId="42" hidden="1">[15]DRates!#REF!</definedName>
    <definedName name="_mh70" localSheetId="27" hidden="1">[15]DRates!#REF!</definedName>
    <definedName name="_mh70" localSheetId="45" hidden="1">[15]DRates!#REF!</definedName>
    <definedName name="_mh70" hidden="1">[15]DRates!#REF!</definedName>
    <definedName name="_Order1" hidden="1">0</definedName>
    <definedName name="_Order2" hidden="1">0</definedName>
    <definedName name="_PWt2" hidden="1">[16]PipeList!$I$118</definedName>
    <definedName name="_PWt3" hidden="1">[16]PipeList!$K$118</definedName>
    <definedName name="_PWt4" hidden="1">[16]PipeList!$M$118</definedName>
    <definedName name="_PWt5" hidden="1">[16]PipeList!$O$118</definedName>
    <definedName name="_PWt6" hidden="1">[16]PipeList!$Q$118</definedName>
    <definedName name="_RCT10" hidden="1">[8]RCT!$K$286</definedName>
    <definedName name="_RCT25" localSheetId="30" hidden="1">#REF!</definedName>
    <definedName name="_RCT25" localSheetId="25" hidden="1">#REF!</definedName>
    <definedName name="_RCT25" localSheetId="28" hidden="1">#REF!</definedName>
    <definedName name="_RCT25" localSheetId="29" hidden="1">#REF!</definedName>
    <definedName name="_RCT25" localSheetId="7" hidden="1">#REF!</definedName>
    <definedName name="_RCT25" localSheetId="12" hidden="1">#REF!</definedName>
    <definedName name="_RCT25" localSheetId="43" hidden="1">#REF!</definedName>
    <definedName name="_RCT25" localSheetId="42" hidden="1">#REF!</definedName>
    <definedName name="_RCT25" localSheetId="27" hidden="1">#REF!</definedName>
    <definedName name="_RCT25" localSheetId="45" hidden="1">#REF!</definedName>
    <definedName name="_RCT25" hidden="1">#REF!</definedName>
    <definedName name="_RCT50" hidden="1">[8]RCT!$K$98</definedName>
    <definedName name="_rDC2" hidden="1">[17]PipeDesign!$W$144:$W$155</definedName>
    <definedName name="_Re8">[5]DR!$D$33</definedName>
    <definedName name="_rPD2" hidden="1">[17]PipeDesign!$A$142:$AA$155</definedName>
    <definedName name="_rPL2" hidden="1">[17]PipeLineWork!$A$74:$R$139</definedName>
    <definedName name="_RSD1">'[2]Data-Table'!$D$26</definedName>
    <definedName name="_RSD2">'[2]Data-Table'!$D$27</definedName>
    <definedName name="_Sort" localSheetId="30" hidden="1">#REF!</definedName>
    <definedName name="_Sort" localSheetId="25" hidden="1">#REF!</definedName>
    <definedName name="_Sort" localSheetId="4" hidden="1">#REF!</definedName>
    <definedName name="_Sort" localSheetId="28" hidden="1">#REF!</definedName>
    <definedName name="_Sort" localSheetId="29" hidden="1">#REF!</definedName>
    <definedName name="_Sort" localSheetId="7" hidden="1">#REF!</definedName>
    <definedName name="_Sort" localSheetId="12" hidden="1">#REF!</definedName>
    <definedName name="_Sort" localSheetId="10" hidden="1">#REF!</definedName>
    <definedName name="_Sort" localSheetId="43" hidden="1">#REF!</definedName>
    <definedName name="_Sort" localSheetId="42" hidden="1">#REF!</definedName>
    <definedName name="_Sort" localSheetId="5" hidden="1">#REF!</definedName>
    <definedName name="_Sort" localSheetId="27" hidden="1">#REF!</definedName>
    <definedName name="_Sort" localSheetId="45" hidden="1">#REF!</definedName>
    <definedName name="_Sort" hidden="1">#REF!</definedName>
    <definedName name="_tb150">[4]Sheet1!$D$37</definedName>
    <definedName name="_tb300">[4]Sheet1!$D$36</definedName>
    <definedName name="A" localSheetId="30">#REF!</definedName>
    <definedName name="A" localSheetId="25">#REF!</definedName>
    <definedName name="A" localSheetId="28">#REF!</definedName>
    <definedName name="A" localSheetId="29">#REF!</definedName>
    <definedName name="A" localSheetId="7">#REF!</definedName>
    <definedName name="A" localSheetId="12">#REF!</definedName>
    <definedName name="A" localSheetId="43">#REF!</definedName>
    <definedName name="A" localSheetId="42">#REF!</definedName>
    <definedName name="A" localSheetId="27">#REF!</definedName>
    <definedName name="A" localSheetId="45">#REF!</definedName>
    <definedName name="A">#REF!</definedName>
    <definedName name="A_1">'[18]Slab span-thickness table'!$A$14:$D$19</definedName>
    <definedName name="a_15_1" localSheetId="30">#REF!</definedName>
    <definedName name="a_15_1" localSheetId="25">#REF!</definedName>
    <definedName name="a_15_1" localSheetId="28">#REF!</definedName>
    <definedName name="a_15_1" localSheetId="29">#REF!</definedName>
    <definedName name="a_15_1" localSheetId="12">#REF!</definedName>
    <definedName name="a_15_1" localSheetId="43">#REF!</definedName>
    <definedName name="a_15_1" localSheetId="42">#REF!</definedName>
    <definedName name="a_15_1" localSheetId="27">#REF!</definedName>
    <definedName name="a_15_1" localSheetId="45">#REF!</definedName>
    <definedName name="a_15_1">#REF!</definedName>
    <definedName name="a_15_2" localSheetId="30">#REF!</definedName>
    <definedName name="a_15_2" localSheetId="25">#REF!</definedName>
    <definedName name="a_15_2" localSheetId="28">#REF!</definedName>
    <definedName name="a_15_2" localSheetId="29">#REF!</definedName>
    <definedName name="a_15_2" localSheetId="12">#REF!</definedName>
    <definedName name="a_15_2" localSheetId="43">#REF!</definedName>
    <definedName name="a_15_2" localSheetId="42">#REF!</definedName>
    <definedName name="a_15_2" localSheetId="27">#REF!</definedName>
    <definedName name="a_15_2" localSheetId="45">#REF!</definedName>
    <definedName name="a_15_2">#REF!</definedName>
    <definedName name="a_15_3" localSheetId="30">#REF!</definedName>
    <definedName name="a_15_3" localSheetId="25">#REF!</definedName>
    <definedName name="a_15_3" localSheetId="28">#REF!</definedName>
    <definedName name="a_15_3" localSheetId="29">#REF!</definedName>
    <definedName name="a_15_3" localSheetId="12">#REF!</definedName>
    <definedName name="a_15_3" localSheetId="43">#REF!</definedName>
    <definedName name="a_15_3" localSheetId="42">#REF!</definedName>
    <definedName name="a_15_3" localSheetId="27">#REF!</definedName>
    <definedName name="a_15_3" localSheetId="45">#REF!</definedName>
    <definedName name="a_15_3">#REF!</definedName>
    <definedName name="a_15_4" localSheetId="30">#REF!</definedName>
    <definedName name="a_15_4" localSheetId="25">#REF!</definedName>
    <definedName name="a_15_4" localSheetId="28">#REF!</definedName>
    <definedName name="a_15_4" localSheetId="29">#REF!</definedName>
    <definedName name="a_15_4" localSheetId="12">#REF!</definedName>
    <definedName name="a_15_4" localSheetId="43">#REF!</definedName>
    <definedName name="a_15_4" localSheetId="42">#REF!</definedName>
    <definedName name="a_15_4" localSheetId="27">#REF!</definedName>
    <definedName name="a_15_4" localSheetId="45">#REF!</definedName>
    <definedName name="a_15_4">#REF!</definedName>
    <definedName name="a_15_5" localSheetId="30">#REF!</definedName>
    <definedName name="a_15_5" localSheetId="25">#REF!</definedName>
    <definedName name="a_15_5" localSheetId="28">#REF!</definedName>
    <definedName name="a_15_5" localSheetId="29">#REF!</definedName>
    <definedName name="a_15_5" localSheetId="12">#REF!</definedName>
    <definedName name="a_15_5" localSheetId="43">#REF!</definedName>
    <definedName name="a_15_5" localSheetId="42">#REF!</definedName>
    <definedName name="a_15_5" localSheetId="27">#REF!</definedName>
    <definedName name="a_15_5" localSheetId="45">#REF!</definedName>
    <definedName name="a_15_5">#REF!</definedName>
    <definedName name="A_2">'[18]Slab span-thickness table'!$E$14:$H$19</definedName>
    <definedName name="A_3">'[18]Slab span-thickness table'!$I$14:$L$19</definedName>
    <definedName name="a10_1" localSheetId="30">#REF!</definedName>
    <definedName name="a10_1" localSheetId="25">#REF!</definedName>
    <definedName name="a10_1" localSheetId="28">#REF!</definedName>
    <definedName name="a10_1" localSheetId="29">#REF!</definedName>
    <definedName name="a10_1" localSheetId="12">#REF!</definedName>
    <definedName name="a10_1" localSheetId="43">#REF!</definedName>
    <definedName name="a10_1" localSheetId="42">#REF!</definedName>
    <definedName name="a10_1" localSheetId="27">#REF!</definedName>
    <definedName name="a10_1" localSheetId="45">#REF!</definedName>
    <definedName name="a10_1">#REF!</definedName>
    <definedName name="a10_2" localSheetId="30">#REF!</definedName>
    <definedName name="a10_2" localSheetId="25">#REF!</definedName>
    <definedName name="a10_2" localSheetId="28">#REF!</definedName>
    <definedName name="a10_2" localSheetId="29">#REF!</definedName>
    <definedName name="a10_2" localSheetId="12">#REF!</definedName>
    <definedName name="a10_2" localSheetId="43">#REF!</definedName>
    <definedName name="a10_2" localSheetId="42">#REF!</definedName>
    <definedName name="a10_2" localSheetId="27">#REF!</definedName>
    <definedName name="a10_2" localSheetId="45">#REF!</definedName>
    <definedName name="a10_2">#REF!</definedName>
    <definedName name="a10_3" localSheetId="30">#REF!</definedName>
    <definedName name="a10_3" localSheetId="25">#REF!</definedName>
    <definedName name="a10_3" localSheetId="28">#REF!</definedName>
    <definedName name="a10_3" localSheetId="29">#REF!</definedName>
    <definedName name="a10_3" localSheetId="12">#REF!</definedName>
    <definedName name="a10_3" localSheetId="43">#REF!</definedName>
    <definedName name="a10_3" localSheetId="42">#REF!</definedName>
    <definedName name="a10_3" localSheetId="27">#REF!</definedName>
    <definedName name="a10_3" localSheetId="45">#REF!</definedName>
    <definedName name="a10_3">#REF!</definedName>
    <definedName name="a10_4" localSheetId="30">#REF!</definedName>
    <definedName name="a10_4" localSheetId="25">#REF!</definedName>
    <definedName name="a10_4" localSheetId="28">#REF!</definedName>
    <definedName name="a10_4" localSheetId="29">#REF!</definedName>
    <definedName name="a10_4" localSheetId="12">#REF!</definedName>
    <definedName name="a10_4" localSheetId="43">#REF!</definedName>
    <definedName name="a10_4" localSheetId="42">#REF!</definedName>
    <definedName name="a10_4" localSheetId="27">#REF!</definedName>
    <definedName name="a10_4" localSheetId="45">#REF!</definedName>
    <definedName name="a10_4">#REF!</definedName>
    <definedName name="a10_5" localSheetId="30">#REF!</definedName>
    <definedName name="a10_5" localSheetId="25">#REF!</definedName>
    <definedName name="a10_5" localSheetId="28">#REF!</definedName>
    <definedName name="a10_5" localSheetId="29">#REF!</definedName>
    <definedName name="a10_5" localSheetId="12">#REF!</definedName>
    <definedName name="a10_5" localSheetId="43">#REF!</definedName>
    <definedName name="a10_5" localSheetId="42">#REF!</definedName>
    <definedName name="a10_5" localSheetId="27">#REF!</definedName>
    <definedName name="a10_5" localSheetId="45">#REF!</definedName>
    <definedName name="a10_5">#REF!</definedName>
    <definedName name="a11_1" localSheetId="30">#REF!</definedName>
    <definedName name="a11_1" localSheetId="25">#REF!</definedName>
    <definedName name="a11_1" localSheetId="28">#REF!</definedName>
    <definedName name="a11_1" localSheetId="29">#REF!</definedName>
    <definedName name="a11_1" localSheetId="12">#REF!</definedName>
    <definedName name="a11_1" localSheetId="43">#REF!</definedName>
    <definedName name="a11_1" localSheetId="42">#REF!</definedName>
    <definedName name="a11_1" localSheetId="27">#REF!</definedName>
    <definedName name="a11_1" localSheetId="45">#REF!</definedName>
    <definedName name="a11_1">#REF!</definedName>
    <definedName name="a11_2" localSheetId="30">#REF!</definedName>
    <definedName name="a11_2" localSheetId="25">#REF!</definedName>
    <definedName name="a11_2" localSheetId="28">#REF!</definedName>
    <definedName name="a11_2" localSheetId="29">#REF!</definedName>
    <definedName name="a11_2" localSheetId="12">#REF!</definedName>
    <definedName name="a11_2" localSheetId="43">#REF!</definedName>
    <definedName name="a11_2" localSheetId="42">#REF!</definedName>
    <definedName name="a11_2" localSheetId="27">#REF!</definedName>
    <definedName name="a11_2" localSheetId="45">#REF!</definedName>
    <definedName name="a11_2">#REF!</definedName>
    <definedName name="a11_3" localSheetId="30">#REF!</definedName>
    <definedName name="a11_3" localSheetId="25">#REF!</definedName>
    <definedName name="a11_3" localSheetId="28">#REF!</definedName>
    <definedName name="a11_3" localSheetId="29">#REF!</definedName>
    <definedName name="a11_3" localSheetId="12">#REF!</definedName>
    <definedName name="a11_3" localSheetId="43">#REF!</definedName>
    <definedName name="a11_3" localSheetId="42">#REF!</definedName>
    <definedName name="a11_3" localSheetId="27">#REF!</definedName>
    <definedName name="a11_3" localSheetId="45">#REF!</definedName>
    <definedName name="a11_3">#REF!</definedName>
    <definedName name="a11_4" localSheetId="30">#REF!</definedName>
    <definedName name="a11_4" localSheetId="25">#REF!</definedName>
    <definedName name="a11_4" localSheetId="28">#REF!</definedName>
    <definedName name="a11_4" localSheetId="29">#REF!</definedName>
    <definedName name="a11_4" localSheetId="12">#REF!</definedName>
    <definedName name="a11_4" localSheetId="43">#REF!</definedName>
    <definedName name="a11_4" localSheetId="42">#REF!</definedName>
    <definedName name="a11_4" localSheetId="27">#REF!</definedName>
    <definedName name="a11_4" localSheetId="45">#REF!</definedName>
    <definedName name="a11_4">#REF!</definedName>
    <definedName name="a11_5" localSheetId="30">#REF!</definedName>
    <definedName name="a11_5" localSheetId="25">#REF!</definedName>
    <definedName name="a11_5" localSheetId="28">#REF!</definedName>
    <definedName name="a11_5" localSheetId="29">#REF!</definedName>
    <definedName name="a11_5" localSheetId="12">#REF!</definedName>
    <definedName name="a11_5" localSheetId="43">#REF!</definedName>
    <definedName name="a11_5" localSheetId="42">#REF!</definedName>
    <definedName name="a11_5" localSheetId="27">#REF!</definedName>
    <definedName name="a11_5" localSheetId="45">#REF!</definedName>
    <definedName name="a11_5">#REF!</definedName>
    <definedName name="a12_1" localSheetId="30">#REF!</definedName>
    <definedName name="a12_1" localSheetId="25">#REF!</definedName>
    <definedName name="a12_1" localSheetId="28">#REF!</definedName>
    <definedName name="a12_1" localSheetId="29">#REF!</definedName>
    <definedName name="a12_1" localSheetId="12">#REF!</definedName>
    <definedName name="a12_1" localSheetId="43">#REF!</definedName>
    <definedName name="a12_1" localSheetId="42">#REF!</definedName>
    <definedName name="a12_1" localSheetId="27">#REF!</definedName>
    <definedName name="a12_1" localSheetId="45">#REF!</definedName>
    <definedName name="a12_1">#REF!</definedName>
    <definedName name="a12_2" localSheetId="30">#REF!</definedName>
    <definedName name="a12_2" localSheetId="25">#REF!</definedName>
    <definedName name="a12_2" localSheetId="28">#REF!</definedName>
    <definedName name="a12_2" localSheetId="29">#REF!</definedName>
    <definedName name="a12_2" localSheetId="12">#REF!</definedName>
    <definedName name="a12_2" localSheetId="43">#REF!</definedName>
    <definedName name="a12_2" localSheetId="42">#REF!</definedName>
    <definedName name="a12_2" localSheetId="27">#REF!</definedName>
    <definedName name="a12_2" localSheetId="45">#REF!</definedName>
    <definedName name="a12_2">#REF!</definedName>
    <definedName name="a12_3" localSheetId="30">#REF!</definedName>
    <definedName name="a12_3" localSheetId="25">#REF!</definedName>
    <definedName name="a12_3" localSheetId="28">#REF!</definedName>
    <definedName name="a12_3" localSheetId="29">#REF!</definedName>
    <definedName name="a12_3" localSheetId="12">#REF!</definedName>
    <definedName name="a12_3" localSheetId="43">#REF!</definedName>
    <definedName name="a12_3" localSheetId="42">#REF!</definedName>
    <definedName name="a12_3" localSheetId="27">#REF!</definedName>
    <definedName name="a12_3" localSheetId="45">#REF!</definedName>
    <definedName name="a12_3">#REF!</definedName>
    <definedName name="a12_4" localSheetId="30">#REF!</definedName>
    <definedName name="a12_4" localSheetId="25">#REF!</definedName>
    <definedName name="a12_4" localSheetId="28">#REF!</definedName>
    <definedName name="a12_4" localSheetId="29">#REF!</definedName>
    <definedName name="a12_4" localSheetId="12">#REF!</definedName>
    <definedName name="a12_4" localSheetId="43">#REF!</definedName>
    <definedName name="a12_4" localSheetId="42">#REF!</definedName>
    <definedName name="a12_4" localSheetId="27">#REF!</definedName>
    <definedName name="a12_4" localSheetId="45">#REF!</definedName>
    <definedName name="a12_4">#REF!</definedName>
    <definedName name="a12_5" localSheetId="30">#REF!</definedName>
    <definedName name="a12_5" localSheetId="25">#REF!</definedName>
    <definedName name="a12_5" localSheetId="28">#REF!</definedName>
    <definedName name="a12_5" localSheetId="29">#REF!</definedName>
    <definedName name="a12_5" localSheetId="12">#REF!</definedName>
    <definedName name="a12_5" localSheetId="43">#REF!</definedName>
    <definedName name="a12_5" localSheetId="42">#REF!</definedName>
    <definedName name="a12_5" localSheetId="27">#REF!</definedName>
    <definedName name="a12_5" localSheetId="45">#REF!</definedName>
    <definedName name="a12_5">#REF!</definedName>
    <definedName name="a12_6" localSheetId="30">#REF!</definedName>
    <definedName name="a12_6" localSheetId="25">#REF!</definedName>
    <definedName name="a12_6" localSheetId="28">#REF!</definedName>
    <definedName name="a12_6" localSheetId="29">#REF!</definedName>
    <definedName name="a12_6" localSheetId="12">#REF!</definedName>
    <definedName name="a12_6" localSheetId="43">#REF!</definedName>
    <definedName name="a12_6" localSheetId="42">#REF!</definedName>
    <definedName name="a12_6" localSheetId="27">#REF!</definedName>
    <definedName name="a12_6" localSheetId="45">#REF!</definedName>
    <definedName name="a12_6">#REF!</definedName>
    <definedName name="a12_7" localSheetId="30">#REF!</definedName>
    <definedName name="a12_7" localSheetId="25">#REF!</definedName>
    <definedName name="a12_7" localSheetId="28">#REF!</definedName>
    <definedName name="a12_7" localSheetId="29">#REF!</definedName>
    <definedName name="a12_7" localSheetId="12">#REF!</definedName>
    <definedName name="a12_7" localSheetId="43">#REF!</definedName>
    <definedName name="a12_7" localSheetId="42">#REF!</definedName>
    <definedName name="a12_7" localSheetId="27">#REF!</definedName>
    <definedName name="a12_7" localSheetId="45">#REF!</definedName>
    <definedName name="a12_7">#REF!</definedName>
    <definedName name="a12_8" localSheetId="30">#REF!</definedName>
    <definedName name="a12_8" localSheetId="25">#REF!</definedName>
    <definedName name="a12_8" localSheetId="28">#REF!</definedName>
    <definedName name="a12_8" localSheetId="29">#REF!</definedName>
    <definedName name="a12_8" localSheetId="12">#REF!</definedName>
    <definedName name="a12_8" localSheetId="43">#REF!</definedName>
    <definedName name="a12_8" localSheetId="42">#REF!</definedName>
    <definedName name="a12_8" localSheetId="27">#REF!</definedName>
    <definedName name="a12_8" localSheetId="45">#REF!</definedName>
    <definedName name="a12_8">#REF!</definedName>
    <definedName name="a12_9" localSheetId="30">#REF!</definedName>
    <definedName name="a12_9" localSheetId="25">#REF!</definedName>
    <definedName name="a12_9" localSheetId="28">#REF!</definedName>
    <definedName name="a12_9" localSheetId="29">#REF!</definedName>
    <definedName name="a12_9" localSheetId="12">#REF!</definedName>
    <definedName name="a12_9" localSheetId="43">#REF!</definedName>
    <definedName name="a12_9" localSheetId="42">#REF!</definedName>
    <definedName name="a12_9" localSheetId="27">#REF!</definedName>
    <definedName name="a12_9" localSheetId="45">#REF!</definedName>
    <definedName name="a12_9">#REF!</definedName>
    <definedName name="a13_1" localSheetId="30">#REF!</definedName>
    <definedName name="a13_1" localSheetId="25">#REF!</definedName>
    <definedName name="a13_1" localSheetId="28">#REF!</definedName>
    <definedName name="a13_1" localSheetId="29">#REF!</definedName>
    <definedName name="a13_1" localSheetId="12">#REF!</definedName>
    <definedName name="a13_1" localSheetId="43">#REF!</definedName>
    <definedName name="a13_1" localSheetId="42">#REF!</definedName>
    <definedName name="a13_1" localSheetId="27">#REF!</definedName>
    <definedName name="a13_1" localSheetId="45">#REF!</definedName>
    <definedName name="a13_1">#REF!</definedName>
    <definedName name="a13_2" localSheetId="30">#REF!</definedName>
    <definedName name="a13_2" localSheetId="25">#REF!</definedName>
    <definedName name="a13_2" localSheetId="28">#REF!</definedName>
    <definedName name="a13_2" localSheetId="29">#REF!</definedName>
    <definedName name="a13_2" localSheetId="12">#REF!</definedName>
    <definedName name="a13_2" localSheetId="43">#REF!</definedName>
    <definedName name="a13_2" localSheetId="42">#REF!</definedName>
    <definedName name="a13_2" localSheetId="27">#REF!</definedName>
    <definedName name="a13_2" localSheetId="45">#REF!</definedName>
    <definedName name="a13_2">#REF!</definedName>
    <definedName name="a14_" localSheetId="30">#REF!</definedName>
    <definedName name="a14_" localSheetId="25">#REF!</definedName>
    <definedName name="a14_" localSheetId="28">#REF!</definedName>
    <definedName name="a14_" localSheetId="29">#REF!</definedName>
    <definedName name="a14_" localSheetId="12">#REF!</definedName>
    <definedName name="a14_" localSheetId="43">#REF!</definedName>
    <definedName name="a14_" localSheetId="42">#REF!</definedName>
    <definedName name="a14_" localSheetId="27">#REF!</definedName>
    <definedName name="a14_" localSheetId="45">#REF!</definedName>
    <definedName name="a14_">#REF!</definedName>
    <definedName name="a15_" localSheetId="30">#REF!</definedName>
    <definedName name="a15_" localSheetId="25">#REF!</definedName>
    <definedName name="a15_" localSheetId="28">#REF!</definedName>
    <definedName name="a15_" localSheetId="29">#REF!</definedName>
    <definedName name="a15_" localSheetId="12">#REF!</definedName>
    <definedName name="a15_" localSheetId="43">#REF!</definedName>
    <definedName name="a15_" localSheetId="42">#REF!</definedName>
    <definedName name="a15_" localSheetId="27">#REF!</definedName>
    <definedName name="a15_" localSheetId="45">#REF!</definedName>
    <definedName name="a15_">#REF!</definedName>
    <definedName name="a6_1_1" localSheetId="30">#REF!</definedName>
    <definedName name="a6_1_1" localSheetId="25">#REF!</definedName>
    <definedName name="a6_1_1" localSheetId="28">#REF!</definedName>
    <definedName name="a6_1_1" localSheetId="29">#REF!</definedName>
    <definedName name="a6_1_1" localSheetId="12">#REF!</definedName>
    <definedName name="a6_1_1" localSheetId="43">#REF!</definedName>
    <definedName name="a6_1_1" localSheetId="42">#REF!</definedName>
    <definedName name="a6_1_1" localSheetId="27">#REF!</definedName>
    <definedName name="a6_1_1" localSheetId="45">#REF!</definedName>
    <definedName name="a6_1_1">#REF!</definedName>
    <definedName name="a6_1_2" localSheetId="30">#REF!</definedName>
    <definedName name="a6_1_2" localSheetId="25">#REF!</definedName>
    <definedName name="a6_1_2" localSheetId="28">#REF!</definedName>
    <definedName name="a6_1_2" localSheetId="29">#REF!</definedName>
    <definedName name="a6_1_2" localSheetId="12">#REF!</definedName>
    <definedName name="a6_1_2" localSheetId="43">#REF!</definedName>
    <definedName name="a6_1_2" localSheetId="42">#REF!</definedName>
    <definedName name="a6_1_2" localSheetId="27">#REF!</definedName>
    <definedName name="a6_1_2" localSheetId="45">#REF!</definedName>
    <definedName name="a6_1_2">#REF!</definedName>
    <definedName name="a6_1_3" localSheetId="30">#REF!</definedName>
    <definedName name="a6_1_3" localSheetId="25">#REF!</definedName>
    <definedName name="a6_1_3" localSheetId="28">#REF!</definedName>
    <definedName name="a6_1_3" localSheetId="29">#REF!</definedName>
    <definedName name="a6_1_3" localSheetId="12">#REF!</definedName>
    <definedName name="a6_1_3" localSheetId="43">#REF!</definedName>
    <definedName name="a6_1_3" localSheetId="42">#REF!</definedName>
    <definedName name="a6_1_3" localSheetId="27">#REF!</definedName>
    <definedName name="a6_1_3" localSheetId="45">#REF!</definedName>
    <definedName name="a6_1_3">#REF!</definedName>
    <definedName name="a6_2_1" localSheetId="30">#REF!</definedName>
    <definedName name="a6_2_1" localSheetId="25">#REF!</definedName>
    <definedName name="a6_2_1" localSheetId="28">#REF!</definedName>
    <definedName name="a6_2_1" localSheetId="29">#REF!</definedName>
    <definedName name="a6_2_1" localSheetId="12">#REF!</definedName>
    <definedName name="a6_2_1" localSheetId="43">#REF!</definedName>
    <definedName name="a6_2_1" localSheetId="42">#REF!</definedName>
    <definedName name="a6_2_1" localSheetId="27">#REF!</definedName>
    <definedName name="a6_2_1" localSheetId="45">#REF!</definedName>
    <definedName name="a6_2_1">#REF!</definedName>
    <definedName name="a6_2_2" localSheetId="30">#REF!</definedName>
    <definedName name="a6_2_2" localSheetId="25">#REF!</definedName>
    <definedName name="a6_2_2" localSheetId="28">#REF!</definedName>
    <definedName name="a6_2_2" localSheetId="29">#REF!</definedName>
    <definedName name="a6_2_2" localSheetId="12">#REF!</definedName>
    <definedName name="a6_2_2" localSheetId="43">#REF!</definedName>
    <definedName name="a6_2_2" localSheetId="42">#REF!</definedName>
    <definedName name="a6_2_2" localSheetId="27">#REF!</definedName>
    <definedName name="a6_2_2" localSheetId="45">#REF!</definedName>
    <definedName name="a6_2_2">#REF!</definedName>
    <definedName name="a6_2_3" localSheetId="30">#REF!</definedName>
    <definedName name="a6_2_3" localSheetId="25">#REF!</definedName>
    <definedName name="a6_2_3" localSheetId="28">#REF!</definedName>
    <definedName name="a6_2_3" localSheetId="29">#REF!</definedName>
    <definedName name="a6_2_3" localSheetId="12">#REF!</definedName>
    <definedName name="a6_2_3" localSheetId="43">#REF!</definedName>
    <definedName name="a6_2_3" localSheetId="42">#REF!</definedName>
    <definedName name="a6_2_3" localSheetId="27">#REF!</definedName>
    <definedName name="a6_2_3" localSheetId="45">#REF!</definedName>
    <definedName name="a6_2_3">#REF!</definedName>
    <definedName name="a6_3_1" localSheetId="30">#REF!</definedName>
    <definedName name="a6_3_1" localSheetId="25">#REF!</definedName>
    <definedName name="a6_3_1" localSheetId="28">#REF!</definedName>
    <definedName name="a6_3_1" localSheetId="29">#REF!</definedName>
    <definedName name="a6_3_1" localSheetId="12">#REF!</definedName>
    <definedName name="a6_3_1" localSheetId="43">#REF!</definedName>
    <definedName name="a6_3_1" localSheetId="42">#REF!</definedName>
    <definedName name="a6_3_1" localSheetId="27">#REF!</definedName>
    <definedName name="a6_3_1" localSheetId="45">#REF!</definedName>
    <definedName name="a6_3_1">#REF!</definedName>
    <definedName name="a6_3_2" localSheetId="30">#REF!</definedName>
    <definedName name="a6_3_2" localSheetId="25">#REF!</definedName>
    <definedName name="a6_3_2" localSheetId="28">#REF!</definedName>
    <definedName name="a6_3_2" localSheetId="29">#REF!</definedName>
    <definedName name="a6_3_2" localSheetId="12">#REF!</definedName>
    <definedName name="a6_3_2" localSheetId="43">#REF!</definedName>
    <definedName name="a6_3_2" localSheetId="42">#REF!</definedName>
    <definedName name="a6_3_2" localSheetId="27">#REF!</definedName>
    <definedName name="a6_3_2" localSheetId="45">#REF!</definedName>
    <definedName name="a6_3_2">#REF!</definedName>
    <definedName name="a6_3_3" localSheetId="30">#REF!</definedName>
    <definedName name="a6_3_3" localSheetId="25">#REF!</definedName>
    <definedName name="a6_3_3" localSheetId="28">#REF!</definedName>
    <definedName name="a6_3_3" localSheetId="29">#REF!</definedName>
    <definedName name="a6_3_3" localSheetId="12">#REF!</definedName>
    <definedName name="a6_3_3" localSheetId="43">#REF!</definedName>
    <definedName name="a6_3_3" localSheetId="42">#REF!</definedName>
    <definedName name="a6_3_3" localSheetId="27">#REF!</definedName>
    <definedName name="a6_3_3" localSheetId="45">#REF!</definedName>
    <definedName name="a6_3_3">#REF!</definedName>
    <definedName name="a6_4_1" localSheetId="30">#REF!</definedName>
    <definedName name="a6_4_1" localSheetId="25">#REF!</definedName>
    <definedName name="a6_4_1" localSheetId="28">#REF!</definedName>
    <definedName name="a6_4_1" localSheetId="29">#REF!</definedName>
    <definedName name="a6_4_1" localSheetId="12">#REF!</definedName>
    <definedName name="a6_4_1" localSheetId="43">#REF!</definedName>
    <definedName name="a6_4_1" localSheetId="42">#REF!</definedName>
    <definedName name="a6_4_1" localSheetId="27">#REF!</definedName>
    <definedName name="a6_4_1" localSheetId="45">#REF!</definedName>
    <definedName name="a6_4_1">#REF!</definedName>
    <definedName name="a6_4_10" localSheetId="30">#REF!</definedName>
    <definedName name="a6_4_10" localSheetId="25">#REF!</definedName>
    <definedName name="a6_4_10" localSheetId="28">#REF!</definedName>
    <definedName name="a6_4_10" localSheetId="29">#REF!</definedName>
    <definedName name="a6_4_10" localSheetId="12">#REF!</definedName>
    <definedName name="a6_4_10" localSheetId="43">#REF!</definedName>
    <definedName name="a6_4_10" localSheetId="42">#REF!</definedName>
    <definedName name="a6_4_10" localSheetId="27">#REF!</definedName>
    <definedName name="a6_4_10" localSheetId="45">#REF!</definedName>
    <definedName name="a6_4_10">#REF!</definedName>
    <definedName name="a6_4_11" localSheetId="30">#REF!</definedName>
    <definedName name="a6_4_11" localSheetId="25">#REF!</definedName>
    <definedName name="a6_4_11" localSheetId="28">#REF!</definedName>
    <definedName name="a6_4_11" localSheetId="29">#REF!</definedName>
    <definedName name="a6_4_11" localSheetId="12">#REF!</definedName>
    <definedName name="a6_4_11" localSheetId="43">#REF!</definedName>
    <definedName name="a6_4_11" localSheetId="42">#REF!</definedName>
    <definedName name="a6_4_11" localSheetId="27">#REF!</definedName>
    <definedName name="a6_4_11" localSheetId="45">#REF!</definedName>
    <definedName name="a6_4_11">#REF!</definedName>
    <definedName name="a6_4_12" localSheetId="30">#REF!</definedName>
    <definedName name="a6_4_12" localSheetId="25">#REF!</definedName>
    <definedName name="a6_4_12" localSheetId="28">#REF!</definedName>
    <definedName name="a6_4_12" localSheetId="29">#REF!</definedName>
    <definedName name="a6_4_12" localSheetId="12">#REF!</definedName>
    <definedName name="a6_4_12" localSheetId="43">#REF!</definedName>
    <definedName name="a6_4_12" localSheetId="42">#REF!</definedName>
    <definedName name="a6_4_12" localSheetId="27">#REF!</definedName>
    <definedName name="a6_4_12" localSheetId="45">#REF!</definedName>
    <definedName name="a6_4_12">#REF!</definedName>
    <definedName name="a6_4_2" localSheetId="30">#REF!</definedName>
    <definedName name="a6_4_2" localSheetId="25">#REF!</definedName>
    <definedName name="a6_4_2" localSheetId="28">#REF!</definedName>
    <definedName name="a6_4_2" localSheetId="29">#REF!</definedName>
    <definedName name="a6_4_2" localSheetId="12">#REF!</definedName>
    <definedName name="a6_4_2" localSheetId="43">#REF!</definedName>
    <definedName name="a6_4_2" localSheetId="42">#REF!</definedName>
    <definedName name="a6_4_2" localSheetId="27">#REF!</definedName>
    <definedName name="a6_4_2" localSheetId="45">#REF!</definedName>
    <definedName name="a6_4_2">#REF!</definedName>
    <definedName name="a6_4_3" localSheetId="30">#REF!</definedName>
    <definedName name="a6_4_3" localSheetId="25">#REF!</definedName>
    <definedName name="a6_4_3" localSheetId="28">#REF!</definedName>
    <definedName name="a6_4_3" localSheetId="29">#REF!</definedName>
    <definedName name="a6_4_3" localSheetId="12">#REF!</definedName>
    <definedName name="a6_4_3" localSheetId="43">#REF!</definedName>
    <definedName name="a6_4_3" localSheetId="42">#REF!</definedName>
    <definedName name="a6_4_3" localSheetId="27">#REF!</definedName>
    <definedName name="a6_4_3" localSheetId="45">#REF!</definedName>
    <definedName name="a6_4_3">#REF!</definedName>
    <definedName name="a6_4_4" localSheetId="30">#REF!</definedName>
    <definedName name="a6_4_4" localSheetId="25">#REF!</definedName>
    <definedName name="a6_4_4" localSheetId="28">#REF!</definedName>
    <definedName name="a6_4_4" localSheetId="29">#REF!</definedName>
    <definedName name="a6_4_4" localSheetId="12">#REF!</definedName>
    <definedName name="a6_4_4" localSheetId="43">#REF!</definedName>
    <definedName name="a6_4_4" localSheetId="42">#REF!</definedName>
    <definedName name="a6_4_4" localSheetId="27">#REF!</definedName>
    <definedName name="a6_4_4" localSheetId="45">#REF!</definedName>
    <definedName name="a6_4_4">#REF!</definedName>
    <definedName name="a6_4_5" localSheetId="30">#REF!</definedName>
    <definedName name="a6_4_5" localSheetId="25">#REF!</definedName>
    <definedName name="a6_4_5" localSheetId="28">#REF!</definedName>
    <definedName name="a6_4_5" localSheetId="29">#REF!</definedName>
    <definedName name="a6_4_5" localSheetId="12">#REF!</definedName>
    <definedName name="a6_4_5" localSheetId="43">#REF!</definedName>
    <definedName name="a6_4_5" localSheetId="42">#REF!</definedName>
    <definedName name="a6_4_5" localSheetId="27">#REF!</definedName>
    <definedName name="a6_4_5" localSheetId="45">#REF!</definedName>
    <definedName name="a6_4_5">#REF!</definedName>
    <definedName name="a6_4_6" localSheetId="30">#REF!</definedName>
    <definedName name="a6_4_6" localSheetId="25">#REF!</definedName>
    <definedName name="a6_4_6" localSheetId="28">#REF!</definedName>
    <definedName name="a6_4_6" localSheetId="29">#REF!</definedName>
    <definedName name="a6_4_6" localSheetId="12">#REF!</definedName>
    <definedName name="a6_4_6" localSheetId="43">#REF!</definedName>
    <definedName name="a6_4_6" localSheetId="42">#REF!</definedName>
    <definedName name="a6_4_6" localSheetId="27">#REF!</definedName>
    <definedName name="a6_4_6" localSheetId="45">#REF!</definedName>
    <definedName name="a6_4_6">#REF!</definedName>
    <definedName name="a6_4_7" localSheetId="30">#REF!</definedName>
    <definedName name="a6_4_7" localSheetId="25">#REF!</definedName>
    <definedName name="a6_4_7" localSheetId="28">#REF!</definedName>
    <definedName name="a6_4_7" localSheetId="29">#REF!</definedName>
    <definedName name="a6_4_7" localSheetId="12">#REF!</definedName>
    <definedName name="a6_4_7" localSheetId="43">#REF!</definedName>
    <definedName name="a6_4_7" localSheetId="42">#REF!</definedName>
    <definedName name="a6_4_7" localSheetId="27">#REF!</definedName>
    <definedName name="a6_4_7" localSheetId="45">#REF!</definedName>
    <definedName name="a6_4_7">#REF!</definedName>
    <definedName name="a6_4_8" localSheetId="30">#REF!</definedName>
    <definedName name="a6_4_8" localSheetId="25">#REF!</definedName>
    <definedName name="a6_4_8" localSheetId="28">#REF!</definedName>
    <definedName name="a6_4_8" localSheetId="29">#REF!</definedName>
    <definedName name="a6_4_8" localSheetId="12">#REF!</definedName>
    <definedName name="a6_4_8" localSheetId="43">#REF!</definedName>
    <definedName name="a6_4_8" localSheetId="42">#REF!</definedName>
    <definedName name="a6_4_8" localSheetId="27">#REF!</definedName>
    <definedName name="a6_4_8" localSheetId="45">#REF!</definedName>
    <definedName name="a6_4_8">#REF!</definedName>
    <definedName name="a6_4_9" localSheetId="30">#REF!</definedName>
    <definedName name="a6_4_9" localSheetId="25">#REF!</definedName>
    <definedName name="a6_4_9" localSheetId="28">#REF!</definedName>
    <definedName name="a6_4_9" localSheetId="29">#REF!</definedName>
    <definedName name="a6_4_9" localSheetId="12">#REF!</definedName>
    <definedName name="a6_4_9" localSheetId="43">#REF!</definedName>
    <definedName name="a6_4_9" localSheetId="42">#REF!</definedName>
    <definedName name="a6_4_9" localSheetId="27">#REF!</definedName>
    <definedName name="a6_4_9" localSheetId="45">#REF!</definedName>
    <definedName name="a6_4_9">#REF!</definedName>
    <definedName name="a6_rock" localSheetId="30">#REF!</definedName>
    <definedName name="a6_rock" localSheetId="25">#REF!</definedName>
    <definedName name="a6_rock" localSheetId="28">#REF!</definedName>
    <definedName name="a6_rock" localSheetId="29">#REF!</definedName>
    <definedName name="a6_rock" localSheetId="12">#REF!</definedName>
    <definedName name="a6_rock" localSheetId="43">#REF!</definedName>
    <definedName name="a6_rock" localSheetId="42">#REF!</definedName>
    <definedName name="a6_rock" localSheetId="27">#REF!</definedName>
    <definedName name="a6_rock" localSheetId="45">#REF!</definedName>
    <definedName name="a6_rock">#REF!</definedName>
    <definedName name="a7_1" localSheetId="30">#REF!</definedName>
    <definedName name="a7_1" localSheetId="25">#REF!</definedName>
    <definedName name="a7_1" localSheetId="28">#REF!</definedName>
    <definedName name="a7_1" localSheetId="29">#REF!</definedName>
    <definedName name="a7_1" localSheetId="12">#REF!</definedName>
    <definedName name="a7_1" localSheetId="43">#REF!</definedName>
    <definedName name="a7_1" localSheetId="42">#REF!</definedName>
    <definedName name="a7_1" localSheetId="27">#REF!</definedName>
    <definedName name="a7_1" localSheetId="45">#REF!</definedName>
    <definedName name="a7_1">#REF!</definedName>
    <definedName name="a7_2" localSheetId="30">#REF!</definedName>
    <definedName name="a7_2" localSheetId="25">#REF!</definedName>
    <definedName name="a7_2" localSheetId="28">#REF!</definedName>
    <definedName name="a7_2" localSheetId="29">#REF!</definedName>
    <definedName name="a7_2" localSheetId="12">#REF!</definedName>
    <definedName name="a7_2" localSheetId="43">#REF!</definedName>
    <definedName name="a7_2" localSheetId="42">#REF!</definedName>
    <definedName name="a7_2" localSheetId="27">#REF!</definedName>
    <definedName name="a7_2" localSheetId="45">#REF!</definedName>
    <definedName name="a7_2">#REF!</definedName>
    <definedName name="a7_3" localSheetId="30">#REF!</definedName>
    <definedName name="a7_3" localSheetId="25">#REF!</definedName>
    <definedName name="a7_3" localSheetId="28">#REF!</definedName>
    <definedName name="a7_3" localSheetId="29">#REF!</definedName>
    <definedName name="a7_3" localSheetId="12">#REF!</definedName>
    <definedName name="a7_3" localSheetId="43">#REF!</definedName>
    <definedName name="a7_3" localSheetId="42">#REF!</definedName>
    <definedName name="a7_3" localSheetId="27">#REF!</definedName>
    <definedName name="a7_3" localSheetId="45">#REF!</definedName>
    <definedName name="a7_3">#REF!</definedName>
    <definedName name="a8_1" localSheetId="30">#REF!</definedName>
    <definedName name="a8_1" localSheetId="25">#REF!</definedName>
    <definedName name="a8_1" localSheetId="28">#REF!</definedName>
    <definedName name="a8_1" localSheetId="29">#REF!</definedName>
    <definedName name="a8_1" localSheetId="12">#REF!</definedName>
    <definedName name="a8_1" localSheetId="43">#REF!</definedName>
    <definedName name="a8_1" localSheetId="42">#REF!</definedName>
    <definedName name="a8_1" localSheetId="27">#REF!</definedName>
    <definedName name="a8_1" localSheetId="45">#REF!</definedName>
    <definedName name="a8_1">#REF!</definedName>
    <definedName name="a8_2" localSheetId="30">#REF!</definedName>
    <definedName name="a8_2" localSheetId="25">#REF!</definedName>
    <definedName name="a8_2" localSheetId="28">#REF!</definedName>
    <definedName name="a8_2" localSheetId="29">#REF!</definedName>
    <definedName name="a8_2" localSheetId="12">#REF!</definedName>
    <definedName name="a8_2" localSheetId="43">#REF!</definedName>
    <definedName name="a8_2" localSheetId="42">#REF!</definedName>
    <definedName name="a8_2" localSheetId="27">#REF!</definedName>
    <definedName name="a8_2" localSheetId="45">#REF!</definedName>
    <definedName name="a8_2">#REF!</definedName>
    <definedName name="a8_3" localSheetId="30">#REF!</definedName>
    <definedName name="a8_3" localSheetId="25">#REF!</definedName>
    <definedName name="a8_3" localSheetId="28">#REF!</definedName>
    <definedName name="a8_3" localSheetId="29">#REF!</definedName>
    <definedName name="a8_3" localSheetId="12">#REF!</definedName>
    <definedName name="a8_3" localSheetId="43">#REF!</definedName>
    <definedName name="a8_3" localSheetId="42">#REF!</definedName>
    <definedName name="a8_3" localSheetId="27">#REF!</definedName>
    <definedName name="a8_3" localSheetId="45">#REF!</definedName>
    <definedName name="a8_3">#REF!</definedName>
    <definedName name="a9_1" localSheetId="30">#REF!</definedName>
    <definedName name="a9_1" localSheetId="25">#REF!</definedName>
    <definedName name="a9_1" localSheetId="28">#REF!</definedName>
    <definedName name="a9_1" localSheetId="29">#REF!</definedName>
    <definedName name="a9_1" localSheetId="12">#REF!</definedName>
    <definedName name="a9_1" localSheetId="43">#REF!</definedName>
    <definedName name="a9_1" localSheetId="42">#REF!</definedName>
    <definedName name="a9_1" localSheetId="27">#REF!</definedName>
    <definedName name="a9_1" localSheetId="45">#REF!</definedName>
    <definedName name="a9_1">#REF!</definedName>
    <definedName name="a9_2" localSheetId="30">#REF!</definedName>
    <definedName name="a9_2" localSheetId="25">#REF!</definedName>
    <definedName name="a9_2" localSheetId="28">#REF!</definedName>
    <definedName name="a9_2" localSheetId="29">#REF!</definedName>
    <definedName name="a9_2" localSheetId="12">#REF!</definedName>
    <definedName name="a9_2" localSheetId="43">#REF!</definedName>
    <definedName name="a9_2" localSheetId="42">#REF!</definedName>
    <definedName name="a9_2" localSheetId="27">#REF!</definedName>
    <definedName name="a9_2" localSheetId="45">#REF!</definedName>
    <definedName name="a9_2">#REF!</definedName>
    <definedName name="a9_3" localSheetId="30">#REF!</definedName>
    <definedName name="a9_3" localSheetId="25">#REF!</definedName>
    <definedName name="a9_3" localSheetId="28">#REF!</definedName>
    <definedName name="a9_3" localSheetId="29">#REF!</definedName>
    <definedName name="a9_3" localSheetId="12">#REF!</definedName>
    <definedName name="a9_3" localSheetId="43">#REF!</definedName>
    <definedName name="a9_3" localSheetId="42">#REF!</definedName>
    <definedName name="a9_3" localSheetId="27">#REF!</definedName>
    <definedName name="a9_3" localSheetId="45">#REF!</definedName>
    <definedName name="a9_3">#REF!</definedName>
    <definedName name="a9_4" localSheetId="30">#REF!</definedName>
    <definedName name="a9_4" localSheetId="25">#REF!</definedName>
    <definedName name="a9_4" localSheetId="28">#REF!</definedName>
    <definedName name="a9_4" localSheetId="29">#REF!</definedName>
    <definedName name="a9_4" localSheetId="12">#REF!</definedName>
    <definedName name="a9_4" localSheetId="43">#REF!</definedName>
    <definedName name="a9_4" localSheetId="42">#REF!</definedName>
    <definedName name="a9_4" localSheetId="27">#REF!</definedName>
    <definedName name="a9_4" localSheetId="45">#REF!</definedName>
    <definedName name="a9_4">#REF!</definedName>
    <definedName name="a9_5" localSheetId="30">#REF!</definedName>
    <definedName name="a9_5" localSheetId="25">#REF!</definedName>
    <definedName name="a9_5" localSheetId="28">#REF!</definedName>
    <definedName name="a9_5" localSheetId="29">#REF!</definedName>
    <definedName name="a9_5" localSheetId="12">#REF!</definedName>
    <definedName name="a9_5" localSheetId="43">#REF!</definedName>
    <definedName name="a9_5" localSheetId="42">#REF!</definedName>
    <definedName name="a9_5" localSheetId="27">#REF!</definedName>
    <definedName name="a9_5" localSheetId="45">#REF!</definedName>
    <definedName name="a9_5">#REF!</definedName>
    <definedName name="aa">[19]Rates!$D$61</definedName>
    <definedName name="aaa">'[20]Other Data'!$A$4:$C$78</definedName>
    <definedName name="aaaaa" localSheetId="30" hidden="1">[15]DRates!#REF!</definedName>
    <definedName name="aaaaa" localSheetId="25" hidden="1">[15]DRates!#REF!</definedName>
    <definedName name="aaaaa" localSheetId="28" hidden="1">[15]DRates!#REF!</definedName>
    <definedName name="aaaaa" localSheetId="29" hidden="1">[15]DRates!#REF!</definedName>
    <definedName name="aaaaa" localSheetId="12" hidden="1">[15]DRates!#REF!</definedName>
    <definedName name="aaaaa" localSheetId="43" hidden="1">[15]DRates!#REF!</definedName>
    <definedName name="aaaaa" localSheetId="42" hidden="1">[15]DRates!#REF!</definedName>
    <definedName name="aaaaa" localSheetId="27" hidden="1">[15]DRates!#REF!</definedName>
    <definedName name="aaaaa" localSheetId="45" hidden="1">[15]DRates!#REF!</definedName>
    <definedName name="aaaaa" hidden="1">[15]DRates!#REF!</definedName>
    <definedName name="aad">[19]Rates!$D$58</definedName>
    <definedName name="aas">[19]Rates!$D$32</definedName>
    <definedName name="aasz">[19]Rates!$D$54</definedName>
    <definedName name="aazaza">[19]Rates!$D$56</definedName>
    <definedName name="aazsaza">[19]Rates!$D$12</definedName>
    <definedName name="Agg">[5]DR!$D$24</definedName>
    <definedName name="agg_20">[19]Rates!$D$76</definedName>
    <definedName name="AGG_20_cum_M">[21]Transport_Cost_F!$D$43</definedName>
    <definedName name="AGG_40_cum_M">[21]Transport_Cost_F!$D$44</definedName>
    <definedName name="Aggregate25">'[22]District Rates'!$E$15</definedName>
    <definedName name="aggregates_10">[19]Rates!$D$75</definedName>
    <definedName name="aggregates_40">[19]Rates!$D$77</definedName>
    <definedName name="Airlift" hidden="1">[8]MatCol!$T$90</definedName>
    <definedName name="AlPnt" localSheetId="30" hidden="1">[15]DRates!#REF!</definedName>
    <definedName name="AlPnt" localSheetId="25" hidden="1">[15]DRates!#REF!</definedName>
    <definedName name="AlPnt" localSheetId="28" hidden="1">[15]DRates!#REF!</definedName>
    <definedName name="AlPnt" localSheetId="29" hidden="1">[15]DRates!#REF!</definedName>
    <definedName name="AlPnt" localSheetId="7" hidden="1">[15]DRates!#REF!</definedName>
    <definedName name="AlPnt" localSheetId="12" hidden="1">[15]DRates!#REF!</definedName>
    <definedName name="AlPnt" localSheetId="43" hidden="1">[15]DRates!#REF!</definedName>
    <definedName name="AlPnt" localSheetId="42" hidden="1">[15]DRates!#REF!</definedName>
    <definedName name="AlPnt" localSheetId="27" hidden="1">[15]DRates!#REF!</definedName>
    <definedName name="AlPnt" localSheetId="45" hidden="1">[15]DRates!#REF!</definedName>
    <definedName name="AlPnt" hidden="1">[15]DRates!#REF!</definedName>
    <definedName name="anscount" hidden="1">1</definedName>
    <definedName name="Anti_stripping_agent">[21]Transport_Cost_F!$D$74</definedName>
    <definedName name="asd">[19]Rates!$D$64</definedName>
    <definedName name="Asphalt_Mix">'[23]Equipment Rates'!$D$36</definedName>
    <definedName name="Asphalt_Paver">'[23]Equipment Rates'!$D$37</definedName>
    <definedName name="AV_15" localSheetId="30">#REF!</definedName>
    <definedName name="AV_15" localSheetId="25">#REF!</definedName>
    <definedName name="AV_15" localSheetId="28">#REF!</definedName>
    <definedName name="AV_15" localSheetId="29">#REF!</definedName>
    <definedName name="AV_15" localSheetId="12">#REF!</definedName>
    <definedName name="AV_15" localSheetId="43">#REF!</definedName>
    <definedName name="AV_15" localSheetId="42">#REF!</definedName>
    <definedName name="AV_15" localSheetId="27">#REF!</definedName>
    <definedName name="AV_15" localSheetId="45">#REF!</definedName>
    <definedName name="AV_15">#REF!</definedName>
    <definedName name="AV_2" localSheetId="30">#REF!</definedName>
    <definedName name="AV_2" localSheetId="25">#REF!</definedName>
    <definedName name="AV_2" localSheetId="28">#REF!</definedName>
    <definedName name="AV_2" localSheetId="29">#REF!</definedName>
    <definedName name="AV_2" localSheetId="12">#REF!</definedName>
    <definedName name="AV_2" localSheetId="43">#REF!</definedName>
    <definedName name="AV_2" localSheetId="42">#REF!</definedName>
    <definedName name="AV_2" localSheetId="27">#REF!</definedName>
    <definedName name="AV_2" localSheetId="45">#REF!</definedName>
    <definedName name="AV_2">#REF!</definedName>
    <definedName name="AV_20" localSheetId="30">#REF!</definedName>
    <definedName name="AV_20" localSheetId="25">#REF!</definedName>
    <definedName name="AV_20" localSheetId="28">#REF!</definedName>
    <definedName name="AV_20" localSheetId="29">#REF!</definedName>
    <definedName name="AV_20" localSheetId="12">#REF!</definedName>
    <definedName name="AV_20" localSheetId="43">#REF!</definedName>
    <definedName name="AV_20" localSheetId="42">#REF!</definedName>
    <definedName name="AV_20" localSheetId="27">#REF!</definedName>
    <definedName name="AV_20" localSheetId="45">#REF!</definedName>
    <definedName name="AV_20">#REF!</definedName>
    <definedName name="AVC" localSheetId="30">#REF!</definedName>
    <definedName name="AVC" localSheetId="25">#REF!</definedName>
    <definedName name="AVC" localSheetId="28">#REF!</definedName>
    <definedName name="AVC" localSheetId="29">#REF!</definedName>
    <definedName name="AVC" localSheetId="12">#REF!</definedName>
    <definedName name="AVC" localSheetId="43">#REF!</definedName>
    <definedName name="AVC" localSheetId="42">#REF!</definedName>
    <definedName name="AVC" localSheetId="27">#REF!</definedName>
    <definedName name="AVC" localSheetId="45">#REF!</definedName>
    <definedName name="AVC">#REF!</definedName>
    <definedName name="awood">'[14]update Rate'!$E$50</definedName>
    <definedName name="B">#N/A</definedName>
    <definedName name="B_B">'[18]Slab span-thickness table'!$A$37:$M$42</definedName>
    <definedName name="b1_" localSheetId="30">#REF!</definedName>
    <definedName name="b1_" localSheetId="25">#REF!</definedName>
    <definedName name="b1_" localSheetId="28">#REF!</definedName>
    <definedName name="b1_" localSheetId="29">#REF!</definedName>
    <definedName name="b1_" localSheetId="12">#REF!</definedName>
    <definedName name="b1_" localSheetId="43">#REF!</definedName>
    <definedName name="b1_" localSheetId="42">#REF!</definedName>
    <definedName name="b1_" localSheetId="27">#REF!</definedName>
    <definedName name="b1_" localSheetId="45">#REF!</definedName>
    <definedName name="b1_">#REF!</definedName>
    <definedName name="b2_" localSheetId="30">#REF!</definedName>
    <definedName name="b2_" localSheetId="25">#REF!</definedName>
    <definedName name="b2_" localSheetId="28">#REF!</definedName>
    <definedName name="b2_" localSheetId="29">#REF!</definedName>
    <definedName name="b2_" localSheetId="12">#REF!</definedName>
    <definedName name="b2_" localSheetId="43">#REF!</definedName>
    <definedName name="b2_" localSheetId="42">#REF!</definedName>
    <definedName name="b2_" localSheetId="27">#REF!</definedName>
    <definedName name="b2_" localSheetId="45">#REF!</definedName>
    <definedName name="b2_">#REF!</definedName>
    <definedName name="b3_1_1" localSheetId="30">#REF!</definedName>
    <definedName name="b3_1_1" localSheetId="25">#REF!</definedName>
    <definedName name="b3_1_1" localSheetId="28">#REF!</definedName>
    <definedName name="b3_1_1" localSheetId="29">#REF!</definedName>
    <definedName name="b3_1_1" localSheetId="12">#REF!</definedName>
    <definedName name="b3_1_1" localSheetId="43">#REF!</definedName>
    <definedName name="b3_1_1" localSheetId="42">#REF!</definedName>
    <definedName name="b3_1_1" localSheetId="27">#REF!</definedName>
    <definedName name="b3_1_1" localSheetId="45">#REF!</definedName>
    <definedName name="b3_1_1">#REF!</definedName>
    <definedName name="b3_1_2" localSheetId="30">#REF!</definedName>
    <definedName name="b3_1_2" localSheetId="25">#REF!</definedName>
    <definedName name="b3_1_2" localSheetId="28">#REF!</definedName>
    <definedName name="b3_1_2" localSheetId="29">#REF!</definedName>
    <definedName name="b3_1_2" localSheetId="12">#REF!</definedName>
    <definedName name="b3_1_2" localSheetId="43">#REF!</definedName>
    <definedName name="b3_1_2" localSheetId="42">#REF!</definedName>
    <definedName name="b3_1_2" localSheetId="27">#REF!</definedName>
    <definedName name="b3_1_2" localSheetId="45">#REF!</definedName>
    <definedName name="b3_1_2">#REF!</definedName>
    <definedName name="b3_1_3" localSheetId="30">#REF!</definedName>
    <definedName name="b3_1_3" localSheetId="25">#REF!</definedName>
    <definedName name="b3_1_3" localSheetId="28">#REF!</definedName>
    <definedName name="b3_1_3" localSheetId="29">#REF!</definedName>
    <definedName name="b3_1_3" localSheetId="12">#REF!</definedName>
    <definedName name="b3_1_3" localSheetId="43">#REF!</definedName>
    <definedName name="b3_1_3" localSheetId="42">#REF!</definedName>
    <definedName name="b3_1_3" localSheetId="27">#REF!</definedName>
    <definedName name="b3_1_3" localSheetId="45">#REF!</definedName>
    <definedName name="b3_1_3">#REF!</definedName>
    <definedName name="b3_2_1" localSheetId="30">#REF!</definedName>
    <definedName name="b3_2_1" localSheetId="25">#REF!</definedName>
    <definedName name="b3_2_1" localSheetId="28">#REF!</definedName>
    <definedName name="b3_2_1" localSheetId="29">#REF!</definedName>
    <definedName name="b3_2_1" localSheetId="12">#REF!</definedName>
    <definedName name="b3_2_1" localSheetId="43">#REF!</definedName>
    <definedName name="b3_2_1" localSheetId="42">#REF!</definedName>
    <definedName name="b3_2_1" localSheetId="27">#REF!</definedName>
    <definedName name="b3_2_1" localSheetId="45">#REF!</definedName>
    <definedName name="b3_2_1">#REF!</definedName>
    <definedName name="b3_2_2" localSheetId="30">#REF!</definedName>
    <definedName name="b3_2_2" localSheetId="25">#REF!</definedName>
    <definedName name="b3_2_2" localSheetId="28">#REF!</definedName>
    <definedName name="b3_2_2" localSheetId="29">#REF!</definedName>
    <definedName name="b3_2_2" localSheetId="12">#REF!</definedName>
    <definedName name="b3_2_2" localSheetId="43">#REF!</definedName>
    <definedName name="b3_2_2" localSheetId="42">#REF!</definedName>
    <definedName name="b3_2_2" localSheetId="27">#REF!</definedName>
    <definedName name="b3_2_2" localSheetId="45">#REF!</definedName>
    <definedName name="b3_2_2">#REF!</definedName>
    <definedName name="b3_2_3" localSheetId="30">#REF!</definedName>
    <definedName name="b3_2_3" localSheetId="25">#REF!</definedName>
    <definedName name="b3_2_3" localSheetId="28">#REF!</definedName>
    <definedName name="b3_2_3" localSheetId="29">#REF!</definedName>
    <definedName name="b3_2_3" localSheetId="12">#REF!</definedName>
    <definedName name="b3_2_3" localSheetId="43">#REF!</definedName>
    <definedName name="b3_2_3" localSheetId="42">#REF!</definedName>
    <definedName name="b3_2_3" localSheetId="27">#REF!</definedName>
    <definedName name="b3_2_3" localSheetId="45">#REF!</definedName>
    <definedName name="b3_2_3">#REF!</definedName>
    <definedName name="b3_3_1" localSheetId="30">#REF!</definedName>
    <definedName name="b3_3_1" localSheetId="25">#REF!</definedName>
    <definedName name="b3_3_1" localSheetId="28">#REF!</definedName>
    <definedName name="b3_3_1" localSheetId="29">#REF!</definedName>
    <definedName name="b3_3_1" localSheetId="12">#REF!</definedName>
    <definedName name="b3_3_1" localSheetId="43">#REF!</definedName>
    <definedName name="b3_3_1" localSheetId="42">#REF!</definedName>
    <definedName name="b3_3_1" localSheetId="27">#REF!</definedName>
    <definedName name="b3_3_1" localSheetId="45">#REF!</definedName>
    <definedName name="b3_3_1">#REF!</definedName>
    <definedName name="b3_3_2" localSheetId="30">#REF!</definedName>
    <definedName name="b3_3_2" localSheetId="25">#REF!</definedName>
    <definedName name="b3_3_2" localSheetId="28">#REF!</definedName>
    <definedName name="b3_3_2" localSheetId="29">#REF!</definedName>
    <definedName name="b3_3_2" localSheetId="12">#REF!</definedName>
    <definedName name="b3_3_2" localSheetId="43">#REF!</definedName>
    <definedName name="b3_3_2" localSheetId="42">#REF!</definedName>
    <definedName name="b3_3_2" localSheetId="27">#REF!</definedName>
    <definedName name="b3_3_2" localSheetId="45">#REF!</definedName>
    <definedName name="b3_3_2">#REF!</definedName>
    <definedName name="b3_3_3" localSheetId="30">#REF!</definedName>
    <definedName name="b3_3_3" localSheetId="25">#REF!</definedName>
    <definedName name="b3_3_3" localSheetId="28">#REF!</definedName>
    <definedName name="b3_3_3" localSheetId="29">#REF!</definedName>
    <definedName name="b3_3_3" localSheetId="12">#REF!</definedName>
    <definedName name="b3_3_3" localSheetId="43">#REF!</definedName>
    <definedName name="b3_3_3" localSheetId="42">#REF!</definedName>
    <definedName name="b3_3_3" localSheetId="27">#REF!</definedName>
    <definedName name="b3_3_3" localSheetId="45">#REF!</definedName>
    <definedName name="b3_3_3">#REF!</definedName>
    <definedName name="b4_1_1" localSheetId="30">#REF!</definedName>
    <definedName name="b4_1_1" localSheetId="25">#REF!</definedName>
    <definedName name="b4_1_1" localSheetId="28">#REF!</definedName>
    <definedName name="b4_1_1" localSheetId="29">#REF!</definedName>
    <definedName name="b4_1_1" localSheetId="12">#REF!</definedName>
    <definedName name="b4_1_1" localSheetId="43">#REF!</definedName>
    <definedName name="b4_1_1" localSheetId="42">#REF!</definedName>
    <definedName name="b4_1_1" localSheetId="27">#REF!</definedName>
    <definedName name="b4_1_1" localSheetId="45">#REF!</definedName>
    <definedName name="b4_1_1">#REF!</definedName>
    <definedName name="b4_1_2" localSheetId="30">#REF!</definedName>
    <definedName name="b4_1_2" localSheetId="25">#REF!</definedName>
    <definedName name="b4_1_2" localSheetId="28">#REF!</definedName>
    <definedName name="b4_1_2" localSheetId="29">#REF!</definedName>
    <definedName name="b4_1_2" localSheetId="12">#REF!</definedName>
    <definedName name="b4_1_2" localSheetId="43">#REF!</definedName>
    <definedName name="b4_1_2" localSheetId="42">#REF!</definedName>
    <definedName name="b4_1_2" localSheetId="27">#REF!</definedName>
    <definedName name="b4_1_2" localSheetId="45">#REF!</definedName>
    <definedName name="b4_1_2">#REF!</definedName>
    <definedName name="b4_1_3" localSheetId="30">#REF!</definedName>
    <definedName name="b4_1_3" localSheetId="25">#REF!</definedName>
    <definedName name="b4_1_3" localSheetId="28">#REF!</definedName>
    <definedName name="b4_1_3" localSheetId="29">#REF!</definedName>
    <definedName name="b4_1_3" localSheetId="12">#REF!</definedName>
    <definedName name="b4_1_3" localSheetId="43">#REF!</definedName>
    <definedName name="b4_1_3" localSheetId="42">#REF!</definedName>
    <definedName name="b4_1_3" localSheetId="27">#REF!</definedName>
    <definedName name="b4_1_3" localSheetId="45">#REF!</definedName>
    <definedName name="b4_1_3">#REF!</definedName>
    <definedName name="b4_2_1" localSheetId="30">#REF!</definedName>
    <definedName name="b4_2_1" localSheetId="25">#REF!</definedName>
    <definedName name="b4_2_1" localSheetId="28">#REF!</definedName>
    <definedName name="b4_2_1" localSheetId="29">#REF!</definedName>
    <definedName name="b4_2_1" localSheetId="12">#REF!</definedName>
    <definedName name="b4_2_1" localSheetId="43">#REF!</definedName>
    <definedName name="b4_2_1" localSheetId="42">#REF!</definedName>
    <definedName name="b4_2_1" localSheetId="27">#REF!</definedName>
    <definedName name="b4_2_1" localSheetId="45">#REF!</definedName>
    <definedName name="b4_2_1">#REF!</definedName>
    <definedName name="b4_2_2" localSheetId="30">#REF!</definedName>
    <definedName name="b4_2_2" localSheetId="25">#REF!</definedName>
    <definedName name="b4_2_2" localSheetId="28">#REF!</definedName>
    <definedName name="b4_2_2" localSheetId="29">#REF!</definedName>
    <definedName name="b4_2_2" localSheetId="12">#REF!</definedName>
    <definedName name="b4_2_2" localSheetId="43">#REF!</definedName>
    <definedName name="b4_2_2" localSheetId="42">#REF!</definedName>
    <definedName name="b4_2_2" localSheetId="27">#REF!</definedName>
    <definedName name="b4_2_2" localSheetId="45">#REF!</definedName>
    <definedName name="b4_2_2">#REF!</definedName>
    <definedName name="b4_2_3" localSheetId="30">#REF!</definedName>
    <definedName name="b4_2_3" localSheetId="25">#REF!</definedName>
    <definedName name="b4_2_3" localSheetId="28">#REF!</definedName>
    <definedName name="b4_2_3" localSheetId="29">#REF!</definedName>
    <definedName name="b4_2_3" localSheetId="12">#REF!</definedName>
    <definedName name="b4_2_3" localSheetId="43">#REF!</definedName>
    <definedName name="b4_2_3" localSheetId="42">#REF!</definedName>
    <definedName name="b4_2_3" localSheetId="27">#REF!</definedName>
    <definedName name="b4_2_3" localSheetId="45">#REF!</definedName>
    <definedName name="b4_2_3">#REF!</definedName>
    <definedName name="b4_3_1" localSheetId="30">#REF!</definedName>
    <definedName name="b4_3_1" localSheetId="25">#REF!</definedName>
    <definedName name="b4_3_1" localSheetId="28">#REF!</definedName>
    <definedName name="b4_3_1" localSheetId="29">#REF!</definedName>
    <definedName name="b4_3_1" localSheetId="12">#REF!</definedName>
    <definedName name="b4_3_1" localSheetId="43">#REF!</definedName>
    <definedName name="b4_3_1" localSheetId="42">#REF!</definedName>
    <definedName name="b4_3_1" localSheetId="27">#REF!</definedName>
    <definedName name="b4_3_1" localSheetId="45">#REF!</definedName>
    <definedName name="b4_3_1">#REF!</definedName>
    <definedName name="b4_3_2" localSheetId="30">#REF!</definedName>
    <definedName name="b4_3_2" localSheetId="25">#REF!</definedName>
    <definedName name="b4_3_2" localSheetId="28">#REF!</definedName>
    <definedName name="b4_3_2" localSheetId="29">#REF!</definedName>
    <definedName name="b4_3_2" localSheetId="12">#REF!</definedName>
    <definedName name="b4_3_2" localSheetId="43">#REF!</definedName>
    <definedName name="b4_3_2" localSheetId="42">#REF!</definedName>
    <definedName name="b4_3_2" localSheetId="27">#REF!</definedName>
    <definedName name="b4_3_2" localSheetId="45">#REF!</definedName>
    <definedName name="b4_3_2">#REF!</definedName>
    <definedName name="b4_3_3" localSheetId="30">#REF!</definedName>
    <definedName name="b4_3_3" localSheetId="25">#REF!</definedName>
    <definedName name="b4_3_3" localSheetId="28">#REF!</definedName>
    <definedName name="b4_3_3" localSheetId="29">#REF!</definedName>
    <definedName name="b4_3_3" localSheetId="12">#REF!</definedName>
    <definedName name="b4_3_3" localSheetId="43">#REF!</definedName>
    <definedName name="b4_3_3" localSheetId="42">#REF!</definedName>
    <definedName name="b4_3_3" localSheetId="27">#REF!</definedName>
    <definedName name="b4_3_3" localSheetId="45">#REF!</definedName>
    <definedName name="b4_3_3">#REF!</definedName>
    <definedName name="bamb">[8]DRates!$H$47</definedName>
    <definedName name="bamboo" hidden="1">[8]MatCol!$U$64</definedName>
    <definedName name="barb">[8]DRates!$J$36</definedName>
    <definedName name="Barbed" hidden="1">[8]MatCol!$U$36</definedName>
    <definedName name="barl">[8]MatCol!$K$37</definedName>
    <definedName name="bars">[8]MatCol!$K$32</definedName>
    <definedName name="BBD">'[2]Data-Table'!$D$15</definedName>
    <definedName name="BBW">'[2]Data-Table'!$D$14</definedName>
    <definedName name="BDC" localSheetId="30">#REF!</definedName>
    <definedName name="BDC" localSheetId="25">#REF!</definedName>
    <definedName name="BDC" localSheetId="28">#REF!</definedName>
    <definedName name="BDC" localSheetId="29">#REF!</definedName>
    <definedName name="BDC" localSheetId="12">#REF!</definedName>
    <definedName name="BDC" localSheetId="43">#REF!</definedName>
    <definedName name="BDC" localSheetId="42">#REF!</definedName>
    <definedName name="BDC" localSheetId="27">#REF!</definedName>
    <definedName name="BDC" localSheetId="45">#REF!</definedName>
    <definedName name="BDC">#REF!</definedName>
    <definedName name="BF" localSheetId="30">#REF!</definedName>
    <definedName name="BF" localSheetId="25">#REF!</definedName>
    <definedName name="BF" localSheetId="28">#REF!</definedName>
    <definedName name="BF" localSheetId="29">#REF!</definedName>
    <definedName name="BF" localSheetId="12">#REF!</definedName>
    <definedName name="BF" localSheetId="43">#REF!</definedName>
    <definedName name="BF" localSheetId="42">#REF!</definedName>
    <definedName name="BF" localSheetId="27">#REF!</definedName>
    <definedName name="BF" localSheetId="45">#REF!</definedName>
    <definedName name="BF">#REF!</definedName>
    <definedName name="BF_100" localSheetId="30">#REF!</definedName>
    <definedName name="BF_100" localSheetId="25">#REF!</definedName>
    <definedName name="BF_100" localSheetId="28">#REF!</definedName>
    <definedName name="BF_100" localSheetId="29">#REF!</definedName>
    <definedName name="BF_100" localSheetId="12">#REF!</definedName>
    <definedName name="BF_100" localSheetId="43">#REF!</definedName>
    <definedName name="BF_100" localSheetId="42">#REF!</definedName>
    <definedName name="BF_100" localSheetId="27">#REF!</definedName>
    <definedName name="BF_100" localSheetId="45">#REF!</definedName>
    <definedName name="BF_100">#REF!</definedName>
    <definedName name="BF_125" localSheetId="30">#REF!</definedName>
    <definedName name="BF_125" localSheetId="25">#REF!</definedName>
    <definedName name="BF_125" localSheetId="28">#REF!</definedName>
    <definedName name="BF_125" localSheetId="29">#REF!</definedName>
    <definedName name="BF_125" localSheetId="12">#REF!</definedName>
    <definedName name="BF_125" localSheetId="43">#REF!</definedName>
    <definedName name="BF_125" localSheetId="42">#REF!</definedName>
    <definedName name="BF_125" localSheetId="27">#REF!</definedName>
    <definedName name="BF_125" localSheetId="45">#REF!</definedName>
    <definedName name="BF_125">#REF!</definedName>
    <definedName name="BF_80" localSheetId="30">#REF!</definedName>
    <definedName name="BF_80" localSheetId="25">#REF!</definedName>
    <definedName name="BF_80" localSheetId="28">#REF!</definedName>
    <definedName name="BF_80" localSheetId="29">#REF!</definedName>
    <definedName name="BF_80" localSheetId="12">#REF!</definedName>
    <definedName name="BF_80" localSheetId="43">#REF!</definedName>
    <definedName name="BF_80" localSheetId="42">#REF!</definedName>
    <definedName name="BF_80" localSheetId="27">#REF!</definedName>
    <definedName name="BF_80" localSheetId="45">#REF!</definedName>
    <definedName name="BF_80">#REF!</definedName>
    <definedName name="Bibtap" localSheetId="30">#REF!</definedName>
    <definedName name="Bibtap" localSheetId="25">#REF!</definedName>
    <definedName name="Bibtap" localSheetId="28">#REF!</definedName>
    <definedName name="Bibtap" localSheetId="29">#REF!</definedName>
    <definedName name="Bibtap" localSheetId="12">#REF!</definedName>
    <definedName name="Bibtap" localSheetId="43">#REF!</definedName>
    <definedName name="Bibtap" localSheetId="42">#REF!</definedName>
    <definedName name="Bibtap" localSheetId="27">#REF!</definedName>
    <definedName name="Bibtap" localSheetId="45">#REF!</definedName>
    <definedName name="Bibtap">#REF!</definedName>
    <definedName name="bind">[8]DRates!$J$29</definedName>
    <definedName name="BindingWire_KG_M">[21]Transport_Cost_F!$D$17</definedName>
    <definedName name="Bindingwires">'[22]District Rates'!$E$20</definedName>
    <definedName name="bitu">[8]DRates!$J$22</definedName>
    <definedName name="bituminwasher">'[22]District Rates'!$E$37</definedName>
    <definedName name="Blacktubularpipe">'[22]District Rates'!$E$40</definedName>
    <definedName name="bloc">[8]MatCol!$K$83</definedName>
    <definedName name="bmarble">'[14]update Rate'!$E$41</definedName>
    <definedName name="bond">[8]MatCol!$K$88</definedName>
    <definedName name="Bondstones">'[22]District Rates'!$E$34</definedName>
    <definedName name="box_1.5">[5]DR!$D$44</definedName>
    <definedName name="box_2">[5]DR!$D$45</definedName>
    <definedName name="BPC" localSheetId="30">#REF!</definedName>
    <definedName name="BPC" localSheetId="25">#REF!</definedName>
    <definedName name="BPC" localSheetId="28">#REF!</definedName>
    <definedName name="BPC" localSheetId="29">#REF!</definedName>
    <definedName name="BPC" localSheetId="12">#REF!</definedName>
    <definedName name="BPC" localSheetId="43">#REF!</definedName>
    <definedName name="BPC" localSheetId="42">#REF!</definedName>
    <definedName name="BPC" localSheetId="27">#REF!</definedName>
    <definedName name="BPC" localSheetId="45">#REF!</definedName>
    <definedName name="BPC">#REF!</definedName>
    <definedName name="BPI" localSheetId="17">[24]Ta301!$I$7</definedName>
    <definedName name="BPI" localSheetId="7">[25]Ta301!$I$7</definedName>
    <definedName name="BPI">[26]Ta301!$I$7</definedName>
    <definedName name="BRD">'[2]Data-Table'!$D$19</definedName>
    <definedName name="Brick" localSheetId="30" hidden="1">[15]DRates!#REF!</definedName>
    <definedName name="Brick" localSheetId="25" hidden="1">[15]DRates!#REF!</definedName>
    <definedName name="Brick" localSheetId="28" hidden="1">[15]DRates!#REF!</definedName>
    <definedName name="Brick" localSheetId="29" hidden="1">[15]DRates!#REF!</definedName>
    <definedName name="Brick" localSheetId="7" hidden="1">[15]DRates!#REF!</definedName>
    <definedName name="Brick" localSheetId="12" hidden="1">[15]DRates!#REF!</definedName>
    <definedName name="Brick" localSheetId="43" hidden="1">[15]DRates!#REF!</definedName>
    <definedName name="Brick" localSheetId="42" hidden="1">[15]DRates!#REF!</definedName>
    <definedName name="Brick" localSheetId="27" hidden="1">[15]DRates!#REF!</definedName>
    <definedName name="Brick" localSheetId="45" hidden="1">[15]DRates!#REF!</definedName>
    <definedName name="Brick" hidden="1">[15]DRates!#REF!</definedName>
    <definedName name="Bricks_A">'[22]District Rates'!$E$22</definedName>
    <definedName name="BRW">'[2]Data-Table'!$D$18</definedName>
    <definedName name="BT" localSheetId="30">#REF!</definedName>
    <definedName name="BT" localSheetId="25">#REF!</definedName>
    <definedName name="BT" localSheetId="28">#REF!</definedName>
    <definedName name="BT" localSheetId="29">#REF!</definedName>
    <definedName name="BT" localSheetId="12">#REF!</definedName>
    <definedName name="BT" localSheetId="43">#REF!</definedName>
    <definedName name="BT" localSheetId="42">#REF!</definedName>
    <definedName name="BT" localSheetId="27">#REF!</definedName>
    <definedName name="BT" localSheetId="45">#REF!</definedName>
    <definedName name="BT">#REF!</definedName>
    <definedName name="BU_1" localSheetId="30">#REF!</definedName>
    <definedName name="BU_1" localSheetId="25">#REF!</definedName>
    <definedName name="BU_1" localSheetId="28">#REF!</definedName>
    <definedName name="BU_1" localSheetId="29">#REF!</definedName>
    <definedName name="BU_1" localSheetId="12">#REF!</definedName>
    <definedName name="BU_1" localSheetId="43">#REF!</definedName>
    <definedName name="BU_1" localSheetId="42">#REF!</definedName>
    <definedName name="BU_1" localSheetId="27">#REF!</definedName>
    <definedName name="BU_1" localSheetId="45">#REF!</definedName>
    <definedName name="BU_1">#REF!</definedName>
    <definedName name="BU_100" localSheetId="30">#REF!</definedName>
    <definedName name="BU_100" localSheetId="25">#REF!</definedName>
    <definedName name="BU_100" localSheetId="28">#REF!</definedName>
    <definedName name="BU_100" localSheetId="29">#REF!</definedName>
    <definedName name="BU_100" localSheetId="12">#REF!</definedName>
    <definedName name="BU_100" localSheetId="43">#REF!</definedName>
    <definedName name="BU_100" localSheetId="42">#REF!</definedName>
    <definedName name="BU_100" localSheetId="27">#REF!</definedName>
    <definedName name="BU_100" localSheetId="45">#REF!</definedName>
    <definedName name="BU_100">#REF!</definedName>
    <definedName name="BU_125" localSheetId="30">#REF!</definedName>
    <definedName name="BU_125" localSheetId="25">#REF!</definedName>
    <definedName name="BU_125" localSheetId="28">#REF!</definedName>
    <definedName name="BU_125" localSheetId="29">#REF!</definedName>
    <definedName name="BU_125" localSheetId="12">#REF!</definedName>
    <definedName name="BU_125" localSheetId="43">#REF!</definedName>
    <definedName name="BU_125" localSheetId="42">#REF!</definedName>
    <definedName name="BU_125" localSheetId="27">#REF!</definedName>
    <definedName name="BU_125" localSheetId="45">#REF!</definedName>
    <definedName name="BU_125">#REF!</definedName>
    <definedName name="BU_15" localSheetId="30">#REF!</definedName>
    <definedName name="BU_15" localSheetId="25">#REF!</definedName>
    <definedName name="BU_15" localSheetId="28">#REF!</definedName>
    <definedName name="BU_15" localSheetId="29">#REF!</definedName>
    <definedName name="BU_15" localSheetId="12">#REF!</definedName>
    <definedName name="BU_15" localSheetId="43">#REF!</definedName>
    <definedName name="BU_15" localSheetId="42">#REF!</definedName>
    <definedName name="BU_15" localSheetId="27">#REF!</definedName>
    <definedName name="BU_15" localSheetId="45">#REF!</definedName>
    <definedName name="BU_15">#REF!</definedName>
    <definedName name="BU_150" localSheetId="30">#REF!</definedName>
    <definedName name="BU_150" localSheetId="25">#REF!</definedName>
    <definedName name="BU_150" localSheetId="28">#REF!</definedName>
    <definedName name="BU_150" localSheetId="29">#REF!</definedName>
    <definedName name="BU_150" localSheetId="12">#REF!</definedName>
    <definedName name="BU_150" localSheetId="43">#REF!</definedName>
    <definedName name="BU_150" localSheetId="42">#REF!</definedName>
    <definedName name="BU_150" localSheetId="27">#REF!</definedName>
    <definedName name="BU_150" localSheetId="45">#REF!</definedName>
    <definedName name="BU_150">#REF!</definedName>
    <definedName name="BU_2" localSheetId="30">#REF!</definedName>
    <definedName name="BU_2" localSheetId="25">#REF!</definedName>
    <definedName name="BU_2" localSheetId="28">#REF!</definedName>
    <definedName name="BU_2" localSheetId="29">#REF!</definedName>
    <definedName name="BU_2" localSheetId="12">#REF!</definedName>
    <definedName name="BU_2" localSheetId="43">#REF!</definedName>
    <definedName name="BU_2" localSheetId="42">#REF!</definedName>
    <definedName name="BU_2" localSheetId="27">#REF!</definedName>
    <definedName name="BU_2" localSheetId="45">#REF!</definedName>
    <definedName name="BU_2">#REF!</definedName>
    <definedName name="BU_20" localSheetId="30">#REF!</definedName>
    <definedName name="BU_20" localSheetId="25">#REF!</definedName>
    <definedName name="BU_20" localSheetId="28">#REF!</definedName>
    <definedName name="BU_20" localSheetId="29">#REF!</definedName>
    <definedName name="BU_20" localSheetId="12">#REF!</definedName>
    <definedName name="BU_20" localSheetId="43">#REF!</definedName>
    <definedName name="BU_20" localSheetId="42">#REF!</definedName>
    <definedName name="BU_20" localSheetId="27">#REF!</definedName>
    <definedName name="BU_20" localSheetId="45">#REF!</definedName>
    <definedName name="BU_20">#REF!</definedName>
    <definedName name="BU_200" localSheetId="30">#REF!</definedName>
    <definedName name="BU_200" localSheetId="25">#REF!</definedName>
    <definedName name="BU_200" localSheetId="28">#REF!</definedName>
    <definedName name="BU_200" localSheetId="29">#REF!</definedName>
    <definedName name="BU_200" localSheetId="12">#REF!</definedName>
    <definedName name="BU_200" localSheetId="43">#REF!</definedName>
    <definedName name="BU_200" localSheetId="42">#REF!</definedName>
    <definedName name="BU_200" localSheetId="27">#REF!</definedName>
    <definedName name="BU_200" localSheetId="45">#REF!</definedName>
    <definedName name="BU_200">#REF!</definedName>
    <definedName name="BU_25" localSheetId="30">#REF!</definedName>
    <definedName name="BU_25" localSheetId="25">#REF!</definedName>
    <definedName name="BU_25" localSheetId="28">#REF!</definedName>
    <definedName name="BU_25" localSheetId="29">#REF!</definedName>
    <definedName name="BU_25" localSheetId="12">#REF!</definedName>
    <definedName name="BU_25" localSheetId="43">#REF!</definedName>
    <definedName name="BU_25" localSheetId="42">#REF!</definedName>
    <definedName name="BU_25" localSheetId="27">#REF!</definedName>
    <definedName name="BU_25" localSheetId="45">#REF!</definedName>
    <definedName name="BU_25">#REF!</definedName>
    <definedName name="BU_3" localSheetId="30">#REF!</definedName>
    <definedName name="BU_3" localSheetId="25">#REF!</definedName>
    <definedName name="BU_3" localSheetId="28">#REF!</definedName>
    <definedName name="BU_3" localSheetId="29">#REF!</definedName>
    <definedName name="BU_3" localSheetId="12">#REF!</definedName>
    <definedName name="BU_3" localSheetId="43">#REF!</definedName>
    <definedName name="BU_3" localSheetId="42">#REF!</definedName>
    <definedName name="BU_3" localSheetId="27">#REF!</definedName>
    <definedName name="BU_3" localSheetId="45">#REF!</definedName>
    <definedName name="BU_3">#REF!</definedName>
    <definedName name="BU_300" localSheetId="30">#REF!</definedName>
    <definedName name="BU_300" localSheetId="25">#REF!</definedName>
    <definedName name="BU_300" localSheetId="28">#REF!</definedName>
    <definedName name="BU_300" localSheetId="29">#REF!</definedName>
    <definedName name="BU_300" localSheetId="12">#REF!</definedName>
    <definedName name="BU_300" localSheetId="43">#REF!</definedName>
    <definedName name="BU_300" localSheetId="42">#REF!</definedName>
    <definedName name="BU_300" localSheetId="27">#REF!</definedName>
    <definedName name="BU_300" localSheetId="45">#REF!</definedName>
    <definedName name="BU_300">#REF!</definedName>
    <definedName name="BU_32" localSheetId="30">#REF!</definedName>
    <definedName name="BU_32" localSheetId="25">#REF!</definedName>
    <definedName name="BU_32" localSheetId="28">#REF!</definedName>
    <definedName name="BU_32" localSheetId="29">#REF!</definedName>
    <definedName name="BU_32" localSheetId="12">#REF!</definedName>
    <definedName name="BU_32" localSheetId="43">#REF!</definedName>
    <definedName name="BU_32" localSheetId="42">#REF!</definedName>
    <definedName name="BU_32" localSheetId="27">#REF!</definedName>
    <definedName name="BU_32" localSheetId="45">#REF!</definedName>
    <definedName name="BU_32">#REF!</definedName>
    <definedName name="BU_4" localSheetId="30">#REF!</definedName>
    <definedName name="BU_4" localSheetId="25">#REF!</definedName>
    <definedName name="BU_4" localSheetId="28">#REF!</definedName>
    <definedName name="BU_4" localSheetId="29">#REF!</definedName>
    <definedName name="BU_4" localSheetId="12">#REF!</definedName>
    <definedName name="BU_4" localSheetId="43">#REF!</definedName>
    <definedName name="BU_4" localSheetId="42">#REF!</definedName>
    <definedName name="BU_4" localSheetId="27">#REF!</definedName>
    <definedName name="BU_4" localSheetId="45">#REF!</definedName>
    <definedName name="BU_4">#REF!</definedName>
    <definedName name="BU_40" localSheetId="30">#REF!</definedName>
    <definedName name="BU_40" localSheetId="25">#REF!</definedName>
    <definedName name="BU_40" localSheetId="28">#REF!</definedName>
    <definedName name="BU_40" localSheetId="29">#REF!</definedName>
    <definedName name="BU_40" localSheetId="12">#REF!</definedName>
    <definedName name="BU_40" localSheetId="43">#REF!</definedName>
    <definedName name="BU_40" localSheetId="42">#REF!</definedName>
    <definedName name="BU_40" localSheetId="27">#REF!</definedName>
    <definedName name="BU_40" localSheetId="45">#REF!</definedName>
    <definedName name="BU_40">#REF!</definedName>
    <definedName name="BU_5" localSheetId="30">#REF!</definedName>
    <definedName name="BU_5" localSheetId="25">#REF!</definedName>
    <definedName name="BU_5" localSheetId="28">#REF!</definedName>
    <definedName name="BU_5" localSheetId="29">#REF!</definedName>
    <definedName name="BU_5" localSheetId="12">#REF!</definedName>
    <definedName name="BU_5" localSheetId="43">#REF!</definedName>
    <definedName name="BU_5" localSheetId="42">#REF!</definedName>
    <definedName name="BU_5" localSheetId="27">#REF!</definedName>
    <definedName name="BU_5" localSheetId="45">#REF!</definedName>
    <definedName name="BU_5">#REF!</definedName>
    <definedName name="BU_50" localSheetId="30">#REF!</definedName>
    <definedName name="BU_50" localSheetId="25">#REF!</definedName>
    <definedName name="BU_50" localSheetId="28">#REF!</definedName>
    <definedName name="BU_50" localSheetId="29">#REF!</definedName>
    <definedName name="BU_50" localSheetId="12">#REF!</definedName>
    <definedName name="BU_50" localSheetId="43">#REF!</definedName>
    <definedName name="BU_50" localSheetId="42">#REF!</definedName>
    <definedName name="BU_50" localSheetId="27">#REF!</definedName>
    <definedName name="BU_50" localSheetId="45">#REF!</definedName>
    <definedName name="BU_50">#REF!</definedName>
    <definedName name="BU_6" localSheetId="30">#REF!</definedName>
    <definedName name="BU_6" localSheetId="25">#REF!</definedName>
    <definedName name="BU_6" localSheetId="28">#REF!</definedName>
    <definedName name="BU_6" localSheetId="29">#REF!</definedName>
    <definedName name="BU_6" localSheetId="12">#REF!</definedName>
    <definedName name="BU_6" localSheetId="43">#REF!</definedName>
    <definedName name="BU_6" localSheetId="42">#REF!</definedName>
    <definedName name="BU_6" localSheetId="27">#REF!</definedName>
    <definedName name="BU_6" localSheetId="45">#REF!</definedName>
    <definedName name="BU_6">#REF!</definedName>
    <definedName name="BU_65" localSheetId="30">#REF!</definedName>
    <definedName name="BU_65" localSheetId="25">#REF!</definedName>
    <definedName name="BU_65" localSheetId="28">#REF!</definedName>
    <definedName name="BU_65" localSheetId="29">#REF!</definedName>
    <definedName name="BU_65" localSheetId="12">#REF!</definedName>
    <definedName name="BU_65" localSheetId="43">#REF!</definedName>
    <definedName name="BU_65" localSheetId="42">#REF!</definedName>
    <definedName name="BU_65" localSheetId="27">#REF!</definedName>
    <definedName name="BU_65" localSheetId="45">#REF!</definedName>
    <definedName name="BU_65">#REF!</definedName>
    <definedName name="BU_80" localSheetId="30">#REF!</definedName>
    <definedName name="BU_80" localSheetId="25">#REF!</definedName>
    <definedName name="BU_80" localSheetId="28">#REF!</definedName>
    <definedName name="BU_80" localSheetId="29">#REF!</definedName>
    <definedName name="BU_80" localSheetId="12">#REF!</definedName>
    <definedName name="BU_80" localSheetId="43">#REF!</definedName>
    <definedName name="BU_80" localSheetId="42">#REF!</definedName>
    <definedName name="BU_80" localSheetId="27">#REF!</definedName>
    <definedName name="BU_80" localSheetId="45">#REF!</definedName>
    <definedName name="BU_80">#REF!</definedName>
    <definedName name="budhabare" localSheetId="30" hidden="1">#REF!</definedName>
    <definedName name="budhabare" localSheetId="25" hidden="1">#REF!</definedName>
    <definedName name="budhabare" localSheetId="28" hidden="1">#REF!</definedName>
    <definedName name="budhabare" localSheetId="29" hidden="1">#REF!</definedName>
    <definedName name="budhabare" localSheetId="7" hidden="1">#REF!</definedName>
    <definedName name="budhabare" localSheetId="12" hidden="1">#REF!</definedName>
    <definedName name="budhabare" localSheetId="43" hidden="1">#REF!</definedName>
    <definedName name="budhabare" localSheetId="42" hidden="1">#REF!</definedName>
    <definedName name="budhabare" localSheetId="27" hidden="1">#REF!</definedName>
    <definedName name="budhabare" localSheetId="45" hidden="1">#REF!</definedName>
    <definedName name="budhabare" hidden="1">#REF!</definedName>
    <definedName name="BW" localSheetId="30">#REF!</definedName>
    <definedName name="BW" localSheetId="25">#REF!</definedName>
    <definedName name="BW" localSheetId="28">#REF!</definedName>
    <definedName name="BW" localSheetId="29">#REF!</definedName>
    <definedName name="BW" localSheetId="12">#REF!</definedName>
    <definedName name="BW" localSheetId="43">#REF!</definedName>
    <definedName name="BW" localSheetId="42">#REF!</definedName>
    <definedName name="BW" localSheetId="27">#REF!</definedName>
    <definedName name="BW" localSheetId="45">#REF!</definedName>
    <definedName name="BW">#REF!</definedName>
    <definedName name="Bwire">[5]DR!$D$36</definedName>
    <definedName name="C_">#N/A</definedName>
    <definedName name="Ca_14" localSheetId="30">#REF!</definedName>
    <definedName name="Ca_14" localSheetId="25">#REF!</definedName>
    <definedName name="Ca_14" localSheetId="28">#REF!</definedName>
    <definedName name="Ca_14" localSheetId="29">#REF!</definedName>
    <definedName name="Ca_14" localSheetId="12">#REF!</definedName>
    <definedName name="Ca_14" localSheetId="43">#REF!</definedName>
    <definedName name="Ca_14" localSheetId="42">#REF!</definedName>
    <definedName name="Ca_14" localSheetId="27">#REF!</definedName>
    <definedName name="Ca_14" localSheetId="45">#REF!</definedName>
    <definedName name="Ca_14">#REF!</definedName>
    <definedName name="Cable" localSheetId="30">#REF!</definedName>
    <definedName name="Cable" localSheetId="25">#REF!</definedName>
    <definedName name="Cable" localSheetId="28">#REF!</definedName>
    <definedName name="Cable" localSheetId="29">#REF!</definedName>
    <definedName name="Cable" localSheetId="12">#REF!</definedName>
    <definedName name="Cable" localSheetId="43">#REF!</definedName>
    <definedName name="Cable" localSheetId="42">#REF!</definedName>
    <definedName name="Cable" localSheetId="27">#REF!</definedName>
    <definedName name="Cable" localSheetId="45">#REF!</definedName>
    <definedName name="Cable">#REF!</definedName>
    <definedName name="CC" localSheetId="30">#REF!</definedName>
    <definedName name="CC" localSheetId="25">#REF!</definedName>
    <definedName name="CC" localSheetId="28">#REF!</definedName>
    <definedName name="CC" localSheetId="29">#REF!</definedName>
    <definedName name="CC" localSheetId="12">#REF!</definedName>
    <definedName name="CC" localSheetId="43">#REF!</definedName>
    <definedName name="CC" localSheetId="42">#REF!</definedName>
    <definedName name="CC" localSheetId="27">#REF!</definedName>
    <definedName name="CC" localSheetId="45">#REF!</definedName>
    <definedName name="CC">#REF!</definedName>
    <definedName name="CC_GN">'[27]CC BPT DC IC'!$U$72</definedName>
    <definedName name="Ce">[5]DR!$D$31</definedName>
    <definedName name="cement">'[22]District Rates'!$E$13</definedName>
    <definedName name="Cement53">[19]Rates!$D$32</definedName>
    <definedName name="CF_AVC_MG">[27]VC!$S$75:$S$115</definedName>
    <definedName name="CF_AVC_MP">[27]VC!$S$121:$S$170</definedName>
    <definedName name="CF_BPT_MG">'[27]CC BPT DC IC'!$T$260:$T$359</definedName>
    <definedName name="CF_BPT_MP">'[27]CC BPT DC IC'!$T$365:$T$465</definedName>
    <definedName name="CF_BPT_PG">'[27]CC BPT DC IC'!$T$472:$T$549</definedName>
    <definedName name="CF_BPT_PP">'[27]CC BPT DC IC'!$T$555:$T$646</definedName>
    <definedName name="CF_CC_P">'[27]CC BPT DC IC'!$T$170:$T$254</definedName>
    <definedName name="CF_CCG">'[27]CC BPT DC IC'!$T$75:$T$164</definedName>
    <definedName name="CF_CUS_1">[27]CusStr!$B$160:$B$173</definedName>
    <definedName name="CF_CUS_10">[27]CusStr!$B$1682:$B$1694</definedName>
    <definedName name="CF_CUS_2">[27]CusStr!$B$330:$B$342</definedName>
    <definedName name="CF_CUS_3">[27]CusStr!$B$499:$B$511</definedName>
    <definedName name="CF_CUS_4">[27]CusStr!$B$668:$B$680</definedName>
    <definedName name="CF_CUS_5">[27]CusStr!$B$837:$B$849</definedName>
    <definedName name="CF_CUS_6">[27]CusStr!$B$1006:$B$1018</definedName>
    <definedName name="CF_CUS_7">[27]CusStr!$B$1175:$B$1187</definedName>
    <definedName name="CF_CUS_8">[27]CusStr!$B$1344:$B$1356</definedName>
    <definedName name="CF_CUS_9">[27]CusStr!$B$1513:$B$1525</definedName>
    <definedName name="CF_CUSI_1">[27]CusIn!$B$170:$B$183</definedName>
    <definedName name="CF_CUSI_10">[27]CusIn!$B$1727:$B$1737</definedName>
    <definedName name="CF_CUSI_2">[27]CusIn!$B$354:$B$369</definedName>
    <definedName name="CF_CUSI_3">[27]CusIn!$B$529:$B$539</definedName>
    <definedName name="CF_CUSI_4">[27]CusIn!$B$708:$B$718</definedName>
    <definedName name="CF_CUSI_5">[27]CusIn!$B$892:$B$902</definedName>
    <definedName name="CF_CUSI_6">[27]CusIn!$B$1059:$B$1069</definedName>
    <definedName name="CF_CUSI_7">[27]CusIn!$B$1226:$B$1236</definedName>
    <definedName name="CF_CUSI_8">[27]CusIn!$B$1393:$B$1403</definedName>
    <definedName name="CF_CUSI_9">[27]CusIn!$B$1560:$B$1570</definedName>
    <definedName name="CF_DC_MG">'[27]CC BPT DC IC'!$T$1014:$T$1089</definedName>
    <definedName name="CF_DC_MP">'[27]CC BPT DC IC'!$T$1095:$T$1176</definedName>
    <definedName name="CF_FCTH1_5G">[27]FctH!$R$73:$R$125</definedName>
    <definedName name="CF_FCTH1_5P">[27]FctH!$R$364:$R$410</definedName>
    <definedName name="CF_FCTH10G">[27]FctH!$R$248:$R$300</definedName>
    <definedName name="CF_FCTH10P">[27]FctH!$R$520:$R$566</definedName>
    <definedName name="CF_FCTH2_5G">[27]FctH!$R$131:$R$183</definedName>
    <definedName name="CF_FCTH2_5P">[27]FctH!$R$416:$R$462</definedName>
    <definedName name="CF_FCTH20G">[27]FctH!$R$306:$R$358</definedName>
    <definedName name="CF_FCTH20P">[27]FctH!$R$572:$R$618</definedName>
    <definedName name="CF_FCTH5_0G">[27]FctH!$R$190:$R$242</definedName>
    <definedName name="CF_FCTH5_0P">[27]FctH!$R$468:$R$514</definedName>
    <definedName name="CF_FCTO10G">[27]FctO!$D$1042:$D$1142</definedName>
    <definedName name="CF_FCTO12G">[27]FctO!$D$1149:$D$1251</definedName>
    <definedName name="CF_FCTO14G">[27]FctO!$D$1258:$D$1360</definedName>
    <definedName name="CF_FCTO16G">[27]FctO!$D$1367:$D$1469</definedName>
    <definedName name="CF_FCTO18G">[27]FctO!$D$1476:$D$1580</definedName>
    <definedName name="CF_FCTO1G">[27]FctO!$D$74:$D$173</definedName>
    <definedName name="CF_FCTO20G">[27]FctO!$D$1587:$D$1686</definedName>
    <definedName name="CF_FCTO2G">[27]FctO!$D$180:$D$279</definedName>
    <definedName name="CF_FCTO3G">[27]FctO!$D$286:$D$388</definedName>
    <definedName name="CF_FCTO4G">[27]FctO!$D$395:$D$496</definedName>
    <definedName name="CF_FCTO5G">[27]FctO!$D$503:$D$603</definedName>
    <definedName name="CF_FCTO6G">[27]FctO!$D$610:$D$711</definedName>
    <definedName name="CF_FCTO7G">[27]FctO!$D$718:$D$819</definedName>
    <definedName name="CF_FCTO8G">[27]FctO!$D$826:$D$926</definedName>
    <definedName name="CF_FCTO9G">[27]FctO!$D$933:$D$1035</definedName>
    <definedName name="CF_FCTT1_5G">[27]FctTap!$D$76:$D$119</definedName>
    <definedName name="CF_FCTT1_5P">[27]FctTap!$D$226:$D$263</definedName>
    <definedName name="CF_FCTT2_5G">[27]FctTap!$D$126:$D$169</definedName>
    <definedName name="CF_FCTT2_5P">[27]FctTap!$D$271:$D$309</definedName>
    <definedName name="CF_FCTT5_0G">[27]FctTap!$D$176:$D$219</definedName>
    <definedName name="CF_FCTT5_0P">[27]FctTap!$D$316:$D$353</definedName>
    <definedName name="CF_IC_MG">'[27]CC BPT DC IC'!$T$652:$T$741</definedName>
    <definedName name="CF_IC_MP">'[27]CC BPT DC IC'!$T$747:$T$839</definedName>
    <definedName name="CF_IC_PG">'[27]CC BPT DC IC'!$T$845:$T$928</definedName>
    <definedName name="CF_IC_PP">'[27]CC BPT DC IC'!$T$934:$T$1008</definedName>
    <definedName name="CF_PL">[27]DataPT!$F$57:$F$84</definedName>
    <definedName name="CF_STG">[27]STank!$D$77:$D$150</definedName>
    <definedName name="CF_SVC_MG">[27]VC!$S$176:$S$214</definedName>
    <definedName name="CF_SVC_MP">[27]VC!$S$220:$S$267</definedName>
    <definedName name="CF_SVC_PG">[27]VC!$S$273:$S$311</definedName>
    <definedName name="CF_SVC_PP">[27]VC!$S$317:$S$355</definedName>
    <definedName name="CF_TAP_AG">[27]Taps!$R$76:$R$99</definedName>
    <definedName name="CF_TAP_AP">[27]Taps!$R$192:$R$215</definedName>
    <definedName name="CF_TAP_BG">[27]Taps!$R$105:$R$128</definedName>
    <definedName name="CF_TAP_BP">[27]Taps!$R$221:$R$244</definedName>
    <definedName name="CF_TAP_CG">[27]Taps!$R$134:$R$157</definedName>
    <definedName name="CF_TAP_CP">[27]Taps!$R$250:$R$273</definedName>
    <definedName name="CF_TAP_MG">[27]Taps!$R$163:$R$186</definedName>
    <definedName name="CF_TAP_MP">[27]Taps!$R$279:$R$302</definedName>
    <definedName name="CF_TAP_RG">[27]Taps!$R$308:$R$331</definedName>
    <definedName name="CF_TAP_RP">[27]Taps!$R$337:$R$360</definedName>
    <definedName name="CF_TYPI_1">[27]TypIn!$B$206:$B$216</definedName>
    <definedName name="CF_TYPI_2">[27]TypIn!$B$419:$B$429</definedName>
    <definedName name="CF_TYPI_3">[27]TypIn!$B$632:$B$642</definedName>
    <definedName name="CF_TYPI_4">[27]TypIn!$B$845:$B$855</definedName>
    <definedName name="CF_TYPI_5">[27]TypIn!$B$1058:$B$1068</definedName>
    <definedName name="CF_WVC_MG">[27]VC!$S$361:$S$409</definedName>
    <definedName name="CF_WVC_MP">[27]VC!$S$415:$S$471</definedName>
    <definedName name="CF_WVC_PG">[27]VC!$S$477:$S$525</definedName>
    <definedName name="CF_WVC_PP">[27]VC!$S$531:$S$587</definedName>
    <definedName name="cfdzsfsddf">[19]Rates!$D$47</definedName>
    <definedName name="CGD">'[2]Data-Table'!$D$17</definedName>
    <definedName name="CGIS26" hidden="1">[8]MatCol!$U$39</definedName>
    <definedName name="CGIsheet_colored">'[22]District Rates'!$E$32</definedName>
    <definedName name="CGW">'[2]Data-Table'!$D$16</definedName>
    <definedName name="CH">'[2]Data-Table'!$D$8</definedName>
    <definedName name="CheapsSpeader_E">'[21]Equipment Rates'!$D$32</definedName>
    <definedName name="cheskini100">'[14]update Rate'!$E$61</definedName>
    <definedName name="cheskini150">'[14]update Rate'!$E$62</definedName>
    <definedName name="cheskini300">'[14]update Rate'!$E$63</definedName>
    <definedName name="chic">[8]MatCol!$K$45</definedName>
    <definedName name="CHICKEN" localSheetId="30">#REF!</definedName>
    <definedName name="CHICKEN" localSheetId="25">#REF!</definedName>
    <definedName name="CHICKEN" localSheetId="28">#REF!</definedName>
    <definedName name="CHICKEN" localSheetId="29">#REF!</definedName>
    <definedName name="CHICKEN" localSheetId="12">#REF!</definedName>
    <definedName name="CHICKEN" localSheetId="43">#REF!</definedName>
    <definedName name="CHICKEN" localSheetId="42">#REF!</definedName>
    <definedName name="CHICKEN" localSheetId="27">#REF!</definedName>
    <definedName name="CHICKEN" localSheetId="45">#REF!</definedName>
    <definedName name="CHICKEN">#REF!</definedName>
    <definedName name="Chief" localSheetId="30" hidden="1">[28]Data!#REF!</definedName>
    <definedName name="Chief" localSheetId="25" hidden="1">[28]Data!#REF!</definedName>
    <definedName name="Chief" localSheetId="28" hidden="1">[28]Data!#REF!</definedName>
    <definedName name="Chief" localSheetId="29" hidden="1">[28]Data!#REF!</definedName>
    <definedName name="Chief" localSheetId="7" hidden="1">[28]Data!#REF!</definedName>
    <definedName name="Chief" localSheetId="12" hidden="1">[28]Data!#REF!</definedName>
    <definedName name="Chief" localSheetId="43" hidden="1">[28]Data!#REF!</definedName>
    <definedName name="Chief" localSheetId="42" hidden="1">[28]Data!#REF!</definedName>
    <definedName name="Chief" localSheetId="27" hidden="1">[28]Data!#REF!</definedName>
    <definedName name="Chief" localSheetId="45" hidden="1">[28]Data!#REF!</definedName>
    <definedName name="Chief" hidden="1">[28]Data!#REF!</definedName>
    <definedName name="chpols">[4]Sheet1!$D$58</definedName>
    <definedName name="CML_Code">[27]CostMatLab!$A$8:$A$516</definedName>
    <definedName name="CML_Q">[27]CostMatLab!$CU$8:$CU$516</definedName>
    <definedName name="Code" localSheetId="30">#REF!</definedName>
    <definedName name="Code" localSheetId="25">#REF!</definedName>
    <definedName name="Code" localSheetId="28">#REF!</definedName>
    <definedName name="Code" localSheetId="29">#REF!</definedName>
    <definedName name="Code" localSheetId="12">#REF!</definedName>
    <definedName name="Code" localSheetId="43">#REF!</definedName>
    <definedName name="Code" localSheetId="42">#REF!</definedName>
    <definedName name="Code" localSheetId="27">#REF!</definedName>
    <definedName name="Code" localSheetId="45">#REF!</definedName>
    <definedName name="Code">#REF!</definedName>
    <definedName name="col_chb" localSheetId="30">#REF!</definedName>
    <definedName name="col_chb" localSheetId="25">#REF!</definedName>
    <definedName name="col_chb" localSheetId="28">#REF!</definedName>
    <definedName name="col_chb" localSheetId="29">#REF!</definedName>
    <definedName name="col_chb" localSheetId="12">#REF!</definedName>
    <definedName name="col_chb" localSheetId="43">#REF!</definedName>
    <definedName name="col_chb" localSheetId="42">#REF!</definedName>
    <definedName name="col_chb" localSheetId="27">#REF!</definedName>
    <definedName name="col_chb" localSheetId="45">#REF!</definedName>
    <definedName name="col_chb">#REF!</definedName>
    <definedName name="Compressor_E">'[23]Equipment Rates'!$D$34</definedName>
    <definedName name="ComputerOPer_L">'[23]Labour Rates_BB'!$E$23</definedName>
    <definedName name="Coolies">100</definedName>
    <definedName name="costsheet">[27]CostMatLab!$G$6:$CZ$528</definedName>
    <definedName name="CP" localSheetId="30">#REF!</definedName>
    <definedName name="CP" localSheetId="25">#REF!</definedName>
    <definedName name="CP" localSheetId="28">#REF!</definedName>
    <definedName name="CP" localSheetId="29">#REF!</definedName>
    <definedName name="CP" localSheetId="12">#REF!</definedName>
    <definedName name="CP" localSheetId="43">#REF!</definedName>
    <definedName name="CP" localSheetId="42">#REF!</definedName>
    <definedName name="CP" localSheetId="27">#REF!</definedName>
    <definedName name="CP" localSheetId="45">#REF!</definedName>
    <definedName name="CP">#REF!</definedName>
    <definedName name="CQ_AVCSVCWVC">[27]VC!$D$6:$D$69</definedName>
    <definedName name="CQ_CCDCBPTIC">'[27]CC BPT DC IC'!$D$6:$D$69</definedName>
    <definedName name="CQ_CS">[27]Custom!$D$8:$D$70</definedName>
    <definedName name="CQ_CSI">[27]Intake!$D$7:$D$69</definedName>
    <definedName name="CQ_FCTH">[27]FctH!$C$5:$C$68</definedName>
    <definedName name="CQ_FCTO">[27]FctO!$D$5:$D$68</definedName>
    <definedName name="CQ_FCTT">[27]FctTap!$D$5:$D$69</definedName>
    <definedName name="CQ_ST">[27]STank!$D$5:$D$68</definedName>
    <definedName name="CQ_TAP">[27]Taps!$D$6:$D$70</definedName>
    <definedName name="CQ_TYPI">[27]Intake!$D$7:$D$69</definedName>
    <definedName name="_xlnm.Criteria" localSheetId="30">#REF!</definedName>
    <definedName name="_xlnm.Criteria" localSheetId="25">#REF!</definedName>
    <definedName name="_xlnm.Criteria" localSheetId="28">#REF!</definedName>
    <definedName name="_xlnm.Criteria" localSheetId="29">#REF!</definedName>
    <definedName name="_xlnm.Criteria" localSheetId="12">#REF!</definedName>
    <definedName name="_xlnm.Criteria" localSheetId="43">#REF!</definedName>
    <definedName name="_xlnm.Criteria" localSheetId="42">#REF!</definedName>
    <definedName name="_xlnm.Criteria" localSheetId="27">#REF!</definedName>
    <definedName name="_xlnm.Criteria" localSheetId="45">#REF!</definedName>
    <definedName name="_xlnm.Criteria">#REF!</definedName>
    <definedName name="CRITERIA1" localSheetId="30">#REF!</definedName>
    <definedName name="CRITERIA1" localSheetId="25">#REF!</definedName>
    <definedName name="CRITERIA1" localSheetId="28">#REF!</definedName>
    <definedName name="CRITERIA1" localSheetId="29">#REF!</definedName>
    <definedName name="CRITERIA1" localSheetId="12">#REF!</definedName>
    <definedName name="CRITERIA1" localSheetId="43">#REF!</definedName>
    <definedName name="CRITERIA1" localSheetId="42">#REF!</definedName>
    <definedName name="CRITERIA1" localSheetId="27">#REF!</definedName>
    <definedName name="CRITERIA1" localSheetId="45">#REF!</definedName>
    <definedName name="CRITERIA1">#REF!</definedName>
    <definedName name="CRITERIA10" localSheetId="30">#REF!</definedName>
    <definedName name="CRITERIA10" localSheetId="25">#REF!</definedName>
    <definedName name="CRITERIA10" localSheetId="28">#REF!</definedName>
    <definedName name="CRITERIA10" localSheetId="29">#REF!</definedName>
    <definedName name="CRITERIA10" localSheetId="12">#REF!</definedName>
    <definedName name="CRITERIA10" localSheetId="43">#REF!</definedName>
    <definedName name="CRITERIA10" localSheetId="42">#REF!</definedName>
    <definedName name="CRITERIA10" localSheetId="27">#REF!</definedName>
    <definedName name="CRITERIA10" localSheetId="45">#REF!</definedName>
    <definedName name="CRITERIA10">#REF!</definedName>
    <definedName name="CRITERIA11" localSheetId="30">#REF!</definedName>
    <definedName name="CRITERIA11" localSheetId="25">#REF!</definedName>
    <definedName name="CRITERIA11" localSheetId="28">#REF!</definedName>
    <definedName name="CRITERIA11" localSheetId="29">#REF!</definedName>
    <definedName name="CRITERIA11" localSheetId="12">#REF!</definedName>
    <definedName name="CRITERIA11" localSheetId="43">#REF!</definedName>
    <definedName name="CRITERIA11" localSheetId="42">#REF!</definedName>
    <definedName name="CRITERIA11" localSheetId="27">#REF!</definedName>
    <definedName name="CRITERIA11" localSheetId="45">#REF!</definedName>
    <definedName name="CRITERIA11">#REF!</definedName>
    <definedName name="CRITERIA12" localSheetId="30">#REF!</definedName>
    <definedName name="CRITERIA12" localSheetId="25">#REF!</definedName>
    <definedName name="CRITERIA12" localSheetId="28">#REF!</definedName>
    <definedName name="CRITERIA12" localSheetId="29">#REF!</definedName>
    <definedName name="CRITERIA12" localSheetId="12">#REF!</definedName>
    <definedName name="CRITERIA12" localSheetId="43">#REF!</definedName>
    <definedName name="CRITERIA12" localSheetId="42">#REF!</definedName>
    <definedName name="CRITERIA12" localSheetId="27">#REF!</definedName>
    <definedName name="CRITERIA12" localSheetId="45">#REF!</definedName>
    <definedName name="CRITERIA12">#REF!</definedName>
    <definedName name="CRITERIA13" localSheetId="30">#REF!</definedName>
    <definedName name="CRITERIA13" localSheetId="25">#REF!</definedName>
    <definedName name="CRITERIA13" localSheetId="28">#REF!</definedName>
    <definedName name="CRITERIA13" localSheetId="29">#REF!</definedName>
    <definedName name="CRITERIA13" localSheetId="12">#REF!</definedName>
    <definedName name="CRITERIA13" localSheetId="43">#REF!</definedName>
    <definedName name="CRITERIA13" localSheetId="42">#REF!</definedName>
    <definedName name="CRITERIA13" localSheetId="27">#REF!</definedName>
    <definedName name="CRITERIA13" localSheetId="45">#REF!</definedName>
    <definedName name="CRITERIA13">#REF!</definedName>
    <definedName name="CRITERIA14" localSheetId="30">#REF!</definedName>
    <definedName name="CRITERIA14" localSheetId="25">#REF!</definedName>
    <definedName name="CRITERIA14" localSheetId="28">#REF!</definedName>
    <definedName name="CRITERIA14" localSheetId="29">#REF!</definedName>
    <definedName name="CRITERIA14" localSheetId="12">#REF!</definedName>
    <definedName name="CRITERIA14" localSheetId="43">#REF!</definedName>
    <definedName name="CRITERIA14" localSheetId="42">#REF!</definedName>
    <definedName name="CRITERIA14" localSheetId="27">#REF!</definedName>
    <definedName name="CRITERIA14" localSheetId="45">#REF!</definedName>
    <definedName name="CRITERIA14">#REF!</definedName>
    <definedName name="CRITERIA15" localSheetId="30">#REF!</definedName>
    <definedName name="CRITERIA15" localSheetId="25">#REF!</definedName>
    <definedName name="CRITERIA15" localSheetId="28">#REF!</definedName>
    <definedName name="CRITERIA15" localSheetId="29">#REF!</definedName>
    <definedName name="CRITERIA15" localSheetId="12">#REF!</definedName>
    <definedName name="CRITERIA15" localSheetId="43">#REF!</definedName>
    <definedName name="CRITERIA15" localSheetId="42">#REF!</definedName>
    <definedName name="CRITERIA15" localSheetId="27">#REF!</definedName>
    <definedName name="CRITERIA15" localSheetId="45">#REF!</definedName>
    <definedName name="CRITERIA15">#REF!</definedName>
    <definedName name="CRITERIA16" localSheetId="30">#REF!</definedName>
    <definedName name="CRITERIA16" localSheetId="25">#REF!</definedName>
    <definedName name="CRITERIA16" localSheetId="28">#REF!</definedName>
    <definedName name="CRITERIA16" localSheetId="29">#REF!</definedName>
    <definedName name="CRITERIA16" localSheetId="12">#REF!</definedName>
    <definedName name="CRITERIA16" localSheetId="43">#REF!</definedName>
    <definedName name="CRITERIA16" localSheetId="42">#REF!</definedName>
    <definedName name="CRITERIA16" localSheetId="27">#REF!</definedName>
    <definedName name="CRITERIA16" localSheetId="45">#REF!</definedName>
    <definedName name="CRITERIA16">#REF!</definedName>
    <definedName name="CRITERIA17" localSheetId="30">#REF!</definedName>
    <definedName name="CRITERIA17" localSheetId="25">#REF!</definedName>
    <definedName name="CRITERIA17" localSheetId="28">#REF!</definedName>
    <definedName name="CRITERIA17" localSheetId="29">#REF!</definedName>
    <definedName name="CRITERIA17" localSheetId="12">#REF!</definedName>
    <definedName name="CRITERIA17" localSheetId="43">#REF!</definedName>
    <definedName name="CRITERIA17" localSheetId="42">#REF!</definedName>
    <definedName name="CRITERIA17" localSheetId="27">#REF!</definedName>
    <definedName name="CRITERIA17" localSheetId="45">#REF!</definedName>
    <definedName name="CRITERIA17">#REF!</definedName>
    <definedName name="CRITERIA18" localSheetId="30">#REF!</definedName>
    <definedName name="CRITERIA18" localSheetId="25">#REF!</definedName>
    <definedName name="CRITERIA18" localSheetId="28">#REF!</definedName>
    <definedName name="CRITERIA18" localSheetId="29">#REF!</definedName>
    <definedName name="CRITERIA18" localSheetId="12">#REF!</definedName>
    <definedName name="CRITERIA18" localSheetId="43">#REF!</definedName>
    <definedName name="CRITERIA18" localSheetId="42">#REF!</definedName>
    <definedName name="CRITERIA18" localSheetId="27">#REF!</definedName>
    <definedName name="CRITERIA18" localSheetId="45">#REF!</definedName>
    <definedName name="CRITERIA18">#REF!</definedName>
    <definedName name="CRITERIA19" localSheetId="30">#REF!</definedName>
    <definedName name="CRITERIA19" localSheetId="25">#REF!</definedName>
    <definedName name="CRITERIA19" localSheetId="28">#REF!</definedName>
    <definedName name="CRITERIA19" localSheetId="29">#REF!</definedName>
    <definedName name="CRITERIA19" localSheetId="12">#REF!</definedName>
    <definedName name="CRITERIA19" localSheetId="43">#REF!</definedName>
    <definedName name="CRITERIA19" localSheetId="42">#REF!</definedName>
    <definedName name="CRITERIA19" localSheetId="27">#REF!</definedName>
    <definedName name="CRITERIA19" localSheetId="45">#REF!</definedName>
    <definedName name="CRITERIA19">#REF!</definedName>
    <definedName name="CRITERIA2" localSheetId="30">#REF!</definedName>
    <definedName name="CRITERIA2" localSheetId="25">#REF!</definedName>
    <definedName name="CRITERIA2" localSheetId="28">#REF!</definedName>
    <definedName name="CRITERIA2" localSheetId="29">#REF!</definedName>
    <definedName name="CRITERIA2" localSheetId="12">#REF!</definedName>
    <definedName name="CRITERIA2" localSheetId="43">#REF!</definedName>
    <definedName name="CRITERIA2" localSheetId="42">#REF!</definedName>
    <definedName name="CRITERIA2" localSheetId="27">#REF!</definedName>
    <definedName name="CRITERIA2" localSheetId="45">#REF!</definedName>
    <definedName name="CRITERIA2">#REF!</definedName>
    <definedName name="CRITERIA20" localSheetId="30">#REF!</definedName>
    <definedName name="CRITERIA20" localSheetId="25">#REF!</definedName>
    <definedName name="CRITERIA20" localSheetId="28">#REF!</definedName>
    <definedName name="CRITERIA20" localSheetId="29">#REF!</definedName>
    <definedName name="CRITERIA20" localSheetId="12">#REF!</definedName>
    <definedName name="CRITERIA20" localSheetId="43">#REF!</definedName>
    <definedName name="CRITERIA20" localSheetId="42">#REF!</definedName>
    <definedName name="CRITERIA20" localSheetId="27">#REF!</definedName>
    <definedName name="CRITERIA20" localSheetId="45">#REF!</definedName>
    <definedName name="CRITERIA20">#REF!</definedName>
    <definedName name="CRITERIA3" localSheetId="30">#REF!</definedName>
    <definedName name="CRITERIA3" localSheetId="25">#REF!</definedName>
    <definedName name="CRITERIA3" localSheetId="28">#REF!</definedName>
    <definedName name="CRITERIA3" localSheetId="29">#REF!</definedName>
    <definedName name="CRITERIA3" localSheetId="12">#REF!</definedName>
    <definedName name="CRITERIA3" localSheetId="43">#REF!</definedName>
    <definedName name="CRITERIA3" localSheetId="42">#REF!</definedName>
    <definedName name="CRITERIA3" localSheetId="27">#REF!</definedName>
    <definedName name="CRITERIA3" localSheetId="45">#REF!</definedName>
    <definedName name="CRITERIA3">#REF!</definedName>
    <definedName name="CRITERIA5" localSheetId="30">#REF!</definedName>
    <definedName name="CRITERIA5" localSheetId="25">#REF!</definedName>
    <definedName name="CRITERIA5" localSheetId="28">#REF!</definedName>
    <definedName name="CRITERIA5" localSheetId="29">#REF!</definedName>
    <definedName name="CRITERIA5" localSheetId="12">#REF!</definedName>
    <definedName name="CRITERIA5" localSheetId="43">#REF!</definedName>
    <definedName name="CRITERIA5" localSheetId="42">#REF!</definedName>
    <definedName name="CRITERIA5" localSheetId="27">#REF!</definedName>
    <definedName name="CRITERIA5" localSheetId="45">#REF!</definedName>
    <definedName name="CRITERIA5">#REF!</definedName>
    <definedName name="CRITERIA6" localSheetId="30">#REF!</definedName>
    <definedName name="CRITERIA6" localSheetId="25">#REF!</definedName>
    <definedName name="CRITERIA6" localSheetId="28">#REF!</definedName>
    <definedName name="CRITERIA6" localSheetId="29">#REF!</definedName>
    <definedName name="CRITERIA6" localSheetId="12">#REF!</definedName>
    <definedName name="CRITERIA6" localSheetId="43">#REF!</definedName>
    <definedName name="CRITERIA6" localSheetId="42">#REF!</definedName>
    <definedName name="CRITERIA6" localSheetId="27">#REF!</definedName>
    <definedName name="CRITERIA6" localSheetId="45">#REF!</definedName>
    <definedName name="CRITERIA6">#REF!</definedName>
    <definedName name="CRITERIA7" localSheetId="30">#REF!</definedName>
    <definedName name="CRITERIA7" localSheetId="25">#REF!</definedName>
    <definedName name="CRITERIA7" localSheetId="28">#REF!</definedName>
    <definedName name="CRITERIA7" localSheetId="29">#REF!</definedName>
    <definedName name="CRITERIA7" localSheetId="12">#REF!</definedName>
    <definedName name="CRITERIA7" localSheetId="43">#REF!</definedName>
    <definedName name="CRITERIA7" localSheetId="42">#REF!</definedName>
    <definedName name="CRITERIA7" localSheetId="27">#REF!</definedName>
    <definedName name="CRITERIA7" localSheetId="45">#REF!</definedName>
    <definedName name="CRITERIA7">#REF!</definedName>
    <definedName name="CRITERIA8" localSheetId="30">#REF!</definedName>
    <definedName name="CRITERIA8" localSheetId="25">#REF!</definedName>
    <definedName name="CRITERIA8" localSheetId="28">#REF!</definedName>
    <definedName name="CRITERIA8" localSheetId="29">#REF!</definedName>
    <definedName name="CRITERIA8" localSheetId="12">#REF!</definedName>
    <definedName name="CRITERIA8" localSheetId="43">#REF!</definedName>
    <definedName name="CRITERIA8" localSheetId="42">#REF!</definedName>
    <definedName name="CRITERIA8" localSheetId="27">#REF!</definedName>
    <definedName name="CRITERIA8" localSheetId="45">#REF!</definedName>
    <definedName name="CRITERIA8">#REF!</definedName>
    <definedName name="CRITERIA9" localSheetId="30">#REF!</definedName>
    <definedName name="CRITERIA9" localSheetId="25">#REF!</definedName>
    <definedName name="CRITERIA9" localSheetId="28">#REF!</definedName>
    <definedName name="CRITERIA9" localSheetId="29">#REF!</definedName>
    <definedName name="CRITERIA9" localSheetId="12">#REF!</definedName>
    <definedName name="CRITERIA9" localSheetId="43">#REF!</definedName>
    <definedName name="CRITERIA9" localSheetId="42">#REF!</definedName>
    <definedName name="CRITERIA9" localSheetId="27">#REF!</definedName>
    <definedName name="CRITERIA9" localSheetId="45">#REF!</definedName>
    <definedName name="CRITERIA9">#REF!</definedName>
    <definedName name="crntg">[4]Sheet1!$D$27</definedName>
    <definedName name="crtg">[4]Sheet1!$D$26</definedName>
    <definedName name="CrusherPlant_E">'[23]Equipment Rates'!$D$29</definedName>
    <definedName name="CS_1Num">[27]CusStr!$H$4</definedName>
    <definedName name="CS_2Num">[27]CusStr!$H$174</definedName>
    <definedName name="CS_3Num">[27]CusStr!$H$343</definedName>
    <definedName name="CSI_1Num">[27]CusIn!$D$4</definedName>
    <definedName name="CSI_2Num">[27]CusIn!$D$184</definedName>
    <definedName name="CSI_3Num">[27]CusIn!$D$370</definedName>
    <definedName name="CSI_4Num">[27]CusIn!$D$540</definedName>
    <definedName name="CSI_5Num">[27]CusIn!$D$719</definedName>
    <definedName name="ct">[4]Sheet1!$D$15</definedName>
    <definedName name="ctpt">[4]Sheet1!$D$54</definedName>
    <definedName name="CV" localSheetId="30">#REF!</definedName>
    <definedName name="CV" localSheetId="25">#REF!</definedName>
    <definedName name="CV" localSheetId="28">#REF!</definedName>
    <definedName name="CV" localSheetId="29">#REF!</definedName>
    <definedName name="CV" localSheetId="12">#REF!</definedName>
    <definedName name="CV" localSheetId="43">#REF!</definedName>
    <definedName name="CV" localSheetId="42">#REF!</definedName>
    <definedName name="CV" localSheetId="27">#REF!</definedName>
    <definedName name="CV" localSheetId="45">#REF!</definedName>
    <definedName name="CV">#REF!</definedName>
    <definedName name="CV_1" localSheetId="30">#REF!</definedName>
    <definedName name="CV_1" localSheetId="25">#REF!</definedName>
    <definedName name="CV_1" localSheetId="28">#REF!</definedName>
    <definedName name="CV_1" localSheetId="29">#REF!</definedName>
    <definedName name="CV_1" localSheetId="12">#REF!</definedName>
    <definedName name="CV_1" localSheetId="43">#REF!</definedName>
    <definedName name="CV_1" localSheetId="42">#REF!</definedName>
    <definedName name="CV_1" localSheetId="27">#REF!</definedName>
    <definedName name="CV_1" localSheetId="45">#REF!</definedName>
    <definedName name="CV_1">#REF!</definedName>
    <definedName name="czsdcsds">[19]Rates!$D$27</definedName>
    <definedName name="D">#N/A</definedName>
    <definedName name="D_C" localSheetId="30" hidden="1">#REF!</definedName>
    <definedName name="D_C" localSheetId="25" hidden="1">#REF!</definedName>
    <definedName name="D_C" localSheetId="28" hidden="1">#REF!</definedName>
    <definedName name="D_C" localSheetId="29" hidden="1">#REF!</definedName>
    <definedName name="D_C" localSheetId="7" hidden="1">#REF!</definedName>
    <definedName name="D_C" localSheetId="12" hidden="1">#REF!</definedName>
    <definedName name="D_C" localSheetId="43" hidden="1">#REF!</definedName>
    <definedName name="D_C" localSheetId="42" hidden="1">#REF!</definedName>
    <definedName name="D_C" localSheetId="27" hidden="1">#REF!</definedName>
    <definedName name="D_C" localSheetId="45" hidden="1">#REF!</definedName>
    <definedName name="D_C" hidden="1">#REF!</definedName>
    <definedName name="DAR" localSheetId="30">#REF!</definedName>
    <definedName name="DAR" localSheetId="25">#REF!</definedName>
    <definedName name="DAR" localSheetId="28">#REF!</definedName>
    <definedName name="DAR" localSheetId="29">#REF!</definedName>
    <definedName name="DAR" localSheetId="12">#REF!</definedName>
    <definedName name="DAR" localSheetId="43">#REF!</definedName>
    <definedName name="DAR" localSheetId="42">#REF!</definedName>
    <definedName name="DAR" localSheetId="27">#REF!</definedName>
    <definedName name="DAR" localSheetId="45">#REF!</definedName>
    <definedName name="DAR">#REF!</definedName>
    <definedName name="_xlnm.Database" localSheetId="30">#REF!</definedName>
    <definedName name="_xlnm.Database" localSheetId="25">#REF!</definedName>
    <definedName name="_xlnm.Database" localSheetId="28">#REF!</definedName>
    <definedName name="_xlnm.Database" localSheetId="29">#REF!</definedName>
    <definedName name="_xlnm.Database" localSheetId="12">#REF!</definedName>
    <definedName name="_xlnm.Database" localSheetId="43">#REF!</definedName>
    <definedName name="_xlnm.Database" localSheetId="42">#REF!</definedName>
    <definedName name="_xlnm.Database" localSheetId="27">#REF!</definedName>
    <definedName name="_xlnm.Database" localSheetId="45">#REF!</definedName>
    <definedName name="_xlnm.Database">#REF!</definedName>
    <definedName name="Dayworks">[29]Dayworks!$B$9:$G$40</definedName>
    <definedName name="DBBMS" localSheetId="30">#REF!</definedName>
    <definedName name="DBBMS" localSheetId="25">#REF!</definedName>
    <definedName name="DBBMS" localSheetId="28">#REF!</definedName>
    <definedName name="DBBMS" localSheetId="29">#REF!</definedName>
    <definedName name="DBBMS" localSheetId="12">#REF!</definedName>
    <definedName name="DBBMS" localSheetId="43">#REF!</definedName>
    <definedName name="DBBMS" localSheetId="42">#REF!</definedName>
    <definedName name="DBBMS" localSheetId="27">#REF!</definedName>
    <definedName name="DBBMS" localSheetId="45">#REF!</definedName>
    <definedName name="DBBMS">#REF!</definedName>
    <definedName name="DBHR" localSheetId="30">#REF!</definedName>
    <definedName name="DBHR" localSheetId="25">#REF!</definedName>
    <definedName name="DBHR" localSheetId="28">#REF!</definedName>
    <definedName name="DBHR" localSheetId="29">#REF!</definedName>
    <definedName name="DBHR" localSheetId="12">#REF!</definedName>
    <definedName name="DBHR" localSheetId="43">#REF!</definedName>
    <definedName name="DBHR" localSheetId="42">#REF!</definedName>
    <definedName name="DBHR" localSheetId="27">#REF!</definedName>
    <definedName name="DBHR" localSheetId="45">#REF!</definedName>
    <definedName name="DBHR">#REF!</definedName>
    <definedName name="DBHS" localSheetId="30">#REF!</definedName>
    <definedName name="DBHS" localSheetId="25">#REF!</definedName>
    <definedName name="DBHS" localSheetId="28">#REF!</definedName>
    <definedName name="DBHS" localSheetId="29">#REF!</definedName>
    <definedName name="DBHS" localSheetId="12">#REF!</definedName>
    <definedName name="DBHS" localSheetId="43">#REF!</definedName>
    <definedName name="DBHS" localSheetId="42">#REF!</definedName>
    <definedName name="DBHS" localSheetId="27">#REF!</definedName>
    <definedName name="DBHS" localSheetId="45">#REF!</definedName>
    <definedName name="DBHS">#REF!</definedName>
    <definedName name="DBM_14" localSheetId="30">#REF!</definedName>
    <definedName name="DBM_14" localSheetId="25">#REF!</definedName>
    <definedName name="DBM_14" localSheetId="28">#REF!</definedName>
    <definedName name="DBM_14" localSheetId="29">#REF!</definedName>
    <definedName name="DBM_14" localSheetId="12">#REF!</definedName>
    <definedName name="DBM_14" localSheetId="43">#REF!</definedName>
    <definedName name="DBM_14" localSheetId="42">#REF!</definedName>
    <definedName name="DBM_14" localSheetId="27">#REF!</definedName>
    <definedName name="DBM_14" localSheetId="45">#REF!</definedName>
    <definedName name="DBM_14">#REF!</definedName>
    <definedName name="DBM_16" localSheetId="30">#REF!</definedName>
    <definedName name="DBM_16" localSheetId="25">#REF!</definedName>
    <definedName name="DBM_16" localSheetId="28">#REF!</definedName>
    <definedName name="DBM_16" localSheetId="29">#REF!</definedName>
    <definedName name="DBM_16" localSheetId="12">#REF!</definedName>
    <definedName name="DBM_16" localSheetId="43">#REF!</definedName>
    <definedName name="DBM_16" localSheetId="42">#REF!</definedName>
    <definedName name="DBM_16" localSheetId="27">#REF!</definedName>
    <definedName name="DBM_16" localSheetId="45">#REF!</definedName>
    <definedName name="DBM_16">#REF!</definedName>
    <definedName name="DBP" localSheetId="30">#REF!</definedName>
    <definedName name="DBP" localSheetId="25">#REF!</definedName>
    <definedName name="DBP" localSheetId="28">#REF!</definedName>
    <definedName name="DBP" localSheetId="29">#REF!</definedName>
    <definedName name="DBP" localSheetId="12">#REF!</definedName>
    <definedName name="DBP" localSheetId="43">#REF!</definedName>
    <definedName name="DBP" localSheetId="42">#REF!</definedName>
    <definedName name="DBP" localSheetId="27">#REF!</definedName>
    <definedName name="DBP" localSheetId="45">#REF!</definedName>
    <definedName name="DBP">#REF!</definedName>
    <definedName name="DBP_100" localSheetId="30">#REF!</definedName>
    <definedName name="DBP_100" localSheetId="25">#REF!</definedName>
    <definedName name="DBP_100" localSheetId="28">#REF!</definedName>
    <definedName name="DBP_100" localSheetId="29">#REF!</definedName>
    <definedName name="DBP_100" localSheetId="12">#REF!</definedName>
    <definedName name="DBP_100" localSheetId="43">#REF!</definedName>
    <definedName name="DBP_100" localSheetId="42">#REF!</definedName>
    <definedName name="DBP_100" localSheetId="27">#REF!</definedName>
    <definedName name="DBP_100" localSheetId="45">#REF!</definedName>
    <definedName name="DBP_100">#REF!</definedName>
    <definedName name="DBP_125" localSheetId="30">#REF!</definedName>
    <definedName name="DBP_125" localSheetId="25">#REF!</definedName>
    <definedName name="DBP_125" localSheetId="28">#REF!</definedName>
    <definedName name="DBP_125" localSheetId="29">#REF!</definedName>
    <definedName name="DBP_125" localSheetId="12">#REF!</definedName>
    <definedName name="DBP_125" localSheetId="43">#REF!</definedName>
    <definedName name="DBP_125" localSheetId="42">#REF!</definedName>
    <definedName name="DBP_125" localSheetId="27">#REF!</definedName>
    <definedName name="DBP_125" localSheetId="45">#REF!</definedName>
    <definedName name="DBP_125">#REF!</definedName>
    <definedName name="DBP_150" localSheetId="30">#REF!</definedName>
    <definedName name="DBP_150" localSheetId="25">#REF!</definedName>
    <definedName name="DBP_150" localSheetId="28">#REF!</definedName>
    <definedName name="DBP_150" localSheetId="29">#REF!</definedName>
    <definedName name="DBP_150" localSheetId="12">#REF!</definedName>
    <definedName name="DBP_150" localSheetId="43">#REF!</definedName>
    <definedName name="DBP_150" localSheetId="42">#REF!</definedName>
    <definedName name="DBP_150" localSheetId="27">#REF!</definedName>
    <definedName name="DBP_150" localSheetId="45">#REF!</definedName>
    <definedName name="DBP_150">#REF!</definedName>
    <definedName name="DBP_200" localSheetId="30">#REF!</definedName>
    <definedName name="DBP_200" localSheetId="25">#REF!</definedName>
    <definedName name="DBP_200" localSheetId="28">#REF!</definedName>
    <definedName name="DBP_200" localSheetId="29">#REF!</definedName>
    <definedName name="DBP_200" localSheetId="12">#REF!</definedName>
    <definedName name="DBP_200" localSheetId="43">#REF!</definedName>
    <definedName name="DBP_200" localSheetId="42">#REF!</definedName>
    <definedName name="DBP_200" localSheetId="27">#REF!</definedName>
    <definedName name="DBP_200" localSheetId="45">#REF!</definedName>
    <definedName name="DBP_200">#REF!</definedName>
    <definedName name="DBP_250" localSheetId="30">#REF!</definedName>
    <definedName name="DBP_250" localSheetId="25">#REF!</definedName>
    <definedName name="DBP_250" localSheetId="28">#REF!</definedName>
    <definedName name="DBP_250" localSheetId="29">#REF!</definedName>
    <definedName name="DBP_250" localSheetId="12">#REF!</definedName>
    <definedName name="DBP_250" localSheetId="43">#REF!</definedName>
    <definedName name="DBP_250" localSheetId="42">#REF!</definedName>
    <definedName name="DBP_250" localSheetId="27">#REF!</definedName>
    <definedName name="DBP_250" localSheetId="45">#REF!</definedName>
    <definedName name="DBP_250">#REF!</definedName>
    <definedName name="DBP_300" localSheetId="30">#REF!</definedName>
    <definedName name="DBP_300" localSheetId="25">#REF!</definedName>
    <definedName name="DBP_300" localSheetId="28">#REF!</definedName>
    <definedName name="DBP_300" localSheetId="29">#REF!</definedName>
    <definedName name="DBP_300" localSheetId="12">#REF!</definedName>
    <definedName name="DBP_300" localSheetId="43">#REF!</definedName>
    <definedName name="DBP_300" localSheetId="42">#REF!</definedName>
    <definedName name="DBP_300" localSheetId="27">#REF!</definedName>
    <definedName name="DBP_300" localSheetId="45">#REF!</definedName>
    <definedName name="DBP_300">#REF!</definedName>
    <definedName name="DBP_350" localSheetId="30">#REF!</definedName>
    <definedName name="DBP_350" localSheetId="25">#REF!</definedName>
    <definedName name="DBP_350" localSheetId="28">#REF!</definedName>
    <definedName name="DBP_350" localSheetId="29">#REF!</definedName>
    <definedName name="DBP_350" localSheetId="12">#REF!</definedName>
    <definedName name="DBP_350" localSheetId="43">#REF!</definedName>
    <definedName name="DBP_350" localSheetId="42">#REF!</definedName>
    <definedName name="DBP_350" localSheetId="27">#REF!</definedName>
    <definedName name="DBP_350" localSheetId="45">#REF!</definedName>
    <definedName name="DBP_350">#REF!</definedName>
    <definedName name="DBP_400" localSheetId="30">#REF!</definedName>
    <definedName name="DBP_400" localSheetId="25">#REF!</definedName>
    <definedName name="DBP_400" localSheetId="28">#REF!</definedName>
    <definedName name="DBP_400" localSheetId="29">#REF!</definedName>
    <definedName name="DBP_400" localSheetId="12">#REF!</definedName>
    <definedName name="DBP_400" localSheetId="43">#REF!</definedName>
    <definedName name="DBP_400" localSheetId="42">#REF!</definedName>
    <definedName name="DBP_400" localSheetId="27">#REF!</definedName>
    <definedName name="DBP_400" localSheetId="45">#REF!</definedName>
    <definedName name="DBP_400">#REF!</definedName>
    <definedName name="DBP_450" localSheetId="30">#REF!</definedName>
    <definedName name="DBP_450" localSheetId="25">#REF!</definedName>
    <definedName name="DBP_450" localSheetId="28">#REF!</definedName>
    <definedName name="DBP_450" localSheetId="29">#REF!</definedName>
    <definedName name="DBP_450" localSheetId="12">#REF!</definedName>
    <definedName name="DBP_450" localSheetId="43">#REF!</definedName>
    <definedName name="DBP_450" localSheetId="42">#REF!</definedName>
    <definedName name="DBP_450" localSheetId="27">#REF!</definedName>
    <definedName name="DBP_450" localSheetId="45">#REF!</definedName>
    <definedName name="DBP_450">#REF!</definedName>
    <definedName name="DBP_50" localSheetId="30">#REF!</definedName>
    <definedName name="DBP_50" localSheetId="25">#REF!</definedName>
    <definedName name="DBP_50" localSheetId="28">#REF!</definedName>
    <definedName name="DBP_50" localSheetId="29">#REF!</definedName>
    <definedName name="DBP_50" localSheetId="12">#REF!</definedName>
    <definedName name="DBP_50" localSheetId="43">#REF!</definedName>
    <definedName name="DBP_50" localSheetId="42">#REF!</definedName>
    <definedName name="DBP_50" localSheetId="27">#REF!</definedName>
    <definedName name="DBP_50" localSheetId="45">#REF!</definedName>
    <definedName name="DBP_50">#REF!</definedName>
    <definedName name="DBP_500" localSheetId="30">#REF!</definedName>
    <definedName name="DBP_500" localSheetId="25">#REF!</definedName>
    <definedName name="DBP_500" localSheetId="28">#REF!</definedName>
    <definedName name="DBP_500" localSheetId="29">#REF!</definedName>
    <definedName name="DBP_500" localSheetId="12">#REF!</definedName>
    <definedName name="DBP_500" localSheetId="43">#REF!</definedName>
    <definedName name="DBP_500" localSheetId="42">#REF!</definedName>
    <definedName name="DBP_500" localSheetId="27">#REF!</definedName>
    <definedName name="DBP_500" localSheetId="45">#REF!</definedName>
    <definedName name="DBP_500">#REF!</definedName>
    <definedName name="DBP_600" localSheetId="30">#REF!</definedName>
    <definedName name="DBP_600" localSheetId="25">#REF!</definedName>
    <definedName name="DBP_600" localSheetId="28">#REF!</definedName>
    <definedName name="DBP_600" localSheetId="29">#REF!</definedName>
    <definedName name="DBP_600" localSheetId="12">#REF!</definedName>
    <definedName name="DBP_600" localSheetId="43">#REF!</definedName>
    <definedName name="DBP_600" localSheetId="42">#REF!</definedName>
    <definedName name="DBP_600" localSheetId="27">#REF!</definedName>
    <definedName name="DBP_600" localSheetId="45">#REF!</definedName>
    <definedName name="DBP_600">#REF!</definedName>
    <definedName name="DBP_80" localSheetId="30">#REF!</definedName>
    <definedName name="DBP_80" localSheetId="25">#REF!</definedName>
    <definedName name="DBP_80" localSheetId="28">#REF!</definedName>
    <definedName name="DBP_80" localSheetId="29">#REF!</definedName>
    <definedName name="DBP_80" localSheetId="12">#REF!</definedName>
    <definedName name="DBP_80" localSheetId="43">#REF!</definedName>
    <definedName name="DBP_80" localSheetId="42">#REF!</definedName>
    <definedName name="DBP_80" localSheetId="27">#REF!</definedName>
    <definedName name="DBP_80" localSheetId="45">#REF!</definedName>
    <definedName name="DBP_80">#REF!</definedName>
    <definedName name="DBS" localSheetId="30">#REF!</definedName>
    <definedName name="DBS" localSheetId="25">#REF!</definedName>
    <definedName name="DBS" localSheetId="28">#REF!</definedName>
    <definedName name="DBS" localSheetId="29">#REF!</definedName>
    <definedName name="DBS" localSheetId="12">#REF!</definedName>
    <definedName name="DBS" localSheetId="43">#REF!</definedName>
    <definedName name="DBS" localSheetId="42">#REF!</definedName>
    <definedName name="DBS" localSheetId="27">#REF!</definedName>
    <definedName name="DBS" localSheetId="45">#REF!</definedName>
    <definedName name="DBS">#REF!</definedName>
    <definedName name="DBSS" localSheetId="30">#REF!</definedName>
    <definedName name="DBSS" localSheetId="25">#REF!</definedName>
    <definedName name="DBSS" localSheetId="28">#REF!</definedName>
    <definedName name="DBSS" localSheetId="29">#REF!</definedName>
    <definedName name="DBSS" localSheetId="12">#REF!</definedName>
    <definedName name="DBSS" localSheetId="43">#REF!</definedName>
    <definedName name="DBSS" localSheetId="42">#REF!</definedName>
    <definedName name="DBSS" localSheetId="27">#REF!</definedName>
    <definedName name="DBSS" localSheetId="45">#REF!</definedName>
    <definedName name="DBSS">#REF!</definedName>
    <definedName name="DBV_100" localSheetId="30">#REF!</definedName>
    <definedName name="DBV_100" localSheetId="25">#REF!</definedName>
    <definedName name="DBV_100" localSheetId="28">#REF!</definedName>
    <definedName name="DBV_100" localSheetId="29">#REF!</definedName>
    <definedName name="DBV_100" localSheetId="12">#REF!</definedName>
    <definedName name="DBV_100" localSheetId="43">#REF!</definedName>
    <definedName name="DBV_100" localSheetId="42">#REF!</definedName>
    <definedName name="DBV_100" localSheetId="27">#REF!</definedName>
    <definedName name="DBV_100" localSheetId="45">#REF!</definedName>
    <definedName name="DBV_100">#REF!</definedName>
    <definedName name="DBV_150" localSheetId="30">#REF!</definedName>
    <definedName name="DBV_150" localSheetId="25">#REF!</definedName>
    <definedName name="DBV_150" localSheetId="28">#REF!</definedName>
    <definedName name="DBV_150" localSheetId="29">#REF!</definedName>
    <definedName name="DBV_150" localSheetId="12">#REF!</definedName>
    <definedName name="DBV_150" localSheetId="43">#REF!</definedName>
    <definedName name="DBV_150" localSheetId="42">#REF!</definedName>
    <definedName name="DBV_150" localSheetId="27">#REF!</definedName>
    <definedName name="DBV_150" localSheetId="45">#REF!</definedName>
    <definedName name="DBV_150">#REF!</definedName>
    <definedName name="DBV_200" localSheetId="30">#REF!</definedName>
    <definedName name="DBV_200" localSheetId="25">#REF!</definedName>
    <definedName name="DBV_200" localSheetId="28">#REF!</definedName>
    <definedName name="DBV_200" localSheetId="29">#REF!</definedName>
    <definedName name="DBV_200" localSheetId="12">#REF!</definedName>
    <definedName name="DBV_200" localSheetId="43">#REF!</definedName>
    <definedName name="DBV_200" localSheetId="42">#REF!</definedName>
    <definedName name="DBV_200" localSheetId="27">#REF!</definedName>
    <definedName name="DBV_200" localSheetId="45">#REF!</definedName>
    <definedName name="DBV_200">#REF!</definedName>
    <definedName name="DBV_250" localSheetId="30">#REF!</definedName>
    <definedName name="DBV_250" localSheetId="25">#REF!</definedName>
    <definedName name="DBV_250" localSheetId="28">#REF!</definedName>
    <definedName name="DBV_250" localSheetId="29">#REF!</definedName>
    <definedName name="DBV_250" localSheetId="12">#REF!</definedName>
    <definedName name="DBV_250" localSheetId="43">#REF!</definedName>
    <definedName name="DBV_250" localSheetId="42">#REF!</definedName>
    <definedName name="DBV_250" localSheetId="27">#REF!</definedName>
    <definedName name="DBV_250" localSheetId="45">#REF!</definedName>
    <definedName name="DBV_250">#REF!</definedName>
    <definedName name="DBV_300" localSheetId="30">#REF!</definedName>
    <definedName name="DBV_300" localSheetId="25">#REF!</definedName>
    <definedName name="DBV_300" localSheetId="28">#REF!</definedName>
    <definedName name="DBV_300" localSheetId="29">#REF!</definedName>
    <definedName name="DBV_300" localSheetId="12">#REF!</definedName>
    <definedName name="DBV_300" localSheetId="43">#REF!</definedName>
    <definedName name="DBV_300" localSheetId="42">#REF!</definedName>
    <definedName name="DBV_300" localSheetId="27">#REF!</definedName>
    <definedName name="DBV_300" localSheetId="45">#REF!</definedName>
    <definedName name="DBV_300">#REF!</definedName>
    <definedName name="DBV_350" localSheetId="30">#REF!</definedName>
    <definedName name="DBV_350" localSheetId="25">#REF!</definedName>
    <definedName name="DBV_350" localSheetId="28">#REF!</definedName>
    <definedName name="DBV_350" localSheetId="29">#REF!</definedName>
    <definedName name="DBV_350" localSheetId="12">#REF!</definedName>
    <definedName name="DBV_350" localSheetId="43">#REF!</definedName>
    <definedName name="DBV_350" localSheetId="42">#REF!</definedName>
    <definedName name="DBV_350" localSheetId="27">#REF!</definedName>
    <definedName name="DBV_350" localSheetId="45">#REF!</definedName>
    <definedName name="DBV_350">#REF!</definedName>
    <definedName name="DBV_50" localSheetId="30">#REF!</definedName>
    <definedName name="DBV_50" localSheetId="25">#REF!</definedName>
    <definedName name="DBV_50" localSheetId="28">#REF!</definedName>
    <definedName name="DBV_50" localSheetId="29">#REF!</definedName>
    <definedName name="DBV_50" localSheetId="12">#REF!</definedName>
    <definedName name="DBV_50" localSheetId="43">#REF!</definedName>
    <definedName name="DBV_50" localSheetId="42">#REF!</definedName>
    <definedName name="DBV_50" localSheetId="27">#REF!</definedName>
    <definedName name="DBV_50" localSheetId="45">#REF!</definedName>
    <definedName name="DBV_50">#REF!</definedName>
    <definedName name="DBV_80" localSheetId="30">#REF!</definedName>
    <definedName name="DBV_80" localSheetId="25">#REF!</definedName>
    <definedName name="DBV_80" localSheetId="28">#REF!</definedName>
    <definedName name="DBV_80" localSheetId="29">#REF!</definedName>
    <definedName name="DBV_80" localSheetId="12">#REF!</definedName>
    <definedName name="DBV_80" localSheetId="43">#REF!</definedName>
    <definedName name="DBV_80" localSheetId="42">#REF!</definedName>
    <definedName name="DBV_80" localSheetId="27">#REF!</definedName>
    <definedName name="DBV_80" localSheetId="45">#REF!</definedName>
    <definedName name="DBV_80">#REF!</definedName>
    <definedName name="DBW" localSheetId="30">#REF!</definedName>
    <definedName name="DBW" localSheetId="25">#REF!</definedName>
    <definedName name="DBW" localSheetId="28">#REF!</definedName>
    <definedName name="DBW" localSheetId="29">#REF!</definedName>
    <definedName name="DBW" localSheetId="12">#REF!</definedName>
    <definedName name="DBW" localSheetId="43">#REF!</definedName>
    <definedName name="DBW" localSheetId="42">#REF!</definedName>
    <definedName name="DBW" localSheetId="27">#REF!</definedName>
    <definedName name="DBW" localSheetId="45">#REF!</definedName>
    <definedName name="DBW">#REF!</definedName>
    <definedName name="DC">'[2]Data-Table'!$D$10</definedName>
    <definedName name="DC_150" localSheetId="30">#REF!</definedName>
    <definedName name="DC_150" localSheetId="25">#REF!</definedName>
    <definedName name="DC_150" localSheetId="28">#REF!</definedName>
    <definedName name="DC_150" localSheetId="29">#REF!</definedName>
    <definedName name="DC_150" localSheetId="12">#REF!</definedName>
    <definedName name="DC_150" localSheetId="43">#REF!</definedName>
    <definedName name="DC_150" localSheetId="42">#REF!</definedName>
    <definedName name="DC_150" localSheetId="27">#REF!</definedName>
    <definedName name="DC_150" localSheetId="45">#REF!</definedName>
    <definedName name="DC_150">#REF!</definedName>
    <definedName name="DC_22" localSheetId="30">#REF!</definedName>
    <definedName name="DC_22" localSheetId="25">#REF!</definedName>
    <definedName name="DC_22" localSheetId="28">#REF!</definedName>
    <definedName name="DC_22" localSheetId="29">#REF!</definedName>
    <definedName name="DC_22" localSheetId="12">#REF!</definedName>
    <definedName name="DC_22" localSheetId="43">#REF!</definedName>
    <definedName name="DC_22" localSheetId="42">#REF!</definedName>
    <definedName name="DC_22" localSheetId="27">#REF!</definedName>
    <definedName name="DC_22" localSheetId="45">#REF!</definedName>
    <definedName name="DC_22">#REF!</definedName>
    <definedName name="DC_24" localSheetId="30">#REF!</definedName>
    <definedName name="DC_24" localSheetId="25">#REF!</definedName>
    <definedName name="DC_24" localSheetId="28">#REF!</definedName>
    <definedName name="DC_24" localSheetId="29">#REF!</definedName>
    <definedName name="DC_24" localSheetId="12">#REF!</definedName>
    <definedName name="DC_24" localSheetId="43">#REF!</definedName>
    <definedName name="DC_24" localSheetId="42">#REF!</definedName>
    <definedName name="DC_24" localSheetId="27">#REF!</definedName>
    <definedName name="DC_24" localSheetId="45">#REF!</definedName>
    <definedName name="DC_24">#REF!</definedName>
    <definedName name="DC_300" localSheetId="30">#REF!</definedName>
    <definedName name="DC_300" localSheetId="25">#REF!</definedName>
    <definedName name="DC_300" localSheetId="28">#REF!</definedName>
    <definedName name="DC_300" localSheetId="29">#REF!</definedName>
    <definedName name="DC_300" localSheetId="12">#REF!</definedName>
    <definedName name="DC_300" localSheetId="43">#REF!</definedName>
    <definedName name="DC_300" localSheetId="42">#REF!</definedName>
    <definedName name="DC_300" localSheetId="27">#REF!</definedName>
    <definedName name="DC_300" localSheetId="45">#REF!</definedName>
    <definedName name="DC_300">#REF!</definedName>
    <definedName name="DC125_12" localSheetId="30">#REF!</definedName>
    <definedName name="DC125_12" localSheetId="25">#REF!</definedName>
    <definedName name="DC125_12" localSheetId="28">#REF!</definedName>
    <definedName name="DC125_12" localSheetId="29">#REF!</definedName>
    <definedName name="DC125_12" localSheetId="12">#REF!</definedName>
    <definedName name="DC125_12" localSheetId="43">#REF!</definedName>
    <definedName name="DC125_12" localSheetId="42">#REF!</definedName>
    <definedName name="DC125_12" localSheetId="27">#REF!</definedName>
    <definedName name="DC125_12" localSheetId="45">#REF!</definedName>
    <definedName name="DC125_12">#REF!</definedName>
    <definedName name="DC125_13" localSheetId="30">#REF!</definedName>
    <definedName name="DC125_13" localSheetId="25">#REF!</definedName>
    <definedName name="DC125_13" localSheetId="28">#REF!</definedName>
    <definedName name="DC125_13" localSheetId="29">#REF!</definedName>
    <definedName name="DC125_13" localSheetId="12">#REF!</definedName>
    <definedName name="DC125_13" localSheetId="43">#REF!</definedName>
    <definedName name="DC125_13" localSheetId="42">#REF!</definedName>
    <definedName name="DC125_13" localSheetId="27">#REF!</definedName>
    <definedName name="DC125_13" localSheetId="45">#REF!</definedName>
    <definedName name="DC125_13">#REF!</definedName>
    <definedName name="DC125_14" localSheetId="30">#REF!</definedName>
    <definedName name="DC125_14" localSheetId="25">#REF!</definedName>
    <definedName name="DC125_14" localSheetId="28">#REF!</definedName>
    <definedName name="DC125_14" localSheetId="29">#REF!</definedName>
    <definedName name="DC125_14" localSheetId="12">#REF!</definedName>
    <definedName name="DC125_14" localSheetId="43">#REF!</definedName>
    <definedName name="DC125_14" localSheetId="42">#REF!</definedName>
    <definedName name="DC125_14" localSheetId="27">#REF!</definedName>
    <definedName name="DC125_14" localSheetId="45">#REF!</definedName>
    <definedName name="DC125_14">#REF!</definedName>
    <definedName name="DC20_13" localSheetId="30">#REF!</definedName>
    <definedName name="DC20_13" localSheetId="25">#REF!</definedName>
    <definedName name="DC20_13" localSheetId="28">#REF!</definedName>
    <definedName name="DC20_13" localSheetId="29">#REF!</definedName>
    <definedName name="DC20_13" localSheetId="12">#REF!</definedName>
    <definedName name="DC20_13" localSheetId="43">#REF!</definedName>
    <definedName name="DC20_13" localSheetId="42">#REF!</definedName>
    <definedName name="DC20_13" localSheetId="27">#REF!</definedName>
    <definedName name="DC20_13" localSheetId="45">#REF!</definedName>
    <definedName name="DC20_13">#REF!</definedName>
    <definedName name="DC20_14" localSheetId="30">#REF!</definedName>
    <definedName name="DC20_14" localSheetId="25">#REF!</definedName>
    <definedName name="DC20_14" localSheetId="28">#REF!</definedName>
    <definedName name="DC20_14" localSheetId="29">#REF!</definedName>
    <definedName name="DC20_14" localSheetId="12">#REF!</definedName>
    <definedName name="DC20_14" localSheetId="43">#REF!</definedName>
    <definedName name="DC20_14" localSheetId="42">#REF!</definedName>
    <definedName name="DC20_14" localSheetId="27">#REF!</definedName>
    <definedName name="DC20_14" localSheetId="45">#REF!</definedName>
    <definedName name="DC20_14">#REF!</definedName>
    <definedName name="DC20_16" localSheetId="30">#REF!</definedName>
    <definedName name="DC20_16" localSheetId="25">#REF!</definedName>
    <definedName name="DC20_16" localSheetId="28">#REF!</definedName>
    <definedName name="DC20_16" localSheetId="29">#REF!</definedName>
    <definedName name="DC20_16" localSheetId="12">#REF!</definedName>
    <definedName name="DC20_16" localSheetId="43">#REF!</definedName>
    <definedName name="DC20_16" localSheetId="42">#REF!</definedName>
    <definedName name="DC20_16" localSheetId="27">#REF!</definedName>
    <definedName name="DC20_16" localSheetId="45">#REF!</definedName>
    <definedName name="DC20_16">#REF!</definedName>
    <definedName name="DCB_150" localSheetId="30">#REF!</definedName>
    <definedName name="DCB_150" localSheetId="25">#REF!</definedName>
    <definedName name="DCB_150" localSheetId="28">#REF!</definedName>
    <definedName name="DCB_150" localSheetId="29">#REF!</definedName>
    <definedName name="DCB_150" localSheetId="12">#REF!</definedName>
    <definedName name="DCB_150" localSheetId="43">#REF!</definedName>
    <definedName name="DCB_150" localSheetId="42">#REF!</definedName>
    <definedName name="DCB_150" localSheetId="27">#REF!</definedName>
    <definedName name="DCB_150" localSheetId="45">#REF!</definedName>
    <definedName name="DCB_150">#REF!</definedName>
    <definedName name="DCM_13" localSheetId="30">#REF!</definedName>
    <definedName name="DCM_13" localSheetId="25">#REF!</definedName>
    <definedName name="DCM_13" localSheetId="28">#REF!</definedName>
    <definedName name="DCM_13" localSheetId="29">#REF!</definedName>
    <definedName name="DCM_13" localSheetId="12">#REF!</definedName>
    <definedName name="DCM_13" localSheetId="43">#REF!</definedName>
    <definedName name="DCM_13" localSheetId="42">#REF!</definedName>
    <definedName name="DCM_13" localSheetId="27">#REF!</definedName>
    <definedName name="DCM_13" localSheetId="45">#REF!</definedName>
    <definedName name="DCM_13">#REF!</definedName>
    <definedName name="DCM_14" localSheetId="30">#REF!</definedName>
    <definedName name="DCM_14" localSheetId="25">#REF!</definedName>
    <definedName name="DCM_14" localSheetId="28">#REF!</definedName>
    <definedName name="DCM_14" localSheetId="29">#REF!</definedName>
    <definedName name="DCM_14" localSheetId="12">#REF!</definedName>
    <definedName name="DCM_14" localSheetId="43">#REF!</definedName>
    <definedName name="DCM_14" localSheetId="42">#REF!</definedName>
    <definedName name="DCM_14" localSheetId="27">#REF!</definedName>
    <definedName name="DCM_14" localSheetId="45">#REF!</definedName>
    <definedName name="DCM_14">#REF!</definedName>
    <definedName name="DCM_16" localSheetId="30">#REF!</definedName>
    <definedName name="DCM_16" localSheetId="25">#REF!</definedName>
    <definedName name="DCM_16" localSheetId="28">#REF!</definedName>
    <definedName name="DCM_16" localSheetId="29">#REF!</definedName>
    <definedName name="DCM_16" localSheetId="12">#REF!</definedName>
    <definedName name="DCM_16" localSheetId="43">#REF!</definedName>
    <definedName name="DCM_16" localSheetId="42">#REF!</definedName>
    <definedName name="DCM_16" localSheetId="27">#REF!</definedName>
    <definedName name="DCM_16" localSheetId="45">#REF!</definedName>
    <definedName name="DCM_16">#REF!</definedName>
    <definedName name="DCMud" localSheetId="30">#REF!</definedName>
    <definedName name="DCMud" localSheetId="25">#REF!</definedName>
    <definedName name="DCMud" localSheetId="28">#REF!</definedName>
    <definedName name="DCMud" localSheetId="29">#REF!</definedName>
    <definedName name="DCMud" localSheetId="12">#REF!</definedName>
    <definedName name="DCMud" localSheetId="43">#REF!</definedName>
    <definedName name="DCMud" localSheetId="42">#REF!</definedName>
    <definedName name="DCMud" localSheetId="27">#REF!</definedName>
    <definedName name="DCMud" localSheetId="45">#REF!</definedName>
    <definedName name="DCMud">#REF!</definedName>
    <definedName name="DCP" localSheetId="30">#REF!</definedName>
    <definedName name="DCP" localSheetId="25">#REF!</definedName>
    <definedName name="DCP" localSheetId="28">#REF!</definedName>
    <definedName name="DCP" localSheetId="29">#REF!</definedName>
    <definedName name="DCP" localSheetId="12">#REF!</definedName>
    <definedName name="DCP" localSheetId="43">#REF!</definedName>
    <definedName name="DCP" localSheetId="42">#REF!</definedName>
    <definedName name="DCP" localSheetId="27">#REF!</definedName>
    <definedName name="DCP" localSheetId="45">#REF!</definedName>
    <definedName name="DCP">#REF!</definedName>
    <definedName name="DCP_11" localSheetId="30">#REF!</definedName>
    <definedName name="DCP_11" localSheetId="25">#REF!</definedName>
    <definedName name="DCP_11" localSheetId="28">#REF!</definedName>
    <definedName name="DCP_11" localSheetId="29">#REF!</definedName>
    <definedName name="DCP_11" localSheetId="12">#REF!</definedName>
    <definedName name="DCP_11" localSheetId="43">#REF!</definedName>
    <definedName name="DCP_11" localSheetId="42">#REF!</definedName>
    <definedName name="DCP_11" localSheetId="27">#REF!</definedName>
    <definedName name="DCP_11" localSheetId="45">#REF!</definedName>
    <definedName name="DCP_11">#REF!</definedName>
    <definedName name="DCP_13" localSheetId="30">#REF!</definedName>
    <definedName name="DCP_13" localSheetId="25">#REF!</definedName>
    <definedName name="DCP_13" localSheetId="28">#REF!</definedName>
    <definedName name="DCP_13" localSheetId="29">#REF!</definedName>
    <definedName name="DCP_13" localSheetId="12">#REF!</definedName>
    <definedName name="DCP_13" localSheetId="43">#REF!</definedName>
    <definedName name="DCP_13" localSheetId="42">#REF!</definedName>
    <definedName name="DCP_13" localSheetId="27">#REF!</definedName>
    <definedName name="DCP_13" localSheetId="45">#REF!</definedName>
    <definedName name="DCP_13">#REF!</definedName>
    <definedName name="DCPC112" localSheetId="30">#REF!</definedName>
    <definedName name="DCPC112" localSheetId="25">#REF!</definedName>
    <definedName name="DCPC112" localSheetId="28">#REF!</definedName>
    <definedName name="DCPC112" localSheetId="29">#REF!</definedName>
    <definedName name="DCPC112" localSheetId="12">#REF!</definedName>
    <definedName name="DCPC112" localSheetId="43">#REF!</definedName>
    <definedName name="DCPC112" localSheetId="42">#REF!</definedName>
    <definedName name="DCPC112" localSheetId="27">#REF!</definedName>
    <definedName name="DCPC112" localSheetId="45">#REF!</definedName>
    <definedName name="DCPC112">#REF!</definedName>
    <definedName name="DCPC124" localSheetId="30">#REF!</definedName>
    <definedName name="DCPC124" localSheetId="25">#REF!</definedName>
    <definedName name="DCPC124" localSheetId="28">#REF!</definedName>
    <definedName name="DCPC124" localSheetId="29">#REF!</definedName>
    <definedName name="DCPC124" localSheetId="12">#REF!</definedName>
    <definedName name="DCPC124" localSheetId="43">#REF!</definedName>
    <definedName name="DCPC124" localSheetId="42">#REF!</definedName>
    <definedName name="DCPC124" localSheetId="27">#REF!</definedName>
    <definedName name="DCPC124" localSheetId="45">#REF!</definedName>
    <definedName name="DCPC124">#REF!</definedName>
    <definedName name="DCPC1D3" localSheetId="30">#REF!</definedName>
    <definedName name="DCPC1D3" localSheetId="25">#REF!</definedName>
    <definedName name="DCPC1D3" localSheetId="28">#REF!</definedName>
    <definedName name="DCPC1D3" localSheetId="29">#REF!</definedName>
    <definedName name="DCPC1D3" localSheetId="12">#REF!</definedName>
    <definedName name="DCPC1D3" localSheetId="43">#REF!</definedName>
    <definedName name="DCPC1D3" localSheetId="42">#REF!</definedName>
    <definedName name="DCPC1D3" localSheetId="27">#REF!</definedName>
    <definedName name="DCPC1D3" localSheetId="45">#REF!</definedName>
    <definedName name="DCPC1D3">#REF!</definedName>
    <definedName name="DCT_100X80" localSheetId="30">#REF!</definedName>
    <definedName name="DCT_100X80" localSheetId="25">#REF!</definedName>
    <definedName name="DCT_100X80" localSheetId="28">#REF!</definedName>
    <definedName name="DCT_100X80" localSheetId="29">#REF!</definedName>
    <definedName name="DCT_100X80" localSheetId="12">#REF!</definedName>
    <definedName name="DCT_100X80" localSheetId="43">#REF!</definedName>
    <definedName name="DCT_100X80" localSheetId="42">#REF!</definedName>
    <definedName name="DCT_100X80" localSheetId="27">#REF!</definedName>
    <definedName name="DCT_100X80" localSheetId="45">#REF!</definedName>
    <definedName name="DCT_100X80">#REF!</definedName>
    <definedName name="DCT_125X100" localSheetId="30">#REF!</definedName>
    <definedName name="DCT_125X100" localSheetId="25">#REF!</definedName>
    <definedName name="DCT_125X100" localSheetId="28">#REF!</definedName>
    <definedName name="DCT_125X100" localSheetId="29">#REF!</definedName>
    <definedName name="DCT_125X100" localSheetId="12">#REF!</definedName>
    <definedName name="DCT_125X100" localSheetId="43">#REF!</definedName>
    <definedName name="DCT_125X100" localSheetId="42">#REF!</definedName>
    <definedName name="DCT_125X100" localSheetId="27">#REF!</definedName>
    <definedName name="DCT_125X100" localSheetId="45">#REF!</definedName>
    <definedName name="DCT_125X100">#REF!</definedName>
    <definedName name="DCT_125X80" localSheetId="30">#REF!</definedName>
    <definedName name="DCT_125X80" localSheetId="25">#REF!</definedName>
    <definedName name="DCT_125X80" localSheetId="28">#REF!</definedName>
    <definedName name="DCT_125X80" localSheetId="29">#REF!</definedName>
    <definedName name="DCT_125X80" localSheetId="12">#REF!</definedName>
    <definedName name="DCT_125X80" localSheetId="43">#REF!</definedName>
    <definedName name="DCT_125X80" localSheetId="42">#REF!</definedName>
    <definedName name="DCT_125X80" localSheetId="27">#REF!</definedName>
    <definedName name="DCT_125X80" localSheetId="45">#REF!</definedName>
    <definedName name="DCT_125X80">#REF!</definedName>
    <definedName name="DCT_150X100" localSheetId="30">#REF!</definedName>
    <definedName name="DCT_150X100" localSheetId="25">#REF!</definedName>
    <definedName name="DCT_150X100" localSheetId="28">#REF!</definedName>
    <definedName name="DCT_150X100" localSheetId="29">#REF!</definedName>
    <definedName name="DCT_150X100" localSheetId="12">#REF!</definedName>
    <definedName name="DCT_150X100" localSheetId="43">#REF!</definedName>
    <definedName name="DCT_150X100" localSheetId="42">#REF!</definedName>
    <definedName name="DCT_150X100" localSheetId="27">#REF!</definedName>
    <definedName name="DCT_150X100" localSheetId="45">#REF!</definedName>
    <definedName name="DCT_150X100">#REF!</definedName>
    <definedName name="DCT_150X80" localSheetId="30">#REF!</definedName>
    <definedName name="DCT_150X80" localSheetId="25">#REF!</definedName>
    <definedName name="DCT_150X80" localSheetId="28">#REF!</definedName>
    <definedName name="DCT_150X80" localSheetId="29">#REF!</definedName>
    <definedName name="DCT_150X80" localSheetId="12">#REF!</definedName>
    <definedName name="DCT_150X80" localSheetId="43">#REF!</definedName>
    <definedName name="DCT_150X80" localSheetId="42">#REF!</definedName>
    <definedName name="DCT_150X80" localSheetId="27">#REF!</definedName>
    <definedName name="DCT_150X80" localSheetId="45">#REF!</definedName>
    <definedName name="DCT_150X80">#REF!</definedName>
    <definedName name="DCT_200X100" localSheetId="30">#REF!</definedName>
    <definedName name="DCT_200X100" localSheetId="25">#REF!</definedName>
    <definedName name="DCT_200X100" localSheetId="28">#REF!</definedName>
    <definedName name="DCT_200X100" localSheetId="29">#REF!</definedName>
    <definedName name="DCT_200X100" localSheetId="12">#REF!</definedName>
    <definedName name="DCT_200X100" localSheetId="43">#REF!</definedName>
    <definedName name="DCT_200X100" localSheetId="42">#REF!</definedName>
    <definedName name="DCT_200X100" localSheetId="27">#REF!</definedName>
    <definedName name="DCT_200X100" localSheetId="45">#REF!</definedName>
    <definedName name="DCT_200X100">#REF!</definedName>
    <definedName name="DCT_200X150" localSheetId="30">#REF!</definedName>
    <definedName name="DCT_200X150" localSheetId="25">#REF!</definedName>
    <definedName name="DCT_200X150" localSheetId="28">#REF!</definedName>
    <definedName name="DCT_200X150" localSheetId="29">#REF!</definedName>
    <definedName name="DCT_200X150" localSheetId="12">#REF!</definedName>
    <definedName name="DCT_200X150" localSheetId="43">#REF!</definedName>
    <definedName name="DCT_200X150" localSheetId="42">#REF!</definedName>
    <definedName name="DCT_200X150" localSheetId="27">#REF!</definedName>
    <definedName name="DCT_200X150" localSheetId="45">#REF!</definedName>
    <definedName name="DCT_200X150">#REF!</definedName>
    <definedName name="DCT_250X100" localSheetId="30">#REF!</definedName>
    <definedName name="DCT_250X100" localSheetId="25">#REF!</definedName>
    <definedName name="DCT_250X100" localSheetId="28">#REF!</definedName>
    <definedName name="DCT_250X100" localSheetId="29">#REF!</definedName>
    <definedName name="DCT_250X100" localSheetId="12">#REF!</definedName>
    <definedName name="DCT_250X100" localSheetId="43">#REF!</definedName>
    <definedName name="DCT_250X100" localSheetId="42">#REF!</definedName>
    <definedName name="DCT_250X100" localSheetId="27">#REF!</definedName>
    <definedName name="DCT_250X100" localSheetId="45">#REF!</definedName>
    <definedName name="DCT_250X100">#REF!</definedName>
    <definedName name="DCT_250X150" localSheetId="30">#REF!</definedName>
    <definedName name="DCT_250X150" localSheetId="25">#REF!</definedName>
    <definedName name="DCT_250X150" localSheetId="28">#REF!</definedName>
    <definedName name="DCT_250X150" localSheetId="29">#REF!</definedName>
    <definedName name="DCT_250X150" localSheetId="12">#REF!</definedName>
    <definedName name="DCT_250X150" localSheetId="43">#REF!</definedName>
    <definedName name="DCT_250X150" localSheetId="42">#REF!</definedName>
    <definedName name="DCT_250X150" localSheetId="27">#REF!</definedName>
    <definedName name="DCT_250X150" localSheetId="45">#REF!</definedName>
    <definedName name="DCT_250X150">#REF!</definedName>
    <definedName name="DCT_250X200" localSheetId="30">#REF!</definedName>
    <definedName name="DCT_250X200" localSheetId="25">#REF!</definedName>
    <definedName name="DCT_250X200" localSheetId="28">#REF!</definedName>
    <definedName name="DCT_250X200" localSheetId="29">#REF!</definedName>
    <definedName name="DCT_250X200" localSheetId="12">#REF!</definedName>
    <definedName name="DCT_250X200" localSheetId="43">#REF!</definedName>
    <definedName name="DCT_250X200" localSheetId="42">#REF!</definedName>
    <definedName name="DCT_250X200" localSheetId="27">#REF!</definedName>
    <definedName name="DCT_250X200" localSheetId="45">#REF!</definedName>
    <definedName name="DCT_250X200">#REF!</definedName>
    <definedName name="DCT_300X150" localSheetId="30">#REF!</definedName>
    <definedName name="DCT_300X150" localSheetId="25">#REF!</definedName>
    <definedName name="DCT_300X150" localSheetId="28">#REF!</definedName>
    <definedName name="DCT_300X150" localSheetId="29">#REF!</definedName>
    <definedName name="DCT_300X150" localSheetId="12">#REF!</definedName>
    <definedName name="DCT_300X150" localSheetId="43">#REF!</definedName>
    <definedName name="DCT_300X150" localSheetId="42">#REF!</definedName>
    <definedName name="DCT_300X150" localSheetId="27">#REF!</definedName>
    <definedName name="DCT_300X150" localSheetId="45">#REF!</definedName>
    <definedName name="DCT_300X150">#REF!</definedName>
    <definedName name="DCT_300X200" localSheetId="30">#REF!</definedName>
    <definedName name="DCT_300X200" localSheetId="25">#REF!</definedName>
    <definedName name="DCT_300X200" localSheetId="28">#REF!</definedName>
    <definedName name="DCT_300X200" localSheetId="29">#REF!</definedName>
    <definedName name="DCT_300X200" localSheetId="12">#REF!</definedName>
    <definedName name="DCT_300X200" localSheetId="43">#REF!</definedName>
    <definedName name="DCT_300X200" localSheetId="42">#REF!</definedName>
    <definedName name="DCT_300X200" localSheetId="27">#REF!</definedName>
    <definedName name="DCT_300X200" localSheetId="45">#REF!</definedName>
    <definedName name="DCT_300X200">#REF!</definedName>
    <definedName name="DCT_300X250" localSheetId="30">#REF!</definedName>
    <definedName name="DCT_300X250" localSheetId="25">#REF!</definedName>
    <definedName name="DCT_300X250" localSheetId="28">#REF!</definedName>
    <definedName name="DCT_300X250" localSheetId="29">#REF!</definedName>
    <definedName name="DCT_300X250" localSheetId="12">#REF!</definedName>
    <definedName name="DCT_300X250" localSheetId="43">#REF!</definedName>
    <definedName name="DCT_300X250" localSheetId="42">#REF!</definedName>
    <definedName name="DCT_300X250" localSheetId="27">#REF!</definedName>
    <definedName name="DCT_300X250" localSheetId="45">#REF!</definedName>
    <definedName name="DCT_300X250">#REF!</definedName>
    <definedName name="DCT_350X250" localSheetId="30">#REF!</definedName>
    <definedName name="DCT_350X250" localSheetId="25">#REF!</definedName>
    <definedName name="DCT_350X250" localSheetId="28">#REF!</definedName>
    <definedName name="DCT_350X250" localSheetId="29">#REF!</definedName>
    <definedName name="DCT_350X250" localSheetId="12">#REF!</definedName>
    <definedName name="DCT_350X250" localSheetId="43">#REF!</definedName>
    <definedName name="DCT_350X250" localSheetId="42">#REF!</definedName>
    <definedName name="DCT_350X250" localSheetId="27">#REF!</definedName>
    <definedName name="DCT_350X250" localSheetId="45">#REF!</definedName>
    <definedName name="DCT_350X250">#REF!</definedName>
    <definedName name="DCT_350X300" localSheetId="30">#REF!</definedName>
    <definedName name="DCT_350X300" localSheetId="25">#REF!</definedName>
    <definedName name="DCT_350X300" localSheetId="28">#REF!</definedName>
    <definedName name="DCT_350X300" localSheetId="29">#REF!</definedName>
    <definedName name="DCT_350X300" localSheetId="12">#REF!</definedName>
    <definedName name="DCT_350X300" localSheetId="43">#REF!</definedName>
    <definedName name="DCT_350X300" localSheetId="42">#REF!</definedName>
    <definedName name="DCT_350X300" localSheetId="27">#REF!</definedName>
    <definedName name="DCT_350X300" localSheetId="45">#REF!</definedName>
    <definedName name="DCT_350X300">#REF!</definedName>
    <definedName name="DCT_400X250." localSheetId="30">#REF!</definedName>
    <definedName name="DCT_400X250." localSheetId="25">#REF!</definedName>
    <definedName name="DCT_400X250." localSheetId="28">#REF!</definedName>
    <definedName name="DCT_400X250." localSheetId="29">#REF!</definedName>
    <definedName name="DCT_400X250." localSheetId="12">#REF!</definedName>
    <definedName name="DCT_400X250." localSheetId="43">#REF!</definedName>
    <definedName name="DCT_400X250." localSheetId="42">#REF!</definedName>
    <definedName name="DCT_400X250." localSheetId="27">#REF!</definedName>
    <definedName name="DCT_400X250." localSheetId="45">#REF!</definedName>
    <definedName name="DCT_400X250.">#REF!</definedName>
    <definedName name="DCT_400X300" localSheetId="30">#REF!</definedName>
    <definedName name="DCT_400X300" localSheetId="25">#REF!</definedName>
    <definedName name="DCT_400X300" localSheetId="28">#REF!</definedName>
    <definedName name="DCT_400X300" localSheetId="29">#REF!</definedName>
    <definedName name="DCT_400X300" localSheetId="12">#REF!</definedName>
    <definedName name="DCT_400X300" localSheetId="43">#REF!</definedName>
    <definedName name="DCT_400X300" localSheetId="42">#REF!</definedName>
    <definedName name="DCT_400X300" localSheetId="27">#REF!</definedName>
    <definedName name="DCT_400X300" localSheetId="45">#REF!</definedName>
    <definedName name="DCT_400X300">#REF!</definedName>
    <definedName name="DCT_400X350" localSheetId="30">#REF!</definedName>
    <definedName name="DCT_400X350" localSheetId="25">#REF!</definedName>
    <definedName name="DCT_400X350" localSheetId="28">#REF!</definedName>
    <definedName name="DCT_400X350" localSheetId="29">#REF!</definedName>
    <definedName name="DCT_400X350" localSheetId="12">#REF!</definedName>
    <definedName name="DCT_400X350" localSheetId="43">#REF!</definedName>
    <definedName name="DCT_400X350" localSheetId="42">#REF!</definedName>
    <definedName name="DCT_400X350" localSheetId="27">#REF!</definedName>
    <definedName name="DCT_400X350" localSheetId="45">#REF!</definedName>
    <definedName name="DCT_400X350">#REF!</definedName>
    <definedName name="dd">[30]Ta304!$F$6</definedName>
    <definedName name="DD_30" localSheetId="30">#REF!</definedName>
    <definedName name="DD_30" localSheetId="25">#REF!</definedName>
    <definedName name="DD_30" localSheetId="28">#REF!</definedName>
    <definedName name="DD_30" localSheetId="29">#REF!</definedName>
    <definedName name="DD_30" localSheetId="12">#REF!</definedName>
    <definedName name="DD_30" localSheetId="43">#REF!</definedName>
    <definedName name="DD_30" localSheetId="42">#REF!</definedName>
    <definedName name="DD_30" localSheetId="27">#REF!</definedName>
    <definedName name="DD_30" localSheetId="45">#REF!</definedName>
    <definedName name="DD_30">#REF!</definedName>
    <definedName name="DDB_100" localSheetId="30">#REF!</definedName>
    <definedName name="DDB_100" localSheetId="25">#REF!</definedName>
    <definedName name="DDB_100" localSheetId="28">#REF!</definedName>
    <definedName name="DDB_100" localSheetId="29">#REF!</definedName>
    <definedName name="DDB_100" localSheetId="12">#REF!</definedName>
    <definedName name="DDB_100" localSheetId="43">#REF!</definedName>
    <definedName name="DDB_100" localSheetId="42">#REF!</definedName>
    <definedName name="DDB_100" localSheetId="27">#REF!</definedName>
    <definedName name="DDB_100" localSheetId="45">#REF!</definedName>
    <definedName name="DDB_100">#REF!</definedName>
    <definedName name="DDB_200" localSheetId="30">#REF!</definedName>
    <definedName name="DDB_200" localSheetId="25">#REF!</definedName>
    <definedName name="DDB_200" localSheetId="28">#REF!</definedName>
    <definedName name="DDB_200" localSheetId="29">#REF!</definedName>
    <definedName name="DDB_200" localSheetId="12">#REF!</definedName>
    <definedName name="DDB_200" localSheetId="43">#REF!</definedName>
    <definedName name="DDB_200" localSheetId="42">#REF!</definedName>
    <definedName name="DDB_200" localSheetId="27">#REF!</definedName>
    <definedName name="DDB_200" localSheetId="45">#REF!</definedName>
    <definedName name="DDB_200">#REF!</definedName>
    <definedName name="DDB_80" localSheetId="30">#REF!</definedName>
    <definedName name="DDB_80" localSheetId="25">#REF!</definedName>
    <definedName name="DDB_80" localSheetId="28">#REF!</definedName>
    <definedName name="DDB_80" localSheetId="29">#REF!</definedName>
    <definedName name="DDB_80" localSheetId="12">#REF!</definedName>
    <definedName name="DDB_80" localSheetId="43">#REF!</definedName>
    <definedName name="DDB_80" localSheetId="42">#REF!</definedName>
    <definedName name="DDB_80" localSheetId="27">#REF!</definedName>
    <definedName name="DDB_80" localSheetId="45">#REF!</definedName>
    <definedName name="DDB_80">#REF!</definedName>
    <definedName name="DDF_100X80" localSheetId="30">#REF!</definedName>
    <definedName name="DDF_100X80" localSheetId="25">#REF!</definedName>
    <definedName name="DDF_100X80" localSheetId="28">#REF!</definedName>
    <definedName name="DDF_100X80" localSheetId="29">#REF!</definedName>
    <definedName name="DDF_100X80" localSheetId="12">#REF!</definedName>
    <definedName name="DDF_100X80" localSheetId="43">#REF!</definedName>
    <definedName name="DDF_100X80" localSheetId="42">#REF!</definedName>
    <definedName name="DDF_100X80" localSheetId="27">#REF!</definedName>
    <definedName name="DDF_100X80" localSheetId="45">#REF!</definedName>
    <definedName name="DDF_100X80">#REF!</definedName>
    <definedName name="DDF_150X100" localSheetId="30">#REF!</definedName>
    <definedName name="DDF_150X100" localSheetId="25">#REF!</definedName>
    <definedName name="DDF_150X100" localSheetId="28">#REF!</definedName>
    <definedName name="DDF_150X100" localSheetId="29">#REF!</definedName>
    <definedName name="DDF_150X100" localSheetId="12">#REF!</definedName>
    <definedName name="DDF_150X100" localSheetId="43">#REF!</definedName>
    <definedName name="DDF_150X100" localSheetId="42">#REF!</definedName>
    <definedName name="DDF_150X100" localSheetId="27">#REF!</definedName>
    <definedName name="DDF_150X100" localSheetId="45">#REF!</definedName>
    <definedName name="DDF_150X100">#REF!</definedName>
    <definedName name="DDF_150X125" localSheetId="30">#REF!</definedName>
    <definedName name="DDF_150X125" localSheetId="25">#REF!</definedName>
    <definedName name="DDF_150X125" localSheetId="28">#REF!</definedName>
    <definedName name="DDF_150X125" localSheetId="29">#REF!</definedName>
    <definedName name="DDF_150X125" localSheetId="12">#REF!</definedName>
    <definedName name="DDF_150X125" localSheetId="43">#REF!</definedName>
    <definedName name="DDF_150X125" localSheetId="42">#REF!</definedName>
    <definedName name="DDF_150X125" localSheetId="27">#REF!</definedName>
    <definedName name="DDF_150X125" localSheetId="45">#REF!</definedName>
    <definedName name="DDF_150X125">#REF!</definedName>
    <definedName name="DDF_150X150" localSheetId="30">#REF!</definedName>
    <definedName name="DDF_150X150" localSheetId="25">#REF!</definedName>
    <definedName name="DDF_150X150" localSheetId="28">#REF!</definedName>
    <definedName name="DDF_150X150" localSheetId="29">#REF!</definedName>
    <definedName name="DDF_150X150" localSheetId="12">#REF!</definedName>
    <definedName name="DDF_150X150" localSheetId="43">#REF!</definedName>
    <definedName name="DDF_150X150" localSheetId="42">#REF!</definedName>
    <definedName name="DDF_150X150" localSheetId="27">#REF!</definedName>
    <definedName name="DDF_150X150" localSheetId="45">#REF!</definedName>
    <definedName name="DDF_150X150">#REF!</definedName>
    <definedName name="DDF_150X80" localSheetId="30">#REF!</definedName>
    <definedName name="DDF_150X80" localSheetId="25">#REF!</definedName>
    <definedName name="DDF_150X80" localSheetId="28">#REF!</definedName>
    <definedName name="DDF_150X80" localSheetId="29">#REF!</definedName>
    <definedName name="DDF_150X80" localSheetId="12">#REF!</definedName>
    <definedName name="DDF_150X80" localSheetId="43">#REF!</definedName>
    <definedName name="DDF_150X80" localSheetId="42">#REF!</definedName>
    <definedName name="DDF_150X80" localSheetId="27">#REF!</definedName>
    <definedName name="DDF_150X80" localSheetId="45">#REF!</definedName>
    <definedName name="DDF_150X80">#REF!</definedName>
    <definedName name="DDF_200X100" localSheetId="30">#REF!</definedName>
    <definedName name="DDF_200X100" localSheetId="25">#REF!</definedName>
    <definedName name="DDF_200X100" localSheetId="28">#REF!</definedName>
    <definedName name="DDF_200X100" localSheetId="29">#REF!</definedName>
    <definedName name="DDF_200X100" localSheetId="12">#REF!</definedName>
    <definedName name="DDF_200X100" localSheetId="43">#REF!</definedName>
    <definedName name="DDF_200X100" localSheetId="42">#REF!</definedName>
    <definedName name="DDF_200X100" localSheetId="27">#REF!</definedName>
    <definedName name="DDF_200X100" localSheetId="45">#REF!</definedName>
    <definedName name="DDF_200X100">#REF!</definedName>
    <definedName name="DDF_200X150" localSheetId="30">#REF!</definedName>
    <definedName name="DDF_200X150" localSheetId="25">#REF!</definedName>
    <definedName name="DDF_200X150" localSheetId="28">#REF!</definedName>
    <definedName name="DDF_200X150" localSheetId="29">#REF!</definedName>
    <definedName name="DDF_200X150" localSheetId="12">#REF!</definedName>
    <definedName name="DDF_200X150" localSheetId="43">#REF!</definedName>
    <definedName name="DDF_200X150" localSheetId="42">#REF!</definedName>
    <definedName name="DDF_200X150" localSheetId="27">#REF!</definedName>
    <definedName name="DDF_200X150" localSheetId="45">#REF!</definedName>
    <definedName name="DDF_200X150">#REF!</definedName>
    <definedName name="DDF_200X80" localSheetId="30">#REF!</definedName>
    <definedName name="DDF_200X80" localSheetId="25">#REF!</definedName>
    <definedName name="DDF_200X80" localSheetId="28">#REF!</definedName>
    <definedName name="DDF_200X80" localSheetId="29">#REF!</definedName>
    <definedName name="DDF_200X80" localSheetId="12">#REF!</definedName>
    <definedName name="DDF_200X80" localSheetId="43">#REF!</definedName>
    <definedName name="DDF_200X80" localSheetId="42">#REF!</definedName>
    <definedName name="DDF_200X80" localSheetId="27">#REF!</definedName>
    <definedName name="DDF_200X80" localSheetId="45">#REF!</definedName>
    <definedName name="DDF_200X80">#REF!</definedName>
    <definedName name="DDF_250X100" localSheetId="30">#REF!</definedName>
    <definedName name="DDF_250X100" localSheetId="25">#REF!</definedName>
    <definedName name="DDF_250X100" localSheetId="28">#REF!</definedName>
    <definedName name="DDF_250X100" localSheetId="29">#REF!</definedName>
    <definedName name="DDF_250X100" localSheetId="12">#REF!</definedName>
    <definedName name="DDF_250X100" localSheetId="43">#REF!</definedName>
    <definedName name="DDF_250X100" localSheetId="42">#REF!</definedName>
    <definedName name="DDF_250X100" localSheetId="27">#REF!</definedName>
    <definedName name="DDF_250X100" localSheetId="45">#REF!</definedName>
    <definedName name="DDF_250X100">#REF!</definedName>
    <definedName name="DDF_250X150" localSheetId="30">#REF!</definedName>
    <definedName name="DDF_250X150" localSheetId="25">#REF!</definedName>
    <definedName name="DDF_250X150" localSheetId="28">#REF!</definedName>
    <definedName name="DDF_250X150" localSheetId="29">#REF!</definedName>
    <definedName name="DDF_250X150" localSheetId="12">#REF!</definedName>
    <definedName name="DDF_250X150" localSheetId="43">#REF!</definedName>
    <definedName name="DDF_250X150" localSheetId="42">#REF!</definedName>
    <definedName name="DDF_250X150" localSheetId="27">#REF!</definedName>
    <definedName name="DDF_250X150" localSheetId="45">#REF!</definedName>
    <definedName name="DDF_250X150">#REF!</definedName>
    <definedName name="DDF_250X200" localSheetId="30">#REF!</definedName>
    <definedName name="DDF_250X200" localSheetId="25">#REF!</definedName>
    <definedName name="DDF_250X200" localSheetId="28">#REF!</definedName>
    <definedName name="DDF_250X200" localSheetId="29">#REF!</definedName>
    <definedName name="DDF_250X200" localSheetId="12">#REF!</definedName>
    <definedName name="DDF_250X200" localSheetId="43">#REF!</definedName>
    <definedName name="DDF_250X200" localSheetId="42">#REF!</definedName>
    <definedName name="DDF_250X200" localSheetId="27">#REF!</definedName>
    <definedName name="DDF_250X200" localSheetId="45">#REF!</definedName>
    <definedName name="DDF_250X200">#REF!</definedName>
    <definedName name="DDF_250X80" localSheetId="30">#REF!</definedName>
    <definedName name="DDF_250X80" localSheetId="25">#REF!</definedName>
    <definedName name="DDF_250X80" localSheetId="28">#REF!</definedName>
    <definedName name="DDF_250X80" localSheetId="29">#REF!</definedName>
    <definedName name="DDF_250X80" localSheetId="12">#REF!</definedName>
    <definedName name="DDF_250X80" localSheetId="43">#REF!</definedName>
    <definedName name="DDF_250X80" localSheetId="42">#REF!</definedName>
    <definedName name="DDF_250X80" localSheetId="27">#REF!</definedName>
    <definedName name="DDF_250X80" localSheetId="45">#REF!</definedName>
    <definedName name="DDF_250X80">#REF!</definedName>
    <definedName name="DDF_300X150" localSheetId="30">#REF!</definedName>
    <definedName name="DDF_300X150" localSheetId="25">#REF!</definedName>
    <definedName name="DDF_300X150" localSheetId="28">#REF!</definedName>
    <definedName name="DDF_300X150" localSheetId="29">#REF!</definedName>
    <definedName name="DDF_300X150" localSheetId="12">#REF!</definedName>
    <definedName name="DDF_300X150" localSheetId="43">#REF!</definedName>
    <definedName name="DDF_300X150" localSheetId="42">#REF!</definedName>
    <definedName name="DDF_300X150" localSheetId="27">#REF!</definedName>
    <definedName name="DDF_300X150" localSheetId="45">#REF!</definedName>
    <definedName name="DDF_300X150">#REF!</definedName>
    <definedName name="DDF_300X200" localSheetId="30">#REF!</definedName>
    <definedName name="DDF_300X200" localSheetId="25">#REF!</definedName>
    <definedName name="DDF_300X200" localSheetId="28">#REF!</definedName>
    <definedName name="DDF_300X200" localSheetId="29">#REF!</definedName>
    <definedName name="DDF_300X200" localSheetId="12">#REF!</definedName>
    <definedName name="DDF_300X200" localSheetId="43">#REF!</definedName>
    <definedName name="DDF_300X200" localSheetId="42">#REF!</definedName>
    <definedName name="DDF_300X200" localSheetId="27">#REF!</definedName>
    <definedName name="DDF_300X200" localSheetId="45">#REF!</definedName>
    <definedName name="DDF_300X200">#REF!</definedName>
    <definedName name="DDF_300X250" localSheetId="30">#REF!</definedName>
    <definedName name="DDF_300X250" localSheetId="25">#REF!</definedName>
    <definedName name="DDF_300X250" localSheetId="28">#REF!</definedName>
    <definedName name="DDF_300X250" localSheetId="29">#REF!</definedName>
    <definedName name="DDF_300X250" localSheetId="12">#REF!</definedName>
    <definedName name="DDF_300X250" localSheetId="43">#REF!</definedName>
    <definedName name="DDF_300X250" localSheetId="42">#REF!</definedName>
    <definedName name="DDF_300X250" localSheetId="27">#REF!</definedName>
    <definedName name="DDF_300X250" localSheetId="45">#REF!</definedName>
    <definedName name="DDF_300X250">#REF!</definedName>
    <definedName name="DDF_350X200" localSheetId="30">#REF!</definedName>
    <definedName name="DDF_350X200" localSheetId="25">#REF!</definedName>
    <definedName name="DDF_350X200" localSheetId="28">#REF!</definedName>
    <definedName name="DDF_350X200" localSheetId="29">#REF!</definedName>
    <definedName name="DDF_350X200" localSheetId="12">#REF!</definedName>
    <definedName name="DDF_350X200" localSheetId="43">#REF!</definedName>
    <definedName name="DDF_350X200" localSheetId="42">#REF!</definedName>
    <definedName name="DDF_350X200" localSheetId="27">#REF!</definedName>
    <definedName name="DDF_350X200" localSheetId="45">#REF!</definedName>
    <definedName name="DDF_350X200">#REF!</definedName>
    <definedName name="DDF_350X250" localSheetId="30">#REF!</definedName>
    <definedName name="DDF_350X250" localSheetId="25">#REF!</definedName>
    <definedName name="DDF_350X250" localSheetId="28">#REF!</definedName>
    <definedName name="DDF_350X250" localSheetId="29">#REF!</definedName>
    <definedName name="DDF_350X250" localSheetId="12">#REF!</definedName>
    <definedName name="DDF_350X250" localSheetId="43">#REF!</definedName>
    <definedName name="DDF_350X250" localSheetId="42">#REF!</definedName>
    <definedName name="DDF_350X250" localSheetId="27">#REF!</definedName>
    <definedName name="DDF_350X250" localSheetId="45">#REF!</definedName>
    <definedName name="DDF_350X250">#REF!</definedName>
    <definedName name="DDF_350X300" localSheetId="30">#REF!</definedName>
    <definedName name="DDF_350X300" localSheetId="25">#REF!</definedName>
    <definedName name="DDF_350X300" localSheetId="28">#REF!</definedName>
    <definedName name="DDF_350X300" localSheetId="29">#REF!</definedName>
    <definedName name="DDF_350X300" localSheetId="12">#REF!</definedName>
    <definedName name="DDF_350X300" localSheetId="43">#REF!</definedName>
    <definedName name="DDF_350X300" localSheetId="42">#REF!</definedName>
    <definedName name="DDF_350X300" localSheetId="27">#REF!</definedName>
    <definedName name="DDF_350X300" localSheetId="45">#REF!</definedName>
    <definedName name="DDF_350X300">#REF!</definedName>
    <definedName name="DDF_400X150" localSheetId="30">#REF!</definedName>
    <definedName name="DDF_400X150" localSheetId="25">#REF!</definedName>
    <definedName name="DDF_400X150" localSheetId="28">#REF!</definedName>
    <definedName name="DDF_400X150" localSheetId="29">#REF!</definedName>
    <definedName name="DDF_400X150" localSheetId="12">#REF!</definedName>
    <definedName name="DDF_400X150" localSheetId="43">#REF!</definedName>
    <definedName name="DDF_400X150" localSheetId="42">#REF!</definedName>
    <definedName name="DDF_400X150" localSheetId="27">#REF!</definedName>
    <definedName name="DDF_400X150" localSheetId="45">#REF!</definedName>
    <definedName name="DDF_400X150">#REF!</definedName>
    <definedName name="DDF_400X200" localSheetId="30">#REF!</definedName>
    <definedName name="DDF_400X200" localSheetId="25">#REF!</definedName>
    <definedName name="DDF_400X200" localSheetId="28">#REF!</definedName>
    <definedName name="DDF_400X200" localSheetId="29">#REF!</definedName>
    <definedName name="DDF_400X200" localSheetId="12">#REF!</definedName>
    <definedName name="DDF_400X200" localSheetId="43">#REF!</definedName>
    <definedName name="DDF_400X200" localSheetId="42">#REF!</definedName>
    <definedName name="DDF_400X200" localSheetId="27">#REF!</definedName>
    <definedName name="DDF_400X200" localSheetId="45">#REF!</definedName>
    <definedName name="DDF_400X200">#REF!</definedName>
    <definedName name="DDF_400X250" localSheetId="30">#REF!</definedName>
    <definedName name="DDF_400X250" localSheetId="25">#REF!</definedName>
    <definedName name="DDF_400X250" localSheetId="28">#REF!</definedName>
    <definedName name="DDF_400X250" localSheetId="29">#REF!</definedName>
    <definedName name="DDF_400X250" localSheetId="12">#REF!</definedName>
    <definedName name="DDF_400X250" localSheetId="43">#REF!</definedName>
    <definedName name="DDF_400X250" localSheetId="42">#REF!</definedName>
    <definedName name="DDF_400X250" localSheetId="27">#REF!</definedName>
    <definedName name="DDF_400X250" localSheetId="45">#REF!</definedName>
    <definedName name="DDF_400X250">#REF!</definedName>
    <definedName name="DDF_400X300" localSheetId="30">#REF!</definedName>
    <definedName name="DDF_400X300" localSheetId="25">#REF!</definedName>
    <definedName name="DDF_400X300" localSheetId="28">#REF!</definedName>
    <definedName name="DDF_400X300" localSheetId="29">#REF!</definedName>
    <definedName name="DDF_400X300" localSheetId="12">#REF!</definedName>
    <definedName name="DDF_400X300" localSheetId="43">#REF!</definedName>
    <definedName name="DDF_400X300" localSheetId="42">#REF!</definedName>
    <definedName name="DDF_400X300" localSheetId="27">#REF!</definedName>
    <definedName name="DDF_400X300" localSheetId="45">#REF!</definedName>
    <definedName name="DDF_400X300">#REF!</definedName>
    <definedName name="DDF_400X350" localSheetId="30">#REF!</definedName>
    <definedName name="DDF_400X350" localSheetId="25">#REF!</definedName>
    <definedName name="DDF_400X350" localSheetId="28">#REF!</definedName>
    <definedName name="DDF_400X350" localSheetId="29">#REF!</definedName>
    <definedName name="DDF_400X350" localSheetId="12">#REF!</definedName>
    <definedName name="DDF_400X350" localSheetId="43">#REF!</definedName>
    <definedName name="DDF_400X350" localSheetId="42">#REF!</definedName>
    <definedName name="DDF_400X350" localSheetId="27">#REF!</definedName>
    <definedName name="DDF_400X350" localSheetId="45">#REF!</definedName>
    <definedName name="DDF_400X350">#REF!</definedName>
    <definedName name="DDF_80X50" localSheetId="30">#REF!</definedName>
    <definedName name="DDF_80X50" localSheetId="25">#REF!</definedName>
    <definedName name="DDF_80X50" localSheetId="28">#REF!</definedName>
    <definedName name="DDF_80X50" localSheetId="29">#REF!</definedName>
    <definedName name="DDF_80X50" localSheetId="12">#REF!</definedName>
    <definedName name="DDF_80X50" localSheetId="43">#REF!</definedName>
    <definedName name="DDF_80X50" localSheetId="42">#REF!</definedName>
    <definedName name="DDF_80X50" localSheetId="27">#REF!</definedName>
    <definedName name="DDF_80X50" localSheetId="45">#REF!</definedName>
    <definedName name="DDF_80X50">#REF!</definedName>
    <definedName name="DDF1_100" localSheetId="30">#REF!</definedName>
    <definedName name="DDF1_100" localSheetId="25">#REF!</definedName>
    <definedName name="DDF1_100" localSheetId="28">#REF!</definedName>
    <definedName name="DDF1_100" localSheetId="29">#REF!</definedName>
    <definedName name="DDF1_100" localSheetId="12">#REF!</definedName>
    <definedName name="DDF1_100" localSheetId="43">#REF!</definedName>
    <definedName name="DDF1_100" localSheetId="42">#REF!</definedName>
    <definedName name="DDF1_100" localSheetId="27">#REF!</definedName>
    <definedName name="DDF1_100" localSheetId="45">#REF!</definedName>
    <definedName name="DDF1_100">#REF!</definedName>
    <definedName name="DDF1_125" localSheetId="30">#REF!</definedName>
    <definedName name="DDF1_125" localSheetId="25">#REF!</definedName>
    <definedName name="DDF1_125" localSheetId="28">#REF!</definedName>
    <definedName name="DDF1_125" localSheetId="29">#REF!</definedName>
    <definedName name="DDF1_125" localSheetId="12">#REF!</definedName>
    <definedName name="DDF1_125" localSheetId="43">#REF!</definedName>
    <definedName name="DDF1_125" localSheetId="42">#REF!</definedName>
    <definedName name="DDF1_125" localSheetId="27">#REF!</definedName>
    <definedName name="DDF1_125" localSheetId="45">#REF!</definedName>
    <definedName name="DDF1_125">#REF!</definedName>
    <definedName name="DDF1_150" localSheetId="30">#REF!</definedName>
    <definedName name="DDF1_150" localSheetId="25">#REF!</definedName>
    <definedName name="DDF1_150" localSheetId="28">#REF!</definedName>
    <definedName name="DDF1_150" localSheetId="29">#REF!</definedName>
    <definedName name="DDF1_150" localSheetId="12">#REF!</definedName>
    <definedName name="DDF1_150" localSheetId="43">#REF!</definedName>
    <definedName name="DDF1_150" localSheetId="42">#REF!</definedName>
    <definedName name="DDF1_150" localSheetId="27">#REF!</definedName>
    <definedName name="DDF1_150" localSheetId="45">#REF!</definedName>
    <definedName name="DDF1_150">#REF!</definedName>
    <definedName name="DDF1_200" localSheetId="30">#REF!</definedName>
    <definedName name="DDF1_200" localSheetId="25">#REF!</definedName>
    <definedName name="DDF1_200" localSheetId="28">#REF!</definedName>
    <definedName name="DDF1_200" localSheetId="29">#REF!</definedName>
    <definedName name="DDF1_200" localSheetId="12">#REF!</definedName>
    <definedName name="DDF1_200" localSheetId="43">#REF!</definedName>
    <definedName name="DDF1_200" localSheetId="42">#REF!</definedName>
    <definedName name="DDF1_200" localSheetId="27">#REF!</definedName>
    <definedName name="DDF1_200" localSheetId="45">#REF!</definedName>
    <definedName name="DDF1_200">#REF!</definedName>
    <definedName name="DDF1_250" localSheetId="30">#REF!</definedName>
    <definedName name="DDF1_250" localSheetId="25">#REF!</definedName>
    <definedName name="DDF1_250" localSheetId="28">#REF!</definedName>
    <definedName name="DDF1_250" localSheetId="29">#REF!</definedName>
    <definedName name="DDF1_250" localSheetId="12">#REF!</definedName>
    <definedName name="DDF1_250" localSheetId="43">#REF!</definedName>
    <definedName name="DDF1_250" localSheetId="42">#REF!</definedName>
    <definedName name="DDF1_250" localSheetId="27">#REF!</definedName>
    <definedName name="DDF1_250" localSheetId="45">#REF!</definedName>
    <definedName name="DDF1_250">#REF!</definedName>
    <definedName name="DDF1_300" localSheetId="30">#REF!</definedName>
    <definedName name="DDF1_300" localSheetId="25">#REF!</definedName>
    <definedName name="DDF1_300" localSheetId="28">#REF!</definedName>
    <definedName name="DDF1_300" localSheetId="29">#REF!</definedName>
    <definedName name="DDF1_300" localSheetId="12">#REF!</definedName>
    <definedName name="DDF1_300" localSheetId="43">#REF!</definedName>
    <definedName name="DDF1_300" localSheetId="42">#REF!</definedName>
    <definedName name="DDF1_300" localSheetId="27">#REF!</definedName>
    <definedName name="DDF1_300" localSheetId="45">#REF!</definedName>
    <definedName name="DDF1_300">#REF!</definedName>
    <definedName name="DDF1_350" localSheetId="30">#REF!</definedName>
    <definedName name="DDF1_350" localSheetId="25">#REF!</definedName>
    <definedName name="DDF1_350" localSheetId="28">#REF!</definedName>
    <definedName name="DDF1_350" localSheetId="29">#REF!</definedName>
    <definedName name="DDF1_350" localSheetId="12">#REF!</definedName>
    <definedName name="DDF1_350" localSheetId="43">#REF!</definedName>
    <definedName name="DDF1_350" localSheetId="42">#REF!</definedName>
    <definedName name="DDF1_350" localSheetId="27">#REF!</definedName>
    <definedName name="DDF1_350" localSheetId="45">#REF!</definedName>
    <definedName name="DDF1_350">#REF!</definedName>
    <definedName name="DDF1_400" localSheetId="30">#REF!</definedName>
    <definedName name="DDF1_400" localSheetId="25">#REF!</definedName>
    <definedName name="DDF1_400" localSheetId="28">#REF!</definedName>
    <definedName name="DDF1_400" localSheetId="29">#REF!</definedName>
    <definedName name="DDF1_400" localSheetId="12">#REF!</definedName>
    <definedName name="DDF1_400" localSheetId="43">#REF!</definedName>
    <definedName name="DDF1_400" localSheetId="42">#REF!</definedName>
    <definedName name="DDF1_400" localSheetId="27">#REF!</definedName>
    <definedName name="DDF1_400" localSheetId="45">#REF!</definedName>
    <definedName name="DDF1_400">#REF!</definedName>
    <definedName name="DDF1_80" localSheetId="30">#REF!</definedName>
    <definedName name="DDF1_80" localSheetId="25">#REF!</definedName>
    <definedName name="DDF1_80" localSheetId="28">#REF!</definedName>
    <definedName name="DDF1_80" localSheetId="29">#REF!</definedName>
    <definedName name="DDF1_80" localSheetId="12">#REF!</definedName>
    <definedName name="DDF1_80" localSheetId="43">#REF!</definedName>
    <definedName name="DDF1_80" localSheetId="42">#REF!</definedName>
    <definedName name="DDF1_80" localSheetId="27">#REF!</definedName>
    <definedName name="DDF1_80" localSheetId="45">#REF!</definedName>
    <definedName name="DDF1_80">#REF!</definedName>
    <definedName name="DDF2_100" localSheetId="30">#REF!</definedName>
    <definedName name="DDF2_100" localSheetId="25">#REF!</definedName>
    <definedName name="DDF2_100" localSheetId="28">#REF!</definedName>
    <definedName name="DDF2_100" localSheetId="29">#REF!</definedName>
    <definedName name="DDF2_100" localSheetId="12">#REF!</definedName>
    <definedName name="DDF2_100" localSheetId="43">#REF!</definedName>
    <definedName name="DDF2_100" localSheetId="42">#REF!</definedName>
    <definedName name="DDF2_100" localSheetId="27">#REF!</definedName>
    <definedName name="DDF2_100" localSheetId="45">#REF!</definedName>
    <definedName name="DDF2_100">#REF!</definedName>
    <definedName name="DDF2_125" localSheetId="30">#REF!</definedName>
    <definedName name="DDF2_125" localSheetId="25">#REF!</definedName>
    <definedName name="DDF2_125" localSheetId="28">#REF!</definedName>
    <definedName name="DDF2_125" localSheetId="29">#REF!</definedName>
    <definedName name="DDF2_125" localSheetId="12">#REF!</definedName>
    <definedName name="DDF2_125" localSheetId="43">#REF!</definedName>
    <definedName name="DDF2_125" localSheetId="42">#REF!</definedName>
    <definedName name="DDF2_125" localSheetId="27">#REF!</definedName>
    <definedName name="DDF2_125" localSheetId="45">#REF!</definedName>
    <definedName name="DDF2_125">#REF!</definedName>
    <definedName name="DDF2_150" localSheetId="30">#REF!</definedName>
    <definedName name="DDF2_150" localSheetId="25">#REF!</definedName>
    <definedName name="DDF2_150" localSheetId="28">#REF!</definedName>
    <definedName name="DDF2_150" localSheetId="29">#REF!</definedName>
    <definedName name="DDF2_150" localSheetId="12">#REF!</definedName>
    <definedName name="DDF2_150" localSheetId="43">#REF!</definedName>
    <definedName name="DDF2_150" localSheetId="42">#REF!</definedName>
    <definedName name="DDF2_150" localSheetId="27">#REF!</definedName>
    <definedName name="DDF2_150" localSheetId="45">#REF!</definedName>
    <definedName name="DDF2_150">#REF!</definedName>
    <definedName name="DDF2_200" localSheetId="30">#REF!</definedName>
    <definedName name="DDF2_200" localSheetId="25">#REF!</definedName>
    <definedName name="DDF2_200" localSheetId="28">#REF!</definedName>
    <definedName name="DDF2_200" localSheetId="29">#REF!</definedName>
    <definedName name="DDF2_200" localSheetId="12">#REF!</definedName>
    <definedName name="DDF2_200" localSheetId="43">#REF!</definedName>
    <definedName name="DDF2_200" localSheetId="42">#REF!</definedName>
    <definedName name="DDF2_200" localSheetId="27">#REF!</definedName>
    <definedName name="DDF2_200" localSheetId="45">#REF!</definedName>
    <definedName name="DDF2_200">#REF!</definedName>
    <definedName name="DDF2_250" localSheetId="30">#REF!</definedName>
    <definedName name="DDF2_250" localSheetId="25">#REF!</definedName>
    <definedName name="DDF2_250" localSheetId="28">#REF!</definedName>
    <definedName name="DDF2_250" localSheetId="29">#REF!</definedName>
    <definedName name="DDF2_250" localSheetId="12">#REF!</definedName>
    <definedName name="DDF2_250" localSheetId="43">#REF!</definedName>
    <definedName name="DDF2_250" localSheetId="42">#REF!</definedName>
    <definedName name="DDF2_250" localSheetId="27">#REF!</definedName>
    <definedName name="DDF2_250" localSheetId="45">#REF!</definedName>
    <definedName name="DDF2_250">#REF!</definedName>
    <definedName name="DDF2_300" localSheetId="30">#REF!</definedName>
    <definedName name="DDF2_300" localSheetId="25">#REF!</definedName>
    <definedName name="DDF2_300" localSheetId="28">#REF!</definedName>
    <definedName name="DDF2_300" localSheetId="29">#REF!</definedName>
    <definedName name="DDF2_300" localSheetId="12">#REF!</definedName>
    <definedName name="DDF2_300" localSheetId="43">#REF!</definedName>
    <definedName name="DDF2_300" localSheetId="42">#REF!</definedName>
    <definedName name="DDF2_300" localSheetId="27">#REF!</definedName>
    <definedName name="DDF2_300" localSheetId="45">#REF!</definedName>
    <definedName name="DDF2_300">#REF!</definedName>
    <definedName name="DDF2_350" localSheetId="30">#REF!</definedName>
    <definedName name="DDF2_350" localSheetId="25">#REF!</definedName>
    <definedName name="DDF2_350" localSheetId="28">#REF!</definedName>
    <definedName name="DDF2_350" localSheetId="29">#REF!</definedName>
    <definedName name="DDF2_350" localSheetId="12">#REF!</definedName>
    <definedName name="DDF2_350" localSheetId="43">#REF!</definedName>
    <definedName name="DDF2_350" localSheetId="42">#REF!</definedName>
    <definedName name="DDF2_350" localSheetId="27">#REF!</definedName>
    <definedName name="DDF2_350" localSheetId="45">#REF!</definedName>
    <definedName name="DDF2_350">#REF!</definedName>
    <definedName name="DDF2_400" localSheetId="30">#REF!</definedName>
    <definedName name="DDF2_400" localSheetId="25">#REF!</definedName>
    <definedName name="DDF2_400" localSheetId="28">#REF!</definedName>
    <definedName name="DDF2_400" localSheetId="29">#REF!</definedName>
    <definedName name="DDF2_400" localSheetId="12">#REF!</definedName>
    <definedName name="DDF2_400" localSheetId="43">#REF!</definedName>
    <definedName name="DDF2_400" localSheetId="42">#REF!</definedName>
    <definedName name="DDF2_400" localSheetId="27">#REF!</definedName>
    <definedName name="DDF2_400" localSheetId="45">#REF!</definedName>
    <definedName name="DDF2_400">#REF!</definedName>
    <definedName name="DDF2_80" localSheetId="30">#REF!</definedName>
    <definedName name="DDF2_80" localSheetId="25">#REF!</definedName>
    <definedName name="DDF2_80" localSheetId="28">#REF!</definedName>
    <definedName name="DDF2_80" localSheetId="29">#REF!</definedName>
    <definedName name="DDF2_80" localSheetId="12">#REF!</definedName>
    <definedName name="DDF2_80" localSheetId="43">#REF!</definedName>
    <definedName name="DDF2_80" localSheetId="42">#REF!</definedName>
    <definedName name="DDF2_80" localSheetId="27">#REF!</definedName>
    <definedName name="DDF2_80" localSheetId="45">#REF!</definedName>
    <definedName name="DDF2_80">#REF!</definedName>
    <definedName name="DDF3_100" localSheetId="30">#REF!</definedName>
    <definedName name="DDF3_100" localSheetId="25">#REF!</definedName>
    <definedName name="DDF3_100" localSheetId="28">#REF!</definedName>
    <definedName name="DDF3_100" localSheetId="29">#REF!</definedName>
    <definedName name="DDF3_100" localSheetId="12">#REF!</definedName>
    <definedName name="DDF3_100" localSheetId="43">#REF!</definedName>
    <definedName name="DDF3_100" localSheetId="42">#REF!</definedName>
    <definedName name="DDF3_100" localSheetId="27">#REF!</definedName>
    <definedName name="DDF3_100" localSheetId="45">#REF!</definedName>
    <definedName name="DDF3_100">#REF!</definedName>
    <definedName name="DDF3_125" localSheetId="30">#REF!</definedName>
    <definedName name="DDF3_125" localSheetId="25">#REF!</definedName>
    <definedName name="DDF3_125" localSheetId="28">#REF!</definedName>
    <definedName name="DDF3_125" localSheetId="29">#REF!</definedName>
    <definedName name="DDF3_125" localSheetId="12">#REF!</definedName>
    <definedName name="DDF3_125" localSheetId="43">#REF!</definedName>
    <definedName name="DDF3_125" localSheetId="42">#REF!</definedName>
    <definedName name="DDF3_125" localSheetId="27">#REF!</definedName>
    <definedName name="DDF3_125" localSheetId="45">#REF!</definedName>
    <definedName name="DDF3_125">#REF!</definedName>
    <definedName name="DDF3_150" localSheetId="30">#REF!</definedName>
    <definedName name="DDF3_150" localSheetId="25">#REF!</definedName>
    <definedName name="DDF3_150" localSheetId="28">#REF!</definedName>
    <definedName name="DDF3_150" localSheetId="29">#REF!</definedName>
    <definedName name="DDF3_150" localSheetId="12">#REF!</definedName>
    <definedName name="DDF3_150" localSheetId="43">#REF!</definedName>
    <definedName name="DDF3_150" localSheetId="42">#REF!</definedName>
    <definedName name="DDF3_150" localSheetId="27">#REF!</definedName>
    <definedName name="DDF3_150" localSheetId="45">#REF!</definedName>
    <definedName name="DDF3_150">#REF!</definedName>
    <definedName name="DDF3_200" localSheetId="30">#REF!</definedName>
    <definedName name="DDF3_200" localSheetId="25">#REF!</definedName>
    <definedName name="DDF3_200" localSheetId="28">#REF!</definedName>
    <definedName name="DDF3_200" localSheetId="29">#REF!</definedName>
    <definedName name="DDF3_200" localSheetId="12">#REF!</definedName>
    <definedName name="DDF3_200" localSheetId="43">#REF!</definedName>
    <definedName name="DDF3_200" localSheetId="42">#REF!</definedName>
    <definedName name="DDF3_200" localSheetId="27">#REF!</definedName>
    <definedName name="DDF3_200" localSheetId="45">#REF!</definedName>
    <definedName name="DDF3_200">#REF!</definedName>
    <definedName name="DDF3_250" localSheetId="30">#REF!</definedName>
    <definedName name="DDF3_250" localSheetId="25">#REF!</definedName>
    <definedName name="DDF3_250" localSheetId="28">#REF!</definedName>
    <definedName name="DDF3_250" localSheetId="29">#REF!</definedName>
    <definedName name="DDF3_250" localSheetId="12">#REF!</definedName>
    <definedName name="DDF3_250" localSheetId="43">#REF!</definedName>
    <definedName name="DDF3_250" localSheetId="42">#REF!</definedName>
    <definedName name="DDF3_250" localSheetId="27">#REF!</definedName>
    <definedName name="DDF3_250" localSheetId="45">#REF!</definedName>
    <definedName name="DDF3_250">#REF!</definedName>
    <definedName name="DDF3_300" localSheetId="30">#REF!</definedName>
    <definedName name="DDF3_300" localSheetId="25">#REF!</definedName>
    <definedName name="DDF3_300" localSheetId="28">#REF!</definedName>
    <definedName name="DDF3_300" localSheetId="29">#REF!</definedName>
    <definedName name="DDF3_300" localSheetId="12">#REF!</definedName>
    <definedName name="DDF3_300" localSheetId="43">#REF!</definedName>
    <definedName name="DDF3_300" localSheetId="42">#REF!</definedName>
    <definedName name="DDF3_300" localSheetId="27">#REF!</definedName>
    <definedName name="DDF3_300" localSheetId="45">#REF!</definedName>
    <definedName name="DDF3_300">#REF!</definedName>
    <definedName name="DDF3_350" localSheetId="30">#REF!</definedName>
    <definedName name="DDF3_350" localSheetId="25">#REF!</definedName>
    <definedName name="DDF3_350" localSheetId="28">#REF!</definedName>
    <definedName name="DDF3_350" localSheetId="29">#REF!</definedName>
    <definedName name="DDF3_350" localSheetId="12">#REF!</definedName>
    <definedName name="DDF3_350" localSheetId="43">#REF!</definedName>
    <definedName name="DDF3_350" localSheetId="42">#REF!</definedName>
    <definedName name="DDF3_350" localSheetId="27">#REF!</definedName>
    <definedName name="DDF3_350" localSheetId="45">#REF!</definedName>
    <definedName name="DDF3_350">#REF!</definedName>
    <definedName name="DDF3_400" localSheetId="30">#REF!</definedName>
    <definedName name="DDF3_400" localSheetId="25">#REF!</definedName>
    <definedName name="DDF3_400" localSheetId="28">#REF!</definedName>
    <definedName name="DDF3_400" localSheetId="29">#REF!</definedName>
    <definedName name="DDF3_400" localSheetId="12">#REF!</definedName>
    <definedName name="DDF3_400" localSheetId="43">#REF!</definedName>
    <definedName name="DDF3_400" localSheetId="42">#REF!</definedName>
    <definedName name="DDF3_400" localSheetId="27">#REF!</definedName>
    <definedName name="DDF3_400" localSheetId="45">#REF!</definedName>
    <definedName name="DDF3_400">#REF!</definedName>
    <definedName name="DDF3_80" localSheetId="30">#REF!</definedName>
    <definedName name="DDF3_80" localSheetId="25">#REF!</definedName>
    <definedName name="DDF3_80" localSheetId="28">#REF!</definedName>
    <definedName name="DDF3_80" localSheetId="29">#REF!</definedName>
    <definedName name="DDF3_80" localSheetId="12">#REF!</definedName>
    <definedName name="DDF3_80" localSheetId="43">#REF!</definedName>
    <definedName name="DDF3_80" localSheetId="42">#REF!</definedName>
    <definedName name="DDF3_80" localSheetId="27">#REF!</definedName>
    <definedName name="DDF3_80" localSheetId="45">#REF!</definedName>
    <definedName name="DDF3_80">#REF!</definedName>
    <definedName name="DDT_100X80" localSheetId="30">#REF!</definedName>
    <definedName name="DDT_100X80" localSheetId="25">#REF!</definedName>
    <definedName name="DDT_100X80" localSheetId="28">#REF!</definedName>
    <definedName name="DDT_100X80" localSheetId="29">#REF!</definedName>
    <definedName name="DDT_100X80" localSheetId="12">#REF!</definedName>
    <definedName name="DDT_100X80" localSheetId="43">#REF!</definedName>
    <definedName name="DDT_100X80" localSheetId="42">#REF!</definedName>
    <definedName name="DDT_100X80" localSheetId="27">#REF!</definedName>
    <definedName name="DDT_100X80" localSheetId="45">#REF!</definedName>
    <definedName name="DDT_100X80">#REF!</definedName>
    <definedName name="DDT_125X100" localSheetId="30">#REF!</definedName>
    <definedName name="DDT_125X100" localSheetId="25">#REF!</definedName>
    <definedName name="DDT_125X100" localSheetId="28">#REF!</definedName>
    <definedName name="DDT_125X100" localSheetId="29">#REF!</definedName>
    <definedName name="DDT_125X100" localSheetId="12">#REF!</definedName>
    <definedName name="DDT_125X100" localSheetId="43">#REF!</definedName>
    <definedName name="DDT_125X100" localSheetId="42">#REF!</definedName>
    <definedName name="DDT_125X100" localSheetId="27">#REF!</definedName>
    <definedName name="DDT_125X100" localSheetId="45">#REF!</definedName>
    <definedName name="DDT_125X100">#REF!</definedName>
    <definedName name="DDT_125X80" localSheetId="30">#REF!</definedName>
    <definedName name="DDT_125X80" localSheetId="25">#REF!</definedName>
    <definedName name="DDT_125X80" localSheetId="28">#REF!</definedName>
    <definedName name="DDT_125X80" localSheetId="29">#REF!</definedName>
    <definedName name="DDT_125X80" localSheetId="12">#REF!</definedName>
    <definedName name="DDT_125X80" localSheetId="43">#REF!</definedName>
    <definedName name="DDT_125X80" localSheetId="42">#REF!</definedName>
    <definedName name="DDT_125X80" localSheetId="27">#REF!</definedName>
    <definedName name="DDT_125X80" localSheetId="45">#REF!</definedName>
    <definedName name="DDT_125X80">#REF!</definedName>
    <definedName name="DDT_150X100" localSheetId="30">#REF!</definedName>
    <definedName name="DDT_150X100" localSheetId="25">#REF!</definedName>
    <definedName name="DDT_150X100" localSheetId="28">#REF!</definedName>
    <definedName name="DDT_150X100" localSheetId="29">#REF!</definedName>
    <definedName name="DDT_150X100" localSheetId="12">#REF!</definedName>
    <definedName name="DDT_150X100" localSheetId="43">#REF!</definedName>
    <definedName name="DDT_150X100" localSheetId="42">#REF!</definedName>
    <definedName name="DDT_150X100" localSheetId="27">#REF!</definedName>
    <definedName name="DDT_150X100" localSheetId="45">#REF!</definedName>
    <definedName name="DDT_150X100">#REF!</definedName>
    <definedName name="DDT_150X80" localSheetId="30">#REF!</definedName>
    <definedName name="DDT_150X80" localSheetId="25">#REF!</definedName>
    <definedName name="DDT_150X80" localSheetId="28">#REF!</definedName>
    <definedName name="DDT_150X80" localSheetId="29">#REF!</definedName>
    <definedName name="DDT_150X80" localSheetId="12">#REF!</definedName>
    <definedName name="DDT_150X80" localSheetId="43">#REF!</definedName>
    <definedName name="DDT_150X80" localSheetId="42">#REF!</definedName>
    <definedName name="DDT_150X80" localSheetId="27">#REF!</definedName>
    <definedName name="DDT_150X80" localSheetId="45">#REF!</definedName>
    <definedName name="DDT_150X80">#REF!</definedName>
    <definedName name="DDT_200X100" localSheetId="30">#REF!</definedName>
    <definedName name="DDT_200X100" localSheetId="25">#REF!</definedName>
    <definedName name="DDT_200X100" localSheetId="28">#REF!</definedName>
    <definedName name="DDT_200X100" localSheetId="29">#REF!</definedName>
    <definedName name="DDT_200X100" localSheetId="12">#REF!</definedName>
    <definedName name="DDT_200X100" localSheetId="43">#REF!</definedName>
    <definedName name="DDT_200X100" localSheetId="42">#REF!</definedName>
    <definedName name="DDT_200X100" localSheetId="27">#REF!</definedName>
    <definedName name="DDT_200X100" localSheetId="45">#REF!</definedName>
    <definedName name="DDT_200X100">#REF!</definedName>
    <definedName name="DDT_200X150" localSheetId="30">#REF!</definedName>
    <definedName name="DDT_200X150" localSheetId="25">#REF!</definedName>
    <definedName name="DDT_200X150" localSheetId="28">#REF!</definedName>
    <definedName name="DDT_200X150" localSheetId="29">#REF!</definedName>
    <definedName name="DDT_200X150" localSheetId="12">#REF!</definedName>
    <definedName name="DDT_200X150" localSheetId="43">#REF!</definedName>
    <definedName name="DDT_200X150" localSheetId="42">#REF!</definedName>
    <definedName name="DDT_200X150" localSheetId="27">#REF!</definedName>
    <definedName name="DDT_200X150" localSheetId="45">#REF!</definedName>
    <definedName name="DDT_200X150">#REF!</definedName>
    <definedName name="DDT_250X100" localSheetId="30">#REF!</definedName>
    <definedName name="DDT_250X100" localSheetId="25">#REF!</definedName>
    <definedName name="DDT_250X100" localSheetId="28">#REF!</definedName>
    <definedName name="DDT_250X100" localSheetId="29">#REF!</definedName>
    <definedName name="DDT_250X100" localSheetId="12">#REF!</definedName>
    <definedName name="DDT_250X100" localSheetId="43">#REF!</definedName>
    <definedName name="DDT_250X100" localSheetId="42">#REF!</definedName>
    <definedName name="DDT_250X100" localSheetId="27">#REF!</definedName>
    <definedName name="DDT_250X100" localSheetId="45">#REF!</definedName>
    <definedName name="DDT_250X100">#REF!</definedName>
    <definedName name="DDT_250X150" localSheetId="30">#REF!</definedName>
    <definedName name="DDT_250X150" localSheetId="25">#REF!</definedName>
    <definedName name="DDT_250X150" localSheetId="28">#REF!</definedName>
    <definedName name="DDT_250X150" localSheetId="29">#REF!</definedName>
    <definedName name="DDT_250X150" localSheetId="12">#REF!</definedName>
    <definedName name="DDT_250X150" localSheetId="43">#REF!</definedName>
    <definedName name="DDT_250X150" localSheetId="42">#REF!</definedName>
    <definedName name="DDT_250X150" localSheetId="27">#REF!</definedName>
    <definedName name="DDT_250X150" localSheetId="45">#REF!</definedName>
    <definedName name="DDT_250X150">#REF!</definedName>
    <definedName name="DDT_250X200" localSheetId="30">#REF!</definedName>
    <definedName name="DDT_250X200" localSheetId="25">#REF!</definedName>
    <definedName name="DDT_250X200" localSheetId="28">#REF!</definedName>
    <definedName name="DDT_250X200" localSheetId="29">#REF!</definedName>
    <definedName name="DDT_250X200" localSheetId="12">#REF!</definedName>
    <definedName name="DDT_250X200" localSheetId="43">#REF!</definedName>
    <definedName name="DDT_250X200" localSheetId="42">#REF!</definedName>
    <definedName name="DDT_250X200" localSheetId="27">#REF!</definedName>
    <definedName name="DDT_250X200" localSheetId="45">#REF!</definedName>
    <definedName name="DDT_250X200">#REF!</definedName>
    <definedName name="DDT_300" localSheetId="30">#REF!</definedName>
    <definedName name="DDT_300" localSheetId="25">#REF!</definedName>
    <definedName name="DDT_300" localSheetId="28">#REF!</definedName>
    <definedName name="DDT_300" localSheetId="29">#REF!</definedName>
    <definedName name="DDT_300" localSheetId="12">#REF!</definedName>
    <definedName name="DDT_300" localSheetId="43">#REF!</definedName>
    <definedName name="DDT_300" localSheetId="42">#REF!</definedName>
    <definedName name="DDT_300" localSheetId="27">#REF!</definedName>
    <definedName name="DDT_300" localSheetId="45">#REF!</definedName>
    <definedName name="DDT_300">#REF!</definedName>
    <definedName name="DDT_300X150" localSheetId="30">#REF!</definedName>
    <definedName name="DDT_300X150" localSheetId="25">#REF!</definedName>
    <definedName name="DDT_300X150" localSheetId="28">#REF!</definedName>
    <definedName name="DDT_300X150" localSheetId="29">#REF!</definedName>
    <definedName name="DDT_300X150" localSheetId="12">#REF!</definedName>
    <definedName name="DDT_300X150" localSheetId="43">#REF!</definedName>
    <definedName name="DDT_300X150" localSheetId="42">#REF!</definedName>
    <definedName name="DDT_300X150" localSheetId="27">#REF!</definedName>
    <definedName name="DDT_300X150" localSheetId="45">#REF!</definedName>
    <definedName name="DDT_300X150">#REF!</definedName>
    <definedName name="DDT_300X200" localSheetId="30">#REF!</definedName>
    <definedName name="DDT_300X200" localSheetId="25">#REF!</definedName>
    <definedName name="DDT_300X200" localSheetId="28">#REF!</definedName>
    <definedName name="DDT_300X200" localSheetId="29">#REF!</definedName>
    <definedName name="DDT_300X200" localSheetId="12">#REF!</definedName>
    <definedName name="DDT_300X200" localSheetId="43">#REF!</definedName>
    <definedName name="DDT_300X200" localSheetId="42">#REF!</definedName>
    <definedName name="DDT_300X200" localSheetId="27">#REF!</definedName>
    <definedName name="DDT_300X200" localSheetId="45">#REF!</definedName>
    <definedName name="DDT_300X200">#REF!</definedName>
    <definedName name="DDT_300X250" localSheetId="30">#REF!</definedName>
    <definedName name="DDT_300X250" localSheetId="25">#REF!</definedName>
    <definedName name="DDT_300X250" localSheetId="28">#REF!</definedName>
    <definedName name="DDT_300X250" localSheetId="29">#REF!</definedName>
    <definedName name="DDT_300X250" localSheetId="12">#REF!</definedName>
    <definedName name="DDT_300X250" localSheetId="43">#REF!</definedName>
    <definedName name="DDT_300X250" localSheetId="42">#REF!</definedName>
    <definedName name="DDT_300X250" localSheetId="27">#REF!</definedName>
    <definedName name="DDT_300X250" localSheetId="45">#REF!</definedName>
    <definedName name="DDT_300X250">#REF!</definedName>
    <definedName name="DDT_350" localSheetId="30">#REF!</definedName>
    <definedName name="DDT_350" localSheetId="25">#REF!</definedName>
    <definedName name="DDT_350" localSheetId="28">#REF!</definedName>
    <definedName name="DDT_350" localSheetId="29">#REF!</definedName>
    <definedName name="DDT_350" localSheetId="12">#REF!</definedName>
    <definedName name="DDT_350" localSheetId="43">#REF!</definedName>
    <definedName name="DDT_350" localSheetId="42">#REF!</definedName>
    <definedName name="DDT_350" localSheetId="27">#REF!</definedName>
    <definedName name="DDT_350" localSheetId="45">#REF!</definedName>
    <definedName name="DDT_350">#REF!</definedName>
    <definedName name="DDT_350X200" localSheetId="30">#REF!</definedName>
    <definedName name="DDT_350X200" localSheetId="25">#REF!</definedName>
    <definedName name="DDT_350X200" localSheetId="28">#REF!</definedName>
    <definedName name="DDT_350X200" localSheetId="29">#REF!</definedName>
    <definedName name="DDT_350X200" localSheetId="12">#REF!</definedName>
    <definedName name="DDT_350X200" localSheetId="43">#REF!</definedName>
    <definedName name="DDT_350X200" localSheetId="42">#REF!</definedName>
    <definedName name="DDT_350X200" localSheetId="27">#REF!</definedName>
    <definedName name="DDT_350X200" localSheetId="45">#REF!</definedName>
    <definedName name="DDT_350X200">#REF!</definedName>
    <definedName name="DDT_350X250" localSheetId="30">#REF!</definedName>
    <definedName name="DDT_350X250" localSheetId="25">#REF!</definedName>
    <definedName name="DDT_350X250" localSheetId="28">#REF!</definedName>
    <definedName name="DDT_350X250" localSheetId="29">#REF!</definedName>
    <definedName name="DDT_350X250" localSheetId="12">#REF!</definedName>
    <definedName name="DDT_350X250" localSheetId="43">#REF!</definedName>
    <definedName name="DDT_350X250" localSheetId="42">#REF!</definedName>
    <definedName name="DDT_350X250" localSheetId="27">#REF!</definedName>
    <definedName name="DDT_350X250" localSheetId="45">#REF!</definedName>
    <definedName name="DDT_350X250">#REF!</definedName>
    <definedName name="DDT_350X300" localSheetId="30">#REF!</definedName>
    <definedName name="DDT_350X300" localSheetId="25">#REF!</definedName>
    <definedName name="DDT_350X300" localSheetId="28">#REF!</definedName>
    <definedName name="DDT_350X300" localSheetId="29">#REF!</definedName>
    <definedName name="DDT_350X300" localSheetId="12">#REF!</definedName>
    <definedName name="DDT_350X300" localSheetId="43">#REF!</definedName>
    <definedName name="DDT_350X300" localSheetId="42">#REF!</definedName>
    <definedName name="DDT_350X300" localSheetId="27">#REF!</definedName>
    <definedName name="DDT_350X300" localSheetId="45">#REF!</definedName>
    <definedName name="DDT_350X300">#REF!</definedName>
    <definedName name="DDT_400" localSheetId="30">#REF!</definedName>
    <definedName name="DDT_400" localSheetId="25">#REF!</definedName>
    <definedName name="DDT_400" localSheetId="28">#REF!</definedName>
    <definedName name="DDT_400" localSheetId="29">#REF!</definedName>
    <definedName name="DDT_400" localSheetId="12">#REF!</definedName>
    <definedName name="DDT_400" localSheetId="43">#REF!</definedName>
    <definedName name="DDT_400" localSheetId="42">#REF!</definedName>
    <definedName name="DDT_400" localSheetId="27">#REF!</definedName>
    <definedName name="DDT_400" localSheetId="45">#REF!</definedName>
    <definedName name="DDT_400">#REF!</definedName>
    <definedName name="DDT_400X250" localSheetId="30">#REF!</definedName>
    <definedName name="DDT_400X250" localSheetId="25">#REF!</definedName>
    <definedName name="DDT_400X250" localSheetId="28">#REF!</definedName>
    <definedName name="DDT_400X250" localSheetId="29">#REF!</definedName>
    <definedName name="DDT_400X250" localSheetId="12">#REF!</definedName>
    <definedName name="DDT_400X250" localSheetId="43">#REF!</definedName>
    <definedName name="DDT_400X250" localSheetId="42">#REF!</definedName>
    <definedName name="DDT_400X250" localSheetId="27">#REF!</definedName>
    <definedName name="DDT_400X250" localSheetId="45">#REF!</definedName>
    <definedName name="DDT_400X250">#REF!</definedName>
    <definedName name="DDT_400X300" localSheetId="30">#REF!</definedName>
    <definedName name="DDT_400X300" localSheetId="25">#REF!</definedName>
    <definedName name="DDT_400X300" localSheetId="28">#REF!</definedName>
    <definedName name="DDT_400X300" localSheetId="29">#REF!</definedName>
    <definedName name="DDT_400X300" localSheetId="12">#REF!</definedName>
    <definedName name="DDT_400X300" localSheetId="43">#REF!</definedName>
    <definedName name="DDT_400X300" localSheetId="42">#REF!</definedName>
    <definedName name="DDT_400X300" localSheetId="27">#REF!</definedName>
    <definedName name="DDT_400X300" localSheetId="45">#REF!</definedName>
    <definedName name="DDT_400X300">#REF!</definedName>
    <definedName name="DDT_400X350" localSheetId="30">#REF!</definedName>
    <definedName name="DDT_400X350" localSheetId="25">#REF!</definedName>
    <definedName name="DDT_400X350" localSheetId="28">#REF!</definedName>
    <definedName name="DDT_400X350" localSheetId="29">#REF!</definedName>
    <definedName name="DDT_400X350" localSheetId="12">#REF!</definedName>
    <definedName name="DDT_400X350" localSheetId="43">#REF!</definedName>
    <definedName name="DDT_400X350" localSheetId="42">#REF!</definedName>
    <definedName name="DDT_400X350" localSheetId="27">#REF!</definedName>
    <definedName name="DDT_400X350" localSheetId="45">#REF!</definedName>
    <definedName name="DDT_400X350">#REF!</definedName>
    <definedName name="DDW" localSheetId="30">#REF!</definedName>
    <definedName name="DDW" localSheetId="25">#REF!</definedName>
    <definedName name="DDW" localSheetId="28">#REF!</definedName>
    <definedName name="DDW" localSheetId="29">#REF!</definedName>
    <definedName name="DDW" localSheetId="12">#REF!</definedName>
    <definedName name="DDW" localSheetId="43">#REF!</definedName>
    <definedName name="DDW" localSheetId="42">#REF!</definedName>
    <definedName name="DDW" localSheetId="27">#REF!</definedName>
    <definedName name="DDW" localSheetId="45">#REF!</definedName>
    <definedName name="DDW">#REF!</definedName>
    <definedName name="DEAR" localSheetId="30">#REF!</definedName>
    <definedName name="DEAR" localSheetId="25">#REF!</definedName>
    <definedName name="DEAR" localSheetId="28">#REF!</definedName>
    <definedName name="DEAR" localSheetId="29">#REF!</definedName>
    <definedName name="DEAR" localSheetId="12">#REF!</definedName>
    <definedName name="DEAR" localSheetId="43">#REF!</definedName>
    <definedName name="DEAR" localSheetId="42">#REF!</definedName>
    <definedName name="DEAR" localSheetId="27">#REF!</definedName>
    <definedName name="DEAR" localSheetId="45">#REF!</definedName>
    <definedName name="DEAR">#REF!</definedName>
    <definedName name="DEBMSD" localSheetId="30">#REF!</definedName>
    <definedName name="DEBMSD" localSheetId="25">#REF!</definedName>
    <definedName name="DEBMSD" localSheetId="28">#REF!</definedName>
    <definedName name="DEBMSD" localSheetId="29">#REF!</definedName>
    <definedName name="DEBMSD" localSheetId="12">#REF!</definedName>
    <definedName name="DEBMSD" localSheetId="43">#REF!</definedName>
    <definedName name="DEBMSD" localSheetId="42">#REF!</definedName>
    <definedName name="DEBMSD" localSheetId="27">#REF!</definedName>
    <definedName name="DEBMSD" localSheetId="45">#REF!</definedName>
    <definedName name="DEBMSD">#REF!</definedName>
    <definedName name="DEBMSG" localSheetId="30">#REF!</definedName>
    <definedName name="DEBMSG" localSheetId="25">#REF!</definedName>
    <definedName name="DEBMSG" localSheetId="28">#REF!</definedName>
    <definedName name="DEBMSG" localSheetId="29">#REF!</definedName>
    <definedName name="DEBMSG" localSheetId="12">#REF!</definedName>
    <definedName name="DEBMSG" localSheetId="43">#REF!</definedName>
    <definedName name="DEBMSG" localSheetId="42">#REF!</definedName>
    <definedName name="DEBMSG" localSheetId="27">#REF!</definedName>
    <definedName name="DEBMSG" localSheetId="45">#REF!</definedName>
    <definedName name="DEBMSG">#REF!</definedName>
    <definedName name="DEC_100" localSheetId="30">#REF!</definedName>
    <definedName name="DEC_100" localSheetId="25">#REF!</definedName>
    <definedName name="DEC_100" localSheetId="28">#REF!</definedName>
    <definedName name="DEC_100" localSheetId="29">#REF!</definedName>
    <definedName name="DEC_100" localSheetId="12">#REF!</definedName>
    <definedName name="DEC_100" localSheetId="43">#REF!</definedName>
    <definedName name="DEC_100" localSheetId="42">#REF!</definedName>
    <definedName name="DEC_100" localSheetId="27">#REF!</definedName>
    <definedName name="DEC_100" localSheetId="45">#REF!</definedName>
    <definedName name="DEC_100">#REF!</definedName>
    <definedName name="DEC_125" localSheetId="30">#REF!</definedName>
    <definedName name="DEC_125" localSheetId="25">#REF!</definedName>
    <definedName name="DEC_125" localSheetId="28">#REF!</definedName>
    <definedName name="DEC_125" localSheetId="29">#REF!</definedName>
    <definedName name="DEC_125" localSheetId="12">#REF!</definedName>
    <definedName name="DEC_125" localSheetId="43">#REF!</definedName>
    <definedName name="DEC_125" localSheetId="42">#REF!</definedName>
    <definedName name="DEC_125" localSheetId="27">#REF!</definedName>
    <definedName name="DEC_125" localSheetId="45">#REF!</definedName>
    <definedName name="DEC_125">#REF!</definedName>
    <definedName name="DEC_150" localSheetId="30">#REF!</definedName>
    <definedName name="DEC_150" localSheetId="25">#REF!</definedName>
    <definedName name="DEC_150" localSheetId="28">#REF!</definedName>
    <definedName name="DEC_150" localSheetId="29">#REF!</definedName>
    <definedName name="DEC_150" localSheetId="12">#REF!</definedName>
    <definedName name="DEC_150" localSheetId="43">#REF!</definedName>
    <definedName name="DEC_150" localSheetId="42">#REF!</definedName>
    <definedName name="DEC_150" localSheetId="27">#REF!</definedName>
    <definedName name="DEC_150" localSheetId="45">#REF!</definedName>
    <definedName name="DEC_150">#REF!</definedName>
    <definedName name="DEC_200" localSheetId="30">#REF!</definedName>
    <definedName name="DEC_200" localSheetId="25">#REF!</definedName>
    <definedName name="DEC_200" localSheetId="28">#REF!</definedName>
    <definedName name="DEC_200" localSheetId="29">#REF!</definedName>
    <definedName name="DEC_200" localSheetId="12">#REF!</definedName>
    <definedName name="DEC_200" localSheetId="43">#REF!</definedName>
    <definedName name="DEC_200" localSheetId="42">#REF!</definedName>
    <definedName name="DEC_200" localSheetId="27">#REF!</definedName>
    <definedName name="DEC_200" localSheetId="45">#REF!</definedName>
    <definedName name="DEC_200">#REF!</definedName>
    <definedName name="DEC_250" localSheetId="30">#REF!</definedName>
    <definedName name="DEC_250" localSheetId="25">#REF!</definedName>
    <definedName name="DEC_250" localSheetId="28">#REF!</definedName>
    <definedName name="DEC_250" localSheetId="29">#REF!</definedName>
    <definedName name="DEC_250" localSheetId="12">#REF!</definedName>
    <definedName name="DEC_250" localSheetId="43">#REF!</definedName>
    <definedName name="DEC_250" localSheetId="42">#REF!</definedName>
    <definedName name="DEC_250" localSheetId="27">#REF!</definedName>
    <definedName name="DEC_250" localSheetId="45">#REF!</definedName>
    <definedName name="DEC_250">#REF!</definedName>
    <definedName name="DEC_300" localSheetId="30">#REF!</definedName>
    <definedName name="DEC_300" localSheetId="25">#REF!</definedName>
    <definedName name="DEC_300" localSheetId="28">#REF!</definedName>
    <definedName name="DEC_300" localSheetId="29">#REF!</definedName>
    <definedName name="DEC_300" localSheetId="12">#REF!</definedName>
    <definedName name="DEC_300" localSheetId="43">#REF!</definedName>
    <definedName name="DEC_300" localSheetId="42">#REF!</definedName>
    <definedName name="DEC_300" localSheetId="27">#REF!</definedName>
    <definedName name="DEC_300" localSheetId="45">#REF!</definedName>
    <definedName name="DEC_300">#REF!</definedName>
    <definedName name="DEC_350" localSheetId="30">#REF!</definedName>
    <definedName name="DEC_350" localSheetId="25">#REF!</definedName>
    <definedName name="DEC_350" localSheetId="28">#REF!</definedName>
    <definedName name="DEC_350" localSheetId="29">#REF!</definedName>
    <definedName name="DEC_350" localSheetId="12">#REF!</definedName>
    <definedName name="DEC_350" localSheetId="43">#REF!</definedName>
    <definedName name="DEC_350" localSheetId="42">#REF!</definedName>
    <definedName name="DEC_350" localSheetId="27">#REF!</definedName>
    <definedName name="DEC_350" localSheetId="45">#REF!</definedName>
    <definedName name="DEC_350">#REF!</definedName>
    <definedName name="DEC_400" localSheetId="30">#REF!</definedName>
    <definedName name="DEC_400" localSheetId="25">#REF!</definedName>
    <definedName name="DEC_400" localSheetId="28">#REF!</definedName>
    <definedName name="DEC_400" localSheetId="29">#REF!</definedName>
    <definedName name="DEC_400" localSheetId="12">#REF!</definedName>
    <definedName name="DEC_400" localSheetId="43">#REF!</definedName>
    <definedName name="DEC_400" localSheetId="42">#REF!</definedName>
    <definedName name="DEC_400" localSheetId="27">#REF!</definedName>
    <definedName name="DEC_400" localSheetId="45">#REF!</definedName>
    <definedName name="DEC_400">#REF!</definedName>
    <definedName name="DEC_50" localSheetId="30">#REF!</definedName>
    <definedName name="DEC_50" localSheetId="25">#REF!</definedName>
    <definedName name="DEC_50" localSheetId="28">#REF!</definedName>
    <definedName name="DEC_50" localSheetId="29">#REF!</definedName>
    <definedName name="DEC_50" localSheetId="12">#REF!</definedName>
    <definedName name="DEC_50" localSheetId="43">#REF!</definedName>
    <definedName name="DEC_50" localSheetId="42">#REF!</definedName>
    <definedName name="DEC_50" localSheetId="27">#REF!</definedName>
    <definedName name="DEC_50" localSheetId="45">#REF!</definedName>
    <definedName name="DEC_50">#REF!</definedName>
    <definedName name="DEC_600" localSheetId="30">#REF!</definedName>
    <definedName name="DEC_600" localSheetId="25">#REF!</definedName>
    <definedName name="DEC_600" localSheetId="28">#REF!</definedName>
    <definedName name="DEC_600" localSheetId="29">#REF!</definedName>
    <definedName name="DEC_600" localSheetId="12">#REF!</definedName>
    <definedName name="DEC_600" localSheetId="43">#REF!</definedName>
    <definedName name="DEC_600" localSheetId="42">#REF!</definedName>
    <definedName name="DEC_600" localSheetId="27">#REF!</definedName>
    <definedName name="DEC_600" localSheetId="45">#REF!</definedName>
    <definedName name="DEC_600">#REF!</definedName>
    <definedName name="DEC_80" localSheetId="30">#REF!</definedName>
    <definedName name="DEC_80" localSheetId="25">#REF!</definedName>
    <definedName name="DEC_80" localSheetId="28">#REF!</definedName>
    <definedName name="DEC_80" localSheetId="29">#REF!</definedName>
    <definedName name="DEC_80" localSheetId="12">#REF!</definedName>
    <definedName name="DEC_80" localSheetId="43">#REF!</definedName>
    <definedName name="DEC_80" localSheetId="42">#REF!</definedName>
    <definedName name="DEC_80" localSheetId="27">#REF!</definedName>
    <definedName name="DEC_80" localSheetId="45">#REF!</definedName>
    <definedName name="DEC_80">#REF!</definedName>
    <definedName name="DEHR" localSheetId="30">#REF!</definedName>
    <definedName name="DEHR" localSheetId="25">#REF!</definedName>
    <definedName name="DEHR" localSheetId="28">#REF!</definedName>
    <definedName name="DEHR" localSheetId="29">#REF!</definedName>
    <definedName name="DEHR" localSheetId="12">#REF!</definedName>
    <definedName name="DEHR" localSheetId="43">#REF!</definedName>
    <definedName name="DEHR" localSheetId="42">#REF!</definedName>
    <definedName name="DEHR" localSheetId="27">#REF!</definedName>
    <definedName name="DEHR" localSheetId="45">#REF!</definedName>
    <definedName name="DEHR">#REF!</definedName>
    <definedName name="DEHS" localSheetId="30">#REF!</definedName>
    <definedName name="DEHS" localSheetId="25">#REF!</definedName>
    <definedName name="DEHS" localSheetId="28">#REF!</definedName>
    <definedName name="DEHS" localSheetId="29">#REF!</definedName>
    <definedName name="DEHS" localSheetId="12">#REF!</definedName>
    <definedName name="DEHS" localSheetId="43">#REF!</definedName>
    <definedName name="DEHS" localSheetId="42">#REF!</definedName>
    <definedName name="DEHS" localSheetId="27">#REF!</definedName>
    <definedName name="DEHS" localSheetId="45">#REF!</definedName>
    <definedName name="DEHS">#REF!</definedName>
    <definedName name="DEP" localSheetId="30">#REF!</definedName>
    <definedName name="DEP" localSheetId="25">#REF!</definedName>
    <definedName name="DEP" localSheetId="28">#REF!</definedName>
    <definedName name="DEP" localSheetId="29">#REF!</definedName>
    <definedName name="DEP" localSheetId="12">#REF!</definedName>
    <definedName name="DEP" localSheetId="43">#REF!</definedName>
    <definedName name="DEP" localSheetId="42">#REF!</definedName>
    <definedName name="DEP" localSheetId="27">#REF!</definedName>
    <definedName name="DEP" localSheetId="45">#REF!</definedName>
    <definedName name="DEP">#REF!</definedName>
    <definedName name="description_262">[31]Abstract!$B$34</definedName>
    <definedName name="DESS" localSheetId="30">#REF!</definedName>
    <definedName name="DESS" localSheetId="25">#REF!</definedName>
    <definedName name="DESS" localSheetId="28">#REF!</definedName>
    <definedName name="DESS" localSheetId="29">#REF!</definedName>
    <definedName name="DESS" localSheetId="12">#REF!</definedName>
    <definedName name="DESS" localSheetId="43">#REF!</definedName>
    <definedName name="DESS" localSheetId="42">#REF!</definedName>
    <definedName name="DESS" localSheetId="27">#REF!</definedName>
    <definedName name="DESS" localSheetId="45">#REF!</definedName>
    <definedName name="DESS">#REF!</definedName>
    <definedName name="Dew" localSheetId="30">#REF!</definedName>
    <definedName name="Dew" localSheetId="25">#REF!</definedName>
    <definedName name="Dew" localSheetId="28">#REF!</definedName>
    <definedName name="Dew" localSheetId="29">#REF!</definedName>
    <definedName name="Dew" localSheetId="12">#REF!</definedName>
    <definedName name="Dew" localSheetId="43">#REF!</definedName>
    <definedName name="Dew" localSheetId="42">#REF!</definedName>
    <definedName name="Dew" localSheetId="27">#REF!</definedName>
    <definedName name="Dew" localSheetId="45">#REF!</definedName>
    <definedName name="Dew">#REF!</definedName>
    <definedName name="DF_110" localSheetId="30">#REF!</definedName>
    <definedName name="DF_110" localSheetId="25">#REF!</definedName>
    <definedName name="DF_110" localSheetId="28">#REF!</definedName>
    <definedName name="DF_110" localSheetId="29">#REF!</definedName>
    <definedName name="DF_110" localSheetId="12">#REF!</definedName>
    <definedName name="DF_110" localSheetId="43">#REF!</definedName>
    <definedName name="DF_110" localSheetId="42">#REF!</definedName>
    <definedName name="DF_110" localSheetId="27">#REF!</definedName>
    <definedName name="DF_110" localSheetId="45">#REF!</definedName>
    <definedName name="DF_110">#REF!</definedName>
    <definedName name="DF_63" localSheetId="30">#REF!</definedName>
    <definedName name="DF_63" localSheetId="25">#REF!</definedName>
    <definedName name="DF_63" localSheetId="28">#REF!</definedName>
    <definedName name="DF_63" localSheetId="29">#REF!</definedName>
    <definedName name="DF_63" localSheetId="12">#REF!</definedName>
    <definedName name="DF_63" localSheetId="43">#REF!</definedName>
    <definedName name="DF_63" localSheetId="42">#REF!</definedName>
    <definedName name="DF_63" localSheetId="27">#REF!</definedName>
    <definedName name="DF_63" localSheetId="45">#REF!</definedName>
    <definedName name="DF_63">#REF!</definedName>
    <definedName name="DF_90" localSheetId="30">#REF!</definedName>
    <definedName name="DF_90" localSheetId="25">#REF!</definedName>
    <definedName name="DF_90" localSheetId="28">#REF!</definedName>
    <definedName name="DF_90" localSheetId="29">#REF!</definedName>
    <definedName name="DF_90" localSheetId="12">#REF!</definedName>
    <definedName name="DF_90" localSheetId="43">#REF!</definedName>
    <definedName name="DF_90" localSheetId="42">#REF!</definedName>
    <definedName name="DF_90" localSheetId="27">#REF!</definedName>
    <definedName name="DF_90" localSheetId="45">#REF!</definedName>
    <definedName name="DF_90">#REF!</definedName>
    <definedName name="dfdsfsa">[19]Rates!$D$64</definedName>
    <definedName name="DFG" localSheetId="30">#REF!</definedName>
    <definedName name="DFG" localSheetId="25">#REF!</definedName>
    <definedName name="DFG" localSheetId="28">#REF!</definedName>
    <definedName name="DFG" localSheetId="29">#REF!</definedName>
    <definedName name="DFG" localSheetId="12">#REF!</definedName>
    <definedName name="DFG" localSheetId="43">#REF!</definedName>
    <definedName name="DFG" localSheetId="42">#REF!</definedName>
    <definedName name="DFG" localSheetId="27">#REF!</definedName>
    <definedName name="DFG" localSheetId="45">#REF!</definedName>
    <definedName name="DFG">#REF!</definedName>
    <definedName name="DFMBS" localSheetId="30">#REF!</definedName>
    <definedName name="DFMBS" localSheetId="25">#REF!</definedName>
    <definedName name="DFMBS" localSheetId="28">#REF!</definedName>
    <definedName name="DFMBS" localSheetId="29">#REF!</definedName>
    <definedName name="DFMBS" localSheetId="12">#REF!</definedName>
    <definedName name="DFMBS" localSheetId="43">#REF!</definedName>
    <definedName name="DFMBS" localSheetId="42">#REF!</definedName>
    <definedName name="DFMBS" localSheetId="27">#REF!</definedName>
    <definedName name="DFMBS" localSheetId="45">#REF!</definedName>
    <definedName name="DFMBS">#REF!</definedName>
    <definedName name="DFP_100" localSheetId="30">#REF!</definedName>
    <definedName name="DFP_100" localSheetId="25">#REF!</definedName>
    <definedName name="DFP_100" localSheetId="28">#REF!</definedName>
    <definedName name="DFP_100" localSheetId="29">#REF!</definedName>
    <definedName name="DFP_100" localSheetId="12">#REF!</definedName>
    <definedName name="DFP_100" localSheetId="43">#REF!</definedName>
    <definedName name="DFP_100" localSheetId="42">#REF!</definedName>
    <definedName name="DFP_100" localSheetId="27">#REF!</definedName>
    <definedName name="DFP_100" localSheetId="45">#REF!</definedName>
    <definedName name="DFP_100">#REF!</definedName>
    <definedName name="DFP_150" localSheetId="30">#REF!</definedName>
    <definedName name="DFP_150" localSheetId="25">#REF!</definedName>
    <definedName name="DFP_150" localSheetId="28">#REF!</definedName>
    <definedName name="DFP_150" localSheetId="29">#REF!</definedName>
    <definedName name="DFP_150" localSheetId="12">#REF!</definedName>
    <definedName name="DFP_150" localSheetId="43">#REF!</definedName>
    <definedName name="DFP_150" localSheetId="42">#REF!</definedName>
    <definedName name="DFP_150" localSheetId="27">#REF!</definedName>
    <definedName name="DFP_150" localSheetId="45">#REF!</definedName>
    <definedName name="DFP_150">#REF!</definedName>
    <definedName name="DFP_200" localSheetId="30">#REF!</definedName>
    <definedName name="DFP_200" localSheetId="25">#REF!</definedName>
    <definedName name="DFP_200" localSheetId="28">#REF!</definedName>
    <definedName name="DFP_200" localSheetId="29">#REF!</definedName>
    <definedName name="DFP_200" localSheetId="12">#REF!</definedName>
    <definedName name="DFP_200" localSheetId="43">#REF!</definedName>
    <definedName name="DFP_200" localSheetId="42">#REF!</definedName>
    <definedName name="DFP_200" localSheetId="27">#REF!</definedName>
    <definedName name="DFP_200" localSheetId="45">#REF!</definedName>
    <definedName name="DFP_200">#REF!</definedName>
    <definedName name="DFP_250" localSheetId="30">#REF!</definedName>
    <definedName name="DFP_250" localSheetId="25">#REF!</definedName>
    <definedName name="DFP_250" localSheetId="28">#REF!</definedName>
    <definedName name="DFP_250" localSheetId="29">#REF!</definedName>
    <definedName name="DFP_250" localSheetId="12">#REF!</definedName>
    <definedName name="DFP_250" localSheetId="43">#REF!</definedName>
    <definedName name="DFP_250" localSheetId="42">#REF!</definedName>
    <definedName name="DFP_250" localSheetId="27">#REF!</definedName>
    <definedName name="DFP_250" localSheetId="45">#REF!</definedName>
    <definedName name="DFP_250">#REF!</definedName>
    <definedName name="DFP_300" localSheetId="30">#REF!</definedName>
    <definedName name="DFP_300" localSheetId="25">#REF!</definedName>
    <definedName name="DFP_300" localSheetId="28">#REF!</definedName>
    <definedName name="DFP_300" localSheetId="29">#REF!</definedName>
    <definedName name="DFP_300" localSheetId="12">#REF!</definedName>
    <definedName name="DFP_300" localSheetId="43">#REF!</definedName>
    <definedName name="DFP_300" localSheetId="42">#REF!</definedName>
    <definedName name="DFP_300" localSheetId="27">#REF!</definedName>
    <definedName name="DFP_300" localSheetId="45">#REF!</definedName>
    <definedName name="DFP_300">#REF!</definedName>
    <definedName name="DFP_400" localSheetId="30">#REF!</definedName>
    <definedName name="DFP_400" localSheetId="25">#REF!</definedName>
    <definedName name="DFP_400" localSheetId="28">#REF!</definedName>
    <definedName name="DFP_400" localSheetId="29">#REF!</definedName>
    <definedName name="DFP_400" localSheetId="12">#REF!</definedName>
    <definedName name="DFP_400" localSheetId="43">#REF!</definedName>
    <definedName name="DFP_400" localSheetId="42">#REF!</definedName>
    <definedName name="DFP_400" localSheetId="27">#REF!</definedName>
    <definedName name="DFP_400" localSheetId="45">#REF!</definedName>
    <definedName name="DFP_400">#REF!</definedName>
    <definedName name="DFP_80" localSheetId="30">#REF!</definedName>
    <definedName name="DFP_80" localSheetId="25">#REF!</definedName>
    <definedName name="DFP_80" localSheetId="28">#REF!</definedName>
    <definedName name="DFP_80" localSheetId="29">#REF!</definedName>
    <definedName name="DFP_80" localSheetId="12">#REF!</definedName>
    <definedName name="DFP_80" localSheetId="43">#REF!</definedName>
    <definedName name="DFP_80" localSheetId="42">#REF!</definedName>
    <definedName name="DFP_80" localSheetId="27">#REF!</definedName>
    <definedName name="DFP_80" localSheetId="45">#REF!</definedName>
    <definedName name="DFP_80">#REF!</definedName>
    <definedName name="DFS_100" localSheetId="30">#REF!</definedName>
    <definedName name="DFS_100" localSheetId="25">#REF!</definedName>
    <definedName name="DFS_100" localSheetId="28">#REF!</definedName>
    <definedName name="DFS_100" localSheetId="29">#REF!</definedName>
    <definedName name="DFS_100" localSheetId="12">#REF!</definedName>
    <definedName name="DFS_100" localSheetId="43">#REF!</definedName>
    <definedName name="DFS_100" localSheetId="42">#REF!</definedName>
    <definedName name="DFS_100" localSheetId="27">#REF!</definedName>
    <definedName name="DFS_100" localSheetId="45">#REF!</definedName>
    <definedName name="DFS_100">#REF!</definedName>
    <definedName name="DFS_150" localSheetId="30">#REF!</definedName>
    <definedName name="DFS_150" localSheetId="25">#REF!</definedName>
    <definedName name="DFS_150" localSheetId="28">#REF!</definedName>
    <definedName name="DFS_150" localSheetId="29">#REF!</definedName>
    <definedName name="DFS_150" localSheetId="12">#REF!</definedName>
    <definedName name="DFS_150" localSheetId="43">#REF!</definedName>
    <definedName name="DFS_150" localSheetId="42">#REF!</definedName>
    <definedName name="DFS_150" localSheetId="27">#REF!</definedName>
    <definedName name="DFS_150" localSheetId="45">#REF!</definedName>
    <definedName name="DFS_150">#REF!</definedName>
    <definedName name="DFS_200" localSheetId="30">#REF!</definedName>
    <definedName name="DFS_200" localSheetId="25">#REF!</definedName>
    <definedName name="DFS_200" localSheetId="28">#REF!</definedName>
    <definedName name="DFS_200" localSheetId="29">#REF!</definedName>
    <definedName name="DFS_200" localSheetId="12">#REF!</definedName>
    <definedName name="DFS_200" localSheetId="43">#REF!</definedName>
    <definedName name="DFS_200" localSheetId="42">#REF!</definedName>
    <definedName name="DFS_200" localSheetId="27">#REF!</definedName>
    <definedName name="DFS_200" localSheetId="45">#REF!</definedName>
    <definedName name="DFS_200">#REF!</definedName>
    <definedName name="DFS_250" localSheetId="30">#REF!</definedName>
    <definedName name="DFS_250" localSheetId="25">#REF!</definedName>
    <definedName name="DFS_250" localSheetId="28">#REF!</definedName>
    <definedName name="DFS_250" localSheetId="29">#REF!</definedName>
    <definedName name="DFS_250" localSheetId="12">#REF!</definedName>
    <definedName name="DFS_250" localSheetId="43">#REF!</definedName>
    <definedName name="DFS_250" localSheetId="42">#REF!</definedName>
    <definedName name="DFS_250" localSheetId="27">#REF!</definedName>
    <definedName name="DFS_250" localSheetId="45">#REF!</definedName>
    <definedName name="DFS_250">#REF!</definedName>
    <definedName name="DFS_300" localSheetId="30">#REF!</definedName>
    <definedName name="DFS_300" localSheetId="25">#REF!</definedName>
    <definedName name="DFS_300" localSheetId="28">#REF!</definedName>
    <definedName name="DFS_300" localSheetId="29">#REF!</definedName>
    <definedName name="DFS_300" localSheetId="12">#REF!</definedName>
    <definedName name="DFS_300" localSheetId="43">#REF!</definedName>
    <definedName name="DFS_300" localSheetId="42">#REF!</definedName>
    <definedName name="DFS_300" localSheetId="27">#REF!</definedName>
    <definedName name="DFS_300" localSheetId="45">#REF!</definedName>
    <definedName name="DFS_300">#REF!</definedName>
    <definedName name="DFS_350" localSheetId="30">#REF!</definedName>
    <definedName name="DFS_350" localSheetId="25">#REF!</definedName>
    <definedName name="DFS_350" localSheetId="28">#REF!</definedName>
    <definedName name="DFS_350" localSheetId="29">#REF!</definedName>
    <definedName name="DFS_350" localSheetId="12">#REF!</definedName>
    <definedName name="DFS_350" localSheetId="43">#REF!</definedName>
    <definedName name="DFS_350" localSheetId="42">#REF!</definedName>
    <definedName name="DFS_350" localSheetId="27">#REF!</definedName>
    <definedName name="DFS_350" localSheetId="45">#REF!</definedName>
    <definedName name="DFS_350">#REF!</definedName>
    <definedName name="DFS_400" localSheetId="30">#REF!</definedName>
    <definedName name="DFS_400" localSheetId="25">#REF!</definedName>
    <definedName name="DFS_400" localSheetId="28">#REF!</definedName>
    <definedName name="DFS_400" localSheetId="29">#REF!</definedName>
    <definedName name="DFS_400" localSheetId="12">#REF!</definedName>
    <definedName name="DFS_400" localSheetId="43">#REF!</definedName>
    <definedName name="DFS_400" localSheetId="42">#REF!</definedName>
    <definedName name="DFS_400" localSheetId="27">#REF!</definedName>
    <definedName name="DFS_400" localSheetId="45">#REF!</definedName>
    <definedName name="DFS_400">#REF!</definedName>
    <definedName name="DFS_50" localSheetId="30">#REF!</definedName>
    <definedName name="DFS_50" localSheetId="25">#REF!</definedName>
    <definedName name="DFS_50" localSheetId="28">#REF!</definedName>
    <definedName name="DFS_50" localSheetId="29">#REF!</definedName>
    <definedName name="DFS_50" localSheetId="12">#REF!</definedName>
    <definedName name="DFS_50" localSheetId="43">#REF!</definedName>
    <definedName name="DFS_50" localSheetId="42">#REF!</definedName>
    <definedName name="DFS_50" localSheetId="27">#REF!</definedName>
    <definedName name="DFS_50" localSheetId="45">#REF!</definedName>
    <definedName name="DFS_50">#REF!</definedName>
    <definedName name="DFS_80" localSheetId="30">#REF!</definedName>
    <definedName name="DFS_80" localSheetId="25">#REF!</definedName>
    <definedName name="DFS_80" localSheetId="28">#REF!</definedName>
    <definedName name="DFS_80" localSheetId="29">#REF!</definedName>
    <definedName name="DFS_80" localSheetId="12">#REF!</definedName>
    <definedName name="DFS_80" localSheetId="43">#REF!</definedName>
    <definedName name="DFS_80" localSheetId="42">#REF!</definedName>
    <definedName name="DFS_80" localSheetId="27">#REF!</definedName>
    <definedName name="DFS_80" localSheetId="45">#REF!</definedName>
    <definedName name="DFS_80">#REF!</definedName>
    <definedName name="dfsad">[19]Rates!$D$42</definedName>
    <definedName name="dfsd">[19]Rates!$D$25</definedName>
    <definedName name="dfsdf">[19]Rates!$D$26</definedName>
    <definedName name="DFSF" localSheetId="30">#REF!</definedName>
    <definedName name="DFSF" localSheetId="25">#REF!</definedName>
    <definedName name="DFSF" localSheetId="28">#REF!</definedName>
    <definedName name="DFSF" localSheetId="29">#REF!</definedName>
    <definedName name="DFSF" localSheetId="12">#REF!</definedName>
    <definedName name="DFSF" localSheetId="43">#REF!</definedName>
    <definedName name="DFSF" localSheetId="42">#REF!</definedName>
    <definedName name="DFSF" localSheetId="27">#REF!</definedName>
    <definedName name="DFSF" localSheetId="45">#REF!</definedName>
    <definedName name="DFSF">#REF!</definedName>
    <definedName name="DFW" localSheetId="30">#REF!</definedName>
    <definedName name="DFW" localSheetId="25">#REF!</definedName>
    <definedName name="DFW" localSheetId="28">#REF!</definedName>
    <definedName name="DFW" localSheetId="29">#REF!</definedName>
    <definedName name="DFW" localSheetId="12">#REF!</definedName>
    <definedName name="DFW" localSheetId="43">#REF!</definedName>
    <definedName name="DFW" localSheetId="42">#REF!</definedName>
    <definedName name="DFW" localSheetId="27">#REF!</definedName>
    <definedName name="DFW" localSheetId="45">#REF!</definedName>
    <definedName name="DFW">#REF!</definedName>
    <definedName name="DGC_100" localSheetId="30">#REF!</definedName>
    <definedName name="DGC_100" localSheetId="25">#REF!</definedName>
    <definedName name="DGC_100" localSheetId="28">#REF!</definedName>
    <definedName name="DGC_100" localSheetId="29">#REF!</definedName>
    <definedName name="DGC_100" localSheetId="12">#REF!</definedName>
    <definedName name="DGC_100" localSheetId="43">#REF!</definedName>
    <definedName name="DGC_100" localSheetId="42">#REF!</definedName>
    <definedName name="DGC_100" localSheetId="27">#REF!</definedName>
    <definedName name="DGC_100" localSheetId="45">#REF!</definedName>
    <definedName name="DGC_100">#REF!</definedName>
    <definedName name="DGC_15" localSheetId="30">#REF!</definedName>
    <definedName name="DGC_15" localSheetId="25">#REF!</definedName>
    <definedName name="DGC_15" localSheetId="28">#REF!</definedName>
    <definedName name="DGC_15" localSheetId="29">#REF!</definedName>
    <definedName name="DGC_15" localSheetId="12">#REF!</definedName>
    <definedName name="DGC_15" localSheetId="43">#REF!</definedName>
    <definedName name="DGC_15" localSheetId="42">#REF!</definedName>
    <definedName name="DGC_15" localSheetId="27">#REF!</definedName>
    <definedName name="DGC_15" localSheetId="45">#REF!</definedName>
    <definedName name="DGC_15">#REF!</definedName>
    <definedName name="DGC_20" localSheetId="30">#REF!</definedName>
    <definedName name="DGC_20" localSheetId="25">#REF!</definedName>
    <definedName name="DGC_20" localSheetId="28">#REF!</definedName>
    <definedName name="DGC_20" localSheetId="29">#REF!</definedName>
    <definedName name="DGC_20" localSheetId="12">#REF!</definedName>
    <definedName name="DGC_20" localSheetId="43">#REF!</definedName>
    <definedName name="DGC_20" localSheetId="42">#REF!</definedName>
    <definedName name="DGC_20" localSheetId="27">#REF!</definedName>
    <definedName name="DGC_20" localSheetId="45">#REF!</definedName>
    <definedName name="DGC_20">#REF!</definedName>
    <definedName name="DGC_25" localSheetId="30">#REF!</definedName>
    <definedName name="DGC_25" localSheetId="25">#REF!</definedName>
    <definedName name="DGC_25" localSheetId="28">#REF!</definedName>
    <definedName name="DGC_25" localSheetId="29">#REF!</definedName>
    <definedName name="DGC_25" localSheetId="12">#REF!</definedName>
    <definedName name="DGC_25" localSheetId="43">#REF!</definedName>
    <definedName name="DGC_25" localSheetId="42">#REF!</definedName>
    <definedName name="DGC_25" localSheetId="27">#REF!</definedName>
    <definedName name="DGC_25" localSheetId="45">#REF!</definedName>
    <definedName name="DGC_25">#REF!</definedName>
    <definedName name="DGC_32" localSheetId="30">#REF!</definedName>
    <definedName name="DGC_32" localSheetId="25">#REF!</definedName>
    <definedName name="DGC_32" localSheetId="28">#REF!</definedName>
    <definedName name="DGC_32" localSheetId="29">#REF!</definedName>
    <definedName name="DGC_32" localSheetId="12">#REF!</definedName>
    <definedName name="DGC_32" localSheetId="43">#REF!</definedName>
    <definedName name="DGC_32" localSheetId="42">#REF!</definedName>
    <definedName name="DGC_32" localSheetId="27">#REF!</definedName>
    <definedName name="DGC_32" localSheetId="45">#REF!</definedName>
    <definedName name="DGC_32">#REF!</definedName>
    <definedName name="DGC_40" localSheetId="30">#REF!</definedName>
    <definedName name="DGC_40" localSheetId="25">#REF!</definedName>
    <definedName name="DGC_40" localSheetId="28">#REF!</definedName>
    <definedName name="DGC_40" localSheetId="29">#REF!</definedName>
    <definedName name="DGC_40" localSheetId="12">#REF!</definedName>
    <definedName name="DGC_40" localSheetId="43">#REF!</definedName>
    <definedName name="DGC_40" localSheetId="42">#REF!</definedName>
    <definedName name="DGC_40" localSheetId="27">#REF!</definedName>
    <definedName name="DGC_40" localSheetId="45">#REF!</definedName>
    <definedName name="DGC_40">#REF!</definedName>
    <definedName name="DGC_50" localSheetId="30">#REF!</definedName>
    <definedName name="DGC_50" localSheetId="25">#REF!</definedName>
    <definedName name="DGC_50" localSheetId="28">#REF!</definedName>
    <definedName name="DGC_50" localSheetId="29">#REF!</definedName>
    <definedName name="DGC_50" localSheetId="12">#REF!</definedName>
    <definedName name="DGC_50" localSheetId="43">#REF!</definedName>
    <definedName name="DGC_50" localSheetId="42">#REF!</definedName>
    <definedName name="DGC_50" localSheetId="27">#REF!</definedName>
    <definedName name="DGC_50" localSheetId="45">#REF!</definedName>
    <definedName name="DGC_50">#REF!</definedName>
    <definedName name="DGC_65" localSheetId="30">#REF!</definedName>
    <definedName name="DGC_65" localSheetId="25">#REF!</definedName>
    <definedName name="DGC_65" localSheetId="28">#REF!</definedName>
    <definedName name="DGC_65" localSheetId="29">#REF!</definedName>
    <definedName name="DGC_65" localSheetId="12">#REF!</definedName>
    <definedName name="DGC_65" localSheetId="43">#REF!</definedName>
    <definedName name="DGC_65" localSheetId="42">#REF!</definedName>
    <definedName name="DGC_65" localSheetId="27">#REF!</definedName>
    <definedName name="DGC_65" localSheetId="45">#REF!</definedName>
    <definedName name="DGC_65">#REF!</definedName>
    <definedName name="DGC_80" localSheetId="30">#REF!</definedName>
    <definedName name="DGC_80" localSheetId="25">#REF!</definedName>
    <definedName name="DGC_80" localSheetId="28">#REF!</definedName>
    <definedName name="DGC_80" localSheetId="29">#REF!</definedName>
    <definedName name="DGC_80" localSheetId="12">#REF!</definedName>
    <definedName name="DGC_80" localSheetId="43">#REF!</definedName>
    <definedName name="DGC_80" localSheetId="42">#REF!</definedName>
    <definedName name="DGC_80" localSheetId="27">#REF!</definedName>
    <definedName name="DGC_80" localSheetId="45">#REF!</definedName>
    <definedName name="DGC_80">#REF!</definedName>
    <definedName name="DGCB_100" localSheetId="30">#REF!</definedName>
    <definedName name="DGCB_100" localSheetId="25">#REF!</definedName>
    <definedName name="DGCB_100" localSheetId="28">#REF!</definedName>
    <definedName name="DGCB_100" localSheetId="29">#REF!</definedName>
    <definedName name="DGCB_100" localSheetId="12">#REF!</definedName>
    <definedName name="DGCB_100" localSheetId="43">#REF!</definedName>
    <definedName name="DGCB_100" localSheetId="42">#REF!</definedName>
    <definedName name="DGCB_100" localSheetId="27">#REF!</definedName>
    <definedName name="DGCB_100" localSheetId="45">#REF!</definedName>
    <definedName name="DGCB_100">#REF!</definedName>
    <definedName name="DGCB_15" localSheetId="30">#REF!</definedName>
    <definedName name="DGCB_15" localSheetId="25">#REF!</definedName>
    <definedName name="DGCB_15" localSheetId="28">#REF!</definedName>
    <definedName name="DGCB_15" localSheetId="29">#REF!</definedName>
    <definedName name="DGCB_15" localSheetId="12">#REF!</definedName>
    <definedName name="DGCB_15" localSheetId="43">#REF!</definedName>
    <definedName name="DGCB_15" localSheetId="42">#REF!</definedName>
    <definedName name="DGCB_15" localSheetId="27">#REF!</definedName>
    <definedName name="DGCB_15" localSheetId="45">#REF!</definedName>
    <definedName name="DGCB_15">#REF!</definedName>
    <definedName name="DGCB_20" localSheetId="30">#REF!</definedName>
    <definedName name="DGCB_20" localSheetId="25">#REF!</definedName>
    <definedName name="DGCB_20" localSheetId="28">#REF!</definedName>
    <definedName name="DGCB_20" localSheetId="29">#REF!</definedName>
    <definedName name="DGCB_20" localSheetId="12">#REF!</definedName>
    <definedName name="DGCB_20" localSheetId="43">#REF!</definedName>
    <definedName name="DGCB_20" localSheetId="42">#REF!</definedName>
    <definedName name="DGCB_20" localSheetId="27">#REF!</definedName>
    <definedName name="DGCB_20" localSheetId="45">#REF!</definedName>
    <definedName name="DGCB_20">#REF!</definedName>
    <definedName name="DGCB_25" localSheetId="30">#REF!</definedName>
    <definedName name="DGCB_25" localSheetId="25">#REF!</definedName>
    <definedName name="DGCB_25" localSheetId="28">#REF!</definedName>
    <definedName name="DGCB_25" localSheetId="29">#REF!</definedName>
    <definedName name="DGCB_25" localSheetId="12">#REF!</definedName>
    <definedName name="DGCB_25" localSheetId="43">#REF!</definedName>
    <definedName name="DGCB_25" localSheetId="42">#REF!</definedName>
    <definedName name="DGCB_25" localSheetId="27">#REF!</definedName>
    <definedName name="DGCB_25" localSheetId="45">#REF!</definedName>
    <definedName name="DGCB_25">#REF!</definedName>
    <definedName name="DGCB_32" localSheetId="30">#REF!</definedName>
    <definedName name="DGCB_32" localSheetId="25">#REF!</definedName>
    <definedName name="DGCB_32" localSheetId="28">#REF!</definedName>
    <definedName name="DGCB_32" localSheetId="29">#REF!</definedName>
    <definedName name="DGCB_32" localSheetId="12">#REF!</definedName>
    <definedName name="DGCB_32" localSheetId="43">#REF!</definedName>
    <definedName name="DGCB_32" localSheetId="42">#REF!</definedName>
    <definedName name="DGCB_32" localSheetId="27">#REF!</definedName>
    <definedName name="DGCB_32" localSheetId="45">#REF!</definedName>
    <definedName name="DGCB_32">#REF!</definedName>
    <definedName name="DGCB_40" localSheetId="30">#REF!</definedName>
    <definedName name="DGCB_40" localSheetId="25">#REF!</definedName>
    <definedName name="DGCB_40" localSheetId="28">#REF!</definedName>
    <definedName name="DGCB_40" localSheetId="29">#REF!</definedName>
    <definedName name="DGCB_40" localSheetId="12">#REF!</definedName>
    <definedName name="DGCB_40" localSheetId="43">#REF!</definedName>
    <definedName name="DGCB_40" localSheetId="42">#REF!</definedName>
    <definedName name="DGCB_40" localSheetId="27">#REF!</definedName>
    <definedName name="DGCB_40" localSheetId="45">#REF!</definedName>
    <definedName name="DGCB_40">#REF!</definedName>
    <definedName name="DGCB_50" localSheetId="30">#REF!</definedName>
    <definedName name="DGCB_50" localSheetId="25">#REF!</definedName>
    <definedName name="DGCB_50" localSheetId="28">#REF!</definedName>
    <definedName name="DGCB_50" localSheetId="29">#REF!</definedName>
    <definedName name="DGCB_50" localSheetId="12">#REF!</definedName>
    <definedName name="DGCB_50" localSheetId="43">#REF!</definedName>
    <definedName name="DGCB_50" localSheetId="42">#REF!</definedName>
    <definedName name="DGCB_50" localSheetId="27">#REF!</definedName>
    <definedName name="DGCB_50" localSheetId="45">#REF!</definedName>
    <definedName name="DGCB_50">#REF!</definedName>
    <definedName name="DGCB_65" localSheetId="30">#REF!</definedName>
    <definedName name="DGCB_65" localSheetId="25">#REF!</definedName>
    <definedName name="DGCB_65" localSheetId="28">#REF!</definedName>
    <definedName name="DGCB_65" localSheetId="29">#REF!</definedName>
    <definedName name="DGCB_65" localSheetId="12">#REF!</definedName>
    <definedName name="DGCB_65" localSheetId="43">#REF!</definedName>
    <definedName name="DGCB_65" localSheetId="42">#REF!</definedName>
    <definedName name="DGCB_65" localSheetId="27">#REF!</definedName>
    <definedName name="DGCB_65" localSheetId="45">#REF!</definedName>
    <definedName name="DGCB_65">#REF!</definedName>
    <definedName name="DGCB_80" localSheetId="30">#REF!</definedName>
    <definedName name="DGCB_80" localSheetId="25">#REF!</definedName>
    <definedName name="DGCB_80" localSheetId="28">#REF!</definedName>
    <definedName name="DGCB_80" localSheetId="29">#REF!</definedName>
    <definedName name="DGCB_80" localSheetId="12">#REF!</definedName>
    <definedName name="DGCB_80" localSheetId="43">#REF!</definedName>
    <definedName name="DGCB_80" localSheetId="42">#REF!</definedName>
    <definedName name="DGCB_80" localSheetId="27">#REF!</definedName>
    <definedName name="DGCB_80" localSheetId="45">#REF!</definedName>
    <definedName name="DGCB_80">#REF!</definedName>
    <definedName name="DGCW" localSheetId="30">#REF!</definedName>
    <definedName name="DGCW" localSheetId="25">#REF!</definedName>
    <definedName name="DGCW" localSheetId="28">#REF!</definedName>
    <definedName name="DGCW" localSheetId="29">#REF!</definedName>
    <definedName name="DGCW" localSheetId="12">#REF!</definedName>
    <definedName name="DGCW" localSheetId="43">#REF!</definedName>
    <definedName name="DGCW" localSheetId="42">#REF!</definedName>
    <definedName name="DGCW" localSheetId="27">#REF!</definedName>
    <definedName name="DGCW" localSheetId="45">#REF!</definedName>
    <definedName name="DGCW">#REF!</definedName>
    <definedName name="DGR" localSheetId="30">#REF!</definedName>
    <definedName name="DGR" localSheetId="25">#REF!</definedName>
    <definedName name="DGR" localSheetId="28">#REF!</definedName>
    <definedName name="DGR" localSheetId="29">#REF!</definedName>
    <definedName name="DGR" localSheetId="12">#REF!</definedName>
    <definedName name="DGR" localSheetId="43">#REF!</definedName>
    <definedName name="DGR" localSheetId="42">#REF!</definedName>
    <definedName name="DGR" localSheetId="27">#REF!</definedName>
    <definedName name="DGR" localSheetId="45">#REF!</definedName>
    <definedName name="DGR">#REF!</definedName>
    <definedName name="DGS" localSheetId="30">#REF!</definedName>
    <definedName name="DGS" localSheetId="25">#REF!</definedName>
    <definedName name="DGS" localSheetId="28">#REF!</definedName>
    <definedName name="DGS" localSheetId="29">#REF!</definedName>
    <definedName name="DGS" localSheetId="12">#REF!</definedName>
    <definedName name="DGS" localSheetId="43">#REF!</definedName>
    <definedName name="DGS" localSheetId="42">#REF!</definedName>
    <definedName name="DGS" localSheetId="27">#REF!</definedName>
    <definedName name="DGS" localSheetId="45">#REF!</definedName>
    <definedName name="DGS">#REF!</definedName>
    <definedName name="DGT" localSheetId="30">#REF!</definedName>
    <definedName name="DGT" localSheetId="25">#REF!</definedName>
    <definedName name="DGT" localSheetId="28">#REF!</definedName>
    <definedName name="DGT" localSheetId="29">#REF!</definedName>
    <definedName name="DGT" localSheetId="12">#REF!</definedName>
    <definedName name="DGT" localSheetId="43">#REF!</definedName>
    <definedName name="DGT" localSheetId="42">#REF!</definedName>
    <definedName name="DGT" localSheetId="27">#REF!</definedName>
    <definedName name="DGT" localSheetId="45">#REF!</definedName>
    <definedName name="DGT">#REF!</definedName>
    <definedName name="DGWF" localSheetId="30">#REF!</definedName>
    <definedName name="DGWF" localSheetId="25">#REF!</definedName>
    <definedName name="DGWF" localSheetId="28">#REF!</definedName>
    <definedName name="DGWF" localSheetId="29">#REF!</definedName>
    <definedName name="DGWF" localSheetId="12">#REF!</definedName>
    <definedName name="DGWF" localSheetId="43">#REF!</definedName>
    <definedName name="DGWF" localSheetId="42">#REF!</definedName>
    <definedName name="DGWF" localSheetId="27">#REF!</definedName>
    <definedName name="DGWF" localSheetId="45">#REF!</definedName>
    <definedName name="DGWF">#REF!</definedName>
    <definedName name="Diagowar">'[14]update Rate'!$E$163</definedName>
    <definedName name="DIB1125_100" localSheetId="30">#REF!</definedName>
    <definedName name="DIB1125_100" localSheetId="25">#REF!</definedName>
    <definedName name="DIB1125_100" localSheetId="28">#REF!</definedName>
    <definedName name="DIB1125_100" localSheetId="29">#REF!</definedName>
    <definedName name="DIB1125_100" localSheetId="12">#REF!</definedName>
    <definedName name="DIB1125_100" localSheetId="43">#REF!</definedName>
    <definedName name="DIB1125_100" localSheetId="42">#REF!</definedName>
    <definedName name="DIB1125_100" localSheetId="27">#REF!</definedName>
    <definedName name="DIB1125_100" localSheetId="45">#REF!</definedName>
    <definedName name="DIB1125_100">#REF!</definedName>
    <definedName name="DIB1125_125" localSheetId="30">#REF!</definedName>
    <definedName name="DIB1125_125" localSheetId="25">#REF!</definedName>
    <definedName name="DIB1125_125" localSheetId="28">#REF!</definedName>
    <definedName name="DIB1125_125" localSheetId="29">#REF!</definedName>
    <definedName name="DIB1125_125" localSheetId="12">#REF!</definedName>
    <definedName name="DIB1125_125" localSheetId="43">#REF!</definedName>
    <definedName name="DIB1125_125" localSheetId="42">#REF!</definedName>
    <definedName name="DIB1125_125" localSheetId="27">#REF!</definedName>
    <definedName name="DIB1125_125" localSheetId="45">#REF!</definedName>
    <definedName name="DIB1125_125">#REF!</definedName>
    <definedName name="DIB1125_150" localSheetId="30">#REF!</definedName>
    <definedName name="DIB1125_150" localSheetId="25">#REF!</definedName>
    <definedName name="DIB1125_150" localSheetId="28">#REF!</definedName>
    <definedName name="DIB1125_150" localSheetId="29">#REF!</definedName>
    <definedName name="DIB1125_150" localSheetId="12">#REF!</definedName>
    <definedName name="DIB1125_150" localSheetId="43">#REF!</definedName>
    <definedName name="DIB1125_150" localSheetId="42">#REF!</definedName>
    <definedName name="DIB1125_150" localSheetId="27">#REF!</definedName>
    <definedName name="DIB1125_150" localSheetId="45">#REF!</definedName>
    <definedName name="DIB1125_150">#REF!</definedName>
    <definedName name="DIB1125_200" localSheetId="30">#REF!</definedName>
    <definedName name="DIB1125_200" localSheetId="25">#REF!</definedName>
    <definedName name="DIB1125_200" localSheetId="28">#REF!</definedName>
    <definedName name="DIB1125_200" localSheetId="29">#REF!</definedName>
    <definedName name="DIB1125_200" localSheetId="12">#REF!</definedName>
    <definedName name="DIB1125_200" localSheetId="43">#REF!</definedName>
    <definedName name="DIB1125_200" localSheetId="42">#REF!</definedName>
    <definedName name="DIB1125_200" localSheetId="27">#REF!</definedName>
    <definedName name="DIB1125_200" localSheetId="45">#REF!</definedName>
    <definedName name="DIB1125_200">#REF!</definedName>
    <definedName name="DIB1125_250" localSheetId="30">#REF!</definedName>
    <definedName name="DIB1125_250" localSheetId="25">#REF!</definedName>
    <definedName name="DIB1125_250" localSheetId="28">#REF!</definedName>
    <definedName name="DIB1125_250" localSheetId="29">#REF!</definedName>
    <definedName name="DIB1125_250" localSheetId="12">#REF!</definedName>
    <definedName name="DIB1125_250" localSheetId="43">#REF!</definedName>
    <definedName name="DIB1125_250" localSheetId="42">#REF!</definedName>
    <definedName name="DIB1125_250" localSheetId="27">#REF!</definedName>
    <definedName name="DIB1125_250" localSheetId="45">#REF!</definedName>
    <definedName name="DIB1125_250">#REF!</definedName>
    <definedName name="DIB1125_300" localSheetId="30">#REF!</definedName>
    <definedName name="DIB1125_300" localSheetId="25">#REF!</definedName>
    <definedName name="DIB1125_300" localSheetId="28">#REF!</definedName>
    <definedName name="DIB1125_300" localSheetId="29">#REF!</definedName>
    <definedName name="DIB1125_300" localSheetId="12">#REF!</definedName>
    <definedName name="DIB1125_300" localSheetId="43">#REF!</definedName>
    <definedName name="DIB1125_300" localSheetId="42">#REF!</definedName>
    <definedName name="DIB1125_300" localSheetId="27">#REF!</definedName>
    <definedName name="DIB1125_300" localSheetId="45">#REF!</definedName>
    <definedName name="DIB1125_300">#REF!</definedName>
    <definedName name="DIB1125_350" localSheetId="30">#REF!</definedName>
    <definedName name="DIB1125_350" localSheetId="25">#REF!</definedName>
    <definedName name="DIB1125_350" localSheetId="28">#REF!</definedName>
    <definedName name="DIB1125_350" localSheetId="29">#REF!</definedName>
    <definedName name="DIB1125_350" localSheetId="12">#REF!</definedName>
    <definedName name="DIB1125_350" localSheetId="43">#REF!</definedName>
    <definedName name="DIB1125_350" localSheetId="42">#REF!</definedName>
    <definedName name="DIB1125_350" localSheetId="27">#REF!</definedName>
    <definedName name="DIB1125_350" localSheetId="45">#REF!</definedName>
    <definedName name="DIB1125_350">#REF!</definedName>
    <definedName name="DIB1125_400" localSheetId="30">#REF!</definedName>
    <definedName name="DIB1125_400" localSheetId="25">#REF!</definedName>
    <definedName name="DIB1125_400" localSheetId="28">#REF!</definedName>
    <definedName name="DIB1125_400" localSheetId="29">#REF!</definedName>
    <definedName name="DIB1125_400" localSheetId="12">#REF!</definedName>
    <definedName name="DIB1125_400" localSheetId="43">#REF!</definedName>
    <definedName name="DIB1125_400" localSheetId="42">#REF!</definedName>
    <definedName name="DIB1125_400" localSheetId="27">#REF!</definedName>
    <definedName name="DIB1125_400" localSheetId="45">#REF!</definedName>
    <definedName name="DIB1125_400">#REF!</definedName>
    <definedName name="DIB1125_450" localSheetId="30">#REF!</definedName>
    <definedName name="DIB1125_450" localSheetId="25">#REF!</definedName>
    <definedName name="DIB1125_450" localSheetId="28">#REF!</definedName>
    <definedName name="DIB1125_450" localSheetId="29">#REF!</definedName>
    <definedName name="DIB1125_450" localSheetId="12">#REF!</definedName>
    <definedName name="DIB1125_450" localSheetId="43">#REF!</definedName>
    <definedName name="DIB1125_450" localSheetId="42">#REF!</definedName>
    <definedName name="DIB1125_450" localSheetId="27">#REF!</definedName>
    <definedName name="DIB1125_450" localSheetId="45">#REF!</definedName>
    <definedName name="DIB1125_450">#REF!</definedName>
    <definedName name="DIB1125_500" localSheetId="30">#REF!</definedName>
    <definedName name="DIB1125_500" localSheetId="25">#REF!</definedName>
    <definedName name="DIB1125_500" localSheetId="28">#REF!</definedName>
    <definedName name="DIB1125_500" localSheetId="29">#REF!</definedName>
    <definedName name="DIB1125_500" localSheetId="12">#REF!</definedName>
    <definedName name="DIB1125_500" localSheetId="43">#REF!</definedName>
    <definedName name="DIB1125_500" localSheetId="42">#REF!</definedName>
    <definedName name="DIB1125_500" localSheetId="27">#REF!</definedName>
    <definedName name="DIB1125_500" localSheetId="45">#REF!</definedName>
    <definedName name="DIB1125_500">#REF!</definedName>
    <definedName name="DIB1125_600" localSheetId="30">#REF!</definedName>
    <definedName name="DIB1125_600" localSheetId="25">#REF!</definedName>
    <definedName name="DIB1125_600" localSheetId="28">#REF!</definedName>
    <definedName name="DIB1125_600" localSheetId="29">#REF!</definedName>
    <definedName name="DIB1125_600" localSheetId="12">#REF!</definedName>
    <definedName name="DIB1125_600" localSheetId="43">#REF!</definedName>
    <definedName name="DIB1125_600" localSheetId="42">#REF!</definedName>
    <definedName name="DIB1125_600" localSheetId="27">#REF!</definedName>
    <definedName name="DIB1125_600" localSheetId="45">#REF!</definedName>
    <definedName name="DIB1125_600">#REF!</definedName>
    <definedName name="DIB1125_80" localSheetId="30">#REF!</definedName>
    <definedName name="DIB1125_80" localSheetId="25">#REF!</definedName>
    <definedName name="DIB1125_80" localSheetId="28">#REF!</definedName>
    <definedName name="DIB1125_80" localSheetId="29">#REF!</definedName>
    <definedName name="DIB1125_80" localSheetId="12">#REF!</definedName>
    <definedName name="DIB1125_80" localSheetId="43">#REF!</definedName>
    <definedName name="DIB1125_80" localSheetId="42">#REF!</definedName>
    <definedName name="DIB1125_80" localSheetId="27">#REF!</definedName>
    <definedName name="DIB1125_80" localSheetId="45">#REF!</definedName>
    <definedName name="DIB1125_80">#REF!</definedName>
    <definedName name="DIB2260_100" localSheetId="30">#REF!</definedName>
    <definedName name="DIB2260_100" localSheetId="25">#REF!</definedName>
    <definedName name="DIB2260_100" localSheetId="28">#REF!</definedName>
    <definedName name="DIB2260_100" localSheetId="29">#REF!</definedName>
    <definedName name="DIB2260_100" localSheetId="12">#REF!</definedName>
    <definedName name="DIB2260_100" localSheetId="43">#REF!</definedName>
    <definedName name="DIB2260_100" localSheetId="42">#REF!</definedName>
    <definedName name="DIB2260_100" localSheetId="27">#REF!</definedName>
    <definedName name="DIB2260_100" localSheetId="45">#REF!</definedName>
    <definedName name="DIB2260_100">#REF!</definedName>
    <definedName name="DIB2260_125" localSheetId="30">#REF!</definedName>
    <definedName name="DIB2260_125" localSheetId="25">#REF!</definedName>
    <definedName name="DIB2260_125" localSheetId="28">#REF!</definedName>
    <definedName name="DIB2260_125" localSheetId="29">#REF!</definedName>
    <definedName name="DIB2260_125" localSheetId="12">#REF!</definedName>
    <definedName name="DIB2260_125" localSheetId="43">#REF!</definedName>
    <definedName name="DIB2260_125" localSheetId="42">#REF!</definedName>
    <definedName name="DIB2260_125" localSheetId="27">#REF!</definedName>
    <definedName name="DIB2260_125" localSheetId="45">#REF!</definedName>
    <definedName name="DIB2260_125">#REF!</definedName>
    <definedName name="DIB2260_150" localSheetId="30">#REF!</definedName>
    <definedName name="DIB2260_150" localSheetId="25">#REF!</definedName>
    <definedName name="DIB2260_150" localSheetId="28">#REF!</definedName>
    <definedName name="DIB2260_150" localSheetId="29">#REF!</definedName>
    <definedName name="DIB2260_150" localSheetId="12">#REF!</definedName>
    <definedName name="DIB2260_150" localSheetId="43">#REF!</definedName>
    <definedName name="DIB2260_150" localSheetId="42">#REF!</definedName>
    <definedName name="DIB2260_150" localSheetId="27">#REF!</definedName>
    <definedName name="DIB2260_150" localSheetId="45">#REF!</definedName>
    <definedName name="DIB2260_150">#REF!</definedName>
    <definedName name="DIB2260_200" localSheetId="30">#REF!</definedName>
    <definedName name="DIB2260_200" localSheetId="25">#REF!</definedName>
    <definedName name="DIB2260_200" localSheetId="28">#REF!</definedName>
    <definedName name="DIB2260_200" localSheetId="29">#REF!</definedName>
    <definedName name="DIB2260_200" localSheetId="12">#REF!</definedName>
    <definedName name="DIB2260_200" localSheetId="43">#REF!</definedName>
    <definedName name="DIB2260_200" localSheetId="42">#REF!</definedName>
    <definedName name="DIB2260_200" localSheetId="27">#REF!</definedName>
    <definedName name="DIB2260_200" localSheetId="45">#REF!</definedName>
    <definedName name="DIB2260_200">#REF!</definedName>
    <definedName name="DIB2260_250" localSheetId="30">#REF!</definedName>
    <definedName name="DIB2260_250" localSheetId="25">#REF!</definedName>
    <definedName name="DIB2260_250" localSheetId="28">#REF!</definedName>
    <definedName name="DIB2260_250" localSheetId="29">#REF!</definedName>
    <definedName name="DIB2260_250" localSheetId="12">#REF!</definedName>
    <definedName name="DIB2260_250" localSheetId="43">#REF!</definedName>
    <definedName name="DIB2260_250" localSheetId="42">#REF!</definedName>
    <definedName name="DIB2260_250" localSheetId="27">#REF!</definedName>
    <definedName name="DIB2260_250" localSheetId="45">#REF!</definedName>
    <definedName name="DIB2260_250">#REF!</definedName>
    <definedName name="DIB2260_300" localSheetId="30">#REF!</definedName>
    <definedName name="DIB2260_300" localSheetId="25">#REF!</definedName>
    <definedName name="DIB2260_300" localSheetId="28">#REF!</definedName>
    <definedName name="DIB2260_300" localSheetId="29">#REF!</definedName>
    <definedName name="DIB2260_300" localSheetId="12">#REF!</definedName>
    <definedName name="DIB2260_300" localSheetId="43">#REF!</definedName>
    <definedName name="DIB2260_300" localSheetId="42">#REF!</definedName>
    <definedName name="DIB2260_300" localSheetId="27">#REF!</definedName>
    <definedName name="DIB2260_300" localSheetId="45">#REF!</definedName>
    <definedName name="DIB2260_300">#REF!</definedName>
    <definedName name="DIB2260_350" localSheetId="30">#REF!</definedName>
    <definedName name="DIB2260_350" localSheetId="25">#REF!</definedName>
    <definedName name="DIB2260_350" localSheetId="28">#REF!</definedName>
    <definedName name="DIB2260_350" localSheetId="29">#REF!</definedName>
    <definedName name="DIB2260_350" localSheetId="12">#REF!</definedName>
    <definedName name="DIB2260_350" localSheetId="43">#REF!</definedName>
    <definedName name="DIB2260_350" localSheetId="42">#REF!</definedName>
    <definedName name="DIB2260_350" localSheetId="27">#REF!</definedName>
    <definedName name="DIB2260_350" localSheetId="45">#REF!</definedName>
    <definedName name="DIB2260_350">#REF!</definedName>
    <definedName name="DIB2260_400" localSheetId="30">#REF!</definedName>
    <definedName name="DIB2260_400" localSheetId="25">#REF!</definedName>
    <definedName name="DIB2260_400" localSheetId="28">#REF!</definedName>
    <definedName name="DIB2260_400" localSheetId="29">#REF!</definedName>
    <definedName name="DIB2260_400" localSheetId="12">#REF!</definedName>
    <definedName name="DIB2260_400" localSheetId="43">#REF!</definedName>
    <definedName name="DIB2260_400" localSheetId="42">#REF!</definedName>
    <definedName name="DIB2260_400" localSheetId="27">#REF!</definedName>
    <definedName name="DIB2260_400" localSheetId="45">#REF!</definedName>
    <definedName name="DIB2260_400">#REF!</definedName>
    <definedName name="DIB2260_450" localSheetId="30">#REF!</definedName>
    <definedName name="DIB2260_450" localSheetId="25">#REF!</definedName>
    <definedName name="DIB2260_450" localSheetId="28">#REF!</definedName>
    <definedName name="DIB2260_450" localSheetId="29">#REF!</definedName>
    <definedName name="DIB2260_450" localSheetId="12">#REF!</definedName>
    <definedName name="DIB2260_450" localSheetId="43">#REF!</definedName>
    <definedName name="DIB2260_450" localSheetId="42">#REF!</definedName>
    <definedName name="DIB2260_450" localSheetId="27">#REF!</definedName>
    <definedName name="DIB2260_450" localSheetId="45">#REF!</definedName>
    <definedName name="DIB2260_450">#REF!</definedName>
    <definedName name="DIB2260_500" localSheetId="30">#REF!</definedName>
    <definedName name="DIB2260_500" localSheetId="25">#REF!</definedName>
    <definedName name="DIB2260_500" localSheetId="28">#REF!</definedName>
    <definedName name="DIB2260_500" localSheetId="29">#REF!</definedName>
    <definedName name="DIB2260_500" localSheetId="12">#REF!</definedName>
    <definedName name="DIB2260_500" localSheetId="43">#REF!</definedName>
    <definedName name="DIB2260_500" localSheetId="42">#REF!</definedName>
    <definedName name="DIB2260_500" localSheetId="27">#REF!</definedName>
    <definedName name="DIB2260_500" localSheetId="45">#REF!</definedName>
    <definedName name="DIB2260_500">#REF!</definedName>
    <definedName name="DIB2260_600" localSheetId="30">#REF!</definedName>
    <definedName name="DIB2260_600" localSheetId="25">#REF!</definedName>
    <definedName name="DIB2260_600" localSheetId="28">#REF!</definedName>
    <definedName name="DIB2260_600" localSheetId="29">#REF!</definedName>
    <definedName name="DIB2260_600" localSheetId="12">#REF!</definedName>
    <definedName name="DIB2260_600" localSheetId="43">#REF!</definedName>
    <definedName name="DIB2260_600" localSheetId="42">#REF!</definedName>
    <definedName name="DIB2260_600" localSheetId="27">#REF!</definedName>
    <definedName name="DIB2260_600" localSheetId="45">#REF!</definedName>
    <definedName name="DIB2260_600">#REF!</definedName>
    <definedName name="DIB2260_80" localSheetId="30">#REF!</definedName>
    <definedName name="DIB2260_80" localSheetId="25">#REF!</definedName>
    <definedName name="DIB2260_80" localSheetId="28">#REF!</definedName>
    <definedName name="DIB2260_80" localSheetId="29">#REF!</definedName>
    <definedName name="DIB2260_80" localSheetId="12">#REF!</definedName>
    <definedName name="DIB2260_80" localSheetId="43">#REF!</definedName>
    <definedName name="DIB2260_80" localSheetId="42">#REF!</definedName>
    <definedName name="DIB2260_80" localSheetId="27">#REF!</definedName>
    <definedName name="DIB2260_80" localSheetId="45">#REF!</definedName>
    <definedName name="DIB2260_80">#REF!</definedName>
    <definedName name="DIB45_100" localSheetId="30">#REF!</definedName>
    <definedName name="DIB45_100" localSheetId="25">#REF!</definedName>
    <definedName name="DIB45_100" localSheetId="28">#REF!</definedName>
    <definedName name="DIB45_100" localSheetId="29">#REF!</definedName>
    <definedName name="DIB45_100" localSheetId="12">#REF!</definedName>
    <definedName name="DIB45_100" localSheetId="43">#REF!</definedName>
    <definedName name="DIB45_100" localSheetId="42">#REF!</definedName>
    <definedName name="DIB45_100" localSheetId="27">#REF!</definedName>
    <definedName name="DIB45_100" localSheetId="45">#REF!</definedName>
    <definedName name="DIB45_100">#REF!</definedName>
    <definedName name="DIB45_125" localSheetId="30">#REF!</definedName>
    <definedName name="DIB45_125" localSheetId="25">#REF!</definedName>
    <definedName name="DIB45_125" localSheetId="28">#REF!</definedName>
    <definedName name="DIB45_125" localSheetId="29">#REF!</definedName>
    <definedName name="DIB45_125" localSheetId="12">#REF!</definedName>
    <definedName name="DIB45_125" localSheetId="43">#REF!</definedName>
    <definedName name="DIB45_125" localSheetId="42">#REF!</definedName>
    <definedName name="DIB45_125" localSheetId="27">#REF!</definedName>
    <definedName name="DIB45_125" localSheetId="45">#REF!</definedName>
    <definedName name="DIB45_125">#REF!</definedName>
    <definedName name="DIB45_150" localSheetId="30">#REF!</definedName>
    <definedName name="DIB45_150" localSheetId="25">#REF!</definedName>
    <definedName name="DIB45_150" localSheetId="28">#REF!</definedName>
    <definedName name="DIB45_150" localSheetId="29">#REF!</definedName>
    <definedName name="DIB45_150" localSheetId="12">#REF!</definedName>
    <definedName name="DIB45_150" localSheetId="43">#REF!</definedName>
    <definedName name="DIB45_150" localSheetId="42">#REF!</definedName>
    <definedName name="DIB45_150" localSheetId="27">#REF!</definedName>
    <definedName name="DIB45_150" localSheetId="45">#REF!</definedName>
    <definedName name="DIB45_150">#REF!</definedName>
    <definedName name="DIB45_200" localSheetId="30">#REF!</definedName>
    <definedName name="DIB45_200" localSheetId="25">#REF!</definedName>
    <definedName name="DIB45_200" localSheetId="28">#REF!</definedName>
    <definedName name="DIB45_200" localSheetId="29">#REF!</definedName>
    <definedName name="DIB45_200" localSheetId="12">#REF!</definedName>
    <definedName name="DIB45_200" localSheetId="43">#REF!</definedName>
    <definedName name="DIB45_200" localSheetId="42">#REF!</definedName>
    <definedName name="DIB45_200" localSheetId="27">#REF!</definedName>
    <definedName name="DIB45_200" localSheetId="45">#REF!</definedName>
    <definedName name="DIB45_200">#REF!</definedName>
    <definedName name="DIB45_250" localSheetId="30">#REF!</definedName>
    <definedName name="DIB45_250" localSheetId="25">#REF!</definedName>
    <definedName name="DIB45_250" localSheetId="28">#REF!</definedName>
    <definedName name="DIB45_250" localSheetId="29">#REF!</definedName>
    <definedName name="DIB45_250" localSheetId="12">#REF!</definedName>
    <definedName name="DIB45_250" localSheetId="43">#REF!</definedName>
    <definedName name="DIB45_250" localSheetId="42">#REF!</definedName>
    <definedName name="DIB45_250" localSheetId="27">#REF!</definedName>
    <definedName name="DIB45_250" localSheetId="45">#REF!</definedName>
    <definedName name="DIB45_250">#REF!</definedName>
    <definedName name="DIB45_300" localSheetId="30">#REF!</definedName>
    <definedName name="DIB45_300" localSheetId="25">#REF!</definedName>
    <definedName name="DIB45_300" localSheetId="28">#REF!</definedName>
    <definedName name="DIB45_300" localSheetId="29">#REF!</definedName>
    <definedName name="DIB45_300" localSheetId="12">#REF!</definedName>
    <definedName name="DIB45_300" localSheetId="43">#REF!</definedName>
    <definedName name="DIB45_300" localSheetId="42">#REF!</definedName>
    <definedName name="DIB45_300" localSheetId="27">#REF!</definedName>
    <definedName name="DIB45_300" localSheetId="45">#REF!</definedName>
    <definedName name="DIB45_300">#REF!</definedName>
    <definedName name="DIB45_350" localSheetId="30">#REF!</definedName>
    <definedName name="DIB45_350" localSheetId="25">#REF!</definedName>
    <definedName name="DIB45_350" localSheetId="28">#REF!</definedName>
    <definedName name="DIB45_350" localSheetId="29">#REF!</definedName>
    <definedName name="DIB45_350" localSheetId="12">#REF!</definedName>
    <definedName name="DIB45_350" localSheetId="43">#REF!</definedName>
    <definedName name="DIB45_350" localSheetId="42">#REF!</definedName>
    <definedName name="DIB45_350" localSheetId="27">#REF!</definedName>
    <definedName name="DIB45_350" localSheetId="45">#REF!</definedName>
    <definedName name="DIB45_350">#REF!</definedName>
    <definedName name="DIB45_400" localSheetId="30">#REF!</definedName>
    <definedName name="DIB45_400" localSheetId="25">#REF!</definedName>
    <definedName name="DIB45_400" localSheetId="28">#REF!</definedName>
    <definedName name="DIB45_400" localSheetId="29">#REF!</definedName>
    <definedName name="DIB45_400" localSheetId="12">#REF!</definedName>
    <definedName name="DIB45_400" localSheetId="43">#REF!</definedName>
    <definedName name="DIB45_400" localSheetId="42">#REF!</definedName>
    <definedName name="DIB45_400" localSheetId="27">#REF!</definedName>
    <definedName name="DIB45_400" localSheetId="45">#REF!</definedName>
    <definedName name="DIB45_400">#REF!</definedName>
    <definedName name="DIB45_450" localSheetId="30">#REF!</definedName>
    <definedName name="DIB45_450" localSheetId="25">#REF!</definedName>
    <definedName name="DIB45_450" localSheetId="28">#REF!</definedName>
    <definedName name="DIB45_450" localSheetId="29">#REF!</definedName>
    <definedName name="DIB45_450" localSheetId="12">#REF!</definedName>
    <definedName name="DIB45_450" localSheetId="43">#REF!</definedName>
    <definedName name="DIB45_450" localSheetId="42">#REF!</definedName>
    <definedName name="DIB45_450" localSheetId="27">#REF!</definedName>
    <definedName name="DIB45_450" localSheetId="45">#REF!</definedName>
    <definedName name="DIB45_450">#REF!</definedName>
    <definedName name="DIB45_500" localSheetId="30">#REF!</definedName>
    <definedName name="DIB45_500" localSheetId="25">#REF!</definedName>
    <definedName name="DIB45_500" localSheetId="28">#REF!</definedName>
    <definedName name="DIB45_500" localSheetId="29">#REF!</definedName>
    <definedName name="DIB45_500" localSheetId="12">#REF!</definedName>
    <definedName name="DIB45_500" localSheetId="43">#REF!</definedName>
    <definedName name="DIB45_500" localSheetId="42">#REF!</definedName>
    <definedName name="DIB45_500" localSheetId="27">#REF!</definedName>
    <definedName name="DIB45_500" localSheetId="45">#REF!</definedName>
    <definedName name="DIB45_500">#REF!</definedName>
    <definedName name="DIB45_600" localSheetId="30">#REF!</definedName>
    <definedName name="DIB45_600" localSheetId="25">#REF!</definedName>
    <definedName name="DIB45_600" localSheetId="28">#REF!</definedName>
    <definedName name="DIB45_600" localSheetId="29">#REF!</definedName>
    <definedName name="DIB45_600" localSheetId="12">#REF!</definedName>
    <definedName name="DIB45_600" localSheetId="43">#REF!</definedName>
    <definedName name="DIB45_600" localSheetId="42">#REF!</definedName>
    <definedName name="DIB45_600" localSheetId="27">#REF!</definedName>
    <definedName name="DIB45_600" localSheetId="45">#REF!</definedName>
    <definedName name="DIB45_600">#REF!</definedName>
    <definedName name="DIB45_80" localSheetId="30">#REF!</definedName>
    <definedName name="DIB45_80" localSheetId="25">#REF!</definedName>
    <definedName name="DIB45_80" localSheetId="28">#REF!</definedName>
    <definedName name="DIB45_80" localSheetId="29">#REF!</definedName>
    <definedName name="DIB45_80" localSheetId="12">#REF!</definedName>
    <definedName name="DIB45_80" localSheetId="43">#REF!</definedName>
    <definedName name="DIB45_80" localSheetId="42">#REF!</definedName>
    <definedName name="DIB45_80" localSheetId="27">#REF!</definedName>
    <definedName name="DIB45_80" localSheetId="45">#REF!</definedName>
    <definedName name="DIB45_80">#REF!</definedName>
    <definedName name="DIB90_100" localSheetId="30">#REF!</definedName>
    <definedName name="DIB90_100" localSheetId="25">#REF!</definedName>
    <definedName name="DIB90_100" localSheetId="28">#REF!</definedName>
    <definedName name="DIB90_100" localSheetId="29">#REF!</definedName>
    <definedName name="DIB90_100" localSheetId="12">#REF!</definedName>
    <definedName name="DIB90_100" localSheetId="43">#REF!</definedName>
    <definedName name="DIB90_100" localSheetId="42">#REF!</definedName>
    <definedName name="DIB90_100" localSheetId="27">#REF!</definedName>
    <definedName name="DIB90_100" localSheetId="45">#REF!</definedName>
    <definedName name="DIB90_100">#REF!</definedName>
    <definedName name="DIB90_125" localSheetId="30">#REF!</definedName>
    <definedName name="DIB90_125" localSheetId="25">#REF!</definedName>
    <definedName name="DIB90_125" localSheetId="28">#REF!</definedName>
    <definedName name="DIB90_125" localSheetId="29">#REF!</definedName>
    <definedName name="DIB90_125" localSheetId="12">#REF!</definedName>
    <definedName name="DIB90_125" localSheetId="43">#REF!</definedName>
    <definedName name="DIB90_125" localSheetId="42">#REF!</definedName>
    <definedName name="DIB90_125" localSheetId="27">#REF!</definedName>
    <definedName name="DIB90_125" localSheetId="45">#REF!</definedName>
    <definedName name="DIB90_125">#REF!</definedName>
    <definedName name="DIB90_150" localSheetId="30">#REF!</definedName>
    <definedName name="DIB90_150" localSheetId="25">#REF!</definedName>
    <definedName name="DIB90_150" localSheetId="28">#REF!</definedName>
    <definedName name="DIB90_150" localSheetId="29">#REF!</definedName>
    <definedName name="DIB90_150" localSheetId="12">#REF!</definedName>
    <definedName name="DIB90_150" localSheetId="43">#REF!</definedName>
    <definedName name="DIB90_150" localSheetId="42">#REF!</definedName>
    <definedName name="DIB90_150" localSheetId="27">#REF!</definedName>
    <definedName name="DIB90_150" localSheetId="45">#REF!</definedName>
    <definedName name="DIB90_150">#REF!</definedName>
    <definedName name="DIB90_200" localSheetId="30">#REF!</definedName>
    <definedName name="DIB90_200" localSheetId="25">#REF!</definedName>
    <definedName name="DIB90_200" localSheetId="28">#REF!</definedName>
    <definedName name="DIB90_200" localSheetId="29">#REF!</definedName>
    <definedName name="DIB90_200" localSheetId="12">#REF!</definedName>
    <definedName name="DIB90_200" localSheetId="43">#REF!</definedName>
    <definedName name="DIB90_200" localSheetId="42">#REF!</definedName>
    <definedName name="DIB90_200" localSheetId="27">#REF!</definedName>
    <definedName name="DIB90_200" localSheetId="45">#REF!</definedName>
    <definedName name="DIB90_200">#REF!</definedName>
    <definedName name="DIB90_250" localSheetId="30">#REF!</definedName>
    <definedName name="DIB90_250" localSheetId="25">#REF!</definedName>
    <definedName name="DIB90_250" localSheetId="28">#REF!</definedName>
    <definedName name="DIB90_250" localSheetId="29">#REF!</definedName>
    <definedName name="DIB90_250" localSheetId="12">#REF!</definedName>
    <definedName name="DIB90_250" localSheetId="43">#REF!</definedName>
    <definedName name="DIB90_250" localSheetId="42">#REF!</definedName>
    <definedName name="DIB90_250" localSheetId="27">#REF!</definedName>
    <definedName name="DIB90_250" localSheetId="45">#REF!</definedName>
    <definedName name="DIB90_250">#REF!</definedName>
    <definedName name="DIB90_300" localSheetId="30">#REF!</definedName>
    <definedName name="DIB90_300" localSheetId="25">#REF!</definedName>
    <definedName name="DIB90_300" localSheetId="28">#REF!</definedName>
    <definedName name="DIB90_300" localSheetId="29">#REF!</definedName>
    <definedName name="DIB90_300" localSheetId="12">#REF!</definedName>
    <definedName name="DIB90_300" localSheetId="43">#REF!</definedName>
    <definedName name="DIB90_300" localSheetId="42">#REF!</definedName>
    <definedName name="DIB90_300" localSheetId="27">#REF!</definedName>
    <definedName name="DIB90_300" localSheetId="45">#REF!</definedName>
    <definedName name="DIB90_300">#REF!</definedName>
    <definedName name="DIB90_350" localSheetId="30">#REF!</definedName>
    <definedName name="DIB90_350" localSheetId="25">#REF!</definedName>
    <definedName name="DIB90_350" localSheetId="28">#REF!</definedName>
    <definedName name="DIB90_350" localSheetId="29">#REF!</definedName>
    <definedName name="DIB90_350" localSheetId="12">#REF!</definedName>
    <definedName name="DIB90_350" localSheetId="43">#REF!</definedName>
    <definedName name="DIB90_350" localSheetId="42">#REF!</definedName>
    <definedName name="DIB90_350" localSheetId="27">#REF!</definedName>
    <definedName name="DIB90_350" localSheetId="45">#REF!</definedName>
    <definedName name="DIB90_350">#REF!</definedName>
    <definedName name="DIB90_400" localSheetId="30">#REF!</definedName>
    <definedName name="DIB90_400" localSheetId="25">#REF!</definedName>
    <definedName name="DIB90_400" localSheetId="28">#REF!</definedName>
    <definedName name="DIB90_400" localSheetId="29">#REF!</definedName>
    <definedName name="DIB90_400" localSheetId="12">#REF!</definedName>
    <definedName name="DIB90_400" localSheetId="43">#REF!</definedName>
    <definedName name="DIB90_400" localSheetId="42">#REF!</definedName>
    <definedName name="DIB90_400" localSheetId="27">#REF!</definedName>
    <definedName name="DIB90_400" localSheetId="45">#REF!</definedName>
    <definedName name="DIB90_400">#REF!</definedName>
    <definedName name="DIB90_450" localSheetId="30">#REF!</definedName>
    <definedName name="DIB90_450" localSheetId="25">#REF!</definedName>
    <definedName name="DIB90_450" localSheetId="28">#REF!</definedName>
    <definedName name="DIB90_450" localSheetId="29">#REF!</definedName>
    <definedName name="DIB90_450" localSheetId="12">#REF!</definedName>
    <definedName name="DIB90_450" localSheetId="43">#REF!</definedName>
    <definedName name="DIB90_450" localSheetId="42">#REF!</definedName>
    <definedName name="DIB90_450" localSheetId="27">#REF!</definedName>
    <definedName name="DIB90_450" localSheetId="45">#REF!</definedName>
    <definedName name="DIB90_450">#REF!</definedName>
    <definedName name="DIB90_500" localSheetId="30">#REF!</definedName>
    <definedName name="DIB90_500" localSheetId="25">#REF!</definedName>
    <definedName name="DIB90_500" localSheetId="28">#REF!</definedName>
    <definedName name="DIB90_500" localSheetId="29">#REF!</definedName>
    <definedName name="DIB90_500" localSheetId="12">#REF!</definedName>
    <definedName name="DIB90_500" localSheetId="43">#REF!</definedName>
    <definedName name="DIB90_500" localSheetId="42">#REF!</definedName>
    <definedName name="DIB90_500" localSheetId="27">#REF!</definedName>
    <definedName name="DIB90_500" localSheetId="45">#REF!</definedName>
    <definedName name="DIB90_500">#REF!</definedName>
    <definedName name="DIB90_600" localSheetId="30">#REF!</definedName>
    <definedName name="DIB90_600" localSheetId="25">#REF!</definedName>
    <definedName name="DIB90_600" localSheetId="28">#REF!</definedName>
    <definedName name="DIB90_600" localSheetId="29">#REF!</definedName>
    <definedName name="DIB90_600" localSheetId="12">#REF!</definedName>
    <definedName name="DIB90_600" localSheetId="43">#REF!</definedName>
    <definedName name="DIB90_600" localSheetId="42">#REF!</definedName>
    <definedName name="DIB90_600" localSheetId="27">#REF!</definedName>
    <definedName name="DIB90_600" localSheetId="45">#REF!</definedName>
    <definedName name="DIB90_600">#REF!</definedName>
    <definedName name="DIB90_80" localSheetId="30">#REF!</definedName>
    <definedName name="DIB90_80" localSheetId="25">#REF!</definedName>
    <definedName name="DIB90_80" localSheetId="28">#REF!</definedName>
    <definedName name="DIB90_80" localSheetId="29">#REF!</definedName>
    <definedName name="DIB90_80" localSheetId="12">#REF!</definedName>
    <definedName name="DIB90_80" localSheetId="43">#REF!</definedName>
    <definedName name="DIB90_80" localSheetId="42">#REF!</definedName>
    <definedName name="DIB90_80" localSheetId="27">#REF!</definedName>
    <definedName name="DIB90_80" localSheetId="45">#REF!</definedName>
    <definedName name="DIB90_80">#REF!</definedName>
    <definedName name="DIBM_100" localSheetId="30">#REF!</definedName>
    <definedName name="DIBM_100" localSheetId="25">#REF!</definedName>
    <definedName name="DIBM_100" localSheetId="28">#REF!</definedName>
    <definedName name="DIBM_100" localSheetId="29">#REF!</definedName>
    <definedName name="DIBM_100" localSheetId="12">#REF!</definedName>
    <definedName name="DIBM_100" localSheetId="43">#REF!</definedName>
    <definedName name="DIBM_100" localSheetId="42">#REF!</definedName>
    <definedName name="DIBM_100" localSheetId="27">#REF!</definedName>
    <definedName name="DIBM_100" localSheetId="45">#REF!</definedName>
    <definedName name="DIBM_100">#REF!</definedName>
    <definedName name="DIBM_125" localSheetId="30">#REF!</definedName>
    <definedName name="DIBM_125" localSheetId="25">#REF!</definedName>
    <definedName name="DIBM_125" localSheetId="28">#REF!</definedName>
    <definedName name="DIBM_125" localSheetId="29">#REF!</definedName>
    <definedName name="DIBM_125" localSheetId="12">#REF!</definedName>
    <definedName name="DIBM_125" localSheetId="43">#REF!</definedName>
    <definedName name="DIBM_125" localSheetId="42">#REF!</definedName>
    <definedName name="DIBM_125" localSheetId="27">#REF!</definedName>
    <definedName name="DIBM_125" localSheetId="45">#REF!</definedName>
    <definedName name="DIBM_125">#REF!</definedName>
    <definedName name="DIBM_150" localSheetId="30">#REF!</definedName>
    <definedName name="DIBM_150" localSheetId="25">#REF!</definedName>
    <definedName name="DIBM_150" localSheetId="28">#REF!</definedName>
    <definedName name="DIBM_150" localSheetId="29">#REF!</definedName>
    <definedName name="DIBM_150" localSheetId="12">#REF!</definedName>
    <definedName name="DIBM_150" localSheetId="43">#REF!</definedName>
    <definedName name="DIBM_150" localSheetId="42">#REF!</definedName>
    <definedName name="DIBM_150" localSheetId="27">#REF!</definedName>
    <definedName name="DIBM_150" localSheetId="45">#REF!</definedName>
    <definedName name="DIBM_150">#REF!</definedName>
    <definedName name="DIBM_200" localSheetId="30">#REF!</definedName>
    <definedName name="DIBM_200" localSheetId="25">#REF!</definedName>
    <definedName name="DIBM_200" localSheetId="28">#REF!</definedName>
    <definedName name="DIBM_200" localSheetId="29">#REF!</definedName>
    <definedName name="DIBM_200" localSheetId="12">#REF!</definedName>
    <definedName name="DIBM_200" localSheetId="43">#REF!</definedName>
    <definedName name="DIBM_200" localSheetId="42">#REF!</definedName>
    <definedName name="DIBM_200" localSheetId="27">#REF!</definedName>
    <definedName name="DIBM_200" localSheetId="45">#REF!</definedName>
    <definedName name="DIBM_200">#REF!</definedName>
    <definedName name="DIBM_250" localSheetId="30">#REF!</definedName>
    <definedName name="DIBM_250" localSheetId="25">#REF!</definedName>
    <definedName name="DIBM_250" localSheetId="28">#REF!</definedName>
    <definedName name="DIBM_250" localSheetId="29">#REF!</definedName>
    <definedName name="DIBM_250" localSheetId="12">#REF!</definedName>
    <definedName name="DIBM_250" localSheetId="43">#REF!</definedName>
    <definedName name="DIBM_250" localSheetId="42">#REF!</definedName>
    <definedName name="DIBM_250" localSheetId="27">#REF!</definedName>
    <definedName name="DIBM_250" localSheetId="45">#REF!</definedName>
    <definedName name="DIBM_250">#REF!</definedName>
    <definedName name="DIBM_300" localSheetId="30">#REF!</definedName>
    <definedName name="DIBM_300" localSheetId="25">#REF!</definedName>
    <definedName name="DIBM_300" localSheetId="28">#REF!</definedName>
    <definedName name="DIBM_300" localSheetId="29">#REF!</definedName>
    <definedName name="DIBM_300" localSheetId="12">#REF!</definedName>
    <definedName name="DIBM_300" localSheetId="43">#REF!</definedName>
    <definedName name="DIBM_300" localSheetId="42">#REF!</definedName>
    <definedName name="DIBM_300" localSheetId="27">#REF!</definedName>
    <definedName name="DIBM_300" localSheetId="45">#REF!</definedName>
    <definedName name="DIBM_300">#REF!</definedName>
    <definedName name="DIBM_350" localSheetId="30">#REF!</definedName>
    <definedName name="DIBM_350" localSheetId="25">#REF!</definedName>
    <definedName name="DIBM_350" localSheetId="28">#REF!</definedName>
    <definedName name="DIBM_350" localSheetId="29">#REF!</definedName>
    <definedName name="DIBM_350" localSheetId="12">#REF!</definedName>
    <definedName name="DIBM_350" localSheetId="43">#REF!</definedName>
    <definedName name="DIBM_350" localSheetId="42">#REF!</definedName>
    <definedName name="DIBM_350" localSheetId="27">#REF!</definedName>
    <definedName name="DIBM_350" localSheetId="45">#REF!</definedName>
    <definedName name="DIBM_350">#REF!</definedName>
    <definedName name="DIBM_400" localSheetId="30">#REF!</definedName>
    <definedName name="DIBM_400" localSheetId="25">#REF!</definedName>
    <definedName name="DIBM_400" localSheetId="28">#REF!</definedName>
    <definedName name="DIBM_400" localSheetId="29">#REF!</definedName>
    <definedName name="DIBM_400" localSheetId="12">#REF!</definedName>
    <definedName name="DIBM_400" localSheetId="43">#REF!</definedName>
    <definedName name="DIBM_400" localSheetId="42">#REF!</definedName>
    <definedName name="DIBM_400" localSheetId="27">#REF!</definedName>
    <definedName name="DIBM_400" localSheetId="45">#REF!</definedName>
    <definedName name="DIBM_400">#REF!</definedName>
    <definedName name="DIBM_450" localSheetId="30">#REF!</definedName>
    <definedName name="DIBM_450" localSheetId="25">#REF!</definedName>
    <definedName name="DIBM_450" localSheetId="28">#REF!</definedName>
    <definedName name="DIBM_450" localSheetId="29">#REF!</definedName>
    <definedName name="DIBM_450" localSheetId="12">#REF!</definedName>
    <definedName name="DIBM_450" localSheetId="43">#REF!</definedName>
    <definedName name="DIBM_450" localSheetId="42">#REF!</definedName>
    <definedName name="DIBM_450" localSheetId="27">#REF!</definedName>
    <definedName name="DIBM_450" localSheetId="45">#REF!</definedName>
    <definedName name="DIBM_450">#REF!</definedName>
    <definedName name="DIBM_500" localSheetId="30">#REF!</definedName>
    <definedName name="DIBM_500" localSheetId="25">#REF!</definedName>
    <definedName name="DIBM_500" localSheetId="28">#REF!</definedName>
    <definedName name="DIBM_500" localSheetId="29">#REF!</definedName>
    <definedName name="DIBM_500" localSheetId="12">#REF!</definedName>
    <definedName name="DIBM_500" localSheetId="43">#REF!</definedName>
    <definedName name="DIBM_500" localSheetId="42">#REF!</definedName>
    <definedName name="DIBM_500" localSheetId="27">#REF!</definedName>
    <definedName name="DIBM_500" localSheetId="45">#REF!</definedName>
    <definedName name="DIBM_500">#REF!</definedName>
    <definedName name="DIBM_600" localSheetId="30">#REF!</definedName>
    <definedName name="DIBM_600" localSheetId="25">#REF!</definedName>
    <definedName name="DIBM_600" localSheetId="28">#REF!</definedName>
    <definedName name="DIBM_600" localSheetId="29">#REF!</definedName>
    <definedName name="DIBM_600" localSheetId="12">#REF!</definedName>
    <definedName name="DIBM_600" localSheetId="43">#REF!</definedName>
    <definedName name="DIBM_600" localSheetId="42">#REF!</definedName>
    <definedName name="DIBM_600" localSheetId="27">#REF!</definedName>
    <definedName name="DIBM_600" localSheetId="45">#REF!</definedName>
    <definedName name="DIBM_600">#REF!</definedName>
    <definedName name="DIBM_700" localSheetId="30">#REF!</definedName>
    <definedName name="DIBM_700" localSheetId="25">#REF!</definedName>
    <definedName name="DIBM_700" localSheetId="28">#REF!</definedName>
    <definedName name="DIBM_700" localSheetId="29">#REF!</definedName>
    <definedName name="DIBM_700" localSheetId="12">#REF!</definedName>
    <definedName name="DIBM_700" localSheetId="43">#REF!</definedName>
    <definedName name="DIBM_700" localSheetId="42">#REF!</definedName>
    <definedName name="DIBM_700" localSheetId="27">#REF!</definedName>
    <definedName name="DIBM_700" localSheetId="45">#REF!</definedName>
    <definedName name="DIBM_700">#REF!</definedName>
    <definedName name="DIC_100" localSheetId="30">#REF!</definedName>
    <definedName name="DIC_100" localSheetId="25">#REF!</definedName>
    <definedName name="DIC_100" localSheetId="28">#REF!</definedName>
    <definedName name="DIC_100" localSheetId="29">#REF!</definedName>
    <definedName name="DIC_100" localSheetId="12">#REF!</definedName>
    <definedName name="DIC_100" localSheetId="43">#REF!</definedName>
    <definedName name="DIC_100" localSheetId="42">#REF!</definedName>
    <definedName name="DIC_100" localSheetId="27">#REF!</definedName>
    <definedName name="DIC_100" localSheetId="45">#REF!</definedName>
    <definedName name="DIC_100">#REF!</definedName>
    <definedName name="DIC_125" localSheetId="30">#REF!</definedName>
    <definedName name="DIC_125" localSheetId="25">#REF!</definedName>
    <definedName name="DIC_125" localSheetId="28">#REF!</definedName>
    <definedName name="DIC_125" localSheetId="29">#REF!</definedName>
    <definedName name="DIC_125" localSheetId="12">#REF!</definedName>
    <definedName name="DIC_125" localSheetId="43">#REF!</definedName>
    <definedName name="DIC_125" localSheetId="42">#REF!</definedName>
    <definedName name="DIC_125" localSheetId="27">#REF!</definedName>
    <definedName name="DIC_125" localSheetId="45">#REF!</definedName>
    <definedName name="DIC_125">#REF!</definedName>
    <definedName name="DIC_150" localSheetId="30">#REF!</definedName>
    <definedName name="DIC_150" localSheetId="25">#REF!</definedName>
    <definedName name="DIC_150" localSheetId="28">#REF!</definedName>
    <definedName name="DIC_150" localSheetId="29">#REF!</definedName>
    <definedName name="DIC_150" localSheetId="12">#REF!</definedName>
    <definedName name="DIC_150" localSheetId="43">#REF!</definedName>
    <definedName name="DIC_150" localSheetId="42">#REF!</definedName>
    <definedName name="DIC_150" localSheetId="27">#REF!</definedName>
    <definedName name="DIC_150" localSheetId="45">#REF!</definedName>
    <definedName name="DIC_150">#REF!</definedName>
    <definedName name="DIC_200" localSheetId="30">#REF!</definedName>
    <definedName name="DIC_200" localSheetId="25">#REF!</definedName>
    <definedName name="DIC_200" localSheetId="28">#REF!</definedName>
    <definedName name="DIC_200" localSheetId="29">#REF!</definedName>
    <definedName name="DIC_200" localSheetId="12">#REF!</definedName>
    <definedName name="DIC_200" localSheetId="43">#REF!</definedName>
    <definedName name="DIC_200" localSheetId="42">#REF!</definedName>
    <definedName name="DIC_200" localSheetId="27">#REF!</definedName>
    <definedName name="DIC_200" localSheetId="45">#REF!</definedName>
    <definedName name="DIC_200">#REF!</definedName>
    <definedName name="DIC_250" localSheetId="30">#REF!</definedName>
    <definedName name="DIC_250" localSheetId="25">#REF!</definedName>
    <definedName name="DIC_250" localSheetId="28">#REF!</definedName>
    <definedName name="DIC_250" localSheetId="29">#REF!</definedName>
    <definedName name="DIC_250" localSheetId="12">#REF!</definedName>
    <definedName name="DIC_250" localSheetId="43">#REF!</definedName>
    <definedName name="DIC_250" localSheetId="42">#REF!</definedName>
    <definedName name="DIC_250" localSheetId="27">#REF!</definedName>
    <definedName name="DIC_250" localSheetId="45">#REF!</definedName>
    <definedName name="DIC_250">#REF!</definedName>
    <definedName name="DIC_300" localSheetId="30">#REF!</definedName>
    <definedName name="DIC_300" localSheetId="25">#REF!</definedName>
    <definedName name="DIC_300" localSheetId="28">#REF!</definedName>
    <definedName name="DIC_300" localSheetId="29">#REF!</definedName>
    <definedName name="DIC_300" localSheetId="12">#REF!</definedName>
    <definedName name="DIC_300" localSheetId="43">#REF!</definedName>
    <definedName name="DIC_300" localSheetId="42">#REF!</definedName>
    <definedName name="DIC_300" localSheetId="27">#REF!</definedName>
    <definedName name="DIC_300" localSheetId="45">#REF!</definedName>
    <definedName name="DIC_300">#REF!</definedName>
    <definedName name="DIC_350" localSheetId="30">#REF!</definedName>
    <definedName name="DIC_350" localSheetId="25">#REF!</definedName>
    <definedName name="DIC_350" localSheetId="28">#REF!</definedName>
    <definedName name="DIC_350" localSheetId="29">#REF!</definedName>
    <definedName name="DIC_350" localSheetId="12">#REF!</definedName>
    <definedName name="DIC_350" localSheetId="43">#REF!</definedName>
    <definedName name="DIC_350" localSheetId="42">#REF!</definedName>
    <definedName name="DIC_350" localSheetId="27">#REF!</definedName>
    <definedName name="DIC_350" localSheetId="45">#REF!</definedName>
    <definedName name="DIC_350">#REF!</definedName>
    <definedName name="DIC_400" localSheetId="30">#REF!</definedName>
    <definedName name="DIC_400" localSheetId="25">#REF!</definedName>
    <definedName name="DIC_400" localSheetId="28">#REF!</definedName>
    <definedName name="DIC_400" localSheetId="29">#REF!</definedName>
    <definedName name="DIC_400" localSheetId="12">#REF!</definedName>
    <definedName name="DIC_400" localSheetId="43">#REF!</definedName>
    <definedName name="DIC_400" localSheetId="42">#REF!</definedName>
    <definedName name="DIC_400" localSheetId="27">#REF!</definedName>
    <definedName name="DIC_400" localSheetId="45">#REF!</definedName>
    <definedName name="DIC_400">#REF!</definedName>
    <definedName name="DIC_450" localSheetId="30">#REF!</definedName>
    <definedName name="DIC_450" localSheetId="25">#REF!</definedName>
    <definedName name="DIC_450" localSheetId="28">#REF!</definedName>
    <definedName name="DIC_450" localSheetId="29">#REF!</definedName>
    <definedName name="DIC_450" localSheetId="12">#REF!</definedName>
    <definedName name="DIC_450" localSheetId="43">#REF!</definedName>
    <definedName name="DIC_450" localSheetId="42">#REF!</definedName>
    <definedName name="DIC_450" localSheetId="27">#REF!</definedName>
    <definedName name="DIC_450" localSheetId="45">#REF!</definedName>
    <definedName name="DIC_450">#REF!</definedName>
    <definedName name="DIC_500" localSheetId="30">#REF!</definedName>
    <definedName name="DIC_500" localSheetId="25">#REF!</definedName>
    <definedName name="DIC_500" localSheetId="28">#REF!</definedName>
    <definedName name="DIC_500" localSheetId="29">#REF!</definedName>
    <definedName name="DIC_500" localSheetId="12">#REF!</definedName>
    <definedName name="DIC_500" localSheetId="43">#REF!</definedName>
    <definedName name="DIC_500" localSheetId="42">#REF!</definedName>
    <definedName name="DIC_500" localSheetId="27">#REF!</definedName>
    <definedName name="DIC_500" localSheetId="45">#REF!</definedName>
    <definedName name="DIC_500">#REF!</definedName>
    <definedName name="DIC_80" localSheetId="30">#REF!</definedName>
    <definedName name="DIC_80" localSheetId="25">#REF!</definedName>
    <definedName name="DIC_80" localSheetId="28">#REF!</definedName>
    <definedName name="DIC_80" localSheetId="29">#REF!</definedName>
    <definedName name="DIC_80" localSheetId="12">#REF!</definedName>
    <definedName name="DIC_80" localSheetId="43">#REF!</definedName>
    <definedName name="DIC_80" localSheetId="42">#REF!</definedName>
    <definedName name="DIC_80" localSheetId="27">#REF!</definedName>
    <definedName name="DIC_80" localSheetId="45">#REF!</definedName>
    <definedName name="DIC_80">#REF!</definedName>
    <definedName name="DID1126_100" localSheetId="30">#REF!</definedName>
    <definedName name="DID1126_100" localSheetId="25">#REF!</definedName>
    <definedName name="DID1126_100" localSheetId="28">#REF!</definedName>
    <definedName name="DID1126_100" localSheetId="29">#REF!</definedName>
    <definedName name="DID1126_100" localSheetId="12">#REF!</definedName>
    <definedName name="DID1126_100" localSheetId="43">#REF!</definedName>
    <definedName name="DID1126_100" localSheetId="42">#REF!</definedName>
    <definedName name="DID1126_100" localSheetId="27">#REF!</definedName>
    <definedName name="DID1126_100" localSheetId="45">#REF!</definedName>
    <definedName name="DID1126_100">#REF!</definedName>
    <definedName name="DID1126_125" localSheetId="30">#REF!</definedName>
    <definedName name="DID1126_125" localSheetId="25">#REF!</definedName>
    <definedName name="DID1126_125" localSheetId="28">#REF!</definedName>
    <definedName name="DID1126_125" localSheetId="29">#REF!</definedName>
    <definedName name="DID1126_125" localSheetId="12">#REF!</definedName>
    <definedName name="DID1126_125" localSheetId="43">#REF!</definedName>
    <definedName name="DID1126_125" localSheetId="42">#REF!</definedName>
    <definedName name="DID1126_125" localSheetId="27">#REF!</definedName>
    <definedName name="DID1126_125" localSheetId="45">#REF!</definedName>
    <definedName name="DID1126_125">#REF!</definedName>
    <definedName name="DID1126_150" localSheetId="30">#REF!</definedName>
    <definedName name="DID1126_150" localSheetId="25">#REF!</definedName>
    <definedName name="DID1126_150" localSheetId="28">#REF!</definedName>
    <definedName name="DID1126_150" localSheetId="29">#REF!</definedName>
    <definedName name="DID1126_150" localSheetId="12">#REF!</definedName>
    <definedName name="DID1126_150" localSheetId="43">#REF!</definedName>
    <definedName name="DID1126_150" localSheetId="42">#REF!</definedName>
    <definedName name="DID1126_150" localSheetId="27">#REF!</definedName>
    <definedName name="DID1126_150" localSheetId="45">#REF!</definedName>
    <definedName name="DID1126_150">#REF!</definedName>
    <definedName name="DID1126_200" localSheetId="30">#REF!</definedName>
    <definedName name="DID1126_200" localSheetId="25">#REF!</definedName>
    <definedName name="DID1126_200" localSheetId="28">#REF!</definedName>
    <definedName name="DID1126_200" localSheetId="29">#REF!</definedName>
    <definedName name="DID1126_200" localSheetId="12">#REF!</definedName>
    <definedName name="DID1126_200" localSheetId="43">#REF!</definedName>
    <definedName name="DID1126_200" localSheetId="42">#REF!</definedName>
    <definedName name="DID1126_200" localSheetId="27">#REF!</definedName>
    <definedName name="DID1126_200" localSheetId="45">#REF!</definedName>
    <definedName name="DID1126_200">#REF!</definedName>
    <definedName name="DID1126_250" localSheetId="30">#REF!</definedName>
    <definedName name="DID1126_250" localSheetId="25">#REF!</definedName>
    <definedName name="DID1126_250" localSheetId="28">#REF!</definedName>
    <definedName name="DID1126_250" localSheetId="29">#REF!</definedName>
    <definedName name="DID1126_250" localSheetId="12">#REF!</definedName>
    <definedName name="DID1126_250" localSheetId="43">#REF!</definedName>
    <definedName name="DID1126_250" localSheetId="42">#REF!</definedName>
    <definedName name="DID1126_250" localSheetId="27">#REF!</definedName>
    <definedName name="DID1126_250" localSheetId="45">#REF!</definedName>
    <definedName name="DID1126_250">#REF!</definedName>
    <definedName name="DID1126_300" localSheetId="30">#REF!</definedName>
    <definedName name="DID1126_300" localSheetId="25">#REF!</definedName>
    <definedName name="DID1126_300" localSheetId="28">#REF!</definedName>
    <definedName name="DID1126_300" localSheetId="29">#REF!</definedName>
    <definedName name="DID1126_300" localSheetId="12">#REF!</definedName>
    <definedName name="DID1126_300" localSheetId="43">#REF!</definedName>
    <definedName name="DID1126_300" localSheetId="42">#REF!</definedName>
    <definedName name="DID1126_300" localSheetId="27">#REF!</definedName>
    <definedName name="DID1126_300" localSheetId="45">#REF!</definedName>
    <definedName name="DID1126_300">#REF!</definedName>
    <definedName name="DID1126_350" localSheetId="30">#REF!</definedName>
    <definedName name="DID1126_350" localSheetId="25">#REF!</definedName>
    <definedName name="DID1126_350" localSheetId="28">#REF!</definedName>
    <definedName name="DID1126_350" localSheetId="29">#REF!</definedName>
    <definedName name="DID1126_350" localSheetId="12">#REF!</definedName>
    <definedName name="DID1126_350" localSheetId="43">#REF!</definedName>
    <definedName name="DID1126_350" localSheetId="42">#REF!</definedName>
    <definedName name="DID1126_350" localSheetId="27">#REF!</definedName>
    <definedName name="DID1126_350" localSheetId="45">#REF!</definedName>
    <definedName name="DID1126_350">#REF!</definedName>
    <definedName name="DID1126_400" localSheetId="30">#REF!</definedName>
    <definedName name="DID1126_400" localSheetId="25">#REF!</definedName>
    <definedName name="DID1126_400" localSheetId="28">#REF!</definedName>
    <definedName name="DID1126_400" localSheetId="29">#REF!</definedName>
    <definedName name="DID1126_400" localSheetId="12">#REF!</definedName>
    <definedName name="DID1126_400" localSheetId="43">#REF!</definedName>
    <definedName name="DID1126_400" localSheetId="42">#REF!</definedName>
    <definedName name="DID1126_400" localSheetId="27">#REF!</definedName>
    <definedName name="DID1126_400" localSheetId="45">#REF!</definedName>
    <definedName name="DID1126_400">#REF!</definedName>
    <definedName name="DID1126_450" localSheetId="30">#REF!</definedName>
    <definedName name="DID1126_450" localSheetId="25">#REF!</definedName>
    <definedName name="DID1126_450" localSheetId="28">#REF!</definedName>
    <definedName name="DID1126_450" localSheetId="29">#REF!</definedName>
    <definedName name="DID1126_450" localSheetId="12">#REF!</definedName>
    <definedName name="DID1126_450" localSheetId="43">#REF!</definedName>
    <definedName name="DID1126_450" localSheetId="42">#REF!</definedName>
    <definedName name="DID1126_450" localSheetId="27">#REF!</definedName>
    <definedName name="DID1126_450" localSheetId="45">#REF!</definedName>
    <definedName name="DID1126_450">#REF!</definedName>
    <definedName name="DID1126_500" localSheetId="30">#REF!</definedName>
    <definedName name="DID1126_500" localSheetId="25">#REF!</definedName>
    <definedName name="DID1126_500" localSheetId="28">#REF!</definedName>
    <definedName name="DID1126_500" localSheetId="29">#REF!</definedName>
    <definedName name="DID1126_500" localSheetId="12">#REF!</definedName>
    <definedName name="DID1126_500" localSheetId="43">#REF!</definedName>
    <definedName name="DID1126_500" localSheetId="42">#REF!</definedName>
    <definedName name="DID1126_500" localSheetId="27">#REF!</definedName>
    <definedName name="DID1126_500" localSheetId="45">#REF!</definedName>
    <definedName name="DID1126_500">#REF!</definedName>
    <definedName name="DID1126_600" localSheetId="30">#REF!</definedName>
    <definedName name="DID1126_600" localSheetId="25">#REF!</definedName>
    <definedName name="DID1126_600" localSheetId="28">#REF!</definedName>
    <definedName name="DID1126_600" localSheetId="29">#REF!</definedName>
    <definedName name="DID1126_600" localSheetId="12">#REF!</definedName>
    <definedName name="DID1126_600" localSheetId="43">#REF!</definedName>
    <definedName name="DID1126_600" localSheetId="42">#REF!</definedName>
    <definedName name="DID1126_600" localSheetId="27">#REF!</definedName>
    <definedName name="DID1126_600" localSheetId="45">#REF!</definedName>
    <definedName name="DID1126_600">#REF!</definedName>
    <definedName name="DID1126_80" localSheetId="30">#REF!</definedName>
    <definedName name="DID1126_80" localSheetId="25">#REF!</definedName>
    <definedName name="DID1126_80" localSheetId="28">#REF!</definedName>
    <definedName name="DID1126_80" localSheetId="29">#REF!</definedName>
    <definedName name="DID1126_80" localSheetId="12">#REF!</definedName>
    <definedName name="DID1126_80" localSheetId="43">#REF!</definedName>
    <definedName name="DID1126_80" localSheetId="42">#REF!</definedName>
    <definedName name="DID1126_80" localSheetId="27">#REF!</definedName>
    <definedName name="DID1126_80" localSheetId="45">#REF!</definedName>
    <definedName name="DID1126_80">#REF!</definedName>
    <definedName name="DID2260_100" localSheetId="30">#REF!</definedName>
    <definedName name="DID2260_100" localSheetId="25">#REF!</definedName>
    <definedName name="DID2260_100" localSheetId="28">#REF!</definedName>
    <definedName name="DID2260_100" localSheetId="29">#REF!</definedName>
    <definedName name="DID2260_100" localSheetId="12">#REF!</definedName>
    <definedName name="DID2260_100" localSheetId="43">#REF!</definedName>
    <definedName name="DID2260_100" localSheetId="42">#REF!</definedName>
    <definedName name="DID2260_100" localSheetId="27">#REF!</definedName>
    <definedName name="DID2260_100" localSheetId="45">#REF!</definedName>
    <definedName name="DID2260_100">#REF!</definedName>
    <definedName name="DID2260_125" localSheetId="30">#REF!</definedName>
    <definedName name="DID2260_125" localSheetId="25">#REF!</definedName>
    <definedName name="DID2260_125" localSheetId="28">#REF!</definedName>
    <definedName name="DID2260_125" localSheetId="29">#REF!</definedName>
    <definedName name="DID2260_125" localSheetId="12">#REF!</definedName>
    <definedName name="DID2260_125" localSheetId="43">#REF!</definedName>
    <definedName name="DID2260_125" localSheetId="42">#REF!</definedName>
    <definedName name="DID2260_125" localSheetId="27">#REF!</definedName>
    <definedName name="DID2260_125" localSheetId="45">#REF!</definedName>
    <definedName name="DID2260_125">#REF!</definedName>
    <definedName name="DID2260_150" localSheetId="30">#REF!</definedName>
    <definedName name="DID2260_150" localSheetId="25">#REF!</definedName>
    <definedName name="DID2260_150" localSheetId="28">#REF!</definedName>
    <definedName name="DID2260_150" localSheetId="29">#REF!</definedName>
    <definedName name="DID2260_150" localSheetId="12">#REF!</definedName>
    <definedName name="DID2260_150" localSheetId="43">#REF!</definedName>
    <definedName name="DID2260_150" localSheetId="42">#REF!</definedName>
    <definedName name="DID2260_150" localSheetId="27">#REF!</definedName>
    <definedName name="DID2260_150" localSheetId="45">#REF!</definedName>
    <definedName name="DID2260_150">#REF!</definedName>
    <definedName name="DID2260_200" localSheetId="30">#REF!</definedName>
    <definedName name="DID2260_200" localSheetId="25">#REF!</definedName>
    <definedName name="DID2260_200" localSheetId="28">#REF!</definedName>
    <definedName name="DID2260_200" localSheetId="29">#REF!</definedName>
    <definedName name="DID2260_200" localSheetId="12">#REF!</definedName>
    <definedName name="DID2260_200" localSheetId="43">#REF!</definedName>
    <definedName name="DID2260_200" localSheetId="42">#REF!</definedName>
    <definedName name="DID2260_200" localSheetId="27">#REF!</definedName>
    <definedName name="DID2260_200" localSheetId="45">#REF!</definedName>
    <definedName name="DID2260_200">#REF!</definedName>
    <definedName name="DID2260_250" localSheetId="30">#REF!</definedName>
    <definedName name="DID2260_250" localSheetId="25">#REF!</definedName>
    <definedName name="DID2260_250" localSheetId="28">#REF!</definedName>
    <definedName name="DID2260_250" localSheetId="29">#REF!</definedName>
    <definedName name="DID2260_250" localSheetId="12">#REF!</definedName>
    <definedName name="DID2260_250" localSheetId="43">#REF!</definedName>
    <definedName name="DID2260_250" localSheetId="42">#REF!</definedName>
    <definedName name="DID2260_250" localSheetId="27">#REF!</definedName>
    <definedName name="DID2260_250" localSheetId="45">#REF!</definedName>
    <definedName name="DID2260_250">#REF!</definedName>
    <definedName name="DID2260_300" localSheetId="30">#REF!</definedName>
    <definedName name="DID2260_300" localSheetId="25">#REF!</definedName>
    <definedName name="DID2260_300" localSheetId="28">#REF!</definedName>
    <definedName name="DID2260_300" localSheetId="29">#REF!</definedName>
    <definedName name="DID2260_300" localSheetId="12">#REF!</definedName>
    <definedName name="DID2260_300" localSheetId="43">#REF!</definedName>
    <definedName name="DID2260_300" localSheetId="42">#REF!</definedName>
    <definedName name="DID2260_300" localSheetId="27">#REF!</definedName>
    <definedName name="DID2260_300" localSheetId="45">#REF!</definedName>
    <definedName name="DID2260_300">#REF!</definedName>
    <definedName name="DID2260_350" localSheetId="30">#REF!</definedName>
    <definedName name="DID2260_350" localSheetId="25">#REF!</definedName>
    <definedName name="DID2260_350" localSheetId="28">#REF!</definedName>
    <definedName name="DID2260_350" localSheetId="29">#REF!</definedName>
    <definedName name="DID2260_350" localSheetId="12">#REF!</definedName>
    <definedName name="DID2260_350" localSheetId="43">#REF!</definedName>
    <definedName name="DID2260_350" localSheetId="42">#REF!</definedName>
    <definedName name="DID2260_350" localSheetId="27">#REF!</definedName>
    <definedName name="DID2260_350" localSheetId="45">#REF!</definedName>
    <definedName name="DID2260_350">#REF!</definedName>
    <definedName name="DID2260_400" localSheetId="30">#REF!</definedName>
    <definedName name="DID2260_400" localSheetId="25">#REF!</definedName>
    <definedName name="DID2260_400" localSheetId="28">#REF!</definedName>
    <definedName name="DID2260_400" localSheetId="29">#REF!</definedName>
    <definedName name="DID2260_400" localSheetId="12">#REF!</definedName>
    <definedName name="DID2260_400" localSheetId="43">#REF!</definedName>
    <definedName name="DID2260_400" localSheetId="42">#REF!</definedName>
    <definedName name="DID2260_400" localSheetId="27">#REF!</definedName>
    <definedName name="DID2260_400" localSheetId="45">#REF!</definedName>
    <definedName name="DID2260_400">#REF!</definedName>
    <definedName name="DID2260_450" localSheetId="30">#REF!</definedName>
    <definedName name="DID2260_450" localSheetId="25">#REF!</definedName>
    <definedName name="DID2260_450" localSheetId="28">#REF!</definedName>
    <definedName name="DID2260_450" localSheetId="29">#REF!</definedName>
    <definedName name="DID2260_450" localSheetId="12">#REF!</definedName>
    <definedName name="DID2260_450" localSheetId="43">#REF!</definedName>
    <definedName name="DID2260_450" localSheetId="42">#REF!</definedName>
    <definedName name="DID2260_450" localSheetId="27">#REF!</definedName>
    <definedName name="DID2260_450" localSheetId="45">#REF!</definedName>
    <definedName name="DID2260_450">#REF!</definedName>
    <definedName name="DID2260_500" localSheetId="30">#REF!</definedName>
    <definedName name="DID2260_500" localSheetId="25">#REF!</definedName>
    <definedName name="DID2260_500" localSheetId="28">#REF!</definedName>
    <definedName name="DID2260_500" localSheetId="29">#REF!</definedName>
    <definedName name="DID2260_500" localSheetId="12">#REF!</definedName>
    <definedName name="DID2260_500" localSheetId="43">#REF!</definedName>
    <definedName name="DID2260_500" localSheetId="42">#REF!</definedName>
    <definedName name="DID2260_500" localSheetId="27">#REF!</definedName>
    <definedName name="DID2260_500" localSheetId="45">#REF!</definedName>
    <definedName name="DID2260_500">#REF!</definedName>
    <definedName name="DID2260_600" localSheetId="30">#REF!</definedName>
    <definedName name="DID2260_600" localSheetId="25">#REF!</definedName>
    <definedName name="DID2260_600" localSheetId="28">#REF!</definedName>
    <definedName name="DID2260_600" localSheetId="29">#REF!</definedName>
    <definedName name="DID2260_600" localSheetId="12">#REF!</definedName>
    <definedName name="DID2260_600" localSheetId="43">#REF!</definedName>
    <definedName name="DID2260_600" localSheetId="42">#REF!</definedName>
    <definedName name="DID2260_600" localSheetId="27">#REF!</definedName>
    <definedName name="DID2260_600" localSheetId="45">#REF!</definedName>
    <definedName name="DID2260_600">#REF!</definedName>
    <definedName name="DID2260_80" localSheetId="30">#REF!</definedName>
    <definedName name="DID2260_80" localSheetId="25">#REF!</definedName>
    <definedName name="DID2260_80" localSheetId="28">#REF!</definedName>
    <definedName name="DID2260_80" localSheetId="29">#REF!</definedName>
    <definedName name="DID2260_80" localSheetId="12">#REF!</definedName>
    <definedName name="DID2260_80" localSheetId="43">#REF!</definedName>
    <definedName name="DID2260_80" localSheetId="42">#REF!</definedName>
    <definedName name="DID2260_80" localSheetId="27">#REF!</definedName>
    <definedName name="DID2260_80" localSheetId="45">#REF!</definedName>
    <definedName name="DID2260_80">#REF!</definedName>
    <definedName name="DID45_100" localSheetId="30">#REF!</definedName>
    <definedName name="DID45_100" localSheetId="25">#REF!</definedName>
    <definedName name="DID45_100" localSheetId="28">#REF!</definedName>
    <definedName name="DID45_100" localSheetId="29">#REF!</definedName>
    <definedName name="DID45_100" localSheetId="12">#REF!</definedName>
    <definedName name="DID45_100" localSheetId="43">#REF!</definedName>
    <definedName name="DID45_100" localSheetId="42">#REF!</definedName>
    <definedName name="DID45_100" localSheetId="27">#REF!</definedName>
    <definedName name="DID45_100" localSheetId="45">#REF!</definedName>
    <definedName name="DID45_100">#REF!</definedName>
    <definedName name="DID45_125" localSheetId="30">#REF!</definedName>
    <definedName name="DID45_125" localSheetId="25">#REF!</definedName>
    <definedName name="DID45_125" localSheetId="28">#REF!</definedName>
    <definedName name="DID45_125" localSheetId="29">#REF!</definedName>
    <definedName name="DID45_125" localSheetId="12">#REF!</definedName>
    <definedName name="DID45_125" localSheetId="43">#REF!</definedName>
    <definedName name="DID45_125" localSheetId="42">#REF!</definedName>
    <definedName name="DID45_125" localSheetId="27">#REF!</definedName>
    <definedName name="DID45_125" localSheetId="45">#REF!</definedName>
    <definedName name="DID45_125">#REF!</definedName>
    <definedName name="DID45_150" localSheetId="30">#REF!</definedName>
    <definedName name="DID45_150" localSheetId="25">#REF!</definedName>
    <definedName name="DID45_150" localSheetId="28">#REF!</definedName>
    <definedName name="DID45_150" localSheetId="29">#REF!</definedName>
    <definedName name="DID45_150" localSheetId="12">#REF!</definedName>
    <definedName name="DID45_150" localSheetId="43">#REF!</definedName>
    <definedName name="DID45_150" localSheetId="42">#REF!</definedName>
    <definedName name="DID45_150" localSheetId="27">#REF!</definedName>
    <definedName name="DID45_150" localSheetId="45">#REF!</definedName>
    <definedName name="DID45_150">#REF!</definedName>
    <definedName name="DID45_200" localSheetId="30">#REF!</definedName>
    <definedName name="DID45_200" localSheetId="25">#REF!</definedName>
    <definedName name="DID45_200" localSheetId="28">#REF!</definedName>
    <definedName name="DID45_200" localSheetId="29">#REF!</definedName>
    <definedName name="DID45_200" localSheetId="12">#REF!</definedName>
    <definedName name="DID45_200" localSheetId="43">#REF!</definedName>
    <definedName name="DID45_200" localSheetId="42">#REF!</definedName>
    <definedName name="DID45_200" localSheetId="27">#REF!</definedName>
    <definedName name="DID45_200" localSheetId="45">#REF!</definedName>
    <definedName name="DID45_200">#REF!</definedName>
    <definedName name="DID45_250" localSheetId="30">#REF!</definedName>
    <definedName name="DID45_250" localSheetId="25">#REF!</definedName>
    <definedName name="DID45_250" localSheetId="28">#REF!</definedName>
    <definedName name="DID45_250" localSheetId="29">#REF!</definedName>
    <definedName name="DID45_250" localSheetId="12">#REF!</definedName>
    <definedName name="DID45_250" localSheetId="43">#REF!</definedName>
    <definedName name="DID45_250" localSheetId="42">#REF!</definedName>
    <definedName name="DID45_250" localSheetId="27">#REF!</definedName>
    <definedName name="DID45_250" localSheetId="45">#REF!</definedName>
    <definedName name="DID45_250">#REF!</definedName>
    <definedName name="DID45_300" localSheetId="30">#REF!</definedName>
    <definedName name="DID45_300" localSheetId="25">#REF!</definedName>
    <definedName name="DID45_300" localSheetId="28">#REF!</definedName>
    <definedName name="DID45_300" localSheetId="29">#REF!</definedName>
    <definedName name="DID45_300" localSheetId="12">#REF!</definedName>
    <definedName name="DID45_300" localSheetId="43">#REF!</definedName>
    <definedName name="DID45_300" localSheetId="42">#REF!</definedName>
    <definedName name="DID45_300" localSheetId="27">#REF!</definedName>
    <definedName name="DID45_300" localSheetId="45">#REF!</definedName>
    <definedName name="DID45_300">#REF!</definedName>
    <definedName name="DID45_350" localSheetId="30">#REF!</definedName>
    <definedName name="DID45_350" localSheetId="25">#REF!</definedName>
    <definedName name="DID45_350" localSheetId="28">#REF!</definedName>
    <definedName name="DID45_350" localSheetId="29">#REF!</definedName>
    <definedName name="DID45_350" localSheetId="12">#REF!</definedName>
    <definedName name="DID45_350" localSheetId="43">#REF!</definedName>
    <definedName name="DID45_350" localSheetId="42">#REF!</definedName>
    <definedName name="DID45_350" localSheetId="27">#REF!</definedName>
    <definedName name="DID45_350" localSheetId="45">#REF!</definedName>
    <definedName name="DID45_350">#REF!</definedName>
    <definedName name="DID45_400" localSheetId="30">#REF!</definedName>
    <definedName name="DID45_400" localSheetId="25">#REF!</definedName>
    <definedName name="DID45_400" localSheetId="28">#REF!</definedName>
    <definedName name="DID45_400" localSheetId="29">#REF!</definedName>
    <definedName name="DID45_400" localSheetId="12">#REF!</definedName>
    <definedName name="DID45_400" localSheetId="43">#REF!</definedName>
    <definedName name="DID45_400" localSheetId="42">#REF!</definedName>
    <definedName name="DID45_400" localSheetId="27">#REF!</definedName>
    <definedName name="DID45_400" localSheetId="45">#REF!</definedName>
    <definedName name="DID45_400">#REF!</definedName>
    <definedName name="DID45_450" localSheetId="30">#REF!</definedName>
    <definedName name="DID45_450" localSheetId="25">#REF!</definedName>
    <definedName name="DID45_450" localSheetId="28">#REF!</definedName>
    <definedName name="DID45_450" localSheetId="29">#REF!</definedName>
    <definedName name="DID45_450" localSheetId="12">#REF!</definedName>
    <definedName name="DID45_450" localSheetId="43">#REF!</definedName>
    <definedName name="DID45_450" localSheetId="42">#REF!</definedName>
    <definedName name="DID45_450" localSheetId="27">#REF!</definedName>
    <definedName name="DID45_450" localSheetId="45">#REF!</definedName>
    <definedName name="DID45_450">#REF!</definedName>
    <definedName name="DID45_500" localSheetId="30">#REF!</definedName>
    <definedName name="DID45_500" localSheetId="25">#REF!</definedName>
    <definedName name="DID45_500" localSheetId="28">#REF!</definedName>
    <definedName name="DID45_500" localSheetId="29">#REF!</definedName>
    <definedName name="DID45_500" localSheetId="12">#REF!</definedName>
    <definedName name="DID45_500" localSheetId="43">#REF!</definedName>
    <definedName name="DID45_500" localSheetId="42">#REF!</definedName>
    <definedName name="DID45_500" localSheetId="27">#REF!</definedName>
    <definedName name="DID45_500" localSheetId="45">#REF!</definedName>
    <definedName name="DID45_500">#REF!</definedName>
    <definedName name="DID45_600" localSheetId="30">#REF!</definedName>
    <definedName name="DID45_600" localSheetId="25">#REF!</definedName>
    <definedName name="DID45_600" localSheetId="28">#REF!</definedName>
    <definedName name="DID45_600" localSheetId="29">#REF!</definedName>
    <definedName name="DID45_600" localSheetId="12">#REF!</definedName>
    <definedName name="DID45_600" localSheetId="43">#REF!</definedName>
    <definedName name="DID45_600" localSheetId="42">#REF!</definedName>
    <definedName name="DID45_600" localSheetId="27">#REF!</definedName>
    <definedName name="DID45_600" localSheetId="45">#REF!</definedName>
    <definedName name="DID45_600">#REF!</definedName>
    <definedName name="DID45_80" localSheetId="30">#REF!</definedName>
    <definedName name="DID45_80" localSheetId="25">#REF!</definedName>
    <definedName name="DID45_80" localSheetId="28">#REF!</definedName>
    <definedName name="DID45_80" localSheetId="29">#REF!</definedName>
    <definedName name="DID45_80" localSheetId="12">#REF!</definedName>
    <definedName name="DID45_80" localSheetId="43">#REF!</definedName>
    <definedName name="DID45_80" localSheetId="42">#REF!</definedName>
    <definedName name="DID45_80" localSheetId="27">#REF!</definedName>
    <definedName name="DID45_80" localSheetId="45">#REF!</definedName>
    <definedName name="DID45_80">#REF!</definedName>
    <definedName name="DID90_100" localSheetId="30">#REF!</definedName>
    <definedName name="DID90_100" localSheetId="25">#REF!</definedName>
    <definedName name="DID90_100" localSheetId="28">#REF!</definedName>
    <definedName name="DID90_100" localSheetId="29">#REF!</definedName>
    <definedName name="DID90_100" localSheetId="12">#REF!</definedName>
    <definedName name="DID90_100" localSheetId="43">#REF!</definedName>
    <definedName name="DID90_100" localSheetId="42">#REF!</definedName>
    <definedName name="DID90_100" localSheetId="27">#REF!</definedName>
    <definedName name="DID90_100" localSheetId="45">#REF!</definedName>
    <definedName name="DID90_100">#REF!</definedName>
    <definedName name="DID90_125" localSheetId="30">#REF!</definedName>
    <definedName name="DID90_125" localSheetId="25">#REF!</definedName>
    <definedName name="DID90_125" localSheetId="28">#REF!</definedName>
    <definedName name="DID90_125" localSheetId="29">#REF!</definedName>
    <definedName name="DID90_125" localSheetId="12">#REF!</definedName>
    <definedName name="DID90_125" localSheetId="43">#REF!</definedName>
    <definedName name="DID90_125" localSheetId="42">#REF!</definedName>
    <definedName name="DID90_125" localSheetId="27">#REF!</definedName>
    <definedName name="DID90_125" localSheetId="45">#REF!</definedName>
    <definedName name="DID90_125">#REF!</definedName>
    <definedName name="DID90_150" localSheetId="30">#REF!</definedName>
    <definedName name="DID90_150" localSheetId="25">#REF!</definedName>
    <definedName name="DID90_150" localSheetId="28">#REF!</definedName>
    <definedName name="DID90_150" localSheetId="29">#REF!</definedName>
    <definedName name="DID90_150" localSheetId="12">#REF!</definedName>
    <definedName name="DID90_150" localSheetId="43">#REF!</definedName>
    <definedName name="DID90_150" localSheetId="42">#REF!</definedName>
    <definedName name="DID90_150" localSheetId="27">#REF!</definedName>
    <definedName name="DID90_150" localSheetId="45">#REF!</definedName>
    <definedName name="DID90_150">#REF!</definedName>
    <definedName name="DID90_200" localSheetId="30">#REF!</definedName>
    <definedName name="DID90_200" localSheetId="25">#REF!</definedName>
    <definedName name="DID90_200" localSheetId="28">#REF!</definedName>
    <definedName name="DID90_200" localSheetId="29">#REF!</definedName>
    <definedName name="DID90_200" localSheetId="12">#REF!</definedName>
    <definedName name="DID90_200" localSheetId="43">#REF!</definedName>
    <definedName name="DID90_200" localSheetId="42">#REF!</definedName>
    <definedName name="DID90_200" localSheetId="27">#REF!</definedName>
    <definedName name="DID90_200" localSheetId="45">#REF!</definedName>
    <definedName name="DID90_200">#REF!</definedName>
    <definedName name="DID90_250" localSheetId="30">#REF!</definedName>
    <definedName name="DID90_250" localSheetId="25">#REF!</definedName>
    <definedName name="DID90_250" localSheetId="28">#REF!</definedName>
    <definedName name="DID90_250" localSheetId="29">#REF!</definedName>
    <definedName name="DID90_250" localSheetId="12">#REF!</definedName>
    <definedName name="DID90_250" localSheetId="43">#REF!</definedName>
    <definedName name="DID90_250" localSheetId="42">#REF!</definedName>
    <definedName name="DID90_250" localSheetId="27">#REF!</definedName>
    <definedName name="DID90_250" localSheetId="45">#REF!</definedName>
    <definedName name="DID90_250">#REF!</definedName>
    <definedName name="DID90_300" localSheetId="30">#REF!</definedName>
    <definedName name="DID90_300" localSheetId="25">#REF!</definedName>
    <definedName name="DID90_300" localSheetId="28">#REF!</definedName>
    <definedName name="DID90_300" localSheetId="29">#REF!</definedName>
    <definedName name="DID90_300" localSheetId="12">#REF!</definedName>
    <definedName name="DID90_300" localSheetId="43">#REF!</definedName>
    <definedName name="DID90_300" localSheetId="42">#REF!</definedName>
    <definedName name="DID90_300" localSheetId="27">#REF!</definedName>
    <definedName name="DID90_300" localSheetId="45">#REF!</definedName>
    <definedName name="DID90_300">#REF!</definedName>
    <definedName name="DID90_350" localSheetId="30">#REF!</definedName>
    <definedName name="DID90_350" localSheetId="25">#REF!</definedName>
    <definedName name="DID90_350" localSheetId="28">#REF!</definedName>
    <definedName name="DID90_350" localSheetId="29">#REF!</definedName>
    <definedName name="DID90_350" localSheetId="12">#REF!</definedName>
    <definedName name="DID90_350" localSheetId="43">#REF!</definedName>
    <definedName name="DID90_350" localSheetId="42">#REF!</definedName>
    <definedName name="DID90_350" localSheetId="27">#REF!</definedName>
    <definedName name="DID90_350" localSheetId="45">#REF!</definedName>
    <definedName name="DID90_350">#REF!</definedName>
    <definedName name="DID90_400" localSheetId="30">#REF!</definedName>
    <definedName name="DID90_400" localSheetId="25">#REF!</definedName>
    <definedName name="DID90_400" localSheetId="28">#REF!</definedName>
    <definedName name="DID90_400" localSheetId="29">#REF!</definedName>
    <definedName name="DID90_400" localSheetId="12">#REF!</definedName>
    <definedName name="DID90_400" localSheetId="43">#REF!</definedName>
    <definedName name="DID90_400" localSheetId="42">#REF!</definedName>
    <definedName name="DID90_400" localSheetId="27">#REF!</definedName>
    <definedName name="DID90_400" localSheetId="45">#REF!</definedName>
    <definedName name="DID90_400">#REF!</definedName>
    <definedName name="DID90_450" localSheetId="30">#REF!</definedName>
    <definedName name="DID90_450" localSheetId="25">#REF!</definedName>
    <definedName name="DID90_450" localSheetId="28">#REF!</definedName>
    <definedName name="DID90_450" localSheetId="29">#REF!</definedName>
    <definedName name="DID90_450" localSheetId="12">#REF!</definedName>
    <definedName name="DID90_450" localSheetId="43">#REF!</definedName>
    <definedName name="DID90_450" localSheetId="42">#REF!</definedName>
    <definedName name="DID90_450" localSheetId="27">#REF!</definedName>
    <definedName name="DID90_450" localSheetId="45">#REF!</definedName>
    <definedName name="DID90_450">#REF!</definedName>
    <definedName name="DID90_500" localSheetId="30">#REF!</definedName>
    <definedName name="DID90_500" localSheetId="25">#REF!</definedName>
    <definedName name="DID90_500" localSheetId="28">#REF!</definedName>
    <definedName name="DID90_500" localSheetId="29">#REF!</definedName>
    <definedName name="DID90_500" localSheetId="12">#REF!</definedName>
    <definedName name="DID90_500" localSheetId="43">#REF!</definedName>
    <definedName name="DID90_500" localSheetId="42">#REF!</definedName>
    <definedName name="DID90_500" localSheetId="27">#REF!</definedName>
    <definedName name="DID90_500" localSheetId="45">#REF!</definedName>
    <definedName name="DID90_500">#REF!</definedName>
    <definedName name="DID90_600" localSheetId="30">#REF!</definedName>
    <definedName name="DID90_600" localSheetId="25">#REF!</definedName>
    <definedName name="DID90_600" localSheetId="28">#REF!</definedName>
    <definedName name="DID90_600" localSheetId="29">#REF!</definedName>
    <definedName name="DID90_600" localSheetId="12">#REF!</definedName>
    <definedName name="DID90_600" localSheetId="43">#REF!</definedName>
    <definedName name="DID90_600" localSheetId="42">#REF!</definedName>
    <definedName name="DID90_600" localSheetId="27">#REF!</definedName>
    <definedName name="DID90_600" localSheetId="45">#REF!</definedName>
    <definedName name="DID90_600">#REF!</definedName>
    <definedName name="DID90_80" localSheetId="30">#REF!</definedName>
    <definedName name="DID90_80" localSheetId="25">#REF!</definedName>
    <definedName name="DID90_80" localSheetId="28">#REF!</definedName>
    <definedName name="DID90_80" localSheetId="29">#REF!</definedName>
    <definedName name="DID90_80" localSheetId="12">#REF!</definedName>
    <definedName name="DID90_80" localSheetId="43">#REF!</definedName>
    <definedName name="DID90_80" localSheetId="42">#REF!</definedName>
    <definedName name="DID90_80" localSheetId="27">#REF!</definedName>
    <definedName name="DID90_80" localSheetId="45">#REF!</definedName>
    <definedName name="DID90_80">#REF!</definedName>
    <definedName name="DIDA_100" localSheetId="30">#REF!</definedName>
    <definedName name="DIDA_100" localSheetId="25">#REF!</definedName>
    <definedName name="DIDA_100" localSheetId="28">#REF!</definedName>
    <definedName name="DIDA_100" localSheetId="29">#REF!</definedName>
    <definedName name="DIDA_100" localSheetId="12">#REF!</definedName>
    <definedName name="DIDA_100" localSheetId="43">#REF!</definedName>
    <definedName name="DIDA_100" localSheetId="42">#REF!</definedName>
    <definedName name="DIDA_100" localSheetId="27">#REF!</definedName>
    <definedName name="DIDA_100" localSheetId="45">#REF!</definedName>
    <definedName name="DIDA_100">#REF!</definedName>
    <definedName name="DIDA_50" localSheetId="30">#REF!</definedName>
    <definedName name="DIDA_50" localSheetId="25">#REF!</definedName>
    <definedName name="DIDA_50" localSheetId="28">#REF!</definedName>
    <definedName name="DIDA_50" localSheetId="29">#REF!</definedName>
    <definedName name="DIDA_50" localSheetId="12">#REF!</definedName>
    <definedName name="DIDA_50" localSheetId="43">#REF!</definedName>
    <definedName name="DIDA_50" localSheetId="42">#REF!</definedName>
    <definedName name="DIDA_50" localSheetId="27">#REF!</definedName>
    <definedName name="DIDA_50" localSheetId="45">#REF!</definedName>
    <definedName name="DIDA_50">#REF!</definedName>
    <definedName name="DIDA_80" localSheetId="30">#REF!</definedName>
    <definedName name="DIDA_80" localSheetId="25">#REF!</definedName>
    <definedName name="DIDA_80" localSheetId="28">#REF!</definedName>
    <definedName name="DIDA_80" localSheetId="29">#REF!</definedName>
    <definedName name="DIDA_80" localSheetId="12">#REF!</definedName>
    <definedName name="DIDA_80" localSheetId="43">#REF!</definedName>
    <definedName name="DIDA_80" localSheetId="42">#REF!</definedName>
    <definedName name="DIDA_80" localSheetId="27">#REF!</definedName>
    <definedName name="DIDA_80" localSheetId="45">#REF!</definedName>
    <definedName name="DIDA_80">#REF!</definedName>
    <definedName name="Die">[5]DR!$D$51</definedName>
    <definedName name="Diesel">'[22]District Rates'!$E$24</definedName>
    <definedName name="DIF1126_100" localSheetId="30">#REF!</definedName>
    <definedName name="DIF1126_100" localSheetId="25">#REF!</definedName>
    <definedName name="DIF1126_100" localSheetId="28">#REF!</definedName>
    <definedName name="DIF1126_100" localSheetId="29">#REF!</definedName>
    <definedName name="DIF1126_100" localSheetId="12">#REF!</definedName>
    <definedName name="DIF1126_100" localSheetId="43">#REF!</definedName>
    <definedName name="DIF1126_100" localSheetId="42">#REF!</definedName>
    <definedName name="DIF1126_100" localSheetId="27">#REF!</definedName>
    <definedName name="DIF1126_100" localSheetId="45">#REF!</definedName>
    <definedName name="DIF1126_100">#REF!</definedName>
    <definedName name="DIF1126_125" localSheetId="30">#REF!</definedName>
    <definedName name="DIF1126_125" localSheetId="25">#REF!</definedName>
    <definedName name="DIF1126_125" localSheetId="28">#REF!</definedName>
    <definedName name="DIF1126_125" localSheetId="29">#REF!</definedName>
    <definedName name="DIF1126_125" localSheetId="12">#REF!</definedName>
    <definedName name="DIF1126_125" localSheetId="43">#REF!</definedName>
    <definedName name="DIF1126_125" localSheetId="42">#REF!</definedName>
    <definedName name="DIF1126_125" localSheetId="27">#REF!</definedName>
    <definedName name="DIF1126_125" localSheetId="45">#REF!</definedName>
    <definedName name="DIF1126_125">#REF!</definedName>
    <definedName name="DIF1126_150" localSheetId="30">#REF!</definedName>
    <definedName name="DIF1126_150" localSheetId="25">#REF!</definedName>
    <definedName name="DIF1126_150" localSheetId="28">#REF!</definedName>
    <definedName name="DIF1126_150" localSheetId="29">#REF!</definedName>
    <definedName name="DIF1126_150" localSheetId="12">#REF!</definedName>
    <definedName name="DIF1126_150" localSheetId="43">#REF!</definedName>
    <definedName name="DIF1126_150" localSheetId="42">#REF!</definedName>
    <definedName name="DIF1126_150" localSheetId="27">#REF!</definedName>
    <definedName name="DIF1126_150" localSheetId="45">#REF!</definedName>
    <definedName name="DIF1126_150">#REF!</definedName>
    <definedName name="DIF1126_200" localSheetId="30">#REF!</definedName>
    <definedName name="DIF1126_200" localSheetId="25">#REF!</definedName>
    <definedName name="DIF1126_200" localSheetId="28">#REF!</definedName>
    <definedName name="DIF1126_200" localSheetId="29">#REF!</definedName>
    <definedName name="DIF1126_200" localSheetId="12">#REF!</definedName>
    <definedName name="DIF1126_200" localSheetId="43">#REF!</definedName>
    <definedName name="DIF1126_200" localSheetId="42">#REF!</definedName>
    <definedName name="DIF1126_200" localSheetId="27">#REF!</definedName>
    <definedName name="DIF1126_200" localSheetId="45">#REF!</definedName>
    <definedName name="DIF1126_200">#REF!</definedName>
    <definedName name="DIF1126_250" localSheetId="30">#REF!</definedName>
    <definedName name="DIF1126_250" localSheetId="25">#REF!</definedName>
    <definedName name="DIF1126_250" localSheetId="28">#REF!</definedName>
    <definedName name="DIF1126_250" localSheetId="29">#REF!</definedName>
    <definedName name="DIF1126_250" localSheetId="12">#REF!</definedName>
    <definedName name="DIF1126_250" localSheetId="43">#REF!</definedName>
    <definedName name="DIF1126_250" localSheetId="42">#REF!</definedName>
    <definedName name="DIF1126_250" localSheetId="27">#REF!</definedName>
    <definedName name="DIF1126_250" localSheetId="45">#REF!</definedName>
    <definedName name="DIF1126_250">#REF!</definedName>
    <definedName name="DIF1126_300" localSheetId="30">#REF!</definedName>
    <definedName name="DIF1126_300" localSheetId="25">#REF!</definedName>
    <definedName name="DIF1126_300" localSheetId="28">#REF!</definedName>
    <definedName name="DIF1126_300" localSheetId="29">#REF!</definedName>
    <definedName name="DIF1126_300" localSheetId="12">#REF!</definedName>
    <definedName name="DIF1126_300" localSheetId="43">#REF!</definedName>
    <definedName name="DIF1126_300" localSheetId="42">#REF!</definedName>
    <definedName name="DIF1126_300" localSheetId="27">#REF!</definedName>
    <definedName name="DIF1126_300" localSheetId="45">#REF!</definedName>
    <definedName name="DIF1126_300">#REF!</definedName>
    <definedName name="DIF1126_350" localSheetId="30">#REF!</definedName>
    <definedName name="DIF1126_350" localSheetId="25">#REF!</definedName>
    <definedName name="DIF1126_350" localSheetId="28">#REF!</definedName>
    <definedName name="DIF1126_350" localSheetId="29">#REF!</definedName>
    <definedName name="DIF1126_350" localSheetId="12">#REF!</definedName>
    <definedName name="DIF1126_350" localSheetId="43">#REF!</definedName>
    <definedName name="DIF1126_350" localSheetId="42">#REF!</definedName>
    <definedName name="DIF1126_350" localSheetId="27">#REF!</definedName>
    <definedName name="DIF1126_350" localSheetId="45">#REF!</definedName>
    <definedName name="DIF1126_350">#REF!</definedName>
    <definedName name="DIF1126_450" localSheetId="30">#REF!</definedName>
    <definedName name="DIF1126_450" localSheetId="25">#REF!</definedName>
    <definedName name="DIF1126_450" localSheetId="28">#REF!</definedName>
    <definedName name="DIF1126_450" localSheetId="29">#REF!</definedName>
    <definedName name="DIF1126_450" localSheetId="12">#REF!</definedName>
    <definedName name="DIF1126_450" localSheetId="43">#REF!</definedName>
    <definedName name="DIF1126_450" localSheetId="42">#REF!</definedName>
    <definedName name="DIF1126_450" localSheetId="27">#REF!</definedName>
    <definedName name="DIF1126_450" localSheetId="45">#REF!</definedName>
    <definedName name="DIF1126_450">#REF!</definedName>
    <definedName name="DIF1126_500" localSheetId="30">#REF!</definedName>
    <definedName name="DIF1126_500" localSheetId="25">#REF!</definedName>
    <definedName name="DIF1126_500" localSheetId="28">#REF!</definedName>
    <definedName name="DIF1126_500" localSheetId="29">#REF!</definedName>
    <definedName name="DIF1126_500" localSheetId="12">#REF!</definedName>
    <definedName name="DIF1126_500" localSheetId="43">#REF!</definedName>
    <definedName name="DIF1126_500" localSheetId="42">#REF!</definedName>
    <definedName name="DIF1126_500" localSheetId="27">#REF!</definedName>
    <definedName name="DIF1126_500" localSheetId="45">#REF!</definedName>
    <definedName name="DIF1126_500">#REF!</definedName>
    <definedName name="DIF1126_600" localSheetId="30">#REF!</definedName>
    <definedName name="DIF1126_600" localSheetId="25">#REF!</definedName>
    <definedName name="DIF1126_600" localSheetId="28">#REF!</definedName>
    <definedName name="DIF1126_600" localSheetId="29">#REF!</definedName>
    <definedName name="DIF1126_600" localSheetId="12">#REF!</definedName>
    <definedName name="DIF1126_600" localSheetId="43">#REF!</definedName>
    <definedName name="DIF1126_600" localSheetId="42">#REF!</definedName>
    <definedName name="DIF1126_600" localSheetId="27">#REF!</definedName>
    <definedName name="DIF1126_600" localSheetId="45">#REF!</definedName>
    <definedName name="DIF1126_600">#REF!</definedName>
    <definedName name="DIF1126_80" localSheetId="30">#REF!</definedName>
    <definedName name="DIF1126_80" localSheetId="25">#REF!</definedName>
    <definedName name="DIF1126_80" localSheetId="28">#REF!</definedName>
    <definedName name="DIF1126_80" localSheetId="29">#REF!</definedName>
    <definedName name="DIF1126_80" localSheetId="12">#REF!</definedName>
    <definedName name="DIF1126_80" localSheetId="43">#REF!</definedName>
    <definedName name="DIF1126_80" localSheetId="42">#REF!</definedName>
    <definedName name="DIF1126_80" localSheetId="27">#REF!</definedName>
    <definedName name="DIF1126_80" localSheetId="45">#REF!</definedName>
    <definedName name="DIF1126_80">#REF!</definedName>
    <definedName name="DIF2260_100" localSheetId="30">#REF!</definedName>
    <definedName name="DIF2260_100" localSheetId="25">#REF!</definedName>
    <definedName name="DIF2260_100" localSheetId="28">#REF!</definedName>
    <definedName name="DIF2260_100" localSheetId="29">#REF!</definedName>
    <definedName name="DIF2260_100" localSheetId="12">#REF!</definedName>
    <definedName name="DIF2260_100" localSheetId="43">#REF!</definedName>
    <definedName name="DIF2260_100" localSheetId="42">#REF!</definedName>
    <definedName name="DIF2260_100" localSheetId="27">#REF!</definedName>
    <definedName name="DIF2260_100" localSheetId="45">#REF!</definedName>
    <definedName name="DIF2260_100">#REF!</definedName>
    <definedName name="DIF2260_125" localSheetId="30">#REF!</definedName>
    <definedName name="DIF2260_125" localSheetId="25">#REF!</definedName>
    <definedName name="DIF2260_125" localSheetId="28">#REF!</definedName>
    <definedName name="DIF2260_125" localSheetId="29">#REF!</definedName>
    <definedName name="DIF2260_125" localSheetId="12">#REF!</definedName>
    <definedName name="DIF2260_125" localSheetId="43">#REF!</definedName>
    <definedName name="DIF2260_125" localSheetId="42">#REF!</definedName>
    <definedName name="DIF2260_125" localSheetId="27">#REF!</definedName>
    <definedName name="DIF2260_125" localSheetId="45">#REF!</definedName>
    <definedName name="DIF2260_125">#REF!</definedName>
    <definedName name="DIF2260_150" localSheetId="30">#REF!</definedName>
    <definedName name="DIF2260_150" localSheetId="25">#REF!</definedName>
    <definedName name="DIF2260_150" localSheetId="28">#REF!</definedName>
    <definedName name="DIF2260_150" localSheetId="29">#REF!</definedName>
    <definedName name="DIF2260_150" localSheetId="12">#REF!</definedName>
    <definedName name="DIF2260_150" localSheetId="43">#REF!</definedName>
    <definedName name="DIF2260_150" localSheetId="42">#REF!</definedName>
    <definedName name="DIF2260_150" localSheetId="27">#REF!</definedName>
    <definedName name="DIF2260_150" localSheetId="45">#REF!</definedName>
    <definedName name="DIF2260_150">#REF!</definedName>
    <definedName name="DIF2260_200" localSheetId="30">#REF!</definedName>
    <definedName name="DIF2260_200" localSheetId="25">#REF!</definedName>
    <definedName name="DIF2260_200" localSheetId="28">#REF!</definedName>
    <definedName name="DIF2260_200" localSheetId="29">#REF!</definedName>
    <definedName name="DIF2260_200" localSheetId="12">#REF!</definedName>
    <definedName name="DIF2260_200" localSheetId="43">#REF!</definedName>
    <definedName name="DIF2260_200" localSheetId="42">#REF!</definedName>
    <definedName name="DIF2260_200" localSheetId="27">#REF!</definedName>
    <definedName name="DIF2260_200" localSheetId="45">#REF!</definedName>
    <definedName name="DIF2260_200">#REF!</definedName>
    <definedName name="DIF2260_250" localSheetId="30">#REF!</definedName>
    <definedName name="DIF2260_250" localSheetId="25">#REF!</definedName>
    <definedName name="DIF2260_250" localSheetId="28">#REF!</definedName>
    <definedName name="DIF2260_250" localSheetId="29">#REF!</definedName>
    <definedName name="DIF2260_250" localSheetId="12">#REF!</definedName>
    <definedName name="DIF2260_250" localSheetId="43">#REF!</definedName>
    <definedName name="DIF2260_250" localSheetId="42">#REF!</definedName>
    <definedName name="DIF2260_250" localSheetId="27">#REF!</definedName>
    <definedName name="DIF2260_250" localSheetId="45">#REF!</definedName>
    <definedName name="DIF2260_250">#REF!</definedName>
    <definedName name="DIF2260_300" localSheetId="30">#REF!</definedName>
    <definedName name="DIF2260_300" localSheetId="25">#REF!</definedName>
    <definedName name="DIF2260_300" localSheetId="28">#REF!</definedName>
    <definedName name="DIF2260_300" localSheetId="29">#REF!</definedName>
    <definedName name="DIF2260_300" localSheetId="12">#REF!</definedName>
    <definedName name="DIF2260_300" localSheetId="43">#REF!</definedName>
    <definedName name="DIF2260_300" localSheetId="42">#REF!</definedName>
    <definedName name="DIF2260_300" localSheetId="27">#REF!</definedName>
    <definedName name="DIF2260_300" localSheetId="45">#REF!</definedName>
    <definedName name="DIF2260_300">#REF!</definedName>
    <definedName name="DIF2260_350" localSheetId="30">#REF!</definedName>
    <definedName name="DIF2260_350" localSheetId="25">#REF!</definedName>
    <definedName name="DIF2260_350" localSheetId="28">#REF!</definedName>
    <definedName name="DIF2260_350" localSheetId="29">#REF!</definedName>
    <definedName name="DIF2260_350" localSheetId="12">#REF!</definedName>
    <definedName name="DIF2260_350" localSheetId="43">#REF!</definedName>
    <definedName name="DIF2260_350" localSheetId="42">#REF!</definedName>
    <definedName name="DIF2260_350" localSheetId="27">#REF!</definedName>
    <definedName name="DIF2260_350" localSheetId="45">#REF!</definedName>
    <definedName name="DIF2260_350">#REF!</definedName>
    <definedName name="DIF2260_400" localSheetId="30">#REF!</definedName>
    <definedName name="DIF2260_400" localSheetId="25">#REF!</definedName>
    <definedName name="DIF2260_400" localSheetId="28">#REF!</definedName>
    <definedName name="DIF2260_400" localSheetId="29">#REF!</definedName>
    <definedName name="DIF2260_400" localSheetId="12">#REF!</definedName>
    <definedName name="DIF2260_400" localSheetId="43">#REF!</definedName>
    <definedName name="DIF2260_400" localSheetId="42">#REF!</definedName>
    <definedName name="DIF2260_400" localSheetId="27">#REF!</definedName>
    <definedName name="DIF2260_400" localSheetId="45">#REF!</definedName>
    <definedName name="DIF2260_400">#REF!</definedName>
    <definedName name="DIF2260_450" localSheetId="30">#REF!</definedName>
    <definedName name="DIF2260_450" localSheetId="25">#REF!</definedName>
    <definedName name="DIF2260_450" localSheetId="28">#REF!</definedName>
    <definedName name="DIF2260_450" localSheetId="29">#REF!</definedName>
    <definedName name="DIF2260_450" localSheetId="12">#REF!</definedName>
    <definedName name="DIF2260_450" localSheetId="43">#REF!</definedName>
    <definedName name="DIF2260_450" localSheetId="42">#REF!</definedName>
    <definedName name="DIF2260_450" localSheetId="27">#REF!</definedName>
    <definedName name="DIF2260_450" localSheetId="45">#REF!</definedName>
    <definedName name="DIF2260_450">#REF!</definedName>
    <definedName name="DIF2260_500" localSheetId="30">#REF!</definedName>
    <definedName name="DIF2260_500" localSheetId="25">#REF!</definedName>
    <definedName name="DIF2260_500" localSheetId="28">#REF!</definedName>
    <definedName name="DIF2260_500" localSheetId="29">#REF!</definedName>
    <definedName name="DIF2260_500" localSheetId="12">#REF!</definedName>
    <definedName name="DIF2260_500" localSheetId="43">#REF!</definedName>
    <definedName name="DIF2260_500" localSheetId="42">#REF!</definedName>
    <definedName name="DIF2260_500" localSheetId="27">#REF!</definedName>
    <definedName name="DIF2260_500" localSheetId="45">#REF!</definedName>
    <definedName name="DIF2260_500">#REF!</definedName>
    <definedName name="DIF2260_600" localSheetId="30">#REF!</definedName>
    <definedName name="DIF2260_600" localSheetId="25">#REF!</definedName>
    <definedName name="DIF2260_600" localSheetId="28">#REF!</definedName>
    <definedName name="DIF2260_600" localSheetId="29">#REF!</definedName>
    <definedName name="DIF2260_600" localSheetId="12">#REF!</definedName>
    <definedName name="DIF2260_600" localSheetId="43">#REF!</definedName>
    <definedName name="DIF2260_600" localSheetId="42">#REF!</definedName>
    <definedName name="DIF2260_600" localSheetId="27">#REF!</definedName>
    <definedName name="DIF2260_600" localSheetId="45">#REF!</definedName>
    <definedName name="DIF2260_600">#REF!</definedName>
    <definedName name="DIF2260_80" localSheetId="30">#REF!</definedName>
    <definedName name="DIF2260_80" localSheetId="25">#REF!</definedName>
    <definedName name="DIF2260_80" localSheetId="28">#REF!</definedName>
    <definedName name="DIF2260_80" localSheetId="29">#REF!</definedName>
    <definedName name="DIF2260_80" localSheetId="12">#REF!</definedName>
    <definedName name="DIF2260_80" localSheetId="43">#REF!</definedName>
    <definedName name="DIF2260_80" localSheetId="42">#REF!</definedName>
    <definedName name="DIF2260_80" localSheetId="27">#REF!</definedName>
    <definedName name="DIF2260_80" localSheetId="45">#REF!</definedName>
    <definedName name="DIF2260_80">#REF!</definedName>
    <definedName name="DIF45_100" localSheetId="30">#REF!</definedName>
    <definedName name="DIF45_100" localSheetId="25">#REF!</definedName>
    <definedName name="DIF45_100" localSheetId="28">#REF!</definedName>
    <definedName name="DIF45_100" localSheetId="29">#REF!</definedName>
    <definedName name="DIF45_100" localSheetId="12">#REF!</definedName>
    <definedName name="DIF45_100" localSheetId="43">#REF!</definedName>
    <definedName name="DIF45_100" localSheetId="42">#REF!</definedName>
    <definedName name="DIF45_100" localSheetId="27">#REF!</definedName>
    <definedName name="DIF45_100" localSheetId="45">#REF!</definedName>
    <definedName name="DIF45_100">#REF!</definedName>
    <definedName name="DIF45_125" localSheetId="30">#REF!</definedName>
    <definedName name="DIF45_125" localSheetId="25">#REF!</definedName>
    <definedName name="DIF45_125" localSheetId="28">#REF!</definedName>
    <definedName name="DIF45_125" localSheetId="29">#REF!</definedName>
    <definedName name="DIF45_125" localSheetId="12">#REF!</definedName>
    <definedName name="DIF45_125" localSheetId="43">#REF!</definedName>
    <definedName name="DIF45_125" localSheetId="42">#REF!</definedName>
    <definedName name="DIF45_125" localSheetId="27">#REF!</definedName>
    <definedName name="DIF45_125" localSheetId="45">#REF!</definedName>
    <definedName name="DIF45_125">#REF!</definedName>
    <definedName name="DIF45_150" localSheetId="30">#REF!</definedName>
    <definedName name="DIF45_150" localSheetId="25">#REF!</definedName>
    <definedName name="DIF45_150" localSheetId="28">#REF!</definedName>
    <definedName name="DIF45_150" localSheetId="29">#REF!</definedName>
    <definedName name="DIF45_150" localSheetId="12">#REF!</definedName>
    <definedName name="DIF45_150" localSheetId="43">#REF!</definedName>
    <definedName name="DIF45_150" localSheetId="42">#REF!</definedName>
    <definedName name="DIF45_150" localSheetId="27">#REF!</definedName>
    <definedName name="DIF45_150" localSheetId="45">#REF!</definedName>
    <definedName name="DIF45_150">#REF!</definedName>
    <definedName name="DIF45_200" localSheetId="30">#REF!</definedName>
    <definedName name="DIF45_200" localSheetId="25">#REF!</definedName>
    <definedName name="DIF45_200" localSheetId="28">#REF!</definedName>
    <definedName name="DIF45_200" localSheetId="29">#REF!</definedName>
    <definedName name="DIF45_200" localSheetId="12">#REF!</definedName>
    <definedName name="DIF45_200" localSheetId="43">#REF!</definedName>
    <definedName name="DIF45_200" localSheetId="42">#REF!</definedName>
    <definedName name="DIF45_200" localSheetId="27">#REF!</definedName>
    <definedName name="DIF45_200" localSheetId="45">#REF!</definedName>
    <definedName name="DIF45_200">#REF!</definedName>
    <definedName name="DIF45_250" localSheetId="30">#REF!</definedName>
    <definedName name="DIF45_250" localSheetId="25">#REF!</definedName>
    <definedName name="DIF45_250" localSheetId="28">#REF!</definedName>
    <definedName name="DIF45_250" localSheetId="29">#REF!</definedName>
    <definedName name="DIF45_250" localSheetId="12">#REF!</definedName>
    <definedName name="DIF45_250" localSheetId="43">#REF!</definedName>
    <definedName name="DIF45_250" localSheetId="42">#REF!</definedName>
    <definedName name="DIF45_250" localSheetId="27">#REF!</definedName>
    <definedName name="DIF45_250" localSheetId="45">#REF!</definedName>
    <definedName name="DIF45_250">#REF!</definedName>
    <definedName name="DIF45_300" localSheetId="30">#REF!</definedName>
    <definedName name="DIF45_300" localSheetId="25">#REF!</definedName>
    <definedName name="DIF45_300" localSheetId="28">#REF!</definedName>
    <definedName name="DIF45_300" localSheetId="29">#REF!</definedName>
    <definedName name="DIF45_300" localSheetId="12">#REF!</definedName>
    <definedName name="DIF45_300" localSheetId="43">#REF!</definedName>
    <definedName name="DIF45_300" localSheetId="42">#REF!</definedName>
    <definedName name="DIF45_300" localSheetId="27">#REF!</definedName>
    <definedName name="DIF45_300" localSheetId="45">#REF!</definedName>
    <definedName name="DIF45_300">#REF!</definedName>
    <definedName name="DIF45_350" localSheetId="30">#REF!</definedName>
    <definedName name="DIF45_350" localSheetId="25">#REF!</definedName>
    <definedName name="DIF45_350" localSheetId="28">#REF!</definedName>
    <definedName name="DIF45_350" localSheetId="29">#REF!</definedName>
    <definedName name="DIF45_350" localSheetId="12">#REF!</definedName>
    <definedName name="DIF45_350" localSheetId="43">#REF!</definedName>
    <definedName name="DIF45_350" localSheetId="42">#REF!</definedName>
    <definedName name="DIF45_350" localSheetId="27">#REF!</definedName>
    <definedName name="DIF45_350" localSheetId="45">#REF!</definedName>
    <definedName name="DIF45_350">#REF!</definedName>
    <definedName name="DIF45_400" localSheetId="30">#REF!</definedName>
    <definedName name="DIF45_400" localSheetId="25">#REF!</definedName>
    <definedName name="DIF45_400" localSheetId="28">#REF!</definedName>
    <definedName name="DIF45_400" localSheetId="29">#REF!</definedName>
    <definedName name="DIF45_400" localSheetId="12">#REF!</definedName>
    <definedName name="DIF45_400" localSheetId="43">#REF!</definedName>
    <definedName name="DIF45_400" localSheetId="42">#REF!</definedName>
    <definedName name="DIF45_400" localSheetId="27">#REF!</definedName>
    <definedName name="DIF45_400" localSheetId="45">#REF!</definedName>
    <definedName name="DIF45_400">#REF!</definedName>
    <definedName name="DIF45_450" localSheetId="30">#REF!</definedName>
    <definedName name="DIF45_450" localSheetId="25">#REF!</definedName>
    <definedName name="DIF45_450" localSheetId="28">#REF!</definedName>
    <definedName name="DIF45_450" localSheetId="29">#REF!</definedName>
    <definedName name="DIF45_450" localSheetId="12">#REF!</definedName>
    <definedName name="DIF45_450" localSheetId="43">#REF!</definedName>
    <definedName name="DIF45_450" localSheetId="42">#REF!</definedName>
    <definedName name="DIF45_450" localSheetId="27">#REF!</definedName>
    <definedName name="DIF45_450" localSheetId="45">#REF!</definedName>
    <definedName name="DIF45_450">#REF!</definedName>
    <definedName name="DIF45_500" localSheetId="30">#REF!</definedName>
    <definedName name="DIF45_500" localSheetId="25">#REF!</definedName>
    <definedName name="DIF45_500" localSheetId="28">#REF!</definedName>
    <definedName name="DIF45_500" localSheetId="29">#REF!</definedName>
    <definedName name="DIF45_500" localSheetId="12">#REF!</definedName>
    <definedName name="DIF45_500" localSheetId="43">#REF!</definedName>
    <definedName name="DIF45_500" localSheetId="42">#REF!</definedName>
    <definedName name="DIF45_500" localSheetId="27">#REF!</definedName>
    <definedName name="DIF45_500" localSheetId="45">#REF!</definedName>
    <definedName name="DIF45_500">#REF!</definedName>
    <definedName name="DIF45_600" localSheetId="30">#REF!</definedName>
    <definedName name="DIF45_600" localSheetId="25">#REF!</definedName>
    <definedName name="DIF45_600" localSheetId="28">#REF!</definedName>
    <definedName name="DIF45_600" localSheetId="29">#REF!</definedName>
    <definedName name="DIF45_600" localSheetId="12">#REF!</definedName>
    <definedName name="DIF45_600" localSheetId="43">#REF!</definedName>
    <definedName name="DIF45_600" localSheetId="42">#REF!</definedName>
    <definedName name="DIF45_600" localSheetId="27">#REF!</definedName>
    <definedName name="DIF45_600" localSheetId="45">#REF!</definedName>
    <definedName name="DIF45_600">#REF!</definedName>
    <definedName name="DIF45_80" localSheetId="30">#REF!</definedName>
    <definedName name="DIF45_80" localSheetId="25">#REF!</definedName>
    <definedName name="DIF45_80" localSheetId="28">#REF!</definedName>
    <definedName name="DIF45_80" localSheetId="29">#REF!</definedName>
    <definedName name="DIF45_80" localSheetId="12">#REF!</definedName>
    <definedName name="DIF45_80" localSheetId="43">#REF!</definedName>
    <definedName name="DIF45_80" localSheetId="42">#REF!</definedName>
    <definedName name="DIF45_80" localSheetId="27">#REF!</definedName>
    <definedName name="DIF45_80" localSheetId="45">#REF!</definedName>
    <definedName name="DIF45_80">#REF!</definedName>
    <definedName name="DIF90_100" localSheetId="30">#REF!</definedName>
    <definedName name="DIF90_100" localSheetId="25">#REF!</definedName>
    <definedName name="DIF90_100" localSheetId="28">#REF!</definedName>
    <definedName name="DIF90_100" localSheetId="29">#REF!</definedName>
    <definedName name="DIF90_100" localSheetId="12">#REF!</definedName>
    <definedName name="DIF90_100" localSheetId="43">#REF!</definedName>
    <definedName name="DIF90_100" localSheetId="42">#REF!</definedName>
    <definedName name="DIF90_100" localSheetId="27">#REF!</definedName>
    <definedName name="DIF90_100" localSheetId="45">#REF!</definedName>
    <definedName name="DIF90_100">#REF!</definedName>
    <definedName name="DIF90_125" localSheetId="30">#REF!</definedName>
    <definedName name="DIF90_125" localSheetId="25">#REF!</definedName>
    <definedName name="DIF90_125" localSheetId="28">#REF!</definedName>
    <definedName name="DIF90_125" localSheetId="29">#REF!</definedName>
    <definedName name="DIF90_125" localSheetId="12">#REF!</definedName>
    <definedName name="DIF90_125" localSheetId="43">#REF!</definedName>
    <definedName name="DIF90_125" localSheetId="42">#REF!</definedName>
    <definedName name="DIF90_125" localSheetId="27">#REF!</definedName>
    <definedName name="DIF90_125" localSheetId="45">#REF!</definedName>
    <definedName name="DIF90_125">#REF!</definedName>
    <definedName name="DIF90_150" localSheetId="30">#REF!</definedName>
    <definedName name="DIF90_150" localSheetId="25">#REF!</definedName>
    <definedName name="DIF90_150" localSheetId="28">#REF!</definedName>
    <definedName name="DIF90_150" localSheetId="29">#REF!</definedName>
    <definedName name="DIF90_150" localSheetId="12">#REF!</definedName>
    <definedName name="DIF90_150" localSheetId="43">#REF!</definedName>
    <definedName name="DIF90_150" localSheetId="42">#REF!</definedName>
    <definedName name="DIF90_150" localSheetId="27">#REF!</definedName>
    <definedName name="DIF90_150" localSheetId="45">#REF!</definedName>
    <definedName name="DIF90_150">#REF!</definedName>
    <definedName name="DIF90_200" localSheetId="30">#REF!</definedName>
    <definedName name="DIF90_200" localSheetId="25">#REF!</definedName>
    <definedName name="DIF90_200" localSheetId="28">#REF!</definedName>
    <definedName name="DIF90_200" localSheetId="29">#REF!</definedName>
    <definedName name="DIF90_200" localSheetId="12">#REF!</definedName>
    <definedName name="DIF90_200" localSheetId="43">#REF!</definedName>
    <definedName name="DIF90_200" localSheetId="42">#REF!</definedName>
    <definedName name="DIF90_200" localSheetId="27">#REF!</definedName>
    <definedName name="DIF90_200" localSheetId="45">#REF!</definedName>
    <definedName name="DIF90_200">#REF!</definedName>
    <definedName name="DIF90_250" localSheetId="30">#REF!</definedName>
    <definedName name="DIF90_250" localSheetId="25">#REF!</definedName>
    <definedName name="DIF90_250" localSheetId="28">#REF!</definedName>
    <definedName name="DIF90_250" localSheetId="29">#REF!</definedName>
    <definedName name="DIF90_250" localSheetId="12">#REF!</definedName>
    <definedName name="DIF90_250" localSheetId="43">#REF!</definedName>
    <definedName name="DIF90_250" localSheetId="42">#REF!</definedName>
    <definedName name="DIF90_250" localSheetId="27">#REF!</definedName>
    <definedName name="DIF90_250" localSheetId="45">#REF!</definedName>
    <definedName name="DIF90_250">#REF!</definedName>
    <definedName name="DIF90_300" localSheetId="30">#REF!</definedName>
    <definedName name="DIF90_300" localSheetId="25">#REF!</definedName>
    <definedName name="DIF90_300" localSheetId="28">#REF!</definedName>
    <definedName name="DIF90_300" localSheetId="29">#REF!</definedName>
    <definedName name="DIF90_300" localSheetId="12">#REF!</definedName>
    <definedName name="DIF90_300" localSheetId="43">#REF!</definedName>
    <definedName name="DIF90_300" localSheetId="42">#REF!</definedName>
    <definedName name="DIF90_300" localSheetId="27">#REF!</definedName>
    <definedName name="DIF90_300" localSheetId="45">#REF!</definedName>
    <definedName name="DIF90_300">#REF!</definedName>
    <definedName name="DIF90_350" localSheetId="30">#REF!</definedName>
    <definedName name="DIF90_350" localSheetId="25">#REF!</definedName>
    <definedName name="DIF90_350" localSheetId="28">#REF!</definedName>
    <definedName name="DIF90_350" localSheetId="29">#REF!</definedName>
    <definedName name="DIF90_350" localSheetId="12">#REF!</definedName>
    <definedName name="DIF90_350" localSheetId="43">#REF!</definedName>
    <definedName name="DIF90_350" localSheetId="42">#REF!</definedName>
    <definedName name="DIF90_350" localSheetId="27">#REF!</definedName>
    <definedName name="DIF90_350" localSheetId="45">#REF!</definedName>
    <definedName name="DIF90_350">#REF!</definedName>
    <definedName name="DIF90_400" localSheetId="30">#REF!</definedName>
    <definedName name="DIF90_400" localSheetId="25">#REF!</definedName>
    <definedName name="DIF90_400" localSheetId="28">#REF!</definedName>
    <definedName name="DIF90_400" localSheetId="29">#REF!</definedName>
    <definedName name="DIF90_400" localSheetId="12">#REF!</definedName>
    <definedName name="DIF90_400" localSheetId="43">#REF!</definedName>
    <definedName name="DIF90_400" localSheetId="42">#REF!</definedName>
    <definedName name="DIF90_400" localSheetId="27">#REF!</definedName>
    <definedName name="DIF90_400" localSheetId="45">#REF!</definedName>
    <definedName name="DIF90_400">#REF!</definedName>
    <definedName name="DIF90_450" localSheetId="30">#REF!</definedName>
    <definedName name="DIF90_450" localSheetId="25">#REF!</definedName>
    <definedName name="DIF90_450" localSheetId="28">#REF!</definedName>
    <definedName name="DIF90_450" localSheetId="29">#REF!</definedName>
    <definedName name="DIF90_450" localSheetId="12">#REF!</definedName>
    <definedName name="DIF90_450" localSheetId="43">#REF!</definedName>
    <definedName name="DIF90_450" localSheetId="42">#REF!</definedName>
    <definedName name="DIF90_450" localSheetId="27">#REF!</definedName>
    <definedName name="DIF90_450" localSheetId="45">#REF!</definedName>
    <definedName name="DIF90_450">#REF!</definedName>
    <definedName name="DIF90_500" localSheetId="30">#REF!</definedName>
    <definedName name="DIF90_500" localSheetId="25">#REF!</definedName>
    <definedName name="DIF90_500" localSheetId="28">#REF!</definedName>
    <definedName name="DIF90_500" localSheetId="29">#REF!</definedName>
    <definedName name="DIF90_500" localSheetId="12">#REF!</definedName>
    <definedName name="DIF90_500" localSheetId="43">#REF!</definedName>
    <definedName name="DIF90_500" localSheetId="42">#REF!</definedName>
    <definedName name="DIF90_500" localSheetId="27">#REF!</definedName>
    <definedName name="DIF90_500" localSheetId="45">#REF!</definedName>
    <definedName name="DIF90_500">#REF!</definedName>
    <definedName name="DIF90_600" localSheetId="30">#REF!</definedName>
    <definedName name="DIF90_600" localSheetId="25">#REF!</definedName>
    <definedName name="DIF90_600" localSheetId="28">#REF!</definedName>
    <definedName name="DIF90_600" localSheetId="29">#REF!</definedName>
    <definedName name="DIF90_600" localSheetId="12">#REF!</definedName>
    <definedName name="DIF90_600" localSheetId="43">#REF!</definedName>
    <definedName name="DIF90_600" localSheetId="42">#REF!</definedName>
    <definedName name="DIF90_600" localSheetId="27">#REF!</definedName>
    <definedName name="DIF90_600" localSheetId="45">#REF!</definedName>
    <definedName name="DIF90_600">#REF!</definedName>
    <definedName name="DIF90_80" localSheetId="30">#REF!</definedName>
    <definedName name="DIF90_80" localSheetId="25">#REF!</definedName>
    <definedName name="DIF90_80" localSheetId="28">#REF!</definedName>
    <definedName name="DIF90_80" localSheetId="29">#REF!</definedName>
    <definedName name="DIF90_80" localSheetId="12">#REF!</definedName>
    <definedName name="DIF90_80" localSheetId="43">#REF!</definedName>
    <definedName name="DIF90_80" localSheetId="42">#REF!</definedName>
    <definedName name="DIF90_80" localSheetId="27">#REF!</definedName>
    <definedName name="DIF90_80" localSheetId="45">#REF!</definedName>
    <definedName name="DIF90_80">#REF!</definedName>
    <definedName name="DIG_100" localSheetId="30">#REF!</definedName>
    <definedName name="DIG_100" localSheetId="25">#REF!</definedName>
    <definedName name="DIG_100" localSheetId="28">#REF!</definedName>
    <definedName name="DIG_100" localSheetId="29">#REF!</definedName>
    <definedName name="DIG_100" localSheetId="12">#REF!</definedName>
    <definedName name="DIG_100" localSheetId="43">#REF!</definedName>
    <definedName name="DIG_100" localSheetId="42">#REF!</definedName>
    <definedName name="DIG_100" localSheetId="27">#REF!</definedName>
    <definedName name="DIG_100" localSheetId="45">#REF!</definedName>
    <definedName name="DIG_100">#REF!</definedName>
    <definedName name="DIG_125" localSheetId="30">#REF!</definedName>
    <definedName name="DIG_125" localSheetId="25">#REF!</definedName>
    <definedName name="DIG_125" localSheetId="28">#REF!</definedName>
    <definedName name="DIG_125" localSheetId="29">#REF!</definedName>
    <definedName name="DIG_125" localSheetId="12">#REF!</definedName>
    <definedName name="DIG_125" localSheetId="43">#REF!</definedName>
    <definedName name="DIG_125" localSheetId="42">#REF!</definedName>
    <definedName name="DIG_125" localSheetId="27">#REF!</definedName>
    <definedName name="DIG_125" localSheetId="45">#REF!</definedName>
    <definedName name="DIG_125">#REF!</definedName>
    <definedName name="DIG_150" localSheetId="30">#REF!</definedName>
    <definedName name="DIG_150" localSheetId="25">#REF!</definedName>
    <definedName name="DIG_150" localSheetId="28">#REF!</definedName>
    <definedName name="DIG_150" localSheetId="29">#REF!</definedName>
    <definedName name="DIG_150" localSheetId="12">#REF!</definedName>
    <definedName name="DIG_150" localSheetId="43">#REF!</definedName>
    <definedName name="DIG_150" localSheetId="42">#REF!</definedName>
    <definedName name="DIG_150" localSheetId="27">#REF!</definedName>
    <definedName name="DIG_150" localSheetId="45">#REF!</definedName>
    <definedName name="DIG_150">#REF!</definedName>
    <definedName name="DIG_200" localSheetId="30">#REF!</definedName>
    <definedName name="DIG_200" localSheetId="25">#REF!</definedName>
    <definedName name="DIG_200" localSheetId="28">#REF!</definedName>
    <definedName name="DIG_200" localSheetId="29">#REF!</definedName>
    <definedName name="DIG_200" localSheetId="12">#REF!</definedName>
    <definedName name="DIG_200" localSheetId="43">#REF!</definedName>
    <definedName name="DIG_200" localSheetId="42">#REF!</definedName>
    <definedName name="DIG_200" localSheetId="27">#REF!</definedName>
    <definedName name="DIG_200" localSheetId="45">#REF!</definedName>
    <definedName name="DIG_200">#REF!</definedName>
    <definedName name="DIG_250" localSheetId="30">#REF!</definedName>
    <definedName name="DIG_250" localSheetId="25">#REF!</definedName>
    <definedName name="DIG_250" localSheetId="28">#REF!</definedName>
    <definedName name="DIG_250" localSheetId="29">#REF!</definedName>
    <definedName name="DIG_250" localSheetId="12">#REF!</definedName>
    <definedName name="DIG_250" localSheetId="43">#REF!</definedName>
    <definedName name="DIG_250" localSheetId="42">#REF!</definedName>
    <definedName name="DIG_250" localSheetId="27">#REF!</definedName>
    <definedName name="DIG_250" localSheetId="45">#REF!</definedName>
    <definedName name="DIG_250">#REF!</definedName>
    <definedName name="DIG_300" localSheetId="30">#REF!</definedName>
    <definedName name="DIG_300" localSheetId="25">#REF!</definedName>
    <definedName name="DIG_300" localSheetId="28">#REF!</definedName>
    <definedName name="DIG_300" localSheetId="29">#REF!</definedName>
    <definedName name="DIG_300" localSheetId="12">#REF!</definedName>
    <definedName name="DIG_300" localSheetId="43">#REF!</definedName>
    <definedName name="DIG_300" localSheetId="42">#REF!</definedName>
    <definedName name="DIG_300" localSheetId="27">#REF!</definedName>
    <definedName name="DIG_300" localSheetId="45">#REF!</definedName>
    <definedName name="DIG_300">#REF!</definedName>
    <definedName name="DIG_350" localSheetId="30">#REF!</definedName>
    <definedName name="DIG_350" localSheetId="25">#REF!</definedName>
    <definedName name="DIG_350" localSheetId="28">#REF!</definedName>
    <definedName name="DIG_350" localSheetId="29">#REF!</definedName>
    <definedName name="DIG_350" localSheetId="12">#REF!</definedName>
    <definedName name="DIG_350" localSheetId="43">#REF!</definedName>
    <definedName name="DIG_350" localSheetId="42">#REF!</definedName>
    <definedName name="DIG_350" localSheetId="27">#REF!</definedName>
    <definedName name="DIG_350" localSheetId="45">#REF!</definedName>
    <definedName name="DIG_350">#REF!</definedName>
    <definedName name="DIG_400" localSheetId="30">#REF!</definedName>
    <definedName name="DIG_400" localSheetId="25">#REF!</definedName>
    <definedName name="DIG_400" localSheetId="28">#REF!</definedName>
    <definedName name="DIG_400" localSheetId="29">#REF!</definedName>
    <definedName name="DIG_400" localSheetId="12">#REF!</definedName>
    <definedName name="DIG_400" localSheetId="43">#REF!</definedName>
    <definedName name="DIG_400" localSheetId="42">#REF!</definedName>
    <definedName name="DIG_400" localSheetId="27">#REF!</definedName>
    <definedName name="DIG_400" localSheetId="45">#REF!</definedName>
    <definedName name="DIG_400">#REF!</definedName>
    <definedName name="DIG_450" localSheetId="30">#REF!</definedName>
    <definedName name="DIG_450" localSheetId="25">#REF!</definedName>
    <definedName name="DIG_450" localSheetId="28">#REF!</definedName>
    <definedName name="DIG_450" localSheetId="29">#REF!</definedName>
    <definedName name="DIG_450" localSheetId="12">#REF!</definedName>
    <definedName name="DIG_450" localSheetId="43">#REF!</definedName>
    <definedName name="DIG_450" localSheetId="42">#REF!</definedName>
    <definedName name="DIG_450" localSheetId="27">#REF!</definedName>
    <definedName name="DIG_450" localSheetId="45">#REF!</definedName>
    <definedName name="DIG_450">#REF!</definedName>
    <definedName name="DIG_500" localSheetId="30">#REF!</definedName>
    <definedName name="DIG_500" localSheetId="25">#REF!</definedName>
    <definedName name="DIG_500" localSheetId="28">#REF!</definedName>
    <definedName name="DIG_500" localSheetId="29">#REF!</definedName>
    <definedName name="DIG_500" localSheetId="12">#REF!</definedName>
    <definedName name="DIG_500" localSheetId="43">#REF!</definedName>
    <definedName name="DIG_500" localSheetId="42">#REF!</definedName>
    <definedName name="DIG_500" localSheetId="27">#REF!</definedName>
    <definedName name="DIG_500" localSheetId="45">#REF!</definedName>
    <definedName name="DIG_500">#REF!</definedName>
    <definedName name="DIG_600" localSheetId="30">#REF!</definedName>
    <definedName name="DIG_600" localSheetId="25">#REF!</definedName>
    <definedName name="DIG_600" localSheetId="28">#REF!</definedName>
    <definedName name="DIG_600" localSheetId="29">#REF!</definedName>
    <definedName name="DIG_600" localSheetId="12">#REF!</definedName>
    <definedName name="DIG_600" localSheetId="43">#REF!</definedName>
    <definedName name="DIG_600" localSheetId="42">#REF!</definedName>
    <definedName name="DIG_600" localSheetId="27">#REF!</definedName>
    <definedName name="DIG_600" localSheetId="45">#REF!</definedName>
    <definedName name="DIG_600">#REF!</definedName>
    <definedName name="DIG_80" localSheetId="30">#REF!</definedName>
    <definedName name="DIG_80" localSheetId="25">#REF!</definedName>
    <definedName name="DIG_80" localSheetId="28">#REF!</definedName>
    <definedName name="DIG_80" localSheetId="29">#REF!</definedName>
    <definedName name="DIG_80" localSheetId="12">#REF!</definedName>
    <definedName name="DIG_80" localSheetId="43">#REF!</definedName>
    <definedName name="DIG_80" localSheetId="42">#REF!</definedName>
    <definedName name="DIG_80" localSheetId="27">#REF!</definedName>
    <definedName name="DIG_80" localSheetId="45">#REF!</definedName>
    <definedName name="DIG_80">#REF!</definedName>
    <definedName name="DIM_100" localSheetId="30">#REF!</definedName>
    <definedName name="DIM_100" localSheetId="25">#REF!</definedName>
    <definedName name="DIM_100" localSheetId="28">#REF!</definedName>
    <definedName name="DIM_100" localSheetId="29">#REF!</definedName>
    <definedName name="DIM_100" localSheetId="12">#REF!</definedName>
    <definedName name="DIM_100" localSheetId="43">#REF!</definedName>
    <definedName name="DIM_100" localSheetId="42">#REF!</definedName>
    <definedName name="DIM_100" localSheetId="27">#REF!</definedName>
    <definedName name="DIM_100" localSheetId="45">#REF!</definedName>
    <definedName name="DIM_100">#REF!</definedName>
    <definedName name="DIM_125" localSheetId="30">#REF!</definedName>
    <definedName name="DIM_125" localSheetId="25">#REF!</definedName>
    <definedName name="DIM_125" localSheetId="28">#REF!</definedName>
    <definedName name="DIM_125" localSheetId="29">#REF!</definedName>
    <definedName name="DIM_125" localSheetId="12">#REF!</definedName>
    <definedName name="DIM_125" localSheetId="43">#REF!</definedName>
    <definedName name="DIM_125" localSheetId="42">#REF!</definedName>
    <definedName name="DIM_125" localSheetId="27">#REF!</definedName>
    <definedName name="DIM_125" localSheetId="45">#REF!</definedName>
    <definedName name="DIM_125">#REF!</definedName>
    <definedName name="DIM_150" localSheetId="30">#REF!</definedName>
    <definedName name="DIM_150" localSheetId="25">#REF!</definedName>
    <definedName name="DIM_150" localSheetId="28">#REF!</definedName>
    <definedName name="DIM_150" localSheetId="29">#REF!</definedName>
    <definedName name="DIM_150" localSheetId="12">#REF!</definedName>
    <definedName name="DIM_150" localSheetId="43">#REF!</definedName>
    <definedName name="DIM_150" localSheetId="42">#REF!</definedName>
    <definedName name="DIM_150" localSheetId="27">#REF!</definedName>
    <definedName name="DIM_150" localSheetId="45">#REF!</definedName>
    <definedName name="DIM_150">#REF!</definedName>
    <definedName name="DIM_200" localSheetId="30">#REF!</definedName>
    <definedName name="DIM_200" localSheetId="25">#REF!</definedName>
    <definedName name="DIM_200" localSheetId="28">#REF!</definedName>
    <definedName name="DIM_200" localSheetId="29">#REF!</definedName>
    <definedName name="DIM_200" localSheetId="12">#REF!</definedName>
    <definedName name="DIM_200" localSheetId="43">#REF!</definedName>
    <definedName name="DIM_200" localSheetId="42">#REF!</definedName>
    <definedName name="DIM_200" localSheetId="27">#REF!</definedName>
    <definedName name="DIM_200" localSheetId="45">#REF!</definedName>
    <definedName name="DIM_200">#REF!</definedName>
    <definedName name="DIM_250" localSheetId="30">#REF!</definedName>
    <definedName name="DIM_250" localSheetId="25">#REF!</definedName>
    <definedName name="DIM_250" localSheetId="28">#REF!</definedName>
    <definedName name="DIM_250" localSheetId="29">#REF!</definedName>
    <definedName name="DIM_250" localSheetId="12">#REF!</definedName>
    <definedName name="DIM_250" localSheetId="43">#REF!</definedName>
    <definedName name="DIM_250" localSheetId="42">#REF!</definedName>
    <definedName name="DIM_250" localSheetId="27">#REF!</definedName>
    <definedName name="DIM_250" localSheetId="45">#REF!</definedName>
    <definedName name="DIM_250">#REF!</definedName>
    <definedName name="DIM_300" localSheetId="30">#REF!</definedName>
    <definedName name="DIM_300" localSheetId="25">#REF!</definedName>
    <definedName name="DIM_300" localSheetId="28">#REF!</definedName>
    <definedName name="DIM_300" localSheetId="29">#REF!</definedName>
    <definedName name="DIM_300" localSheetId="12">#REF!</definedName>
    <definedName name="DIM_300" localSheetId="43">#REF!</definedName>
    <definedName name="DIM_300" localSheetId="42">#REF!</definedName>
    <definedName name="DIM_300" localSheetId="27">#REF!</definedName>
    <definedName name="DIM_300" localSheetId="45">#REF!</definedName>
    <definedName name="DIM_300">#REF!</definedName>
    <definedName name="DIM_350" localSheetId="30">#REF!</definedName>
    <definedName name="DIM_350" localSheetId="25">#REF!</definedName>
    <definedName name="DIM_350" localSheetId="28">#REF!</definedName>
    <definedName name="DIM_350" localSheetId="29">#REF!</definedName>
    <definedName name="DIM_350" localSheetId="12">#REF!</definedName>
    <definedName name="DIM_350" localSheetId="43">#REF!</definedName>
    <definedName name="DIM_350" localSheetId="42">#REF!</definedName>
    <definedName name="DIM_350" localSheetId="27">#REF!</definedName>
    <definedName name="DIM_350" localSheetId="45">#REF!</definedName>
    <definedName name="DIM_350">#REF!</definedName>
    <definedName name="DIM_400" localSheetId="30">#REF!</definedName>
    <definedName name="DIM_400" localSheetId="25">#REF!</definedName>
    <definedName name="DIM_400" localSheetId="28">#REF!</definedName>
    <definedName name="DIM_400" localSheetId="29">#REF!</definedName>
    <definedName name="DIM_400" localSheetId="12">#REF!</definedName>
    <definedName name="DIM_400" localSheetId="43">#REF!</definedName>
    <definedName name="DIM_400" localSheetId="42">#REF!</definedName>
    <definedName name="DIM_400" localSheetId="27">#REF!</definedName>
    <definedName name="DIM_400" localSheetId="45">#REF!</definedName>
    <definedName name="DIM_400">#REF!</definedName>
    <definedName name="DIM_450" localSheetId="30">#REF!</definedName>
    <definedName name="DIM_450" localSheetId="25">#REF!</definedName>
    <definedName name="DIM_450" localSheetId="28">#REF!</definedName>
    <definedName name="DIM_450" localSheetId="29">#REF!</definedName>
    <definedName name="DIM_450" localSheetId="12">#REF!</definedName>
    <definedName name="DIM_450" localSheetId="43">#REF!</definedName>
    <definedName name="DIM_450" localSheetId="42">#REF!</definedName>
    <definedName name="DIM_450" localSheetId="27">#REF!</definedName>
    <definedName name="DIM_450" localSheetId="45">#REF!</definedName>
    <definedName name="DIM_450">#REF!</definedName>
    <definedName name="DIM_500" localSheetId="30">#REF!</definedName>
    <definedName name="DIM_500" localSheetId="25">#REF!</definedName>
    <definedName name="DIM_500" localSheetId="28">#REF!</definedName>
    <definedName name="DIM_500" localSheetId="29">#REF!</definedName>
    <definedName name="DIM_500" localSheetId="12">#REF!</definedName>
    <definedName name="DIM_500" localSheetId="43">#REF!</definedName>
    <definedName name="DIM_500" localSheetId="42">#REF!</definedName>
    <definedName name="DIM_500" localSheetId="27">#REF!</definedName>
    <definedName name="DIM_500" localSheetId="45">#REF!</definedName>
    <definedName name="DIM_500">#REF!</definedName>
    <definedName name="DIM_600" localSheetId="30">#REF!</definedName>
    <definedName name="DIM_600" localSheetId="25">#REF!</definedName>
    <definedName name="DIM_600" localSheetId="28">#REF!</definedName>
    <definedName name="DIM_600" localSheetId="29">#REF!</definedName>
    <definedName name="DIM_600" localSheetId="12">#REF!</definedName>
    <definedName name="DIM_600" localSheetId="43">#REF!</definedName>
    <definedName name="DIM_600" localSheetId="42">#REF!</definedName>
    <definedName name="DIM_600" localSheetId="27">#REF!</definedName>
    <definedName name="DIM_600" localSheetId="45">#REF!</definedName>
    <definedName name="DIM_600">#REF!</definedName>
    <definedName name="DIM_80" localSheetId="30">#REF!</definedName>
    <definedName name="DIM_80" localSheetId="25">#REF!</definedName>
    <definedName name="DIM_80" localSheetId="28">#REF!</definedName>
    <definedName name="DIM_80" localSheetId="29">#REF!</definedName>
    <definedName name="DIM_80" localSheetId="12">#REF!</definedName>
    <definedName name="DIM_80" localSheetId="43">#REF!</definedName>
    <definedName name="DIM_80" localSheetId="42">#REF!</definedName>
    <definedName name="DIM_80" localSheetId="27">#REF!</definedName>
    <definedName name="DIM_80" localSheetId="45">#REF!</definedName>
    <definedName name="DIM_80">#REF!</definedName>
    <definedName name="dis_chb" localSheetId="30">#REF!</definedName>
    <definedName name="dis_chb" localSheetId="25">#REF!</definedName>
    <definedName name="dis_chb" localSheetId="28">#REF!</definedName>
    <definedName name="dis_chb" localSheetId="29">#REF!</definedName>
    <definedName name="dis_chb" localSheetId="12">#REF!</definedName>
    <definedName name="dis_chb" localSheetId="43">#REF!</definedName>
    <definedName name="dis_chb" localSheetId="42">#REF!</definedName>
    <definedName name="dis_chb" localSheetId="27">#REF!</definedName>
    <definedName name="dis_chb" localSheetId="45">#REF!</definedName>
    <definedName name="dis_chb">#REF!</definedName>
    <definedName name="DIS1125_100" localSheetId="30">#REF!</definedName>
    <definedName name="DIS1125_100" localSheetId="25">#REF!</definedName>
    <definedName name="DIS1125_100" localSheetId="28">#REF!</definedName>
    <definedName name="DIS1125_100" localSheetId="29">#REF!</definedName>
    <definedName name="DIS1125_100" localSheetId="12">#REF!</definedName>
    <definedName name="DIS1125_100" localSheetId="43">#REF!</definedName>
    <definedName name="DIS1125_100" localSheetId="42">#REF!</definedName>
    <definedName name="DIS1125_100" localSheetId="27">#REF!</definedName>
    <definedName name="DIS1125_100" localSheetId="45">#REF!</definedName>
    <definedName name="DIS1125_100">#REF!</definedName>
    <definedName name="DIS1125_125" localSheetId="30">#REF!</definedName>
    <definedName name="DIS1125_125" localSheetId="25">#REF!</definedName>
    <definedName name="DIS1125_125" localSheetId="28">#REF!</definedName>
    <definedName name="DIS1125_125" localSheetId="29">#REF!</definedName>
    <definedName name="DIS1125_125" localSheetId="12">#REF!</definedName>
    <definedName name="DIS1125_125" localSheetId="43">#REF!</definedName>
    <definedName name="DIS1125_125" localSheetId="42">#REF!</definedName>
    <definedName name="DIS1125_125" localSheetId="27">#REF!</definedName>
    <definedName name="DIS1125_125" localSheetId="45">#REF!</definedName>
    <definedName name="DIS1125_125">#REF!</definedName>
    <definedName name="DIS1125_150" localSheetId="30">#REF!</definedName>
    <definedName name="DIS1125_150" localSheetId="25">#REF!</definedName>
    <definedName name="DIS1125_150" localSheetId="28">#REF!</definedName>
    <definedName name="DIS1125_150" localSheetId="29">#REF!</definedName>
    <definedName name="DIS1125_150" localSheetId="12">#REF!</definedName>
    <definedName name="DIS1125_150" localSheetId="43">#REF!</definedName>
    <definedName name="DIS1125_150" localSheetId="42">#REF!</definedName>
    <definedName name="DIS1125_150" localSheetId="27">#REF!</definedName>
    <definedName name="DIS1125_150" localSheetId="45">#REF!</definedName>
    <definedName name="DIS1125_150">#REF!</definedName>
    <definedName name="DIS1125_200" localSheetId="30">#REF!</definedName>
    <definedName name="DIS1125_200" localSheetId="25">#REF!</definedName>
    <definedName name="DIS1125_200" localSheetId="28">#REF!</definedName>
    <definedName name="DIS1125_200" localSheetId="29">#REF!</definedName>
    <definedName name="DIS1125_200" localSheetId="12">#REF!</definedName>
    <definedName name="DIS1125_200" localSheetId="43">#REF!</definedName>
    <definedName name="DIS1125_200" localSheetId="42">#REF!</definedName>
    <definedName name="DIS1125_200" localSheetId="27">#REF!</definedName>
    <definedName name="DIS1125_200" localSheetId="45">#REF!</definedName>
    <definedName name="DIS1125_200">#REF!</definedName>
    <definedName name="DIS1125_250" localSheetId="30">#REF!</definedName>
    <definedName name="DIS1125_250" localSheetId="25">#REF!</definedName>
    <definedName name="DIS1125_250" localSheetId="28">#REF!</definedName>
    <definedName name="DIS1125_250" localSheetId="29">#REF!</definedName>
    <definedName name="DIS1125_250" localSheetId="12">#REF!</definedName>
    <definedName name="DIS1125_250" localSheetId="43">#REF!</definedName>
    <definedName name="DIS1125_250" localSheetId="42">#REF!</definedName>
    <definedName name="DIS1125_250" localSheetId="27">#REF!</definedName>
    <definedName name="DIS1125_250" localSheetId="45">#REF!</definedName>
    <definedName name="DIS1125_250">#REF!</definedName>
    <definedName name="DIS1125_300" localSheetId="30">#REF!</definedName>
    <definedName name="DIS1125_300" localSheetId="25">#REF!</definedName>
    <definedName name="DIS1125_300" localSheetId="28">#REF!</definedName>
    <definedName name="DIS1125_300" localSheetId="29">#REF!</definedName>
    <definedName name="DIS1125_300" localSheetId="12">#REF!</definedName>
    <definedName name="DIS1125_300" localSheetId="43">#REF!</definedName>
    <definedName name="DIS1125_300" localSheetId="42">#REF!</definedName>
    <definedName name="DIS1125_300" localSheetId="27">#REF!</definedName>
    <definedName name="DIS1125_300" localSheetId="45">#REF!</definedName>
    <definedName name="DIS1125_300">#REF!</definedName>
    <definedName name="DIS1125_350" localSheetId="30">#REF!</definedName>
    <definedName name="DIS1125_350" localSheetId="25">#REF!</definedName>
    <definedName name="DIS1125_350" localSheetId="28">#REF!</definedName>
    <definedName name="DIS1125_350" localSheetId="29">#REF!</definedName>
    <definedName name="DIS1125_350" localSheetId="12">#REF!</definedName>
    <definedName name="DIS1125_350" localSheetId="43">#REF!</definedName>
    <definedName name="DIS1125_350" localSheetId="42">#REF!</definedName>
    <definedName name="DIS1125_350" localSheetId="27">#REF!</definedName>
    <definedName name="DIS1125_350" localSheetId="45">#REF!</definedName>
    <definedName name="DIS1125_350">#REF!</definedName>
    <definedName name="DIS1125_400" localSheetId="30">#REF!</definedName>
    <definedName name="DIS1125_400" localSheetId="25">#REF!</definedName>
    <definedName name="DIS1125_400" localSheetId="28">#REF!</definedName>
    <definedName name="DIS1125_400" localSheetId="29">#REF!</definedName>
    <definedName name="DIS1125_400" localSheetId="12">#REF!</definedName>
    <definedName name="DIS1125_400" localSheetId="43">#REF!</definedName>
    <definedName name="DIS1125_400" localSheetId="42">#REF!</definedName>
    <definedName name="DIS1125_400" localSheetId="27">#REF!</definedName>
    <definedName name="DIS1125_400" localSheetId="45">#REF!</definedName>
    <definedName name="DIS1125_400">#REF!</definedName>
    <definedName name="DIS1125_450" localSheetId="30">#REF!</definedName>
    <definedName name="DIS1125_450" localSheetId="25">#REF!</definedName>
    <definedName name="DIS1125_450" localSheetId="28">#REF!</definedName>
    <definedName name="DIS1125_450" localSheetId="29">#REF!</definedName>
    <definedName name="DIS1125_450" localSheetId="12">#REF!</definedName>
    <definedName name="DIS1125_450" localSheetId="43">#REF!</definedName>
    <definedName name="DIS1125_450" localSheetId="42">#REF!</definedName>
    <definedName name="DIS1125_450" localSheetId="27">#REF!</definedName>
    <definedName name="DIS1125_450" localSheetId="45">#REF!</definedName>
    <definedName name="DIS1125_450">#REF!</definedName>
    <definedName name="DIS1125_500" localSheetId="30">#REF!</definedName>
    <definedName name="DIS1125_500" localSheetId="25">#REF!</definedName>
    <definedName name="DIS1125_500" localSheetId="28">#REF!</definedName>
    <definedName name="DIS1125_500" localSheetId="29">#REF!</definedName>
    <definedName name="DIS1125_500" localSheetId="12">#REF!</definedName>
    <definedName name="DIS1125_500" localSheetId="43">#REF!</definedName>
    <definedName name="DIS1125_500" localSheetId="42">#REF!</definedName>
    <definedName name="DIS1125_500" localSheetId="27">#REF!</definedName>
    <definedName name="DIS1125_500" localSheetId="45">#REF!</definedName>
    <definedName name="DIS1125_500">#REF!</definedName>
    <definedName name="DIS1125_600" localSheetId="30">#REF!</definedName>
    <definedName name="DIS1125_600" localSheetId="25">#REF!</definedName>
    <definedName name="DIS1125_600" localSheetId="28">#REF!</definedName>
    <definedName name="DIS1125_600" localSheetId="29">#REF!</definedName>
    <definedName name="DIS1125_600" localSheetId="12">#REF!</definedName>
    <definedName name="DIS1125_600" localSheetId="43">#REF!</definedName>
    <definedName name="DIS1125_600" localSheetId="42">#REF!</definedName>
    <definedName name="DIS1125_600" localSheetId="27">#REF!</definedName>
    <definedName name="DIS1125_600" localSheetId="45">#REF!</definedName>
    <definedName name="DIS1125_600">#REF!</definedName>
    <definedName name="DIS1125_80" localSheetId="30">#REF!</definedName>
    <definedName name="DIS1125_80" localSheetId="25">#REF!</definedName>
    <definedName name="DIS1125_80" localSheetId="28">#REF!</definedName>
    <definedName name="DIS1125_80" localSheetId="29">#REF!</definedName>
    <definedName name="DIS1125_80" localSheetId="12">#REF!</definedName>
    <definedName name="DIS1125_80" localSheetId="43">#REF!</definedName>
    <definedName name="DIS1125_80" localSheetId="42">#REF!</definedName>
    <definedName name="DIS1125_80" localSheetId="27">#REF!</definedName>
    <definedName name="DIS1125_80" localSheetId="45">#REF!</definedName>
    <definedName name="DIS1125_80">#REF!</definedName>
    <definedName name="DIS2260_100" localSheetId="30">#REF!</definedName>
    <definedName name="DIS2260_100" localSheetId="25">#REF!</definedName>
    <definedName name="DIS2260_100" localSheetId="28">#REF!</definedName>
    <definedName name="DIS2260_100" localSheetId="29">#REF!</definedName>
    <definedName name="DIS2260_100" localSheetId="12">#REF!</definedName>
    <definedName name="DIS2260_100" localSheetId="43">#REF!</definedName>
    <definedName name="DIS2260_100" localSheetId="42">#REF!</definedName>
    <definedName name="DIS2260_100" localSheetId="27">#REF!</definedName>
    <definedName name="DIS2260_100" localSheetId="45">#REF!</definedName>
    <definedName name="DIS2260_100">#REF!</definedName>
    <definedName name="DIS2260_125" localSheetId="30">#REF!</definedName>
    <definedName name="DIS2260_125" localSheetId="25">#REF!</definedName>
    <definedName name="DIS2260_125" localSheetId="28">#REF!</definedName>
    <definedName name="DIS2260_125" localSheetId="29">#REF!</definedName>
    <definedName name="DIS2260_125" localSheetId="12">#REF!</definedName>
    <definedName name="DIS2260_125" localSheetId="43">#REF!</definedName>
    <definedName name="DIS2260_125" localSheetId="42">#REF!</definedName>
    <definedName name="DIS2260_125" localSheetId="27">#REF!</definedName>
    <definedName name="DIS2260_125" localSheetId="45">#REF!</definedName>
    <definedName name="DIS2260_125">#REF!</definedName>
    <definedName name="DIS2260_150" localSheetId="30">#REF!</definedName>
    <definedName name="DIS2260_150" localSheetId="25">#REF!</definedName>
    <definedName name="DIS2260_150" localSheetId="28">#REF!</definedName>
    <definedName name="DIS2260_150" localSheetId="29">#REF!</definedName>
    <definedName name="DIS2260_150" localSheetId="12">#REF!</definedName>
    <definedName name="DIS2260_150" localSheetId="43">#REF!</definedName>
    <definedName name="DIS2260_150" localSheetId="42">#REF!</definedName>
    <definedName name="DIS2260_150" localSheetId="27">#REF!</definedName>
    <definedName name="DIS2260_150" localSheetId="45">#REF!</definedName>
    <definedName name="DIS2260_150">#REF!</definedName>
    <definedName name="DIS2260_200" localSheetId="30">#REF!</definedName>
    <definedName name="DIS2260_200" localSheetId="25">#REF!</definedName>
    <definedName name="DIS2260_200" localSheetId="28">#REF!</definedName>
    <definedName name="DIS2260_200" localSheetId="29">#REF!</definedName>
    <definedName name="DIS2260_200" localSheetId="12">#REF!</definedName>
    <definedName name="DIS2260_200" localSheetId="43">#REF!</definedName>
    <definedName name="DIS2260_200" localSheetId="42">#REF!</definedName>
    <definedName name="DIS2260_200" localSheetId="27">#REF!</definedName>
    <definedName name="DIS2260_200" localSheetId="45">#REF!</definedName>
    <definedName name="DIS2260_200">#REF!</definedName>
    <definedName name="DIS2260_250" localSheetId="30">#REF!</definedName>
    <definedName name="DIS2260_250" localSheetId="25">#REF!</definedName>
    <definedName name="DIS2260_250" localSheetId="28">#REF!</definedName>
    <definedName name="DIS2260_250" localSheetId="29">#REF!</definedName>
    <definedName name="DIS2260_250" localSheetId="12">#REF!</definedName>
    <definedName name="DIS2260_250" localSheetId="43">#REF!</definedName>
    <definedName name="DIS2260_250" localSheetId="42">#REF!</definedName>
    <definedName name="DIS2260_250" localSheetId="27">#REF!</definedName>
    <definedName name="DIS2260_250" localSheetId="45">#REF!</definedName>
    <definedName name="DIS2260_250">#REF!</definedName>
    <definedName name="DIS2260_300" localSheetId="30">#REF!</definedName>
    <definedName name="DIS2260_300" localSheetId="25">#REF!</definedName>
    <definedName name="DIS2260_300" localSheetId="28">#REF!</definedName>
    <definedName name="DIS2260_300" localSheetId="29">#REF!</definedName>
    <definedName name="DIS2260_300" localSheetId="12">#REF!</definedName>
    <definedName name="DIS2260_300" localSheetId="43">#REF!</definedName>
    <definedName name="DIS2260_300" localSheetId="42">#REF!</definedName>
    <definedName name="DIS2260_300" localSheetId="27">#REF!</definedName>
    <definedName name="DIS2260_300" localSheetId="45">#REF!</definedName>
    <definedName name="DIS2260_300">#REF!</definedName>
    <definedName name="DIS2260_350" localSheetId="30">#REF!</definedName>
    <definedName name="DIS2260_350" localSheetId="25">#REF!</definedName>
    <definedName name="DIS2260_350" localSheetId="28">#REF!</definedName>
    <definedName name="DIS2260_350" localSheetId="29">#REF!</definedName>
    <definedName name="DIS2260_350" localSheetId="12">#REF!</definedName>
    <definedName name="DIS2260_350" localSheetId="43">#REF!</definedName>
    <definedName name="DIS2260_350" localSheetId="42">#REF!</definedName>
    <definedName name="DIS2260_350" localSheetId="27">#REF!</definedName>
    <definedName name="DIS2260_350" localSheetId="45">#REF!</definedName>
    <definedName name="DIS2260_350">#REF!</definedName>
    <definedName name="DIS2260_400" localSheetId="30">#REF!</definedName>
    <definedName name="DIS2260_400" localSheetId="25">#REF!</definedName>
    <definedName name="DIS2260_400" localSheetId="28">#REF!</definedName>
    <definedName name="DIS2260_400" localSheetId="29">#REF!</definedName>
    <definedName name="DIS2260_400" localSheetId="12">#REF!</definedName>
    <definedName name="DIS2260_400" localSheetId="43">#REF!</definedName>
    <definedName name="DIS2260_400" localSheetId="42">#REF!</definedName>
    <definedName name="DIS2260_400" localSheetId="27">#REF!</definedName>
    <definedName name="DIS2260_400" localSheetId="45">#REF!</definedName>
    <definedName name="DIS2260_400">#REF!</definedName>
    <definedName name="DIS2260_450" localSheetId="30">#REF!</definedName>
    <definedName name="DIS2260_450" localSheetId="25">#REF!</definedName>
    <definedName name="DIS2260_450" localSheetId="28">#REF!</definedName>
    <definedName name="DIS2260_450" localSheetId="29">#REF!</definedName>
    <definedName name="DIS2260_450" localSheetId="12">#REF!</definedName>
    <definedName name="DIS2260_450" localSheetId="43">#REF!</definedName>
    <definedName name="DIS2260_450" localSheetId="42">#REF!</definedName>
    <definedName name="DIS2260_450" localSheetId="27">#REF!</definedName>
    <definedName name="DIS2260_450" localSheetId="45">#REF!</definedName>
    <definedName name="DIS2260_450">#REF!</definedName>
    <definedName name="DIS2260_500" localSheetId="30">#REF!</definedName>
    <definedName name="DIS2260_500" localSheetId="25">#REF!</definedName>
    <definedName name="DIS2260_500" localSheetId="28">#REF!</definedName>
    <definedName name="DIS2260_500" localSheetId="29">#REF!</definedName>
    <definedName name="DIS2260_500" localSheetId="12">#REF!</definedName>
    <definedName name="DIS2260_500" localSheetId="43">#REF!</definedName>
    <definedName name="DIS2260_500" localSheetId="42">#REF!</definedName>
    <definedName name="DIS2260_500" localSheetId="27">#REF!</definedName>
    <definedName name="DIS2260_500" localSheetId="45">#REF!</definedName>
    <definedName name="DIS2260_500">#REF!</definedName>
    <definedName name="DIS2260_600" localSheetId="30">#REF!</definedName>
    <definedName name="DIS2260_600" localSheetId="25">#REF!</definedName>
    <definedName name="DIS2260_600" localSheetId="28">#REF!</definedName>
    <definedName name="DIS2260_600" localSheetId="29">#REF!</definedName>
    <definedName name="DIS2260_600" localSheetId="12">#REF!</definedName>
    <definedName name="DIS2260_600" localSheetId="43">#REF!</definedName>
    <definedName name="DIS2260_600" localSheetId="42">#REF!</definedName>
    <definedName name="DIS2260_600" localSheetId="27">#REF!</definedName>
    <definedName name="DIS2260_600" localSheetId="45">#REF!</definedName>
    <definedName name="DIS2260_600">#REF!</definedName>
    <definedName name="DIS2260_80" localSheetId="30">#REF!</definedName>
    <definedName name="DIS2260_80" localSheetId="25">#REF!</definedName>
    <definedName name="DIS2260_80" localSheetId="28">#REF!</definedName>
    <definedName name="DIS2260_80" localSheetId="29">#REF!</definedName>
    <definedName name="DIS2260_80" localSheetId="12">#REF!</definedName>
    <definedName name="DIS2260_80" localSheetId="43">#REF!</definedName>
    <definedName name="DIS2260_80" localSheetId="42">#REF!</definedName>
    <definedName name="DIS2260_80" localSheetId="27">#REF!</definedName>
    <definedName name="DIS2260_80" localSheetId="45">#REF!</definedName>
    <definedName name="DIS2260_80">#REF!</definedName>
    <definedName name="DIS45_100" localSheetId="30">#REF!</definedName>
    <definedName name="DIS45_100" localSheetId="25">#REF!</definedName>
    <definedName name="DIS45_100" localSheetId="28">#REF!</definedName>
    <definedName name="DIS45_100" localSheetId="29">#REF!</definedName>
    <definedName name="DIS45_100" localSheetId="12">#REF!</definedName>
    <definedName name="DIS45_100" localSheetId="43">#REF!</definedName>
    <definedName name="DIS45_100" localSheetId="42">#REF!</definedName>
    <definedName name="DIS45_100" localSheetId="27">#REF!</definedName>
    <definedName name="DIS45_100" localSheetId="45">#REF!</definedName>
    <definedName name="DIS45_100">#REF!</definedName>
    <definedName name="DIS45_125" localSheetId="30">#REF!</definedName>
    <definedName name="DIS45_125" localSheetId="25">#REF!</definedName>
    <definedName name="DIS45_125" localSheetId="28">#REF!</definedName>
    <definedName name="DIS45_125" localSheetId="29">#REF!</definedName>
    <definedName name="DIS45_125" localSheetId="12">#REF!</definedName>
    <definedName name="DIS45_125" localSheetId="43">#REF!</definedName>
    <definedName name="DIS45_125" localSheetId="42">#REF!</definedName>
    <definedName name="DIS45_125" localSheetId="27">#REF!</definedName>
    <definedName name="DIS45_125" localSheetId="45">#REF!</definedName>
    <definedName name="DIS45_125">#REF!</definedName>
    <definedName name="DIS45_150" localSheetId="30">#REF!</definedName>
    <definedName name="DIS45_150" localSheetId="25">#REF!</definedName>
    <definedName name="DIS45_150" localSheetId="28">#REF!</definedName>
    <definedName name="DIS45_150" localSheetId="29">#REF!</definedName>
    <definedName name="DIS45_150" localSheetId="12">#REF!</definedName>
    <definedName name="DIS45_150" localSheetId="43">#REF!</definedName>
    <definedName name="DIS45_150" localSheetId="42">#REF!</definedName>
    <definedName name="DIS45_150" localSheetId="27">#REF!</definedName>
    <definedName name="DIS45_150" localSheetId="45">#REF!</definedName>
    <definedName name="DIS45_150">#REF!</definedName>
    <definedName name="DIS45_200" localSheetId="30">#REF!</definedName>
    <definedName name="DIS45_200" localSheetId="25">#REF!</definedName>
    <definedName name="DIS45_200" localSheetId="28">#REF!</definedName>
    <definedName name="DIS45_200" localSheetId="29">#REF!</definedName>
    <definedName name="DIS45_200" localSheetId="12">#REF!</definedName>
    <definedName name="DIS45_200" localSheetId="43">#REF!</definedName>
    <definedName name="DIS45_200" localSheetId="42">#REF!</definedName>
    <definedName name="DIS45_200" localSheetId="27">#REF!</definedName>
    <definedName name="DIS45_200" localSheetId="45">#REF!</definedName>
    <definedName name="DIS45_200">#REF!</definedName>
    <definedName name="DIS45_250" localSheetId="30">#REF!</definedName>
    <definedName name="DIS45_250" localSheetId="25">#REF!</definedName>
    <definedName name="DIS45_250" localSheetId="28">#REF!</definedName>
    <definedName name="DIS45_250" localSheetId="29">#REF!</definedName>
    <definedName name="DIS45_250" localSheetId="12">#REF!</definedName>
    <definedName name="DIS45_250" localSheetId="43">#REF!</definedName>
    <definedName name="DIS45_250" localSheetId="42">#REF!</definedName>
    <definedName name="DIS45_250" localSheetId="27">#REF!</definedName>
    <definedName name="DIS45_250" localSheetId="45">#REF!</definedName>
    <definedName name="DIS45_250">#REF!</definedName>
    <definedName name="DIS45_300" localSheetId="30">#REF!</definedName>
    <definedName name="DIS45_300" localSheetId="25">#REF!</definedName>
    <definedName name="DIS45_300" localSheetId="28">#REF!</definedName>
    <definedName name="DIS45_300" localSheetId="29">#REF!</definedName>
    <definedName name="DIS45_300" localSheetId="12">#REF!</definedName>
    <definedName name="DIS45_300" localSheetId="43">#REF!</definedName>
    <definedName name="DIS45_300" localSheetId="42">#REF!</definedName>
    <definedName name="DIS45_300" localSheetId="27">#REF!</definedName>
    <definedName name="DIS45_300" localSheetId="45">#REF!</definedName>
    <definedName name="DIS45_300">#REF!</definedName>
    <definedName name="DIS45_350" localSheetId="30">#REF!</definedName>
    <definedName name="DIS45_350" localSheetId="25">#REF!</definedName>
    <definedName name="DIS45_350" localSheetId="28">#REF!</definedName>
    <definedName name="DIS45_350" localSheetId="29">#REF!</definedName>
    <definedName name="DIS45_350" localSheetId="12">#REF!</definedName>
    <definedName name="DIS45_350" localSheetId="43">#REF!</definedName>
    <definedName name="DIS45_350" localSheetId="42">#REF!</definedName>
    <definedName name="DIS45_350" localSheetId="27">#REF!</definedName>
    <definedName name="DIS45_350" localSheetId="45">#REF!</definedName>
    <definedName name="DIS45_350">#REF!</definedName>
    <definedName name="DIS45_400" localSheetId="30">#REF!</definedName>
    <definedName name="DIS45_400" localSheetId="25">#REF!</definedName>
    <definedName name="DIS45_400" localSheetId="28">#REF!</definedName>
    <definedName name="DIS45_400" localSheetId="29">#REF!</definedName>
    <definedName name="DIS45_400" localSheetId="12">#REF!</definedName>
    <definedName name="DIS45_400" localSheetId="43">#REF!</definedName>
    <definedName name="DIS45_400" localSheetId="42">#REF!</definedName>
    <definedName name="DIS45_400" localSheetId="27">#REF!</definedName>
    <definedName name="DIS45_400" localSheetId="45">#REF!</definedName>
    <definedName name="DIS45_400">#REF!</definedName>
    <definedName name="DIS45_450" localSheetId="30">#REF!</definedName>
    <definedName name="DIS45_450" localSheetId="25">#REF!</definedName>
    <definedName name="DIS45_450" localSheetId="28">#REF!</definedName>
    <definedName name="DIS45_450" localSheetId="29">#REF!</definedName>
    <definedName name="DIS45_450" localSheetId="12">#REF!</definedName>
    <definedName name="DIS45_450" localSheetId="43">#REF!</definedName>
    <definedName name="DIS45_450" localSheetId="42">#REF!</definedName>
    <definedName name="DIS45_450" localSheetId="27">#REF!</definedName>
    <definedName name="DIS45_450" localSheetId="45">#REF!</definedName>
    <definedName name="DIS45_450">#REF!</definedName>
    <definedName name="DIS45_500" localSheetId="30">#REF!</definedName>
    <definedName name="DIS45_500" localSheetId="25">#REF!</definedName>
    <definedName name="DIS45_500" localSheetId="28">#REF!</definedName>
    <definedName name="DIS45_500" localSheetId="29">#REF!</definedName>
    <definedName name="DIS45_500" localSheetId="12">#REF!</definedName>
    <definedName name="DIS45_500" localSheetId="43">#REF!</definedName>
    <definedName name="DIS45_500" localSheetId="42">#REF!</definedName>
    <definedName name="DIS45_500" localSheetId="27">#REF!</definedName>
    <definedName name="DIS45_500" localSheetId="45">#REF!</definedName>
    <definedName name="DIS45_500">#REF!</definedName>
    <definedName name="DIS45_600" localSheetId="30">#REF!</definedName>
    <definedName name="DIS45_600" localSheetId="25">#REF!</definedName>
    <definedName name="DIS45_600" localSheetId="28">#REF!</definedName>
    <definedName name="DIS45_600" localSheetId="29">#REF!</definedName>
    <definedName name="DIS45_600" localSheetId="12">#REF!</definedName>
    <definedName name="DIS45_600" localSheetId="43">#REF!</definedName>
    <definedName name="DIS45_600" localSheetId="42">#REF!</definedName>
    <definedName name="DIS45_600" localSheetId="27">#REF!</definedName>
    <definedName name="DIS45_600" localSheetId="45">#REF!</definedName>
    <definedName name="DIS45_600">#REF!</definedName>
    <definedName name="DIS45_80" localSheetId="30">#REF!</definedName>
    <definedName name="DIS45_80" localSheetId="25">#REF!</definedName>
    <definedName name="DIS45_80" localSheetId="28">#REF!</definedName>
    <definedName name="DIS45_80" localSheetId="29">#REF!</definedName>
    <definedName name="DIS45_80" localSheetId="12">#REF!</definedName>
    <definedName name="DIS45_80" localSheetId="43">#REF!</definedName>
    <definedName name="DIS45_80" localSheetId="42">#REF!</definedName>
    <definedName name="DIS45_80" localSheetId="27">#REF!</definedName>
    <definedName name="DIS45_80" localSheetId="45">#REF!</definedName>
    <definedName name="DIS45_80">#REF!</definedName>
    <definedName name="DIS90_100" localSheetId="30">#REF!</definedName>
    <definedName name="DIS90_100" localSheetId="25">#REF!</definedName>
    <definedName name="DIS90_100" localSheetId="28">#REF!</definedName>
    <definedName name="DIS90_100" localSheetId="29">#REF!</definedName>
    <definedName name="DIS90_100" localSheetId="12">#REF!</definedName>
    <definedName name="DIS90_100" localSheetId="43">#REF!</definedName>
    <definedName name="DIS90_100" localSheetId="42">#REF!</definedName>
    <definedName name="DIS90_100" localSheetId="27">#REF!</definedName>
    <definedName name="DIS90_100" localSheetId="45">#REF!</definedName>
    <definedName name="DIS90_100">#REF!</definedName>
    <definedName name="DIS90_125" localSheetId="30">#REF!</definedName>
    <definedName name="DIS90_125" localSheetId="25">#REF!</definedName>
    <definedName name="DIS90_125" localSheetId="28">#REF!</definedName>
    <definedName name="DIS90_125" localSheetId="29">#REF!</definedName>
    <definedName name="DIS90_125" localSheetId="12">#REF!</definedName>
    <definedName name="DIS90_125" localSheetId="43">#REF!</definedName>
    <definedName name="DIS90_125" localSheetId="42">#REF!</definedName>
    <definedName name="DIS90_125" localSheetId="27">#REF!</definedName>
    <definedName name="DIS90_125" localSheetId="45">#REF!</definedName>
    <definedName name="DIS90_125">#REF!</definedName>
    <definedName name="DIS90_150" localSheetId="30">#REF!</definedName>
    <definedName name="DIS90_150" localSheetId="25">#REF!</definedName>
    <definedName name="DIS90_150" localSheetId="28">#REF!</definedName>
    <definedName name="DIS90_150" localSheetId="29">#REF!</definedName>
    <definedName name="DIS90_150" localSheetId="12">#REF!</definedName>
    <definedName name="DIS90_150" localSheetId="43">#REF!</definedName>
    <definedName name="DIS90_150" localSheetId="42">#REF!</definedName>
    <definedName name="DIS90_150" localSheetId="27">#REF!</definedName>
    <definedName name="DIS90_150" localSheetId="45">#REF!</definedName>
    <definedName name="DIS90_150">#REF!</definedName>
    <definedName name="DIS90_200" localSheetId="30">#REF!</definedName>
    <definedName name="DIS90_200" localSheetId="25">#REF!</definedName>
    <definedName name="DIS90_200" localSheetId="28">#REF!</definedName>
    <definedName name="DIS90_200" localSheetId="29">#REF!</definedName>
    <definedName name="DIS90_200" localSheetId="12">#REF!</definedName>
    <definedName name="DIS90_200" localSheetId="43">#REF!</definedName>
    <definedName name="DIS90_200" localSheetId="42">#REF!</definedName>
    <definedName name="DIS90_200" localSheetId="27">#REF!</definedName>
    <definedName name="DIS90_200" localSheetId="45">#REF!</definedName>
    <definedName name="DIS90_200">#REF!</definedName>
    <definedName name="DIS90_250" localSheetId="30">#REF!</definedName>
    <definedName name="DIS90_250" localSheetId="25">#REF!</definedName>
    <definedName name="DIS90_250" localSheetId="28">#REF!</definedName>
    <definedName name="DIS90_250" localSheetId="29">#REF!</definedName>
    <definedName name="DIS90_250" localSheetId="12">#REF!</definedName>
    <definedName name="DIS90_250" localSheetId="43">#REF!</definedName>
    <definedName name="DIS90_250" localSheetId="42">#REF!</definedName>
    <definedName name="DIS90_250" localSheetId="27">#REF!</definedName>
    <definedName name="DIS90_250" localSheetId="45">#REF!</definedName>
    <definedName name="DIS90_250">#REF!</definedName>
    <definedName name="DIS90_300" localSheetId="30">#REF!</definedName>
    <definedName name="DIS90_300" localSheetId="25">#REF!</definedName>
    <definedName name="DIS90_300" localSheetId="28">#REF!</definedName>
    <definedName name="DIS90_300" localSheetId="29">#REF!</definedName>
    <definedName name="DIS90_300" localSheetId="12">#REF!</definedName>
    <definedName name="DIS90_300" localSheetId="43">#REF!</definedName>
    <definedName name="DIS90_300" localSheetId="42">#REF!</definedName>
    <definedName name="DIS90_300" localSheetId="27">#REF!</definedName>
    <definedName name="DIS90_300" localSheetId="45">#REF!</definedName>
    <definedName name="DIS90_300">#REF!</definedName>
    <definedName name="DIS90_350" localSheetId="30">#REF!</definedName>
    <definedName name="DIS90_350" localSheetId="25">#REF!</definedName>
    <definedName name="DIS90_350" localSheetId="28">#REF!</definedName>
    <definedName name="DIS90_350" localSheetId="29">#REF!</definedName>
    <definedName name="DIS90_350" localSheetId="12">#REF!</definedName>
    <definedName name="DIS90_350" localSheetId="43">#REF!</definedName>
    <definedName name="DIS90_350" localSheetId="42">#REF!</definedName>
    <definedName name="DIS90_350" localSheetId="27">#REF!</definedName>
    <definedName name="DIS90_350" localSheetId="45">#REF!</definedName>
    <definedName name="DIS90_350">#REF!</definedName>
    <definedName name="DIS90_400" localSheetId="30">#REF!</definedName>
    <definedName name="DIS90_400" localSheetId="25">#REF!</definedName>
    <definedName name="DIS90_400" localSheetId="28">#REF!</definedName>
    <definedName name="DIS90_400" localSheetId="29">#REF!</definedName>
    <definedName name="DIS90_400" localSheetId="12">#REF!</definedName>
    <definedName name="DIS90_400" localSheetId="43">#REF!</definedName>
    <definedName name="DIS90_400" localSheetId="42">#REF!</definedName>
    <definedName name="DIS90_400" localSheetId="27">#REF!</definedName>
    <definedName name="DIS90_400" localSheetId="45">#REF!</definedName>
    <definedName name="DIS90_400">#REF!</definedName>
    <definedName name="DIS90_450" localSheetId="30">#REF!</definedName>
    <definedName name="DIS90_450" localSheetId="25">#REF!</definedName>
    <definedName name="DIS90_450" localSheetId="28">#REF!</definedName>
    <definedName name="DIS90_450" localSheetId="29">#REF!</definedName>
    <definedName name="DIS90_450" localSheetId="12">#REF!</definedName>
    <definedName name="DIS90_450" localSheetId="43">#REF!</definedName>
    <definedName name="DIS90_450" localSheetId="42">#REF!</definedName>
    <definedName name="DIS90_450" localSheetId="27">#REF!</definedName>
    <definedName name="DIS90_450" localSheetId="45">#REF!</definedName>
    <definedName name="DIS90_450">#REF!</definedName>
    <definedName name="DIS90_500" localSheetId="30">#REF!</definedName>
    <definedName name="DIS90_500" localSheetId="25">#REF!</definedName>
    <definedName name="DIS90_500" localSheetId="28">#REF!</definedName>
    <definedName name="DIS90_500" localSheetId="29">#REF!</definedName>
    <definedName name="DIS90_500" localSheetId="12">#REF!</definedName>
    <definedName name="DIS90_500" localSheetId="43">#REF!</definedName>
    <definedName name="DIS90_500" localSheetId="42">#REF!</definedName>
    <definedName name="DIS90_500" localSheetId="27">#REF!</definedName>
    <definedName name="DIS90_500" localSheetId="45">#REF!</definedName>
    <definedName name="DIS90_500">#REF!</definedName>
    <definedName name="DIS90_600" localSheetId="30">#REF!</definedName>
    <definedName name="DIS90_600" localSheetId="25">#REF!</definedName>
    <definedName name="DIS90_600" localSheetId="28">#REF!</definedName>
    <definedName name="DIS90_600" localSheetId="29">#REF!</definedName>
    <definedName name="DIS90_600" localSheetId="12">#REF!</definedName>
    <definedName name="DIS90_600" localSheetId="43">#REF!</definedName>
    <definedName name="DIS90_600" localSheetId="42">#REF!</definedName>
    <definedName name="DIS90_600" localSheetId="27">#REF!</definedName>
    <definedName name="DIS90_600" localSheetId="45">#REF!</definedName>
    <definedName name="DIS90_600">#REF!</definedName>
    <definedName name="DIS90_80" localSheetId="30">#REF!</definedName>
    <definedName name="DIS90_80" localSheetId="25">#REF!</definedName>
    <definedName name="DIS90_80" localSheetId="28">#REF!</definedName>
    <definedName name="DIS90_80" localSheetId="29">#REF!</definedName>
    <definedName name="DIS90_80" localSheetId="12">#REF!</definedName>
    <definedName name="DIS90_80" localSheetId="43">#REF!</definedName>
    <definedName name="DIS90_80" localSheetId="42">#REF!</definedName>
    <definedName name="DIS90_80" localSheetId="27">#REF!</definedName>
    <definedName name="DIS90_80" localSheetId="45">#REF!</definedName>
    <definedName name="DIS90_80">#REF!</definedName>
    <definedName name="DISA_150" localSheetId="30">#REF!</definedName>
    <definedName name="DISA_150" localSheetId="25">#REF!</definedName>
    <definedName name="DISA_150" localSheetId="28">#REF!</definedName>
    <definedName name="DISA_150" localSheetId="29">#REF!</definedName>
    <definedName name="DISA_150" localSheetId="12">#REF!</definedName>
    <definedName name="DISA_150" localSheetId="43">#REF!</definedName>
    <definedName name="DISA_150" localSheetId="42">#REF!</definedName>
    <definedName name="DISA_150" localSheetId="27">#REF!</definedName>
    <definedName name="DISA_150" localSheetId="45">#REF!</definedName>
    <definedName name="DISA_150">#REF!</definedName>
    <definedName name="DISA_250" localSheetId="30">#REF!</definedName>
    <definedName name="DISA_250" localSheetId="25">#REF!</definedName>
    <definedName name="DISA_250" localSheetId="28">#REF!</definedName>
    <definedName name="DISA_250" localSheetId="29">#REF!</definedName>
    <definedName name="DISA_250" localSheetId="12">#REF!</definedName>
    <definedName name="DISA_250" localSheetId="43">#REF!</definedName>
    <definedName name="DISA_250" localSheetId="42">#REF!</definedName>
    <definedName name="DISA_250" localSheetId="27">#REF!</definedName>
    <definedName name="DISA_250" localSheetId="45">#REF!</definedName>
    <definedName name="DISA_250">#REF!</definedName>
    <definedName name="Dist_Data">'[20]Other Data'!$A$4:$C$78</definedName>
    <definedName name="Dist1" localSheetId="17">[24]Ta304!$I$6</definedName>
    <definedName name="Dist1" localSheetId="7">[25]Ta304!$I$6</definedName>
    <definedName name="Dist1">[26]Ta304!$I$6</definedName>
    <definedName name="Distemper">'[22]District Rates'!$E$39</definedName>
    <definedName name="District" localSheetId="30" hidden="1">[28]Data!#REF!</definedName>
    <definedName name="District" localSheetId="25" hidden="1">[28]Data!#REF!</definedName>
    <definedName name="District" localSheetId="28" hidden="1">[28]Data!#REF!</definedName>
    <definedName name="District" localSheetId="29" hidden="1">[28]Data!#REF!</definedName>
    <definedName name="District" localSheetId="7" hidden="1">[28]Data!#REF!</definedName>
    <definedName name="District" localSheetId="12" hidden="1">[28]Data!#REF!</definedName>
    <definedName name="District" localSheetId="43" hidden="1">[28]Data!#REF!</definedName>
    <definedName name="District" localSheetId="42" hidden="1">[28]Data!#REF!</definedName>
    <definedName name="District" localSheetId="27" hidden="1">[28]Data!#REF!</definedName>
    <definedName name="District" localSheetId="45" hidden="1">[28]Data!#REF!</definedName>
    <definedName name="District" hidden="1">[28]Data!#REF!</definedName>
    <definedName name="DLCost2" hidden="1">[16]PipeLineWork!$O$139</definedName>
    <definedName name="DLCost3" hidden="1">[16]PipeLineWork!$O$205</definedName>
    <definedName name="DLCost4" hidden="1">[16]PipeLineWork!$O$271</definedName>
    <definedName name="DLCost5" hidden="1">[16]PipeLineWork!$O$337</definedName>
    <definedName name="DLCost6" hidden="1">[16]PipeLineWork!$O$403</definedName>
    <definedName name="DLJ_100" localSheetId="30">#REF!</definedName>
    <definedName name="DLJ_100" localSheetId="25">#REF!</definedName>
    <definedName name="DLJ_100" localSheetId="28">#REF!</definedName>
    <definedName name="DLJ_100" localSheetId="29">#REF!</definedName>
    <definedName name="DLJ_100" localSheetId="12">#REF!</definedName>
    <definedName name="DLJ_100" localSheetId="43">#REF!</definedName>
    <definedName name="DLJ_100" localSheetId="42">#REF!</definedName>
    <definedName name="DLJ_100" localSheetId="27">#REF!</definedName>
    <definedName name="DLJ_100" localSheetId="45">#REF!</definedName>
    <definedName name="DLJ_100">#REF!</definedName>
    <definedName name="DLJ_125" localSheetId="30">#REF!</definedName>
    <definedName name="DLJ_125" localSheetId="25">#REF!</definedName>
    <definedName name="DLJ_125" localSheetId="28">#REF!</definedName>
    <definedName name="DLJ_125" localSheetId="29">#REF!</definedName>
    <definedName name="DLJ_125" localSheetId="12">#REF!</definedName>
    <definedName name="DLJ_125" localSheetId="43">#REF!</definedName>
    <definedName name="DLJ_125" localSheetId="42">#REF!</definedName>
    <definedName name="DLJ_125" localSheetId="27">#REF!</definedName>
    <definedName name="DLJ_125" localSheetId="45">#REF!</definedName>
    <definedName name="DLJ_125">#REF!</definedName>
    <definedName name="DLJ_150" localSheetId="30">#REF!</definedName>
    <definedName name="DLJ_150" localSheetId="25">#REF!</definedName>
    <definedName name="DLJ_150" localSheetId="28">#REF!</definedName>
    <definedName name="DLJ_150" localSheetId="29">#REF!</definedName>
    <definedName name="DLJ_150" localSheetId="12">#REF!</definedName>
    <definedName name="DLJ_150" localSheetId="43">#REF!</definedName>
    <definedName name="DLJ_150" localSheetId="42">#REF!</definedName>
    <definedName name="DLJ_150" localSheetId="27">#REF!</definedName>
    <definedName name="DLJ_150" localSheetId="45">#REF!</definedName>
    <definedName name="DLJ_150">#REF!</definedName>
    <definedName name="DLJ_200" localSheetId="30">#REF!</definedName>
    <definedName name="DLJ_200" localSheetId="25">#REF!</definedName>
    <definedName name="DLJ_200" localSheetId="28">#REF!</definedName>
    <definedName name="DLJ_200" localSheetId="29">#REF!</definedName>
    <definedName name="DLJ_200" localSheetId="12">#REF!</definedName>
    <definedName name="DLJ_200" localSheetId="43">#REF!</definedName>
    <definedName name="DLJ_200" localSheetId="42">#REF!</definedName>
    <definedName name="DLJ_200" localSheetId="27">#REF!</definedName>
    <definedName name="DLJ_200" localSheetId="45">#REF!</definedName>
    <definedName name="DLJ_200">#REF!</definedName>
    <definedName name="DLJ_250" localSheetId="30">#REF!</definedName>
    <definedName name="DLJ_250" localSheetId="25">#REF!</definedName>
    <definedName name="DLJ_250" localSheetId="28">#REF!</definedName>
    <definedName name="DLJ_250" localSheetId="29">#REF!</definedName>
    <definedName name="DLJ_250" localSheetId="12">#REF!</definedName>
    <definedName name="DLJ_250" localSheetId="43">#REF!</definedName>
    <definedName name="DLJ_250" localSheetId="42">#REF!</definedName>
    <definedName name="DLJ_250" localSheetId="27">#REF!</definedName>
    <definedName name="DLJ_250" localSheetId="45">#REF!</definedName>
    <definedName name="DLJ_250">#REF!</definedName>
    <definedName name="DLJ_300" localSheetId="30">#REF!</definedName>
    <definedName name="DLJ_300" localSheetId="25">#REF!</definedName>
    <definedName name="DLJ_300" localSheetId="28">#REF!</definedName>
    <definedName name="DLJ_300" localSheetId="29">#REF!</definedName>
    <definedName name="DLJ_300" localSheetId="12">#REF!</definedName>
    <definedName name="DLJ_300" localSheetId="43">#REF!</definedName>
    <definedName name="DLJ_300" localSheetId="42">#REF!</definedName>
    <definedName name="DLJ_300" localSheetId="27">#REF!</definedName>
    <definedName name="DLJ_300" localSheetId="45">#REF!</definedName>
    <definedName name="DLJ_300">#REF!</definedName>
    <definedName name="DLJ_350" localSheetId="30">#REF!</definedName>
    <definedName name="DLJ_350" localSheetId="25">#REF!</definedName>
    <definedName name="DLJ_350" localSheetId="28">#REF!</definedName>
    <definedName name="DLJ_350" localSheetId="29">#REF!</definedName>
    <definedName name="DLJ_350" localSheetId="12">#REF!</definedName>
    <definedName name="DLJ_350" localSheetId="43">#REF!</definedName>
    <definedName name="DLJ_350" localSheetId="42">#REF!</definedName>
    <definedName name="DLJ_350" localSheetId="27">#REF!</definedName>
    <definedName name="DLJ_350" localSheetId="45">#REF!</definedName>
    <definedName name="DLJ_350">#REF!</definedName>
    <definedName name="DLJ_400" localSheetId="30">#REF!</definedName>
    <definedName name="DLJ_400" localSheetId="25">#REF!</definedName>
    <definedName name="DLJ_400" localSheetId="28">#REF!</definedName>
    <definedName name="DLJ_400" localSheetId="29">#REF!</definedName>
    <definedName name="DLJ_400" localSheetId="12">#REF!</definedName>
    <definedName name="DLJ_400" localSheetId="43">#REF!</definedName>
    <definedName name="DLJ_400" localSheetId="42">#REF!</definedName>
    <definedName name="DLJ_400" localSheetId="27">#REF!</definedName>
    <definedName name="DLJ_400" localSheetId="45">#REF!</definedName>
    <definedName name="DLJ_400">#REF!</definedName>
    <definedName name="DLJ_80" localSheetId="30">#REF!</definedName>
    <definedName name="DLJ_80" localSheetId="25">#REF!</definedName>
    <definedName name="DLJ_80" localSheetId="28">#REF!</definedName>
    <definedName name="DLJ_80" localSheetId="29">#REF!</definedName>
    <definedName name="DLJ_80" localSheetId="12">#REF!</definedName>
    <definedName name="DLJ_80" localSheetId="43">#REF!</definedName>
    <definedName name="DLJ_80" localSheetId="42">#REF!</definedName>
    <definedName name="DLJ_80" localSheetId="27">#REF!</definedName>
    <definedName name="DLJ_80" localSheetId="45">#REF!</definedName>
    <definedName name="DLJ_80">#REF!</definedName>
    <definedName name="DM_211" localSheetId="30">#REF!</definedName>
    <definedName name="DM_211" localSheetId="25">#REF!</definedName>
    <definedName name="DM_211" localSheetId="28">#REF!</definedName>
    <definedName name="DM_211" localSheetId="29">#REF!</definedName>
    <definedName name="DM_211" localSheetId="12">#REF!</definedName>
    <definedName name="DM_211" localSheetId="43">#REF!</definedName>
    <definedName name="DM_211" localSheetId="42">#REF!</definedName>
    <definedName name="DM_211" localSheetId="27">#REF!</definedName>
    <definedName name="DM_211" localSheetId="45">#REF!</definedName>
    <definedName name="DM_211">#REF!</definedName>
    <definedName name="DM_21H" localSheetId="30">#REF!</definedName>
    <definedName name="DM_21H" localSheetId="25">#REF!</definedName>
    <definedName name="DM_21H" localSheetId="28">#REF!</definedName>
    <definedName name="DM_21H" localSheetId="29">#REF!</definedName>
    <definedName name="DM_21H" localSheetId="12">#REF!</definedName>
    <definedName name="DM_21H" localSheetId="43">#REF!</definedName>
    <definedName name="DM_21H" localSheetId="42">#REF!</definedName>
    <definedName name="DM_21H" localSheetId="27">#REF!</definedName>
    <definedName name="DM_21H" localSheetId="45">#REF!</definedName>
    <definedName name="DM_21H">#REF!</definedName>
    <definedName name="DM_311" localSheetId="30">#REF!</definedName>
    <definedName name="DM_311" localSheetId="25">#REF!</definedName>
    <definedName name="DM_311" localSheetId="28">#REF!</definedName>
    <definedName name="DM_311" localSheetId="29">#REF!</definedName>
    <definedName name="DM_311" localSheetId="12">#REF!</definedName>
    <definedName name="DM_311" localSheetId="43">#REF!</definedName>
    <definedName name="DM_311" localSheetId="42">#REF!</definedName>
    <definedName name="DM_311" localSheetId="27">#REF!</definedName>
    <definedName name="DM_311" localSheetId="45">#REF!</definedName>
    <definedName name="DM_311">#REF!</definedName>
    <definedName name="DM_31H" localSheetId="30">#REF!</definedName>
    <definedName name="DM_31H" localSheetId="25">#REF!</definedName>
    <definedName name="DM_31H" localSheetId="28">#REF!</definedName>
    <definedName name="DM_31H" localSheetId="29">#REF!</definedName>
    <definedName name="DM_31H" localSheetId="12">#REF!</definedName>
    <definedName name="DM_31H" localSheetId="43">#REF!</definedName>
    <definedName name="DM_31H" localSheetId="42">#REF!</definedName>
    <definedName name="DM_31H" localSheetId="27">#REF!</definedName>
    <definedName name="DM_31H" localSheetId="45">#REF!</definedName>
    <definedName name="DM_31H">#REF!</definedName>
    <definedName name="DM_3HH" localSheetId="30">#REF!</definedName>
    <definedName name="DM_3HH" localSheetId="25">#REF!</definedName>
    <definedName name="DM_3HH" localSheetId="28">#REF!</definedName>
    <definedName name="DM_3HH" localSheetId="29">#REF!</definedName>
    <definedName name="DM_3HH" localSheetId="12">#REF!</definedName>
    <definedName name="DM_3HH" localSheetId="43">#REF!</definedName>
    <definedName name="DM_3HH" localSheetId="42">#REF!</definedName>
    <definedName name="DM_3HH" localSheetId="27">#REF!</definedName>
    <definedName name="DM_3HH" localSheetId="45">#REF!</definedName>
    <definedName name="DM_3HH">#REF!</definedName>
    <definedName name="DM_DIFITF100_MATERIAL" localSheetId="30">#REF!</definedName>
    <definedName name="DM_DIFITF100_MATERIAL" localSheetId="25">#REF!</definedName>
    <definedName name="DM_DIFITF100_MATERIAL" localSheetId="28">#REF!</definedName>
    <definedName name="DM_DIFITF100_MATERIAL" localSheetId="29">#REF!</definedName>
    <definedName name="DM_DIFITF100_MATERIAL" localSheetId="12">#REF!</definedName>
    <definedName name="DM_DIFITF100_MATERIAL" localSheetId="43">#REF!</definedName>
    <definedName name="DM_DIFITF100_MATERIAL" localSheetId="42">#REF!</definedName>
    <definedName name="DM_DIFITF100_MATERIAL" localSheetId="27">#REF!</definedName>
    <definedName name="DM_DIFITF100_MATERIAL" localSheetId="45">#REF!</definedName>
    <definedName name="DM_DIFITF100_MATERIAL">#REF!</definedName>
    <definedName name="DM_DIFITF100_SKILLED" localSheetId="30">#REF!</definedName>
    <definedName name="DM_DIFITF100_SKILLED" localSheetId="25">#REF!</definedName>
    <definedName name="DM_DIFITF100_SKILLED" localSheetId="28">#REF!</definedName>
    <definedName name="DM_DIFITF100_SKILLED" localSheetId="29">#REF!</definedName>
    <definedName name="DM_DIFITF100_SKILLED" localSheetId="12">#REF!</definedName>
    <definedName name="DM_DIFITF100_SKILLED" localSheetId="43">#REF!</definedName>
    <definedName name="DM_DIFITF100_SKILLED" localSheetId="42">#REF!</definedName>
    <definedName name="DM_DIFITF100_SKILLED" localSheetId="27">#REF!</definedName>
    <definedName name="DM_DIFITF100_SKILLED" localSheetId="45">#REF!</definedName>
    <definedName name="DM_DIFITF100_SKILLED">#REF!</definedName>
    <definedName name="DM_DIFITF100_UNSKILLED" localSheetId="30">#REF!</definedName>
    <definedName name="DM_DIFITF100_UNSKILLED" localSheetId="25">#REF!</definedName>
    <definedName name="DM_DIFITF100_UNSKILLED" localSheetId="28">#REF!</definedName>
    <definedName name="DM_DIFITF100_UNSKILLED" localSheetId="29">#REF!</definedName>
    <definedName name="DM_DIFITF100_UNSKILLED" localSheetId="12">#REF!</definedName>
    <definedName name="DM_DIFITF100_UNSKILLED" localSheetId="43">#REF!</definedName>
    <definedName name="DM_DIFITF100_UNSKILLED" localSheetId="42">#REF!</definedName>
    <definedName name="DM_DIFITF100_UNSKILLED" localSheetId="27">#REF!</definedName>
    <definedName name="DM_DIFITF100_UNSKILLED" localSheetId="45">#REF!</definedName>
    <definedName name="DM_DIFITF100_UNSKILLED">#REF!</definedName>
    <definedName name="DM_DIFITF125_MATERIAL" localSheetId="30">#REF!</definedName>
    <definedName name="DM_DIFITF125_MATERIAL" localSheetId="25">#REF!</definedName>
    <definedName name="DM_DIFITF125_MATERIAL" localSheetId="28">#REF!</definedName>
    <definedName name="DM_DIFITF125_MATERIAL" localSheetId="29">#REF!</definedName>
    <definedName name="DM_DIFITF125_MATERIAL" localSheetId="12">#REF!</definedName>
    <definedName name="DM_DIFITF125_MATERIAL" localSheetId="43">#REF!</definedName>
    <definedName name="DM_DIFITF125_MATERIAL" localSheetId="42">#REF!</definedName>
    <definedName name="DM_DIFITF125_MATERIAL" localSheetId="27">#REF!</definedName>
    <definedName name="DM_DIFITF125_MATERIAL" localSheetId="45">#REF!</definedName>
    <definedName name="DM_DIFITF125_MATERIAL">#REF!</definedName>
    <definedName name="DM_DIFITF125_SKILLED" localSheetId="30">#REF!</definedName>
    <definedName name="DM_DIFITF125_SKILLED" localSheetId="25">#REF!</definedName>
    <definedName name="DM_DIFITF125_SKILLED" localSheetId="28">#REF!</definedName>
    <definedName name="DM_DIFITF125_SKILLED" localSheetId="29">#REF!</definedName>
    <definedName name="DM_DIFITF125_SKILLED" localSheetId="12">#REF!</definedName>
    <definedName name="DM_DIFITF125_SKILLED" localSheetId="43">#REF!</definedName>
    <definedName name="DM_DIFITF125_SKILLED" localSheetId="42">#REF!</definedName>
    <definedName name="DM_DIFITF125_SKILLED" localSheetId="27">#REF!</definedName>
    <definedName name="DM_DIFITF125_SKILLED" localSheetId="45">#REF!</definedName>
    <definedName name="DM_DIFITF125_SKILLED">#REF!</definedName>
    <definedName name="DM_DIFITF125_UNSKILLED" localSheetId="30">#REF!</definedName>
    <definedName name="DM_DIFITF125_UNSKILLED" localSheetId="25">#REF!</definedName>
    <definedName name="DM_DIFITF125_UNSKILLED" localSheetId="28">#REF!</definedName>
    <definedName name="DM_DIFITF125_UNSKILLED" localSheetId="29">#REF!</definedName>
    <definedName name="DM_DIFITF125_UNSKILLED" localSheetId="12">#REF!</definedName>
    <definedName name="DM_DIFITF125_UNSKILLED" localSheetId="43">#REF!</definedName>
    <definedName name="DM_DIFITF125_UNSKILLED" localSheetId="42">#REF!</definedName>
    <definedName name="DM_DIFITF125_UNSKILLED" localSheetId="27">#REF!</definedName>
    <definedName name="DM_DIFITF125_UNSKILLED" localSheetId="45">#REF!</definedName>
    <definedName name="DM_DIFITF125_UNSKILLED">#REF!</definedName>
    <definedName name="DM_DIFITF150_MATERIAL" localSheetId="30">#REF!</definedName>
    <definedName name="DM_DIFITF150_MATERIAL" localSheetId="25">#REF!</definedName>
    <definedName name="DM_DIFITF150_MATERIAL" localSheetId="28">#REF!</definedName>
    <definedName name="DM_DIFITF150_MATERIAL" localSheetId="29">#REF!</definedName>
    <definedName name="DM_DIFITF150_MATERIAL" localSheetId="12">#REF!</definedName>
    <definedName name="DM_DIFITF150_MATERIAL" localSheetId="43">#REF!</definedName>
    <definedName name="DM_DIFITF150_MATERIAL" localSheetId="42">#REF!</definedName>
    <definedName name="DM_DIFITF150_MATERIAL" localSheetId="27">#REF!</definedName>
    <definedName name="DM_DIFITF150_MATERIAL" localSheetId="45">#REF!</definedName>
    <definedName name="DM_DIFITF150_MATERIAL">#REF!</definedName>
    <definedName name="DM_DIFITF150_SKILLED" localSheetId="30">#REF!</definedName>
    <definedName name="DM_DIFITF150_SKILLED" localSheetId="25">#REF!</definedName>
    <definedName name="DM_DIFITF150_SKILLED" localSheetId="28">#REF!</definedName>
    <definedName name="DM_DIFITF150_SKILLED" localSheetId="29">#REF!</definedName>
    <definedName name="DM_DIFITF150_SKILLED" localSheetId="12">#REF!</definedName>
    <definedName name="DM_DIFITF150_SKILLED" localSheetId="43">#REF!</definedName>
    <definedName name="DM_DIFITF150_SKILLED" localSheetId="42">#REF!</definedName>
    <definedName name="DM_DIFITF150_SKILLED" localSheetId="27">#REF!</definedName>
    <definedName name="DM_DIFITF150_SKILLED" localSheetId="45">#REF!</definedName>
    <definedName name="DM_DIFITF150_SKILLED">#REF!</definedName>
    <definedName name="DM_DIFITF150_UNSKILLED" localSheetId="30">#REF!</definedName>
    <definedName name="DM_DIFITF150_UNSKILLED" localSheetId="25">#REF!</definedName>
    <definedName name="DM_DIFITF150_UNSKILLED" localSheetId="28">#REF!</definedName>
    <definedName name="DM_DIFITF150_UNSKILLED" localSheetId="29">#REF!</definedName>
    <definedName name="DM_DIFITF150_UNSKILLED" localSheetId="12">#REF!</definedName>
    <definedName name="DM_DIFITF150_UNSKILLED" localSheetId="43">#REF!</definedName>
    <definedName name="DM_DIFITF150_UNSKILLED" localSheetId="42">#REF!</definedName>
    <definedName name="DM_DIFITF150_UNSKILLED" localSheetId="27">#REF!</definedName>
    <definedName name="DM_DIFITF150_UNSKILLED" localSheetId="45">#REF!</definedName>
    <definedName name="DM_DIFITF150_UNSKILLED">#REF!</definedName>
    <definedName name="DM_DIFITF200_MATERIAL" localSheetId="30">#REF!</definedName>
    <definedName name="DM_DIFITF200_MATERIAL" localSheetId="25">#REF!</definedName>
    <definedName name="DM_DIFITF200_MATERIAL" localSheetId="28">#REF!</definedName>
    <definedName name="DM_DIFITF200_MATERIAL" localSheetId="29">#REF!</definedName>
    <definedName name="DM_DIFITF200_MATERIAL" localSheetId="12">#REF!</definedName>
    <definedName name="DM_DIFITF200_MATERIAL" localSheetId="43">#REF!</definedName>
    <definedName name="DM_DIFITF200_MATERIAL" localSheetId="42">#REF!</definedName>
    <definedName name="DM_DIFITF200_MATERIAL" localSheetId="27">#REF!</definedName>
    <definedName name="DM_DIFITF200_MATERIAL" localSheetId="45">#REF!</definedName>
    <definedName name="DM_DIFITF200_MATERIAL">#REF!</definedName>
    <definedName name="DM_DIFITF200_SKILLED" localSheetId="30">#REF!</definedName>
    <definedName name="DM_DIFITF200_SKILLED" localSheetId="25">#REF!</definedName>
    <definedName name="DM_DIFITF200_SKILLED" localSheetId="28">#REF!</definedName>
    <definedName name="DM_DIFITF200_SKILLED" localSheetId="29">#REF!</definedName>
    <definedName name="DM_DIFITF200_SKILLED" localSheetId="12">#REF!</definedName>
    <definedName name="DM_DIFITF200_SKILLED" localSheetId="43">#REF!</definedName>
    <definedName name="DM_DIFITF200_SKILLED" localSheetId="42">#REF!</definedName>
    <definedName name="DM_DIFITF200_SKILLED" localSheetId="27">#REF!</definedName>
    <definedName name="DM_DIFITF200_SKILLED" localSheetId="45">#REF!</definedName>
    <definedName name="DM_DIFITF200_SKILLED">#REF!</definedName>
    <definedName name="DM_DIFITF200_UNSKILLED" localSheetId="30">#REF!</definedName>
    <definedName name="DM_DIFITF200_UNSKILLED" localSheetId="25">#REF!</definedName>
    <definedName name="DM_DIFITF200_UNSKILLED" localSheetId="28">#REF!</definedName>
    <definedName name="DM_DIFITF200_UNSKILLED" localSheetId="29">#REF!</definedName>
    <definedName name="DM_DIFITF200_UNSKILLED" localSheetId="12">#REF!</definedName>
    <definedName name="DM_DIFITF200_UNSKILLED" localSheetId="43">#REF!</definedName>
    <definedName name="DM_DIFITF200_UNSKILLED" localSheetId="42">#REF!</definedName>
    <definedName name="DM_DIFITF200_UNSKILLED" localSheetId="27">#REF!</definedName>
    <definedName name="DM_DIFITF200_UNSKILLED" localSheetId="45">#REF!</definedName>
    <definedName name="DM_DIFITF200_UNSKILLED">#REF!</definedName>
    <definedName name="DM_DIFITF250_MATERIAL" localSheetId="30">#REF!</definedName>
    <definedName name="DM_DIFITF250_MATERIAL" localSheetId="25">#REF!</definedName>
    <definedName name="DM_DIFITF250_MATERIAL" localSheetId="28">#REF!</definedName>
    <definedName name="DM_DIFITF250_MATERIAL" localSheetId="29">#REF!</definedName>
    <definedName name="DM_DIFITF250_MATERIAL" localSheetId="12">#REF!</definedName>
    <definedName name="DM_DIFITF250_MATERIAL" localSheetId="43">#REF!</definedName>
    <definedName name="DM_DIFITF250_MATERIAL" localSheetId="42">#REF!</definedName>
    <definedName name="DM_DIFITF250_MATERIAL" localSheetId="27">#REF!</definedName>
    <definedName name="DM_DIFITF250_MATERIAL" localSheetId="45">#REF!</definedName>
    <definedName name="DM_DIFITF250_MATERIAL">#REF!</definedName>
    <definedName name="DM_DIFITF250_SKILLED" localSheetId="30">#REF!</definedName>
    <definedName name="DM_DIFITF250_SKILLED" localSheetId="25">#REF!</definedName>
    <definedName name="DM_DIFITF250_SKILLED" localSheetId="28">#REF!</definedName>
    <definedName name="DM_DIFITF250_SKILLED" localSheetId="29">#REF!</definedName>
    <definedName name="DM_DIFITF250_SKILLED" localSheetId="12">#REF!</definedName>
    <definedName name="DM_DIFITF250_SKILLED" localSheetId="43">#REF!</definedName>
    <definedName name="DM_DIFITF250_SKILLED" localSheetId="42">#REF!</definedName>
    <definedName name="DM_DIFITF250_SKILLED" localSheetId="27">#REF!</definedName>
    <definedName name="DM_DIFITF250_SKILLED" localSheetId="45">#REF!</definedName>
    <definedName name="DM_DIFITF250_SKILLED">#REF!</definedName>
    <definedName name="DM_DIFITF250_UNSKILLED" localSheetId="30">#REF!</definedName>
    <definedName name="DM_DIFITF250_UNSKILLED" localSheetId="25">#REF!</definedName>
    <definedName name="DM_DIFITF250_UNSKILLED" localSheetId="28">#REF!</definedName>
    <definedName name="DM_DIFITF250_UNSKILLED" localSheetId="29">#REF!</definedName>
    <definedName name="DM_DIFITF250_UNSKILLED" localSheetId="12">#REF!</definedName>
    <definedName name="DM_DIFITF250_UNSKILLED" localSheetId="43">#REF!</definedName>
    <definedName name="DM_DIFITF250_UNSKILLED" localSheetId="42">#REF!</definedName>
    <definedName name="DM_DIFITF250_UNSKILLED" localSheetId="27">#REF!</definedName>
    <definedName name="DM_DIFITF250_UNSKILLED" localSheetId="45">#REF!</definedName>
    <definedName name="DM_DIFITF250_UNSKILLED">#REF!</definedName>
    <definedName name="DM_DIFITF300_MATERIAL" localSheetId="30">#REF!</definedName>
    <definedName name="DM_DIFITF300_MATERIAL" localSheetId="25">#REF!</definedName>
    <definedName name="DM_DIFITF300_MATERIAL" localSheetId="28">#REF!</definedName>
    <definedName name="DM_DIFITF300_MATERIAL" localSheetId="29">#REF!</definedName>
    <definedName name="DM_DIFITF300_MATERIAL" localSheetId="12">#REF!</definedName>
    <definedName name="DM_DIFITF300_MATERIAL" localSheetId="43">#REF!</definedName>
    <definedName name="DM_DIFITF300_MATERIAL" localSheetId="42">#REF!</definedName>
    <definedName name="DM_DIFITF300_MATERIAL" localSheetId="27">#REF!</definedName>
    <definedName name="DM_DIFITF300_MATERIAL" localSheetId="45">#REF!</definedName>
    <definedName name="DM_DIFITF300_MATERIAL">#REF!</definedName>
    <definedName name="DM_DIFITF300_SKILLED" localSheetId="30">#REF!</definedName>
    <definedName name="DM_DIFITF300_SKILLED" localSheetId="25">#REF!</definedName>
    <definedName name="DM_DIFITF300_SKILLED" localSheetId="28">#REF!</definedName>
    <definedName name="DM_DIFITF300_SKILLED" localSheetId="29">#REF!</definedName>
    <definedName name="DM_DIFITF300_SKILLED" localSheetId="12">#REF!</definedName>
    <definedName name="DM_DIFITF300_SKILLED" localSheetId="43">#REF!</definedName>
    <definedName name="DM_DIFITF300_SKILLED" localSheetId="42">#REF!</definedName>
    <definedName name="DM_DIFITF300_SKILLED" localSheetId="27">#REF!</definedName>
    <definedName name="DM_DIFITF300_SKILLED" localSheetId="45">#REF!</definedName>
    <definedName name="DM_DIFITF300_SKILLED">#REF!</definedName>
    <definedName name="DM_DIFITF300_UNSKILLED" localSheetId="30">#REF!</definedName>
    <definedName name="DM_DIFITF300_UNSKILLED" localSheetId="25">#REF!</definedName>
    <definedName name="DM_DIFITF300_UNSKILLED" localSheetId="28">#REF!</definedName>
    <definedName name="DM_DIFITF300_UNSKILLED" localSheetId="29">#REF!</definedName>
    <definedName name="DM_DIFITF300_UNSKILLED" localSheetId="12">#REF!</definedName>
    <definedName name="DM_DIFITF300_UNSKILLED" localSheetId="43">#REF!</definedName>
    <definedName name="DM_DIFITF300_UNSKILLED" localSheetId="42">#REF!</definedName>
    <definedName name="DM_DIFITF300_UNSKILLED" localSheetId="27">#REF!</definedName>
    <definedName name="DM_DIFITF300_UNSKILLED" localSheetId="45">#REF!</definedName>
    <definedName name="DM_DIFITF300_UNSKILLED">#REF!</definedName>
    <definedName name="DM_DIFITF350_MATERIAL" localSheetId="30">#REF!</definedName>
    <definedName name="DM_DIFITF350_MATERIAL" localSheetId="25">#REF!</definedName>
    <definedName name="DM_DIFITF350_MATERIAL" localSheetId="28">#REF!</definedName>
    <definedName name="DM_DIFITF350_MATERIAL" localSheetId="29">#REF!</definedName>
    <definedName name="DM_DIFITF350_MATERIAL" localSheetId="12">#REF!</definedName>
    <definedName name="DM_DIFITF350_MATERIAL" localSheetId="43">#REF!</definedName>
    <definedName name="DM_DIFITF350_MATERIAL" localSheetId="42">#REF!</definedName>
    <definedName name="DM_DIFITF350_MATERIAL" localSheetId="27">#REF!</definedName>
    <definedName name="DM_DIFITF350_MATERIAL" localSheetId="45">#REF!</definedName>
    <definedName name="DM_DIFITF350_MATERIAL">#REF!</definedName>
    <definedName name="DM_DIFITF350_SKILLED" localSheetId="30">#REF!</definedName>
    <definedName name="DM_DIFITF350_SKILLED" localSheetId="25">#REF!</definedName>
    <definedName name="DM_DIFITF350_SKILLED" localSheetId="28">#REF!</definedName>
    <definedName name="DM_DIFITF350_SKILLED" localSheetId="29">#REF!</definedName>
    <definedName name="DM_DIFITF350_SKILLED" localSheetId="12">#REF!</definedName>
    <definedName name="DM_DIFITF350_SKILLED" localSheetId="43">#REF!</definedName>
    <definedName name="DM_DIFITF350_SKILLED" localSheetId="42">#REF!</definedName>
    <definedName name="DM_DIFITF350_SKILLED" localSheetId="27">#REF!</definedName>
    <definedName name="DM_DIFITF350_SKILLED" localSheetId="45">#REF!</definedName>
    <definedName name="DM_DIFITF350_SKILLED">#REF!</definedName>
    <definedName name="DM_DIFITF350_UNSKILLED" localSheetId="30">#REF!</definedName>
    <definedName name="DM_DIFITF350_UNSKILLED" localSheetId="25">#REF!</definedName>
    <definedName name="DM_DIFITF350_UNSKILLED" localSheetId="28">#REF!</definedName>
    <definedName name="DM_DIFITF350_UNSKILLED" localSheetId="29">#REF!</definedName>
    <definedName name="DM_DIFITF350_UNSKILLED" localSheetId="12">#REF!</definedName>
    <definedName name="DM_DIFITF350_UNSKILLED" localSheetId="43">#REF!</definedName>
    <definedName name="DM_DIFITF350_UNSKILLED" localSheetId="42">#REF!</definedName>
    <definedName name="DM_DIFITF350_UNSKILLED" localSheetId="27">#REF!</definedName>
    <definedName name="DM_DIFITF350_UNSKILLED" localSheetId="45">#REF!</definedName>
    <definedName name="DM_DIFITF350_UNSKILLED">#REF!</definedName>
    <definedName name="DM_DIFITF400_MATERIAL" localSheetId="30">#REF!</definedName>
    <definedName name="DM_DIFITF400_MATERIAL" localSheetId="25">#REF!</definedName>
    <definedName name="DM_DIFITF400_MATERIAL" localSheetId="28">#REF!</definedName>
    <definedName name="DM_DIFITF400_MATERIAL" localSheetId="29">#REF!</definedName>
    <definedName name="DM_DIFITF400_MATERIAL" localSheetId="12">#REF!</definedName>
    <definedName name="DM_DIFITF400_MATERIAL" localSheetId="43">#REF!</definedName>
    <definedName name="DM_DIFITF400_MATERIAL" localSheetId="42">#REF!</definedName>
    <definedName name="DM_DIFITF400_MATERIAL" localSheetId="27">#REF!</definedName>
    <definedName name="DM_DIFITF400_MATERIAL" localSheetId="45">#REF!</definedName>
    <definedName name="DM_DIFITF400_MATERIAL">#REF!</definedName>
    <definedName name="DM_DIFITF400_SKILLED" localSheetId="30">#REF!</definedName>
    <definedName name="DM_DIFITF400_SKILLED" localSheetId="25">#REF!</definedName>
    <definedName name="DM_DIFITF400_SKILLED" localSheetId="28">#REF!</definedName>
    <definedName name="DM_DIFITF400_SKILLED" localSheetId="29">#REF!</definedName>
    <definedName name="DM_DIFITF400_SKILLED" localSheetId="12">#REF!</definedName>
    <definedName name="DM_DIFITF400_SKILLED" localSheetId="43">#REF!</definedName>
    <definedName name="DM_DIFITF400_SKILLED" localSheetId="42">#REF!</definedName>
    <definedName name="DM_DIFITF400_SKILLED" localSheetId="27">#REF!</definedName>
    <definedName name="DM_DIFITF400_SKILLED" localSheetId="45">#REF!</definedName>
    <definedName name="DM_DIFITF400_SKILLED">#REF!</definedName>
    <definedName name="DM_DIFITF400_UNSKILLED" localSheetId="30">#REF!</definedName>
    <definedName name="DM_DIFITF400_UNSKILLED" localSheetId="25">#REF!</definedName>
    <definedName name="DM_DIFITF400_UNSKILLED" localSheetId="28">#REF!</definedName>
    <definedName name="DM_DIFITF400_UNSKILLED" localSheetId="29">#REF!</definedName>
    <definedName name="DM_DIFITF400_UNSKILLED" localSheetId="12">#REF!</definedName>
    <definedName name="DM_DIFITF400_UNSKILLED" localSheetId="43">#REF!</definedName>
    <definedName name="DM_DIFITF400_UNSKILLED" localSheetId="42">#REF!</definedName>
    <definedName name="DM_DIFITF400_UNSKILLED" localSheetId="27">#REF!</definedName>
    <definedName name="DM_DIFITF400_UNSKILLED" localSheetId="45">#REF!</definedName>
    <definedName name="DM_DIFITF400_UNSKILLED">#REF!</definedName>
    <definedName name="DM_DIFITF80_MATERIAL" localSheetId="30">#REF!</definedName>
    <definedName name="DM_DIFITF80_MATERIAL" localSheetId="25">#REF!</definedName>
    <definedName name="DM_DIFITF80_MATERIAL" localSheetId="28">#REF!</definedName>
    <definedName name="DM_DIFITF80_MATERIAL" localSheetId="29">#REF!</definedName>
    <definedName name="DM_DIFITF80_MATERIAL" localSheetId="12">#REF!</definedName>
    <definedName name="DM_DIFITF80_MATERIAL" localSheetId="43">#REF!</definedName>
    <definedName name="DM_DIFITF80_MATERIAL" localSheetId="42">#REF!</definedName>
    <definedName name="DM_DIFITF80_MATERIAL" localSheetId="27">#REF!</definedName>
    <definedName name="DM_DIFITF80_MATERIAL" localSheetId="45">#REF!</definedName>
    <definedName name="DM_DIFITF80_MATERIAL">#REF!</definedName>
    <definedName name="DM_DIFITF80_SKILLED" localSheetId="30">#REF!</definedName>
    <definedName name="DM_DIFITF80_SKILLED" localSheetId="25">#REF!</definedName>
    <definedName name="DM_DIFITF80_SKILLED" localSheetId="28">#REF!</definedName>
    <definedName name="DM_DIFITF80_SKILLED" localSheetId="29">#REF!</definedName>
    <definedName name="DM_DIFITF80_SKILLED" localSheetId="12">#REF!</definedName>
    <definedName name="DM_DIFITF80_SKILLED" localSheetId="43">#REF!</definedName>
    <definedName name="DM_DIFITF80_SKILLED" localSheetId="42">#REF!</definedName>
    <definedName name="DM_DIFITF80_SKILLED" localSheetId="27">#REF!</definedName>
    <definedName name="DM_DIFITF80_SKILLED" localSheetId="45">#REF!</definedName>
    <definedName name="DM_DIFITF80_SKILLED">#REF!</definedName>
    <definedName name="DM_DIFITF80_UNSKILLED" localSheetId="30">#REF!</definedName>
    <definedName name="DM_DIFITF80_UNSKILLED" localSheetId="25">#REF!</definedName>
    <definedName name="DM_DIFITF80_UNSKILLED" localSheetId="28">#REF!</definedName>
    <definedName name="DM_DIFITF80_UNSKILLED" localSheetId="29">#REF!</definedName>
    <definedName name="DM_DIFITF80_UNSKILLED" localSheetId="12">#REF!</definedName>
    <definedName name="DM_DIFITF80_UNSKILLED" localSheetId="43">#REF!</definedName>
    <definedName name="DM_DIFITF80_UNSKILLED" localSheetId="42">#REF!</definedName>
    <definedName name="DM_DIFITF80_UNSKILLED" localSheetId="27">#REF!</definedName>
    <definedName name="DM_DIFITF80_UNSKILLED" localSheetId="45">#REF!</definedName>
    <definedName name="DM_DIFITF80_UNSKILLED">#REF!</definedName>
    <definedName name="DM_DIFITS100_MATERIAL" localSheetId="30">#REF!</definedName>
    <definedName name="DM_DIFITS100_MATERIAL" localSheetId="25">#REF!</definedName>
    <definedName name="DM_DIFITS100_MATERIAL" localSheetId="28">#REF!</definedName>
    <definedName name="DM_DIFITS100_MATERIAL" localSheetId="29">#REF!</definedName>
    <definedName name="DM_DIFITS100_MATERIAL" localSheetId="12">#REF!</definedName>
    <definedName name="DM_DIFITS100_MATERIAL" localSheetId="43">#REF!</definedName>
    <definedName name="DM_DIFITS100_MATERIAL" localSheetId="42">#REF!</definedName>
    <definedName name="DM_DIFITS100_MATERIAL" localSheetId="27">#REF!</definedName>
    <definedName name="DM_DIFITS100_MATERIAL" localSheetId="45">#REF!</definedName>
    <definedName name="DM_DIFITS100_MATERIAL">#REF!</definedName>
    <definedName name="DM_DIFITS100_SKILLED" localSheetId="30">#REF!</definedName>
    <definedName name="DM_DIFITS100_SKILLED" localSheetId="25">#REF!</definedName>
    <definedName name="DM_DIFITS100_SKILLED" localSheetId="28">#REF!</definedName>
    <definedName name="DM_DIFITS100_SKILLED" localSheetId="29">#REF!</definedName>
    <definedName name="DM_DIFITS100_SKILLED" localSheetId="12">#REF!</definedName>
    <definedName name="DM_DIFITS100_SKILLED" localSheetId="43">#REF!</definedName>
    <definedName name="DM_DIFITS100_SKILLED" localSheetId="42">#REF!</definedName>
    <definedName name="DM_DIFITS100_SKILLED" localSheetId="27">#REF!</definedName>
    <definedName name="DM_DIFITS100_SKILLED" localSheetId="45">#REF!</definedName>
    <definedName name="DM_DIFITS100_SKILLED">#REF!</definedName>
    <definedName name="DM_DIFITS100_UNSKILLED" localSheetId="30">#REF!</definedName>
    <definedName name="DM_DIFITS100_UNSKILLED" localSheetId="25">#REF!</definedName>
    <definedName name="DM_DIFITS100_UNSKILLED" localSheetId="28">#REF!</definedName>
    <definedName name="DM_DIFITS100_UNSKILLED" localSheetId="29">#REF!</definedName>
    <definedName name="DM_DIFITS100_UNSKILLED" localSheetId="12">#REF!</definedName>
    <definedName name="DM_DIFITS100_UNSKILLED" localSheetId="43">#REF!</definedName>
    <definedName name="DM_DIFITS100_UNSKILLED" localSheetId="42">#REF!</definedName>
    <definedName name="DM_DIFITS100_UNSKILLED" localSheetId="27">#REF!</definedName>
    <definedName name="DM_DIFITS100_UNSKILLED" localSheetId="45">#REF!</definedName>
    <definedName name="DM_DIFITS100_UNSKILLED">#REF!</definedName>
    <definedName name="DM_DIFITS125_MATERIAL" localSheetId="30">#REF!</definedName>
    <definedName name="DM_DIFITS125_MATERIAL" localSheetId="25">#REF!</definedName>
    <definedName name="DM_DIFITS125_MATERIAL" localSheetId="28">#REF!</definedName>
    <definedName name="DM_DIFITS125_MATERIAL" localSheetId="29">#REF!</definedName>
    <definedName name="DM_DIFITS125_MATERIAL" localSheetId="12">#REF!</definedName>
    <definedName name="DM_DIFITS125_MATERIAL" localSheetId="43">#REF!</definedName>
    <definedName name="DM_DIFITS125_MATERIAL" localSheetId="42">#REF!</definedName>
    <definedName name="DM_DIFITS125_MATERIAL" localSheetId="27">#REF!</definedName>
    <definedName name="DM_DIFITS125_MATERIAL" localSheetId="45">#REF!</definedName>
    <definedName name="DM_DIFITS125_MATERIAL">#REF!</definedName>
    <definedName name="DM_DIFITS125_SKILLED" localSheetId="30">#REF!</definedName>
    <definedName name="DM_DIFITS125_SKILLED" localSheetId="25">#REF!</definedName>
    <definedName name="DM_DIFITS125_SKILLED" localSheetId="28">#REF!</definedName>
    <definedName name="DM_DIFITS125_SKILLED" localSheetId="29">#REF!</definedName>
    <definedName name="DM_DIFITS125_SKILLED" localSheetId="12">#REF!</definedName>
    <definedName name="DM_DIFITS125_SKILLED" localSheetId="43">#REF!</definedName>
    <definedName name="DM_DIFITS125_SKILLED" localSheetId="42">#REF!</definedName>
    <definedName name="DM_DIFITS125_SKILLED" localSheetId="27">#REF!</definedName>
    <definedName name="DM_DIFITS125_SKILLED" localSheetId="45">#REF!</definedName>
    <definedName name="DM_DIFITS125_SKILLED">#REF!</definedName>
    <definedName name="DM_DIFITS150_MATERIAL" localSheetId="30">#REF!</definedName>
    <definedName name="DM_DIFITS150_MATERIAL" localSheetId="25">#REF!</definedName>
    <definedName name="DM_DIFITS150_MATERIAL" localSheetId="28">#REF!</definedName>
    <definedName name="DM_DIFITS150_MATERIAL" localSheetId="29">#REF!</definedName>
    <definedName name="DM_DIFITS150_MATERIAL" localSheetId="12">#REF!</definedName>
    <definedName name="DM_DIFITS150_MATERIAL" localSheetId="43">#REF!</definedName>
    <definedName name="DM_DIFITS150_MATERIAL" localSheetId="42">#REF!</definedName>
    <definedName name="DM_DIFITS150_MATERIAL" localSheetId="27">#REF!</definedName>
    <definedName name="DM_DIFITS150_MATERIAL" localSheetId="45">#REF!</definedName>
    <definedName name="DM_DIFITS150_MATERIAL">#REF!</definedName>
    <definedName name="DM_DIFITS150_SKILLED" localSheetId="30">#REF!</definedName>
    <definedName name="DM_DIFITS150_SKILLED" localSheetId="25">#REF!</definedName>
    <definedName name="DM_DIFITS150_SKILLED" localSheetId="28">#REF!</definedName>
    <definedName name="DM_DIFITS150_SKILLED" localSheetId="29">#REF!</definedName>
    <definedName name="DM_DIFITS150_SKILLED" localSheetId="12">#REF!</definedName>
    <definedName name="DM_DIFITS150_SKILLED" localSheetId="43">#REF!</definedName>
    <definedName name="DM_DIFITS150_SKILLED" localSheetId="42">#REF!</definedName>
    <definedName name="DM_DIFITS150_SKILLED" localSheetId="27">#REF!</definedName>
    <definedName name="DM_DIFITS150_SKILLED" localSheetId="45">#REF!</definedName>
    <definedName name="DM_DIFITS150_SKILLED">#REF!</definedName>
    <definedName name="DM_DIFITS150_UNSKILLED" localSheetId="30">#REF!</definedName>
    <definedName name="DM_DIFITS150_UNSKILLED" localSheetId="25">#REF!</definedName>
    <definedName name="DM_DIFITS150_UNSKILLED" localSheetId="28">#REF!</definedName>
    <definedName name="DM_DIFITS150_UNSKILLED" localSheetId="29">#REF!</definedName>
    <definedName name="DM_DIFITS150_UNSKILLED" localSheetId="12">#REF!</definedName>
    <definedName name="DM_DIFITS150_UNSKILLED" localSheetId="43">#REF!</definedName>
    <definedName name="DM_DIFITS150_UNSKILLED" localSheetId="42">#REF!</definedName>
    <definedName name="DM_DIFITS150_UNSKILLED" localSheetId="27">#REF!</definedName>
    <definedName name="DM_DIFITS150_UNSKILLED" localSheetId="45">#REF!</definedName>
    <definedName name="DM_DIFITS150_UNSKILLED">#REF!</definedName>
    <definedName name="DM_DIFITS200_MATERIAL" localSheetId="30">#REF!</definedName>
    <definedName name="DM_DIFITS200_MATERIAL" localSheetId="25">#REF!</definedName>
    <definedName name="DM_DIFITS200_MATERIAL" localSheetId="28">#REF!</definedName>
    <definedName name="DM_DIFITS200_MATERIAL" localSheetId="29">#REF!</definedName>
    <definedName name="DM_DIFITS200_MATERIAL" localSheetId="12">#REF!</definedName>
    <definedName name="DM_DIFITS200_MATERIAL" localSheetId="43">#REF!</definedName>
    <definedName name="DM_DIFITS200_MATERIAL" localSheetId="42">#REF!</definedName>
    <definedName name="DM_DIFITS200_MATERIAL" localSheetId="27">#REF!</definedName>
    <definedName name="DM_DIFITS200_MATERIAL" localSheetId="45">#REF!</definedName>
    <definedName name="DM_DIFITS200_MATERIAL">#REF!</definedName>
    <definedName name="DM_DIFITS200_SKILLED" localSheetId="30">#REF!</definedName>
    <definedName name="DM_DIFITS200_SKILLED" localSheetId="25">#REF!</definedName>
    <definedName name="DM_DIFITS200_SKILLED" localSheetId="28">#REF!</definedName>
    <definedName name="DM_DIFITS200_SKILLED" localSheetId="29">#REF!</definedName>
    <definedName name="DM_DIFITS200_SKILLED" localSheetId="12">#REF!</definedName>
    <definedName name="DM_DIFITS200_SKILLED" localSheetId="43">#REF!</definedName>
    <definedName name="DM_DIFITS200_SKILLED" localSheetId="42">#REF!</definedName>
    <definedName name="DM_DIFITS200_SKILLED" localSheetId="27">#REF!</definedName>
    <definedName name="DM_DIFITS200_SKILLED" localSheetId="45">#REF!</definedName>
    <definedName name="DM_DIFITS200_SKILLED">#REF!</definedName>
    <definedName name="DM_DIFITS200_UNSKILLED" localSheetId="30">#REF!</definedName>
    <definedName name="DM_DIFITS200_UNSKILLED" localSheetId="25">#REF!</definedName>
    <definedName name="DM_DIFITS200_UNSKILLED" localSheetId="28">#REF!</definedName>
    <definedName name="DM_DIFITS200_UNSKILLED" localSheetId="29">#REF!</definedName>
    <definedName name="DM_DIFITS200_UNSKILLED" localSheetId="12">#REF!</definedName>
    <definedName name="DM_DIFITS200_UNSKILLED" localSheetId="43">#REF!</definedName>
    <definedName name="DM_DIFITS200_UNSKILLED" localSheetId="42">#REF!</definedName>
    <definedName name="DM_DIFITS200_UNSKILLED" localSheetId="27">#REF!</definedName>
    <definedName name="DM_DIFITS200_UNSKILLED" localSheetId="45">#REF!</definedName>
    <definedName name="DM_DIFITS200_UNSKILLED">#REF!</definedName>
    <definedName name="DM_DIFITS250_MATERIAL" localSheetId="30">#REF!</definedName>
    <definedName name="DM_DIFITS250_MATERIAL" localSheetId="25">#REF!</definedName>
    <definedName name="DM_DIFITS250_MATERIAL" localSheetId="28">#REF!</definedName>
    <definedName name="DM_DIFITS250_MATERIAL" localSheetId="29">#REF!</definedName>
    <definedName name="DM_DIFITS250_MATERIAL" localSheetId="12">#REF!</definedName>
    <definedName name="DM_DIFITS250_MATERIAL" localSheetId="43">#REF!</definedName>
    <definedName name="DM_DIFITS250_MATERIAL" localSheetId="42">#REF!</definedName>
    <definedName name="DM_DIFITS250_MATERIAL" localSheetId="27">#REF!</definedName>
    <definedName name="DM_DIFITS250_MATERIAL" localSheetId="45">#REF!</definedName>
    <definedName name="DM_DIFITS250_MATERIAL">#REF!</definedName>
    <definedName name="DM_DIFITS250_SKILLED" localSheetId="30">#REF!</definedName>
    <definedName name="DM_DIFITS250_SKILLED" localSheetId="25">#REF!</definedName>
    <definedName name="DM_DIFITS250_SKILLED" localSheetId="28">#REF!</definedName>
    <definedName name="DM_DIFITS250_SKILLED" localSheetId="29">#REF!</definedName>
    <definedName name="DM_DIFITS250_SKILLED" localSheetId="12">#REF!</definedName>
    <definedName name="DM_DIFITS250_SKILLED" localSheetId="43">#REF!</definedName>
    <definedName name="DM_DIFITS250_SKILLED" localSheetId="42">#REF!</definedName>
    <definedName name="DM_DIFITS250_SKILLED" localSheetId="27">#REF!</definedName>
    <definedName name="DM_DIFITS250_SKILLED" localSheetId="45">#REF!</definedName>
    <definedName name="DM_DIFITS250_SKILLED">#REF!</definedName>
    <definedName name="DM_DIFITS250_UNSKILLED" localSheetId="30">#REF!</definedName>
    <definedName name="DM_DIFITS250_UNSKILLED" localSheetId="25">#REF!</definedName>
    <definedName name="DM_DIFITS250_UNSKILLED" localSheetId="28">#REF!</definedName>
    <definedName name="DM_DIFITS250_UNSKILLED" localSheetId="29">#REF!</definedName>
    <definedName name="DM_DIFITS250_UNSKILLED" localSheetId="12">#REF!</definedName>
    <definedName name="DM_DIFITS250_UNSKILLED" localSheetId="43">#REF!</definedName>
    <definedName name="DM_DIFITS250_UNSKILLED" localSheetId="42">#REF!</definedName>
    <definedName name="DM_DIFITS250_UNSKILLED" localSheetId="27">#REF!</definedName>
    <definedName name="DM_DIFITS250_UNSKILLED" localSheetId="45">#REF!</definedName>
    <definedName name="DM_DIFITS250_UNSKILLED">#REF!</definedName>
    <definedName name="DM_DIFITS300_MATERIAL" localSheetId="30">#REF!</definedName>
    <definedName name="DM_DIFITS300_MATERIAL" localSheetId="25">#REF!</definedName>
    <definedName name="DM_DIFITS300_MATERIAL" localSheetId="28">#REF!</definedName>
    <definedName name="DM_DIFITS300_MATERIAL" localSheetId="29">#REF!</definedName>
    <definedName name="DM_DIFITS300_MATERIAL" localSheetId="12">#REF!</definedName>
    <definedName name="DM_DIFITS300_MATERIAL" localSheetId="43">#REF!</definedName>
    <definedName name="DM_DIFITS300_MATERIAL" localSheetId="42">#REF!</definedName>
    <definedName name="DM_DIFITS300_MATERIAL" localSheetId="27">#REF!</definedName>
    <definedName name="DM_DIFITS300_MATERIAL" localSheetId="45">#REF!</definedName>
    <definedName name="DM_DIFITS300_MATERIAL">#REF!</definedName>
    <definedName name="DM_DIFITS300_SKILLED" localSheetId="30">#REF!</definedName>
    <definedName name="DM_DIFITS300_SKILLED" localSheetId="25">#REF!</definedName>
    <definedName name="DM_DIFITS300_SKILLED" localSheetId="28">#REF!</definedName>
    <definedName name="DM_DIFITS300_SKILLED" localSheetId="29">#REF!</definedName>
    <definedName name="DM_DIFITS300_SKILLED" localSheetId="12">#REF!</definedName>
    <definedName name="DM_DIFITS300_SKILLED" localSheetId="43">#REF!</definedName>
    <definedName name="DM_DIFITS300_SKILLED" localSheetId="42">#REF!</definedName>
    <definedName name="DM_DIFITS300_SKILLED" localSheetId="27">#REF!</definedName>
    <definedName name="DM_DIFITS300_SKILLED" localSheetId="45">#REF!</definedName>
    <definedName name="DM_DIFITS300_SKILLED">#REF!</definedName>
    <definedName name="DM_DIFITS300_UNSKILLED" localSheetId="30">#REF!</definedName>
    <definedName name="DM_DIFITS300_UNSKILLED" localSheetId="25">#REF!</definedName>
    <definedName name="DM_DIFITS300_UNSKILLED" localSheetId="28">#REF!</definedName>
    <definedName name="DM_DIFITS300_UNSKILLED" localSheetId="29">#REF!</definedName>
    <definedName name="DM_DIFITS300_UNSKILLED" localSheetId="12">#REF!</definedName>
    <definedName name="DM_DIFITS300_UNSKILLED" localSheetId="43">#REF!</definedName>
    <definedName name="DM_DIFITS300_UNSKILLED" localSheetId="42">#REF!</definedName>
    <definedName name="DM_DIFITS300_UNSKILLED" localSheetId="27">#REF!</definedName>
    <definedName name="DM_DIFITS300_UNSKILLED" localSheetId="45">#REF!</definedName>
    <definedName name="DM_DIFITS300_UNSKILLED">#REF!</definedName>
    <definedName name="DM_DIFITS350_MATERIAL" localSheetId="30">#REF!</definedName>
    <definedName name="DM_DIFITS350_MATERIAL" localSheetId="25">#REF!</definedName>
    <definedName name="DM_DIFITS350_MATERIAL" localSheetId="28">#REF!</definedName>
    <definedName name="DM_DIFITS350_MATERIAL" localSheetId="29">#REF!</definedName>
    <definedName name="DM_DIFITS350_MATERIAL" localSheetId="12">#REF!</definedName>
    <definedName name="DM_DIFITS350_MATERIAL" localSheetId="43">#REF!</definedName>
    <definedName name="DM_DIFITS350_MATERIAL" localSheetId="42">#REF!</definedName>
    <definedName name="DM_DIFITS350_MATERIAL" localSheetId="27">#REF!</definedName>
    <definedName name="DM_DIFITS350_MATERIAL" localSheetId="45">#REF!</definedName>
    <definedName name="DM_DIFITS350_MATERIAL">#REF!</definedName>
    <definedName name="DM_DIFITS350_SKILLED" localSheetId="30">#REF!</definedName>
    <definedName name="DM_DIFITS350_SKILLED" localSheetId="25">#REF!</definedName>
    <definedName name="DM_DIFITS350_SKILLED" localSheetId="28">#REF!</definedName>
    <definedName name="DM_DIFITS350_SKILLED" localSheetId="29">#REF!</definedName>
    <definedName name="DM_DIFITS350_SKILLED" localSheetId="12">#REF!</definedName>
    <definedName name="DM_DIFITS350_SKILLED" localSheetId="43">#REF!</definedName>
    <definedName name="DM_DIFITS350_SKILLED" localSheetId="42">#REF!</definedName>
    <definedName name="DM_DIFITS350_SKILLED" localSheetId="27">#REF!</definedName>
    <definedName name="DM_DIFITS350_SKILLED" localSheetId="45">#REF!</definedName>
    <definedName name="DM_DIFITS350_SKILLED">#REF!</definedName>
    <definedName name="DM_DIFITS350_UNSKILLED" localSheetId="30">#REF!</definedName>
    <definedName name="DM_DIFITS350_UNSKILLED" localSheetId="25">#REF!</definedName>
    <definedName name="DM_DIFITS350_UNSKILLED" localSheetId="28">#REF!</definedName>
    <definedName name="DM_DIFITS350_UNSKILLED" localSheetId="29">#REF!</definedName>
    <definedName name="DM_DIFITS350_UNSKILLED" localSheetId="12">#REF!</definedName>
    <definedName name="DM_DIFITS350_UNSKILLED" localSheetId="43">#REF!</definedName>
    <definedName name="DM_DIFITS350_UNSKILLED" localSheetId="42">#REF!</definedName>
    <definedName name="DM_DIFITS350_UNSKILLED" localSheetId="27">#REF!</definedName>
    <definedName name="DM_DIFITS350_UNSKILLED" localSheetId="45">#REF!</definedName>
    <definedName name="DM_DIFITS350_UNSKILLED">#REF!</definedName>
    <definedName name="DM_DIFITS400_MATERIAL" localSheetId="30">#REF!</definedName>
    <definedName name="DM_DIFITS400_MATERIAL" localSheetId="25">#REF!</definedName>
    <definedName name="DM_DIFITS400_MATERIAL" localSheetId="28">#REF!</definedName>
    <definedName name="DM_DIFITS400_MATERIAL" localSheetId="29">#REF!</definedName>
    <definedName name="DM_DIFITS400_MATERIAL" localSheetId="12">#REF!</definedName>
    <definedName name="DM_DIFITS400_MATERIAL" localSheetId="43">#REF!</definedName>
    <definedName name="DM_DIFITS400_MATERIAL" localSheetId="42">#REF!</definedName>
    <definedName name="DM_DIFITS400_MATERIAL" localSheetId="27">#REF!</definedName>
    <definedName name="DM_DIFITS400_MATERIAL" localSheetId="45">#REF!</definedName>
    <definedName name="DM_DIFITS400_MATERIAL">#REF!</definedName>
    <definedName name="DM_DIFITS400_SKILLED" localSheetId="30">#REF!</definedName>
    <definedName name="DM_DIFITS400_SKILLED" localSheetId="25">#REF!</definedName>
    <definedName name="DM_DIFITS400_SKILLED" localSheetId="28">#REF!</definedName>
    <definedName name="DM_DIFITS400_SKILLED" localSheetId="29">#REF!</definedName>
    <definedName name="DM_DIFITS400_SKILLED" localSheetId="12">#REF!</definedName>
    <definedName name="DM_DIFITS400_SKILLED" localSheetId="43">#REF!</definedName>
    <definedName name="DM_DIFITS400_SKILLED" localSheetId="42">#REF!</definedName>
    <definedName name="DM_DIFITS400_SKILLED" localSheetId="27">#REF!</definedName>
    <definedName name="DM_DIFITS400_SKILLED" localSheetId="45">#REF!</definedName>
    <definedName name="DM_DIFITS400_SKILLED">#REF!</definedName>
    <definedName name="DM_DIFITS400_UNSKILLED" localSheetId="30">#REF!</definedName>
    <definedName name="DM_DIFITS400_UNSKILLED" localSheetId="25">#REF!</definedName>
    <definedName name="DM_DIFITS400_UNSKILLED" localSheetId="28">#REF!</definedName>
    <definedName name="DM_DIFITS400_UNSKILLED" localSheetId="29">#REF!</definedName>
    <definedName name="DM_DIFITS400_UNSKILLED" localSheetId="12">#REF!</definedName>
    <definedName name="DM_DIFITS400_UNSKILLED" localSheetId="43">#REF!</definedName>
    <definedName name="DM_DIFITS400_UNSKILLED" localSheetId="42">#REF!</definedName>
    <definedName name="DM_DIFITS400_UNSKILLED" localSheetId="27">#REF!</definedName>
    <definedName name="DM_DIFITS400_UNSKILLED" localSheetId="45">#REF!</definedName>
    <definedName name="DM_DIFITS400_UNSKILLED">#REF!</definedName>
    <definedName name="DM_DIFITS80_MATERIAL" localSheetId="30">#REF!</definedName>
    <definedName name="DM_DIFITS80_MATERIAL" localSheetId="25">#REF!</definedName>
    <definedName name="DM_DIFITS80_MATERIAL" localSheetId="28">#REF!</definedName>
    <definedName name="DM_DIFITS80_MATERIAL" localSheetId="29">#REF!</definedName>
    <definedName name="DM_DIFITS80_MATERIAL" localSheetId="12">#REF!</definedName>
    <definedName name="DM_DIFITS80_MATERIAL" localSheetId="43">#REF!</definedName>
    <definedName name="DM_DIFITS80_MATERIAL" localSheetId="42">#REF!</definedName>
    <definedName name="DM_DIFITS80_MATERIAL" localSheetId="27">#REF!</definedName>
    <definedName name="DM_DIFITS80_MATERIAL" localSheetId="45">#REF!</definedName>
    <definedName name="DM_DIFITS80_MATERIAL">#REF!</definedName>
    <definedName name="DM_DIFITS80_SKILLED" localSheetId="30">#REF!</definedName>
    <definedName name="DM_DIFITS80_SKILLED" localSheetId="25">#REF!</definedName>
    <definedName name="DM_DIFITS80_SKILLED" localSheetId="28">#REF!</definedName>
    <definedName name="DM_DIFITS80_SKILLED" localSheetId="29">#REF!</definedName>
    <definedName name="DM_DIFITS80_SKILLED" localSheetId="12">#REF!</definedName>
    <definedName name="DM_DIFITS80_SKILLED" localSheetId="43">#REF!</definedName>
    <definedName name="DM_DIFITS80_SKILLED" localSheetId="42">#REF!</definedName>
    <definedName name="DM_DIFITS80_SKILLED" localSheetId="27">#REF!</definedName>
    <definedName name="DM_DIFITS80_SKILLED" localSheetId="45">#REF!</definedName>
    <definedName name="DM_DIFITS80_SKILLED">#REF!</definedName>
    <definedName name="DM_DIFITS80_UNSKILLED" localSheetId="30">#REF!</definedName>
    <definedName name="DM_DIFITS80_UNSKILLED" localSheetId="25">#REF!</definedName>
    <definedName name="DM_DIFITS80_UNSKILLED" localSheetId="28">#REF!</definedName>
    <definedName name="DM_DIFITS80_UNSKILLED" localSheetId="29">#REF!</definedName>
    <definedName name="DM_DIFITS80_UNSKILLED" localSheetId="12">#REF!</definedName>
    <definedName name="DM_DIFITS80_UNSKILLED" localSheetId="43">#REF!</definedName>
    <definedName name="DM_DIFITS80_UNSKILLED" localSheetId="42">#REF!</definedName>
    <definedName name="DM_DIFITS80_UNSKILLED" localSheetId="27">#REF!</definedName>
    <definedName name="DM_DIFITS80_UNSKILLED" localSheetId="45">#REF!</definedName>
    <definedName name="DM_DIFITS80_UNSKILLED">#REF!</definedName>
    <definedName name="DM_DIFITVALVE100_MATERIAL" localSheetId="30">#REF!</definedName>
    <definedName name="DM_DIFITVALVE100_MATERIAL" localSheetId="25">#REF!</definedName>
    <definedName name="DM_DIFITVALVE100_MATERIAL" localSheetId="28">#REF!</definedName>
    <definedName name="DM_DIFITVALVE100_MATERIAL" localSheetId="29">#REF!</definedName>
    <definedName name="DM_DIFITVALVE100_MATERIAL" localSheetId="12">#REF!</definedName>
    <definedName name="DM_DIFITVALVE100_MATERIAL" localSheetId="43">#REF!</definedName>
    <definedName name="DM_DIFITVALVE100_MATERIAL" localSheetId="42">#REF!</definedName>
    <definedName name="DM_DIFITVALVE100_MATERIAL" localSheetId="27">#REF!</definedName>
    <definedName name="DM_DIFITVALVE100_MATERIAL" localSheetId="45">#REF!</definedName>
    <definedName name="DM_DIFITVALVE100_MATERIAL">#REF!</definedName>
    <definedName name="DM_DIFITVALVE100_SKILLED" localSheetId="30">#REF!</definedName>
    <definedName name="DM_DIFITVALVE100_SKILLED" localSheetId="25">#REF!</definedName>
    <definedName name="DM_DIFITVALVE100_SKILLED" localSheetId="28">#REF!</definedName>
    <definedName name="DM_DIFITVALVE100_SKILLED" localSheetId="29">#REF!</definedName>
    <definedName name="DM_DIFITVALVE100_SKILLED" localSheetId="12">#REF!</definedName>
    <definedName name="DM_DIFITVALVE100_SKILLED" localSheetId="43">#REF!</definedName>
    <definedName name="DM_DIFITVALVE100_SKILLED" localSheetId="42">#REF!</definedName>
    <definedName name="DM_DIFITVALVE100_SKILLED" localSheetId="27">#REF!</definedName>
    <definedName name="DM_DIFITVALVE100_SKILLED" localSheetId="45">#REF!</definedName>
    <definedName name="DM_DIFITVALVE100_SKILLED">#REF!</definedName>
    <definedName name="DM_DIFITVALVE100_UNSKILLED" localSheetId="30">#REF!</definedName>
    <definedName name="DM_DIFITVALVE100_UNSKILLED" localSheetId="25">#REF!</definedName>
    <definedName name="DM_DIFITVALVE100_UNSKILLED" localSheetId="28">#REF!</definedName>
    <definedName name="DM_DIFITVALVE100_UNSKILLED" localSheetId="29">#REF!</definedName>
    <definedName name="DM_DIFITVALVE100_UNSKILLED" localSheetId="12">#REF!</definedName>
    <definedName name="DM_DIFITVALVE100_UNSKILLED" localSheetId="43">#REF!</definedName>
    <definedName name="DM_DIFITVALVE100_UNSKILLED" localSheetId="42">#REF!</definedName>
    <definedName name="DM_DIFITVALVE100_UNSKILLED" localSheetId="27">#REF!</definedName>
    <definedName name="DM_DIFITVALVE100_UNSKILLED" localSheetId="45">#REF!</definedName>
    <definedName name="DM_DIFITVALVE100_UNSKILLED">#REF!</definedName>
    <definedName name="DM_DIFITVALVE125_MATERIAL" localSheetId="30">#REF!</definedName>
    <definedName name="DM_DIFITVALVE125_MATERIAL" localSheetId="25">#REF!</definedName>
    <definedName name="DM_DIFITVALVE125_MATERIAL" localSheetId="28">#REF!</definedName>
    <definedName name="DM_DIFITVALVE125_MATERIAL" localSheetId="29">#REF!</definedName>
    <definedName name="DM_DIFITVALVE125_MATERIAL" localSheetId="12">#REF!</definedName>
    <definedName name="DM_DIFITVALVE125_MATERIAL" localSheetId="43">#REF!</definedName>
    <definedName name="DM_DIFITVALVE125_MATERIAL" localSheetId="42">#REF!</definedName>
    <definedName name="DM_DIFITVALVE125_MATERIAL" localSheetId="27">#REF!</definedName>
    <definedName name="DM_DIFITVALVE125_MATERIAL" localSheetId="45">#REF!</definedName>
    <definedName name="DM_DIFITVALVE125_MATERIAL">#REF!</definedName>
    <definedName name="DM_DIFITVALVE125_SKILLED" localSheetId="30">#REF!</definedName>
    <definedName name="DM_DIFITVALVE125_SKILLED" localSheetId="25">#REF!</definedName>
    <definedName name="DM_DIFITVALVE125_SKILLED" localSheetId="28">#REF!</definedName>
    <definedName name="DM_DIFITVALVE125_SKILLED" localSheetId="29">#REF!</definedName>
    <definedName name="DM_DIFITVALVE125_SKILLED" localSheetId="12">#REF!</definedName>
    <definedName name="DM_DIFITVALVE125_SKILLED" localSheetId="43">#REF!</definedName>
    <definedName name="DM_DIFITVALVE125_SKILLED" localSheetId="42">#REF!</definedName>
    <definedName name="DM_DIFITVALVE125_SKILLED" localSheetId="27">#REF!</definedName>
    <definedName name="DM_DIFITVALVE125_SKILLED" localSheetId="45">#REF!</definedName>
    <definedName name="DM_DIFITVALVE125_SKILLED">#REF!</definedName>
    <definedName name="DM_DIFITVALVE125_UNSKILLED" localSheetId="30">#REF!</definedName>
    <definedName name="DM_DIFITVALVE125_UNSKILLED" localSheetId="25">#REF!</definedName>
    <definedName name="DM_DIFITVALVE125_UNSKILLED" localSheetId="28">#REF!</definedName>
    <definedName name="DM_DIFITVALVE125_UNSKILLED" localSheetId="29">#REF!</definedName>
    <definedName name="DM_DIFITVALVE125_UNSKILLED" localSheetId="12">#REF!</definedName>
    <definedName name="DM_DIFITVALVE125_UNSKILLED" localSheetId="43">#REF!</definedName>
    <definedName name="DM_DIFITVALVE125_UNSKILLED" localSheetId="42">#REF!</definedName>
    <definedName name="DM_DIFITVALVE125_UNSKILLED" localSheetId="27">#REF!</definedName>
    <definedName name="DM_DIFITVALVE125_UNSKILLED" localSheetId="45">#REF!</definedName>
    <definedName name="DM_DIFITVALVE125_UNSKILLED">#REF!</definedName>
    <definedName name="DM_DIFITVALVE150_MATERIAL" localSheetId="30">#REF!</definedName>
    <definedName name="DM_DIFITVALVE150_MATERIAL" localSheetId="25">#REF!</definedName>
    <definedName name="DM_DIFITVALVE150_MATERIAL" localSheetId="28">#REF!</definedName>
    <definedName name="DM_DIFITVALVE150_MATERIAL" localSheetId="29">#REF!</definedName>
    <definedName name="DM_DIFITVALVE150_MATERIAL" localSheetId="12">#REF!</definedName>
    <definedName name="DM_DIFITVALVE150_MATERIAL" localSheetId="43">#REF!</definedName>
    <definedName name="DM_DIFITVALVE150_MATERIAL" localSheetId="42">#REF!</definedName>
    <definedName name="DM_DIFITVALVE150_MATERIAL" localSheetId="27">#REF!</definedName>
    <definedName name="DM_DIFITVALVE150_MATERIAL" localSheetId="45">#REF!</definedName>
    <definedName name="DM_DIFITVALVE150_MATERIAL">#REF!</definedName>
    <definedName name="DM_DIFITVALVE150_SKILLED" localSheetId="30">#REF!</definedName>
    <definedName name="DM_DIFITVALVE150_SKILLED" localSheetId="25">#REF!</definedName>
    <definedName name="DM_DIFITVALVE150_SKILLED" localSheetId="28">#REF!</definedName>
    <definedName name="DM_DIFITVALVE150_SKILLED" localSheetId="29">#REF!</definedName>
    <definedName name="DM_DIFITVALVE150_SKILLED" localSheetId="12">#REF!</definedName>
    <definedName name="DM_DIFITVALVE150_SKILLED" localSheetId="43">#REF!</definedName>
    <definedName name="DM_DIFITVALVE150_SKILLED" localSheetId="42">#REF!</definedName>
    <definedName name="DM_DIFITVALVE150_SKILLED" localSheetId="27">#REF!</definedName>
    <definedName name="DM_DIFITVALVE150_SKILLED" localSheetId="45">#REF!</definedName>
    <definedName name="DM_DIFITVALVE150_SKILLED">#REF!</definedName>
    <definedName name="DM_DIFITVALVE150_UNSKILLED" localSheetId="30">#REF!</definedName>
    <definedName name="DM_DIFITVALVE150_UNSKILLED" localSheetId="25">#REF!</definedName>
    <definedName name="DM_DIFITVALVE150_UNSKILLED" localSheetId="28">#REF!</definedName>
    <definedName name="DM_DIFITVALVE150_UNSKILLED" localSheetId="29">#REF!</definedName>
    <definedName name="DM_DIFITVALVE150_UNSKILLED" localSheetId="12">#REF!</definedName>
    <definedName name="DM_DIFITVALVE150_UNSKILLED" localSheetId="43">#REF!</definedName>
    <definedName name="DM_DIFITVALVE150_UNSKILLED" localSheetId="42">#REF!</definedName>
    <definedName name="DM_DIFITVALVE150_UNSKILLED" localSheetId="27">#REF!</definedName>
    <definedName name="DM_DIFITVALVE150_UNSKILLED" localSheetId="45">#REF!</definedName>
    <definedName name="DM_DIFITVALVE150_UNSKILLED">#REF!</definedName>
    <definedName name="DM_DIFITVALVE200_MATERIAL" localSheetId="30">#REF!</definedName>
    <definedName name="DM_DIFITVALVE200_MATERIAL" localSheetId="25">#REF!</definedName>
    <definedName name="DM_DIFITVALVE200_MATERIAL" localSheetId="28">#REF!</definedName>
    <definedName name="DM_DIFITVALVE200_MATERIAL" localSheetId="29">#REF!</definedName>
    <definedName name="DM_DIFITVALVE200_MATERIAL" localSheetId="12">#REF!</definedName>
    <definedName name="DM_DIFITVALVE200_MATERIAL" localSheetId="43">#REF!</definedName>
    <definedName name="DM_DIFITVALVE200_MATERIAL" localSheetId="42">#REF!</definedName>
    <definedName name="DM_DIFITVALVE200_MATERIAL" localSheetId="27">#REF!</definedName>
    <definedName name="DM_DIFITVALVE200_MATERIAL" localSheetId="45">#REF!</definedName>
    <definedName name="DM_DIFITVALVE200_MATERIAL">#REF!</definedName>
    <definedName name="DM_DIFITVALVE200_SKILLED" localSheetId="30">#REF!</definedName>
    <definedName name="DM_DIFITVALVE200_SKILLED" localSheetId="25">#REF!</definedName>
    <definedName name="DM_DIFITVALVE200_SKILLED" localSheetId="28">#REF!</definedName>
    <definedName name="DM_DIFITVALVE200_SKILLED" localSheetId="29">#REF!</definedName>
    <definedName name="DM_DIFITVALVE200_SKILLED" localSheetId="12">#REF!</definedName>
    <definedName name="DM_DIFITVALVE200_SKILLED" localSheetId="43">#REF!</definedName>
    <definedName name="DM_DIFITVALVE200_SKILLED" localSheetId="42">#REF!</definedName>
    <definedName name="DM_DIFITVALVE200_SKILLED" localSheetId="27">#REF!</definedName>
    <definedName name="DM_DIFITVALVE200_SKILLED" localSheetId="45">#REF!</definedName>
    <definedName name="DM_DIFITVALVE200_SKILLED">#REF!</definedName>
    <definedName name="DM_DIFITVALVE200_UNSKILLED" localSheetId="30">#REF!</definedName>
    <definedName name="DM_DIFITVALVE200_UNSKILLED" localSheetId="25">#REF!</definedName>
    <definedName name="DM_DIFITVALVE200_UNSKILLED" localSheetId="28">#REF!</definedName>
    <definedName name="DM_DIFITVALVE200_UNSKILLED" localSheetId="29">#REF!</definedName>
    <definedName name="DM_DIFITVALVE200_UNSKILLED" localSheetId="12">#REF!</definedName>
    <definedName name="DM_DIFITVALVE200_UNSKILLED" localSheetId="43">#REF!</definedName>
    <definedName name="DM_DIFITVALVE200_UNSKILLED" localSheetId="42">#REF!</definedName>
    <definedName name="DM_DIFITVALVE200_UNSKILLED" localSheetId="27">#REF!</definedName>
    <definedName name="DM_DIFITVALVE200_UNSKILLED" localSheetId="45">#REF!</definedName>
    <definedName name="DM_DIFITVALVE200_UNSKILLED">#REF!</definedName>
    <definedName name="DM_DIFITVALVE250_MATERIAL" localSheetId="30">#REF!</definedName>
    <definedName name="DM_DIFITVALVE250_MATERIAL" localSheetId="25">#REF!</definedName>
    <definedName name="DM_DIFITVALVE250_MATERIAL" localSheetId="28">#REF!</definedName>
    <definedName name="DM_DIFITVALVE250_MATERIAL" localSheetId="29">#REF!</definedName>
    <definedName name="DM_DIFITVALVE250_MATERIAL" localSheetId="12">#REF!</definedName>
    <definedName name="DM_DIFITVALVE250_MATERIAL" localSheetId="43">#REF!</definedName>
    <definedName name="DM_DIFITVALVE250_MATERIAL" localSheetId="42">#REF!</definedName>
    <definedName name="DM_DIFITVALVE250_MATERIAL" localSheetId="27">#REF!</definedName>
    <definedName name="DM_DIFITVALVE250_MATERIAL" localSheetId="45">#REF!</definedName>
    <definedName name="DM_DIFITVALVE250_MATERIAL">#REF!</definedName>
    <definedName name="DM_DIFITVALVE250_SKILLED" localSheetId="30">#REF!</definedName>
    <definedName name="DM_DIFITVALVE250_SKILLED" localSheetId="25">#REF!</definedName>
    <definedName name="DM_DIFITVALVE250_SKILLED" localSheetId="28">#REF!</definedName>
    <definedName name="DM_DIFITVALVE250_SKILLED" localSheetId="29">#REF!</definedName>
    <definedName name="DM_DIFITVALVE250_SKILLED" localSheetId="12">#REF!</definedName>
    <definedName name="DM_DIFITVALVE250_SKILLED" localSheetId="43">#REF!</definedName>
    <definedName name="DM_DIFITVALVE250_SKILLED" localSheetId="42">#REF!</definedName>
    <definedName name="DM_DIFITVALVE250_SKILLED" localSheetId="27">#REF!</definedName>
    <definedName name="DM_DIFITVALVE250_SKILLED" localSheetId="45">#REF!</definedName>
    <definedName name="DM_DIFITVALVE250_SKILLED">#REF!</definedName>
    <definedName name="DM_DIFITVALVE250_UNSKILLED" localSheetId="30">#REF!</definedName>
    <definedName name="DM_DIFITVALVE250_UNSKILLED" localSheetId="25">#REF!</definedName>
    <definedName name="DM_DIFITVALVE250_UNSKILLED" localSheetId="28">#REF!</definedName>
    <definedName name="DM_DIFITVALVE250_UNSKILLED" localSheetId="29">#REF!</definedName>
    <definedName name="DM_DIFITVALVE250_UNSKILLED" localSheetId="12">#REF!</definedName>
    <definedName name="DM_DIFITVALVE250_UNSKILLED" localSheetId="43">#REF!</definedName>
    <definedName name="DM_DIFITVALVE250_UNSKILLED" localSheetId="42">#REF!</definedName>
    <definedName name="DM_DIFITVALVE250_UNSKILLED" localSheetId="27">#REF!</definedName>
    <definedName name="DM_DIFITVALVE250_UNSKILLED" localSheetId="45">#REF!</definedName>
    <definedName name="DM_DIFITVALVE250_UNSKILLED">#REF!</definedName>
    <definedName name="DM_DIFITVALVE300_MATERIAL" localSheetId="30">#REF!</definedName>
    <definedName name="DM_DIFITVALVE300_MATERIAL" localSheetId="25">#REF!</definedName>
    <definedName name="DM_DIFITVALVE300_MATERIAL" localSheetId="28">#REF!</definedName>
    <definedName name="DM_DIFITVALVE300_MATERIAL" localSheetId="29">#REF!</definedName>
    <definedName name="DM_DIFITVALVE300_MATERIAL" localSheetId="12">#REF!</definedName>
    <definedName name="DM_DIFITVALVE300_MATERIAL" localSheetId="43">#REF!</definedName>
    <definedName name="DM_DIFITVALVE300_MATERIAL" localSheetId="42">#REF!</definedName>
    <definedName name="DM_DIFITVALVE300_MATERIAL" localSheetId="27">#REF!</definedName>
    <definedName name="DM_DIFITVALVE300_MATERIAL" localSheetId="45">#REF!</definedName>
    <definedName name="DM_DIFITVALVE300_MATERIAL">#REF!</definedName>
    <definedName name="DM_DIFITVALVE300_SKILLED" localSheetId="30">#REF!</definedName>
    <definedName name="DM_DIFITVALVE300_SKILLED" localSheetId="25">#REF!</definedName>
    <definedName name="DM_DIFITVALVE300_SKILLED" localSheetId="28">#REF!</definedName>
    <definedName name="DM_DIFITVALVE300_SKILLED" localSheetId="29">#REF!</definedName>
    <definedName name="DM_DIFITVALVE300_SKILLED" localSheetId="12">#REF!</definedName>
    <definedName name="DM_DIFITVALVE300_SKILLED" localSheetId="43">#REF!</definedName>
    <definedName name="DM_DIFITVALVE300_SKILLED" localSheetId="42">#REF!</definedName>
    <definedName name="DM_DIFITVALVE300_SKILLED" localSheetId="27">#REF!</definedName>
    <definedName name="DM_DIFITVALVE300_SKILLED" localSheetId="45">#REF!</definedName>
    <definedName name="DM_DIFITVALVE300_SKILLED">#REF!</definedName>
    <definedName name="DM_DIFITVALVE300_UNSKILLED" localSheetId="30">#REF!</definedName>
    <definedName name="DM_DIFITVALVE300_UNSKILLED" localSheetId="25">#REF!</definedName>
    <definedName name="DM_DIFITVALVE300_UNSKILLED" localSheetId="28">#REF!</definedName>
    <definedName name="DM_DIFITVALVE300_UNSKILLED" localSheetId="29">#REF!</definedName>
    <definedName name="DM_DIFITVALVE300_UNSKILLED" localSheetId="12">#REF!</definedName>
    <definedName name="DM_DIFITVALVE300_UNSKILLED" localSheetId="43">#REF!</definedName>
    <definedName name="DM_DIFITVALVE300_UNSKILLED" localSheetId="42">#REF!</definedName>
    <definedName name="DM_DIFITVALVE300_UNSKILLED" localSheetId="27">#REF!</definedName>
    <definedName name="DM_DIFITVALVE300_UNSKILLED" localSheetId="45">#REF!</definedName>
    <definedName name="DM_DIFITVALVE300_UNSKILLED">#REF!</definedName>
    <definedName name="DM_DIFITVALVE350_MATERIAL" localSheetId="30">#REF!</definedName>
    <definedName name="DM_DIFITVALVE350_MATERIAL" localSheetId="25">#REF!</definedName>
    <definedName name="DM_DIFITVALVE350_MATERIAL" localSheetId="28">#REF!</definedName>
    <definedName name="DM_DIFITVALVE350_MATERIAL" localSheetId="29">#REF!</definedName>
    <definedName name="DM_DIFITVALVE350_MATERIAL" localSheetId="12">#REF!</definedName>
    <definedName name="DM_DIFITVALVE350_MATERIAL" localSheetId="43">#REF!</definedName>
    <definedName name="DM_DIFITVALVE350_MATERIAL" localSheetId="42">#REF!</definedName>
    <definedName name="DM_DIFITVALVE350_MATERIAL" localSheetId="27">#REF!</definedName>
    <definedName name="DM_DIFITVALVE350_MATERIAL" localSheetId="45">#REF!</definedName>
    <definedName name="DM_DIFITVALVE350_MATERIAL">#REF!</definedName>
    <definedName name="DM_DIFITVALVE350_SKILLED" localSheetId="30">#REF!</definedName>
    <definedName name="DM_DIFITVALVE350_SKILLED" localSheetId="25">#REF!</definedName>
    <definedName name="DM_DIFITVALVE350_SKILLED" localSheetId="28">#REF!</definedName>
    <definedName name="DM_DIFITVALVE350_SKILLED" localSheetId="29">#REF!</definedName>
    <definedName name="DM_DIFITVALVE350_SKILLED" localSheetId="12">#REF!</definedName>
    <definedName name="DM_DIFITVALVE350_SKILLED" localSheetId="43">#REF!</definedName>
    <definedName name="DM_DIFITVALVE350_SKILLED" localSheetId="42">#REF!</definedName>
    <definedName name="DM_DIFITVALVE350_SKILLED" localSheetId="27">#REF!</definedName>
    <definedName name="DM_DIFITVALVE350_SKILLED" localSheetId="45">#REF!</definedName>
    <definedName name="DM_DIFITVALVE350_SKILLED">#REF!</definedName>
    <definedName name="DM_DIFITVALVE350_UNSKILLED" localSheetId="30">#REF!</definedName>
    <definedName name="DM_DIFITVALVE350_UNSKILLED" localSheetId="25">#REF!</definedName>
    <definedName name="DM_DIFITVALVE350_UNSKILLED" localSheetId="28">#REF!</definedName>
    <definedName name="DM_DIFITVALVE350_UNSKILLED" localSheetId="29">#REF!</definedName>
    <definedName name="DM_DIFITVALVE350_UNSKILLED" localSheetId="12">#REF!</definedName>
    <definedName name="DM_DIFITVALVE350_UNSKILLED" localSheetId="43">#REF!</definedName>
    <definedName name="DM_DIFITVALVE350_UNSKILLED" localSheetId="42">#REF!</definedName>
    <definedName name="DM_DIFITVALVE350_UNSKILLED" localSheetId="27">#REF!</definedName>
    <definedName name="DM_DIFITVALVE350_UNSKILLED" localSheetId="45">#REF!</definedName>
    <definedName name="DM_DIFITVALVE350_UNSKILLED">#REF!</definedName>
    <definedName name="DM_DIFITVALVE400_MATERIAL" localSheetId="30">#REF!</definedName>
    <definedName name="DM_DIFITVALVE400_MATERIAL" localSheetId="25">#REF!</definedName>
    <definedName name="DM_DIFITVALVE400_MATERIAL" localSheetId="28">#REF!</definedName>
    <definedName name="DM_DIFITVALVE400_MATERIAL" localSheetId="29">#REF!</definedName>
    <definedName name="DM_DIFITVALVE400_MATERIAL" localSheetId="12">#REF!</definedName>
    <definedName name="DM_DIFITVALVE400_MATERIAL" localSheetId="43">#REF!</definedName>
    <definedName name="DM_DIFITVALVE400_MATERIAL" localSheetId="42">#REF!</definedName>
    <definedName name="DM_DIFITVALVE400_MATERIAL" localSheetId="27">#REF!</definedName>
    <definedName name="DM_DIFITVALVE400_MATERIAL" localSheetId="45">#REF!</definedName>
    <definedName name="DM_DIFITVALVE400_MATERIAL">#REF!</definedName>
    <definedName name="DM_DIFITVALVE400_SKILLED" localSheetId="30">#REF!</definedName>
    <definedName name="DM_DIFITVALVE400_SKILLED" localSheetId="25">#REF!</definedName>
    <definedName name="DM_DIFITVALVE400_SKILLED" localSheetId="28">#REF!</definedName>
    <definedName name="DM_DIFITVALVE400_SKILLED" localSheetId="29">#REF!</definedName>
    <definedName name="DM_DIFITVALVE400_SKILLED" localSheetId="12">#REF!</definedName>
    <definedName name="DM_DIFITVALVE400_SKILLED" localSheetId="43">#REF!</definedName>
    <definedName name="DM_DIFITVALVE400_SKILLED" localSheetId="42">#REF!</definedName>
    <definedName name="DM_DIFITVALVE400_SKILLED" localSheetId="27">#REF!</definedName>
    <definedName name="DM_DIFITVALVE400_SKILLED" localSheetId="45">#REF!</definedName>
    <definedName name="DM_DIFITVALVE400_SKILLED">#REF!</definedName>
    <definedName name="DM_DIFITVALVE400_UNSKILLED" localSheetId="30">#REF!</definedName>
    <definedName name="DM_DIFITVALVE400_UNSKILLED" localSheetId="25">#REF!</definedName>
    <definedName name="DM_DIFITVALVE400_UNSKILLED" localSheetId="28">#REF!</definedName>
    <definedName name="DM_DIFITVALVE400_UNSKILLED" localSheetId="29">#REF!</definedName>
    <definedName name="DM_DIFITVALVE400_UNSKILLED" localSheetId="12">#REF!</definedName>
    <definedName name="DM_DIFITVALVE400_UNSKILLED" localSheetId="43">#REF!</definedName>
    <definedName name="DM_DIFITVALVE400_UNSKILLED" localSheetId="42">#REF!</definedName>
    <definedName name="DM_DIFITVALVE400_UNSKILLED" localSheetId="27">#REF!</definedName>
    <definedName name="DM_DIFITVALVE400_UNSKILLED" localSheetId="45">#REF!</definedName>
    <definedName name="DM_DIFITVALVE400_UNSKILLED">#REF!</definedName>
    <definedName name="DM_DIFITVALVE80_MATERIAL" localSheetId="30">#REF!</definedName>
    <definedName name="DM_DIFITVALVE80_MATERIAL" localSheetId="25">#REF!</definedName>
    <definedName name="DM_DIFITVALVE80_MATERIAL" localSheetId="28">#REF!</definedName>
    <definedName name="DM_DIFITVALVE80_MATERIAL" localSheetId="29">#REF!</definedName>
    <definedName name="DM_DIFITVALVE80_MATERIAL" localSheetId="12">#REF!</definedName>
    <definedName name="DM_DIFITVALVE80_MATERIAL" localSheetId="43">#REF!</definedName>
    <definedName name="DM_DIFITVALVE80_MATERIAL" localSheetId="42">#REF!</definedName>
    <definedName name="DM_DIFITVALVE80_MATERIAL" localSheetId="27">#REF!</definedName>
    <definedName name="DM_DIFITVALVE80_MATERIAL" localSheetId="45">#REF!</definedName>
    <definedName name="DM_DIFITVALVE80_MATERIAL">#REF!</definedName>
    <definedName name="DM_DIFITVALVE80_SKILLED" localSheetId="30">#REF!</definedName>
    <definedName name="DM_DIFITVALVE80_SKILLED" localSheetId="25">#REF!</definedName>
    <definedName name="DM_DIFITVALVE80_SKILLED" localSheetId="28">#REF!</definedName>
    <definedName name="DM_DIFITVALVE80_SKILLED" localSheetId="29">#REF!</definedName>
    <definedName name="DM_DIFITVALVE80_SKILLED" localSheetId="12">#REF!</definedName>
    <definedName name="DM_DIFITVALVE80_SKILLED" localSheetId="43">#REF!</definedName>
    <definedName name="DM_DIFITVALVE80_SKILLED" localSheetId="42">#REF!</definedName>
    <definedName name="DM_DIFITVALVE80_SKILLED" localSheetId="27">#REF!</definedName>
    <definedName name="DM_DIFITVALVE80_SKILLED" localSheetId="45">#REF!</definedName>
    <definedName name="DM_DIFITVALVE80_SKILLED">#REF!</definedName>
    <definedName name="DM_DIFITVALVE80_UNSKILLED" localSheetId="30">#REF!</definedName>
    <definedName name="DM_DIFITVALVE80_UNSKILLED" localSheetId="25">#REF!</definedName>
    <definedName name="DM_DIFITVALVE80_UNSKILLED" localSheetId="28">#REF!</definedName>
    <definedName name="DM_DIFITVALVE80_UNSKILLED" localSheetId="29">#REF!</definedName>
    <definedName name="DM_DIFITVALVE80_UNSKILLED" localSheetId="12">#REF!</definedName>
    <definedName name="DM_DIFITVALVE80_UNSKILLED" localSheetId="43">#REF!</definedName>
    <definedName name="DM_DIFITVALVE80_UNSKILLED" localSheetId="42">#REF!</definedName>
    <definedName name="DM_DIFITVALVE80_UNSKILLED" localSheetId="27">#REF!</definedName>
    <definedName name="DM_DIFITVALVE80_UNSKILLED" localSheetId="45">#REF!</definedName>
    <definedName name="DM_DIFITVALVE80_UNSKILLED">#REF!</definedName>
    <definedName name="DM_DIPL100_MATERIAL" localSheetId="30">#REF!</definedName>
    <definedName name="DM_DIPL100_MATERIAL" localSheetId="25">#REF!</definedName>
    <definedName name="DM_DIPL100_MATERIAL" localSheetId="28">#REF!</definedName>
    <definedName name="DM_DIPL100_MATERIAL" localSheetId="29">#REF!</definedName>
    <definedName name="DM_DIPL100_MATERIAL" localSheetId="12">#REF!</definedName>
    <definedName name="DM_DIPL100_MATERIAL" localSheetId="43">#REF!</definedName>
    <definedName name="DM_DIPL100_MATERIAL" localSheetId="42">#REF!</definedName>
    <definedName name="DM_DIPL100_MATERIAL" localSheetId="27">#REF!</definedName>
    <definedName name="DM_DIPL100_MATERIAL" localSheetId="45">#REF!</definedName>
    <definedName name="DM_DIPL100_MATERIAL">#REF!</definedName>
    <definedName name="DM_DIPL100_SKILLED" localSheetId="30">#REF!</definedName>
    <definedName name="DM_DIPL100_SKILLED" localSheetId="25">#REF!</definedName>
    <definedName name="DM_DIPL100_SKILLED" localSheetId="28">#REF!</definedName>
    <definedName name="DM_DIPL100_SKILLED" localSheetId="29">#REF!</definedName>
    <definedName name="DM_DIPL100_SKILLED" localSheetId="12">#REF!</definedName>
    <definedName name="DM_DIPL100_SKILLED" localSheetId="43">#REF!</definedName>
    <definedName name="DM_DIPL100_SKILLED" localSheetId="42">#REF!</definedName>
    <definedName name="DM_DIPL100_SKILLED" localSheetId="27">#REF!</definedName>
    <definedName name="DM_DIPL100_SKILLED" localSheetId="45">#REF!</definedName>
    <definedName name="DM_DIPL100_SKILLED">#REF!</definedName>
    <definedName name="DM_DIPL100_UNSKILLED" localSheetId="30">#REF!</definedName>
    <definedName name="DM_DIPL100_UNSKILLED" localSheetId="25">#REF!</definedName>
    <definedName name="DM_DIPL100_UNSKILLED" localSheetId="28">#REF!</definedName>
    <definedName name="DM_DIPL100_UNSKILLED" localSheetId="29">#REF!</definedName>
    <definedName name="DM_DIPL100_UNSKILLED" localSheetId="12">#REF!</definedName>
    <definedName name="DM_DIPL100_UNSKILLED" localSheetId="43">#REF!</definedName>
    <definedName name="DM_DIPL100_UNSKILLED" localSheetId="42">#REF!</definedName>
    <definedName name="DM_DIPL100_UNSKILLED" localSheetId="27">#REF!</definedName>
    <definedName name="DM_DIPL100_UNSKILLED" localSheetId="45">#REF!</definedName>
    <definedName name="DM_DIPL100_UNSKILLED">#REF!</definedName>
    <definedName name="DM_DIPL125_MATERIAL" localSheetId="30">#REF!</definedName>
    <definedName name="DM_DIPL125_MATERIAL" localSheetId="25">#REF!</definedName>
    <definedName name="DM_DIPL125_MATERIAL" localSheetId="28">#REF!</definedName>
    <definedName name="DM_DIPL125_MATERIAL" localSheetId="29">#REF!</definedName>
    <definedName name="DM_DIPL125_MATERIAL" localSheetId="12">#REF!</definedName>
    <definedName name="DM_DIPL125_MATERIAL" localSheetId="43">#REF!</definedName>
    <definedName name="DM_DIPL125_MATERIAL" localSheetId="42">#REF!</definedName>
    <definedName name="DM_DIPL125_MATERIAL" localSheetId="27">#REF!</definedName>
    <definedName name="DM_DIPL125_MATERIAL" localSheetId="45">#REF!</definedName>
    <definedName name="DM_DIPL125_MATERIAL">#REF!</definedName>
    <definedName name="DM_DIPL125_SKILLED" localSheetId="30">#REF!</definedName>
    <definedName name="DM_DIPL125_SKILLED" localSheetId="25">#REF!</definedName>
    <definedName name="DM_DIPL125_SKILLED" localSheetId="28">#REF!</definedName>
    <definedName name="DM_DIPL125_SKILLED" localSheetId="29">#REF!</definedName>
    <definedName name="DM_DIPL125_SKILLED" localSheetId="12">#REF!</definedName>
    <definedName name="DM_DIPL125_SKILLED" localSheetId="43">#REF!</definedName>
    <definedName name="DM_DIPL125_SKILLED" localSheetId="42">#REF!</definedName>
    <definedName name="DM_DIPL125_SKILLED" localSheetId="27">#REF!</definedName>
    <definedName name="DM_DIPL125_SKILLED" localSheetId="45">#REF!</definedName>
    <definedName name="DM_DIPL125_SKILLED">#REF!</definedName>
    <definedName name="DM_DIPL125_UNSKILLED" localSheetId="30">#REF!</definedName>
    <definedName name="DM_DIPL125_UNSKILLED" localSheetId="25">#REF!</definedName>
    <definedName name="DM_DIPL125_UNSKILLED" localSheetId="28">#REF!</definedName>
    <definedName name="DM_DIPL125_UNSKILLED" localSheetId="29">#REF!</definedName>
    <definedName name="DM_DIPL125_UNSKILLED" localSheetId="12">#REF!</definedName>
    <definedName name="DM_DIPL125_UNSKILLED" localSheetId="43">#REF!</definedName>
    <definedName name="DM_DIPL125_UNSKILLED" localSheetId="42">#REF!</definedName>
    <definedName name="DM_DIPL125_UNSKILLED" localSheetId="27">#REF!</definedName>
    <definedName name="DM_DIPL125_UNSKILLED" localSheetId="45">#REF!</definedName>
    <definedName name="DM_DIPL125_UNSKILLED">#REF!</definedName>
    <definedName name="DM_DIPL150_MATERIAL" localSheetId="30">#REF!</definedName>
    <definedName name="DM_DIPL150_MATERIAL" localSheetId="25">#REF!</definedName>
    <definedName name="DM_DIPL150_MATERIAL" localSheetId="28">#REF!</definedName>
    <definedName name="DM_DIPL150_MATERIAL" localSheetId="29">#REF!</definedName>
    <definedName name="DM_DIPL150_MATERIAL" localSheetId="12">#REF!</definedName>
    <definedName name="DM_DIPL150_MATERIAL" localSheetId="43">#REF!</definedName>
    <definedName name="DM_DIPL150_MATERIAL" localSheetId="42">#REF!</definedName>
    <definedName name="DM_DIPL150_MATERIAL" localSheetId="27">#REF!</definedName>
    <definedName name="DM_DIPL150_MATERIAL" localSheetId="45">#REF!</definedName>
    <definedName name="DM_DIPL150_MATERIAL">#REF!</definedName>
    <definedName name="DM_DIPL150_SKILLED" localSheetId="30">#REF!</definedName>
    <definedName name="DM_DIPL150_SKILLED" localSheetId="25">#REF!</definedName>
    <definedName name="DM_DIPL150_SKILLED" localSheetId="28">#REF!</definedName>
    <definedName name="DM_DIPL150_SKILLED" localSheetId="29">#REF!</definedName>
    <definedName name="DM_DIPL150_SKILLED" localSheetId="12">#REF!</definedName>
    <definedName name="DM_DIPL150_SKILLED" localSheetId="43">#REF!</definedName>
    <definedName name="DM_DIPL150_SKILLED" localSheetId="42">#REF!</definedName>
    <definedName name="DM_DIPL150_SKILLED" localSheetId="27">#REF!</definedName>
    <definedName name="DM_DIPL150_SKILLED" localSheetId="45">#REF!</definedName>
    <definedName name="DM_DIPL150_SKILLED">#REF!</definedName>
    <definedName name="DM_DIPL150_UNSKILLED" localSheetId="30">#REF!</definedName>
    <definedName name="DM_DIPL150_UNSKILLED" localSheetId="25">#REF!</definedName>
    <definedName name="DM_DIPL150_UNSKILLED" localSheetId="28">#REF!</definedName>
    <definedName name="DM_DIPL150_UNSKILLED" localSheetId="29">#REF!</definedName>
    <definedName name="DM_DIPL150_UNSKILLED" localSheetId="12">#REF!</definedName>
    <definedName name="DM_DIPL150_UNSKILLED" localSheetId="43">#REF!</definedName>
    <definedName name="DM_DIPL150_UNSKILLED" localSheetId="42">#REF!</definedName>
    <definedName name="DM_DIPL150_UNSKILLED" localSheetId="27">#REF!</definedName>
    <definedName name="DM_DIPL150_UNSKILLED" localSheetId="45">#REF!</definedName>
    <definedName name="DM_DIPL150_UNSKILLED">#REF!</definedName>
    <definedName name="DM_DIPL200_MATERIAL" localSheetId="30">#REF!</definedName>
    <definedName name="DM_DIPL200_MATERIAL" localSheetId="25">#REF!</definedName>
    <definedName name="DM_DIPL200_MATERIAL" localSheetId="28">#REF!</definedName>
    <definedName name="DM_DIPL200_MATERIAL" localSheetId="29">#REF!</definedName>
    <definedName name="DM_DIPL200_MATERIAL" localSheetId="12">#REF!</definedName>
    <definedName name="DM_DIPL200_MATERIAL" localSheetId="43">#REF!</definedName>
    <definedName name="DM_DIPL200_MATERIAL" localSheetId="42">#REF!</definedName>
    <definedName name="DM_DIPL200_MATERIAL" localSheetId="27">#REF!</definedName>
    <definedName name="DM_DIPL200_MATERIAL" localSheetId="45">#REF!</definedName>
    <definedName name="DM_DIPL200_MATERIAL">#REF!</definedName>
    <definedName name="DM_DIPL200_SKILLED" localSheetId="30">#REF!</definedName>
    <definedName name="DM_DIPL200_SKILLED" localSheetId="25">#REF!</definedName>
    <definedName name="DM_DIPL200_SKILLED" localSheetId="28">#REF!</definedName>
    <definedName name="DM_DIPL200_SKILLED" localSheetId="29">#REF!</definedName>
    <definedName name="DM_DIPL200_SKILLED" localSheetId="12">#REF!</definedName>
    <definedName name="DM_DIPL200_SKILLED" localSheetId="43">#REF!</definedName>
    <definedName name="DM_DIPL200_SKILLED" localSheetId="42">#REF!</definedName>
    <definedName name="DM_DIPL200_SKILLED" localSheetId="27">#REF!</definedName>
    <definedName name="DM_DIPL200_SKILLED" localSheetId="45">#REF!</definedName>
    <definedName name="DM_DIPL200_SKILLED">#REF!</definedName>
    <definedName name="DM_DIPL200_UNSKILLED" localSheetId="30">#REF!</definedName>
    <definedName name="DM_DIPL200_UNSKILLED" localSheetId="25">#REF!</definedName>
    <definedName name="DM_DIPL200_UNSKILLED" localSheetId="28">#REF!</definedName>
    <definedName name="DM_DIPL200_UNSKILLED" localSheetId="29">#REF!</definedName>
    <definedName name="DM_DIPL200_UNSKILLED" localSheetId="12">#REF!</definedName>
    <definedName name="DM_DIPL200_UNSKILLED" localSheetId="43">#REF!</definedName>
    <definedName name="DM_DIPL200_UNSKILLED" localSheetId="42">#REF!</definedName>
    <definedName name="DM_DIPL200_UNSKILLED" localSheetId="27">#REF!</definedName>
    <definedName name="DM_DIPL200_UNSKILLED" localSheetId="45">#REF!</definedName>
    <definedName name="DM_DIPL200_UNSKILLED">#REF!</definedName>
    <definedName name="DM_DIPL250_MATERIAL" localSheetId="30">#REF!</definedName>
    <definedName name="DM_DIPL250_MATERIAL" localSheetId="25">#REF!</definedName>
    <definedName name="DM_DIPL250_MATERIAL" localSheetId="28">#REF!</definedName>
    <definedName name="DM_DIPL250_MATERIAL" localSheetId="29">#REF!</definedName>
    <definedName name="DM_DIPL250_MATERIAL" localSheetId="12">#REF!</definedName>
    <definedName name="DM_DIPL250_MATERIAL" localSheetId="43">#REF!</definedName>
    <definedName name="DM_DIPL250_MATERIAL" localSheetId="42">#REF!</definedName>
    <definedName name="DM_DIPL250_MATERIAL" localSheetId="27">#REF!</definedName>
    <definedName name="DM_DIPL250_MATERIAL" localSheetId="45">#REF!</definedName>
    <definedName name="DM_DIPL250_MATERIAL">#REF!</definedName>
    <definedName name="DM_DIPL250_SKILLED" localSheetId="30">#REF!</definedName>
    <definedName name="DM_DIPL250_SKILLED" localSheetId="25">#REF!</definedName>
    <definedName name="DM_DIPL250_SKILLED" localSheetId="28">#REF!</definedName>
    <definedName name="DM_DIPL250_SKILLED" localSheetId="29">#REF!</definedName>
    <definedName name="DM_DIPL250_SKILLED" localSheetId="12">#REF!</definedName>
    <definedName name="DM_DIPL250_SKILLED" localSheetId="43">#REF!</definedName>
    <definedName name="DM_DIPL250_SKILLED" localSheetId="42">#REF!</definedName>
    <definedName name="DM_DIPL250_SKILLED" localSheetId="27">#REF!</definedName>
    <definedName name="DM_DIPL250_SKILLED" localSheetId="45">#REF!</definedName>
    <definedName name="DM_DIPL250_SKILLED">#REF!</definedName>
    <definedName name="DM_DIPL250_UNSKILLED" localSheetId="30">#REF!</definedName>
    <definedName name="DM_DIPL250_UNSKILLED" localSheetId="25">#REF!</definedName>
    <definedName name="DM_DIPL250_UNSKILLED" localSheetId="28">#REF!</definedName>
    <definedName name="DM_DIPL250_UNSKILLED" localSheetId="29">#REF!</definedName>
    <definedName name="DM_DIPL250_UNSKILLED" localSheetId="12">#REF!</definedName>
    <definedName name="DM_DIPL250_UNSKILLED" localSheetId="43">#REF!</definedName>
    <definedName name="DM_DIPL250_UNSKILLED" localSheetId="42">#REF!</definedName>
    <definedName name="DM_DIPL250_UNSKILLED" localSheetId="27">#REF!</definedName>
    <definedName name="DM_DIPL250_UNSKILLED" localSheetId="45">#REF!</definedName>
    <definedName name="DM_DIPL250_UNSKILLED">#REF!</definedName>
    <definedName name="DM_DIPL300_MATERIAL" localSheetId="30">#REF!</definedName>
    <definedName name="DM_DIPL300_MATERIAL" localSheetId="25">#REF!</definedName>
    <definedName name="DM_DIPL300_MATERIAL" localSheetId="28">#REF!</definedName>
    <definedName name="DM_DIPL300_MATERIAL" localSheetId="29">#REF!</definedName>
    <definedName name="DM_DIPL300_MATERIAL" localSheetId="12">#REF!</definedName>
    <definedName name="DM_DIPL300_MATERIAL" localSheetId="43">#REF!</definedName>
    <definedName name="DM_DIPL300_MATERIAL" localSheetId="42">#REF!</definedName>
    <definedName name="DM_DIPL300_MATERIAL" localSheetId="27">#REF!</definedName>
    <definedName name="DM_DIPL300_MATERIAL" localSheetId="45">#REF!</definedName>
    <definedName name="DM_DIPL300_MATERIAL">#REF!</definedName>
    <definedName name="DM_DIPL300_SKILLED" localSheetId="30">#REF!</definedName>
    <definedName name="DM_DIPL300_SKILLED" localSheetId="25">#REF!</definedName>
    <definedName name="DM_DIPL300_SKILLED" localSheetId="28">#REF!</definedName>
    <definedName name="DM_DIPL300_SKILLED" localSheetId="29">#REF!</definedName>
    <definedName name="DM_DIPL300_SKILLED" localSheetId="12">#REF!</definedName>
    <definedName name="DM_DIPL300_SKILLED" localSheetId="43">#REF!</definedName>
    <definedName name="DM_DIPL300_SKILLED" localSheetId="42">#REF!</definedName>
    <definedName name="DM_DIPL300_SKILLED" localSheetId="27">#REF!</definedName>
    <definedName name="DM_DIPL300_SKILLED" localSheetId="45">#REF!</definedName>
    <definedName name="DM_DIPL300_SKILLED">#REF!</definedName>
    <definedName name="DM_DIPL300_UNSKILLED" localSheetId="30">#REF!</definedName>
    <definedName name="DM_DIPL300_UNSKILLED" localSheetId="25">#REF!</definedName>
    <definedName name="DM_DIPL300_UNSKILLED" localSheetId="28">#REF!</definedName>
    <definedName name="DM_DIPL300_UNSKILLED" localSheetId="29">#REF!</definedName>
    <definedName name="DM_DIPL300_UNSKILLED" localSheetId="12">#REF!</definedName>
    <definedName name="DM_DIPL300_UNSKILLED" localSheetId="43">#REF!</definedName>
    <definedName name="DM_DIPL300_UNSKILLED" localSheetId="42">#REF!</definedName>
    <definedName name="DM_DIPL300_UNSKILLED" localSheetId="27">#REF!</definedName>
    <definedName name="DM_DIPL300_UNSKILLED" localSheetId="45">#REF!</definedName>
    <definedName name="DM_DIPL300_UNSKILLED">#REF!</definedName>
    <definedName name="DM_DIPL350_MATERIAL" localSheetId="30">#REF!</definedName>
    <definedName name="DM_DIPL350_MATERIAL" localSheetId="25">#REF!</definedName>
    <definedName name="DM_DIPL350_MATERIAL" localSheetId="28">#REF!</definedName>
    <definedName name="DM_DIPL350_MATERIAL" localSheetId="29">#REF!</definedName>
    <definedName name="DM_DIPL350_MATERIAL" localSheetId="12">#REF!</definedName>
    <definedName name="DM_DIPL350_MATERIAL" localSheetId="43">#REF!</definedName>
    <definedName name="DM_DIPL350_MATERIAL" localSheetId="42">#REF!</definedName>
    <definedName name="DM_DIPL350_MATERIAL" localSheetId="27">#REF!</definedName>
    <definedName name="DM_DIPL350_MATERIAL" localSheetId="45">#REF!</definedName>
    <definedName name="DM_DIPL350_MATERIAL">#REF!</definedName>
    <definedName name="DM_DIPL350_SKILLED" localSheetId="30">#REF!</definedName>
    <definedName name="DM_DIPL350_SKILLED" localSheetId="25">#REF!</definedName>
    <definedName name="DM_DIPL350_SKILLED" localSheetId="28">#REF!</definedName>
    <definedName name="DM_DIPL350_SKILLED" localSheetId="29">#REF!</definedName>
    <definedName name="DM_DIPL350_SKILLED" localSheetId="12">#REF!</definedName>
    <definedName name="DM_DIPL350_SKILLED" localSheetId="43">#REF!</definedName>
    <definedName name="DM_DIPL350_SKILLED" localSheetId="42">#REF!</definedName>
    <definedName name="DM_DIPL350_SKILLED" localSheetId="27">#REF!</definedName>
    <definedName name="DM_DIPL350_SKILLED" localSheetId="45">#REF!</definedName>
    <definedName name="DM_DIPL350_SKILLED">#REF!</definedName>
    <definedName name="DM_DIPL350_UNSKILLED" localSheetId="30">#REF!</definedName>
    <definedName name="DM_DIPL350_UNSKILLED" localSheetId="25">#REF!</definedName>
    <definedName name="DM_DIPL350_UNSKILLED" localSheetId="28">#REF!</definedName>
    <definedName name="DM_DIPL350_UNSKILLED" localSheetId="29">#REF!</definedName>
    <definedName name="DM_DIPL350_UNSKILLED" localSheetId="12">#REF!</definedName>
    <definedName name="DM_DIPL350_UNSKILLED" localSheetId="43">#REF!</definedName>
    <definedName name="DM_DIPL350_UNSKILLED" localSheetId="42">#REF!</definedName>
    <definedName name="DM_DIPL350_UNSKILLED" localSheetId="27">#REF!</definedName>
    <definedName name="DM_DIPL350_UNSKILLED" localSheetId="45">#REF!</definedName>
    <definedName name="DM_DIPL350_UNSKILLED">#REF!</definedName>
    <definedName name="DM_DIPL400_MATERIAL" localSheetId="30">#REF!</definedName>
    <definedName name="DM_DIPL400_MATERIAL" localSheetId="25">#REF!</definedName>
    <definedName name="DM_DIPL400_MATERIAL" localSheetId="28">#REF!</definedName>
    <definedName name="DM_DIPL400_MATERIAL" localSheetId="29">#REF!</definedName>
    <definedName name="DM_DIPL400_MATERIAL" localSheetId="12">#REF!</definedName>
    <definedName name="DM_DIPL400_MATERIAL" localSheetId="43">#REF!</definedName>
    <definedName name="DM_DIPL400_MATERIAL" localSheetId="42">#REF!</definedName>
    <definedName name="DM_DIPL400_MATERIAL" localSheetId="27">#REF!</definedName>
    <definedName name="DM_DIPL400_MATERIAL" localSheetId="45">#REF!</definedName>
    <definedName name="DM_DIPL400_MATERIAL">#REF!</definedName>
    <definedName name="DM_DIPL400_SKILLED" localSheetId="30">#REF!</definedName>
    <definedName name="DM_DIPL400_SKILLED" localSheetId="25">#REF!</definedName>
    <definedName name="DM_DIPL400_SKILLED" localSheetId="28">#REF!</definedName>
    <definedName name="DM_DIPL400_SKILLED" localSheetId="29">#REF!</definedName>
    <definedName name="DM_DIPL400_SKILLED" localSheetId="12">#REF!</definedName>
    <definedName name="DM_DIPL400_SKILLED" localSheetId="43">#REF!</definedName>
    <definedName name="DM_DIPL400_SKILLED" localSheetId="42">#REF!</definedName>
    <definedName name="DM_DIPL400_SKILLED" localSheetId="27">#REF!</definedName>
    <definedName name="DM_DIPL400_SKILLED" localSheetId="45">#REF!</definedName>
    <definedName name="DM_DIPL400_SKILLED">#REF!</definedName>
    <definedName name="DM_DIPL400_UNSKILLED" localSheetId="30">#REF!</definedName>
    <definedName name="DM_DIPL400_UNSKILLED" localSheetId="25">#REF!</definedName>
    <definedName name="DM_DIPL400_UNSKILLED" localSheetId="28">#REF!</definedName>
    <definedName name="DM_DIPL400_UNSKILLED" localSheetId="29">#REF!</definedName>
    <definedName name="DM_DIPL400_UNSKILLED" localSheetId="12">#REF!</definedName>
    <definedName name="DM_DIPL400_UNSKILLED" localSheetId="43">#REF!</definedName>
    <definedName name="DM_DIPL400_UNSKILLED" localSheetId="42">#REF!</definedName>
    <definedName name="DM_DIPL400_UNSKILLED" localSheetId="27">#REF!</definedName>
    <definedName name="DM_DIPL400_UNSKILLED" localSheetId="45">#REF!</definedName>
    <definedName name="DM_DIPL400_UNSKILLED">#REF!</definedName>
    <definedName name="DM_DIPL80_MATERIAL" localSheetId="30">#REF!</definedName>
    <definedName name="DM_DIPL80_MATERIAL" localSheetId="25">#REF!</definedName>
    <definedName name="DM_DIPL80_MATERIAL" localSheetId="28">#REF!</definedName>
    <definedName name="DM_DIPL80_MATERIAL" localSheetId="29">#REF!</definedName>
    <definedName name="DM_DIPL80_MATERIAL" localSheetId="12">#REF!</definedName>
    <definedName name="DM_DIPL80_MATERIAL" localSheetId="43">#REF!</definedName>
    <definedName name="DM_DIPL80_MATERIAL" localSheetId="42">#REF!</definedName>
    <definedName name="DM_DIPL80_MATERIAL" localSheetId="27">#REF!</definedName>
    <definedName name="DM_DIPL80_MATERIAL" localSheetId="45">#REF!</definedName>
    <definedName name="DM_DIPL80_MATERIAL">#REF!</definedName>
    <definedName name="DM_DIPL80_SKILLED" localSheetId="30">#REF!</definedName>
    <definedName name="DM_DIPL80_SKILLED" localSheetId="25">#REF!</definedName>
    <definedName name="DM_DIPL80_SKILLED" localSheetId="28">#REF!</definedName>
    <definedName name="DM_DIPL80_SKILLED" localSheetId="29">#REF!</definedName>
    <definedName name="DM_DIPL80_SKILLED" localSheetId="12">#REF!</definedName>
    <definedName name="DM_DIPL80_SKILLED" localSheetId="43">#REF!</definedName>
    <definedName name="DM_DIPL80_SKILLED" localSheetId="42">#REF!</definedName>
    <definedName name="DM_DIPL80_SKILLED" localSheetId="27">#REF!</definedName>
    <definedName name="DM_DIPL80_SKILLED" localSheetId="45">#REF!</definedName>
    <definedName name="DM_DIPL80_SKILLED">#REF!</definedName>
    <definedName name="DM_DIPL80_UNSKILLED" localSheetId="30">#REF!</definedName>
    <definedName name="DM_DIPL80_UNSKILLED" localSheetId="25">#REF!</definedName>
    <definedName name="DM_DIPL80_UNSKILLED" localSheetId="28">#REF!</definedName>
    <definedName name="DM_DIPL80_UNSKILLED" localSheetId="29">#REF!</definedName>
    <definedName name="DM_DIPL80_UNSKILLED" localSheetId="12">#REF!</definedName>
    <definedName name="DM_DIPL80_UNSKILLED" localSheetId="43">#REF!</definedName>
    <definedName name="DM_DIPL80_UNSKILLED" localSheetId="42">#REF!</definedName>
    <definedName name="DM_DIPL80_UNSKILLED" localSheetId="27">#REF!</definedName>
    <definedName name="DM_DIPL80_UNSKILLED" localSheetId="45">#REF!</definedName>
    <definedName name="DM_DIPL80_UNSKILLED">#REF!</definedName>
    <definedName name="DMG" localSheetId="30">#REF!</definedName>
    <definedName name="DMG" localSheetId="25">#REF!</definedName>
    <definedName name="DMG" localSheetId="28">#REF!</definedName>
    <definedName name="DMG" localSheetId="29">#REF!</definedName>
    <definedName name="DMG" localSheetId="12">#REF!</definedName>
    <definedName name="DMG" localSheetId="43">#REF!</definedName>
    <definedName name="DMG" localSheetId="42">#REF!</definedName>
    <definedName name="DMG" localSheetId="27">#REF!</definedName>
    <definedName name="DMG" localSheetId="45">#REF!</definedName>
    <definedName name="DMG">#REF!</definedName>
    <definedName name="DMJ" localSheetId="30">#REF!</definedName>
    <definedName name="DMJ" localSheetId="25">#REF!</definedName>
    <definedName name="DMJ" localSheetId="28">#REF!</definedName>
    <definedName name="DMJ" localSheetId="29">#REF!</definedName>
    <definedName name="DMJ" localSheetId="12">#REF!</definedName>
    <definedName name="DMJ" localSheetId="43">#REF!</definedName>
    <definedName name="DMJ" localSheetId="42">#REF!</definedName>
    <definedName name="DMJ" localSheetId="27">#REF!</definedName>
    <definedName name="DMJ" localSheetId="45">#REF!</definedName>
    <definedName name="DMJ">#REF!</definedName>
    <definedName name="DMT" localSheetId="30">#REF!</definedName>
    <definedName name="DMT" localSheetId="25">#REF!</definedName>
    <definedName name="DMT" localSheetId="28">#REF!</definedName>
    <definedName name="DMT" localSheetId="29">#REF!</definedName>
    <definedName name="DMT" localSheetId="12">#REF!</definedName>
    <definedName name="DMT" localSheetId="43">#REF!</definedName>
    <definedName name="DMT" localSheetId="42">#REF!</definedName>
    <definedName name="DMT" localSheetId="27">#REF!</definedName>
    <definedName name="DMT" localSheetId="45">#REF!</definedName>
    <definedName name="DMT">#REF!</definedName>
    <definedName name="DNGT" localSheetId="30">#REF!</definedName>
    <definedName name="DNGT" localSheetId="25">#REF!</definedName>
    <definedName name="DNGT" localSheetId="28">#REF!</definedName>
    <definedName name="DNGT" localSheetId="29">#REF!</definedName>
    <definedName name="DNGT" localSheetId="12">#REF!</definedName>
    <definedName name="DNGT" localSheetId="43">#REF!</definedName>
    <definedName name="DNGT" localSheetId="42">#REF!</definedName>
    <definedName name="DNGT" localSheetId="27">#REF!</definedName>
    <definedName name="DNGT" localSheetId="45">#REF!</definedName>
    <definedName name="DNGT">#REF!</definedName>
    <definedName name="DP_110" localSheetId="30">#REF!</definedName>
    <definedName name="DP_110" localSheetId="25">#REF!</definedName>
    <definedName name="DP_110" localSheetId="28">#REF!</definedName>
    <definedName name="DP_110" localSheetId="29">#REF!</definedName>
    <definedName name="DP_110" localSheetId="12">#REF!</definedName>
    <definedName name="DP_110" localSheetId="43">#REF!</definedName>
    <definedName name="DP_110" localSheetId="42">#REF!</definedName>
    <definedName name="DP_110" localSheetId="27">#REF!</definedName>
    <definedName name="DP_110" localSheetId="45">#REF!</definedName>
    <definedName name="DP_110">#REF!</definedName>
    <definedName name="DP_150" localSheetId="30">#REF!</definedName>
    <definedName name="DP_150" localSheetId="25">#REF!</definedName>
    <definedName name="DP_150" localSheetId="28">#REF!</definedName>
    <definedName name="DP_150" localSheetId="29">#REF!</definedName>
    <definedName name="DP_150" localSheetId="12">#REF!</definedName>
    <definedName name="DP_150" localSheetId="43">#REF!</definedName>
    <definedName name="DP_150" localSheetId="42">#REF!</definedName>
    <definedName name="DP_150" localSheetId="27">#REF!</definedName>
    <definedName name="DP_150" localSheetId="45">#REF!</definedName>
    <definedName name="DP_150">#REF!</definedName>
    <definedName name="DP_200" localSheetId="30">#REF!</definedName>
    <definedName name="DP_200" localSheetId="25">#REF!</definedName>
    <definedName name="DP_200" localSheetId="28">#REF!</definedName>
    <definedName name="DP_200" localSheetId="29">#REF!</definedName>
    <definedName name="DP_200" localSheetId="12">#REF!</definedName>
    <definedName name="DP_200" localSheetId="43">#REF!</definedName>
    <definedName name="DP_200" localSheetId="42">#REF!</definedName>
    <definedName name="DP_200" localSheetId="27">#REF!</definedName>
    <definedName name="DP_200" localSheetId="45">#REF!</definedName>
    <definedName name="DP_200">#REF!</definedName>
    <definedName name="DP_250" localSheetId="30">#REF!</definedName>
    <definedName name="DP_250" localSheetId="25">#REF!</definedName>
    <definedName name="DP_250" localSheetId="28">#REF!</definedName>
    <definedName name="DP_250" localSheetId="29">#REF!</definedName>
    <definedName name="DP_250" localSheetId="12">#REF!</definedName>
    <definedName name="DP_250" localSheetId="43">#REF!</definedName>
    <definedName name="DP_250" localSheetId="42">#REF!</definedName>
    <definedName name="DP_250" localSheetId="27">#REF!</definedName>
    <definedName name="DP_250" localSheetId="45">#REF!</definedName>
    <definedName name="DP_250">#REF!</definedName>
    <definedName name="DP_300" localSheetId="30">#REF!</definedName>
    <definedName name="DP_300" localSheetId="25">#REF!</definedName>
    <definedName name="DP_300" localSheetId="28">#REF!</definedName>
    <definedName name="DP_300" localSheetId="29">#REF!</definedName>
    <definedName name="DP_300" localSheetId="12">#REF!</definedName>
    <definedName name="DP_300" localSheetId="43">#REF!</definedName>
    <definedName name="DP_300" localSheetId="42">#REF!</definedName>
    <definedName name="DP_300" localSheetId="27">#REF!</definedName>
    <definedName name="DP_300" localSheetId="45">#REF!</definedName>
    <definedName name="DP_300">#REF!</definedName>
    <definedName name="DP_400" localSheetId="30">#REF!</definedName>
    <definedName name="DP_400" localSheetId="25">#REF!</definedName>
    <definedName name="DP_400" localSheetId="28">#REF!</definedName>
    <definedName name="DP_400" localSheetId="29">#REF!</definedName>
    <definedName name="DP_400" localSheetId="12">#REF!</definedName>
    <definedName name="DP_400" localSheetId="43">#REF!</definedName>
    <definedName name="DP_400" localSheetId="42">#REF!</definedName>
    <definedName name="DP_400" localSheetId="27">#REF!</definedName>
    <definedName name="DP_400" localSheetId="45">#REF!</definedName>
    <definedName name="DP_400">#REF!</definedName>
    <definedName name="DP_50" localSheetId="30">#REF!</definedName>
    <definedName name="DP_50" localSheetId="25">#REF!</definedName>
    <definedName name="DP_50" localSheetId="28">#REF!</definedName>
    <definedName name="DP_50" localSheetId="29">#REF!</definedName>
    <definedName name="DP_50" localSheetId="12">#REF!</definedName>
    <definedName name="DP_50" localSheetId="43">#REF!</definedName>
    <definedName name="DP_50" localSheetId="42">#REF!</definedName>
    <definedName name="DP_50" localSheetId="27">#REF!</definedName>
    <definedName name="DP_50" localSheetId="45">#REF!</definedName>
    <definedName name="DP_50">#REF!</definedName>
    <definedName name="DP_500" localSheetId="30">#REF!</definedName>
    <definedName name="DP_500" localSheetId="25">#REF!</definedName>
    <definedName name="DP_500" localSheetId="28">#REF!</definedName>
    <definedName name="DP_500" localSheetId="29">#REF!</definedName>
    <definedName name="DP_500" localSheetId="12">#REF!</definedName>
    <definedName name="DP_500" localSheetId="43">#REF!</definedName>
    <definedName name="DP_500" localSheetId="42">#REF!</definedName>
    <definedName name="DP_500" localSheetId="27">#REF!</definedName>
    <definedName name="DP_500" localSheetId="45">#REF!</definedName>
    <definedName name="DP_500">#REF!</definedName>
    <definedName name="DP_63" localSheetId="30">#REF!</definedName>
    <definedName name="DP_63" localSheetId="25">#REF!</definedName>
    <definedName name="DP_63" localSheetId="28">#REF!</definedName>
    <definedName name="DP_63" localSheetId="29">#REF!</definedName>
    <definedName name="DP_63" localSheetId="12">#REF!</definedName>
    <definedName name="DP_63" localSheetId="43">#REF!</definedName>
    <definedName name="DP_63" localSheetId="42">#REF!</definedName>
    <definedName name="DP_63" localSheetId="27">#REF!</definedName>
    <definedName name="DP_63" localSheetId="45">#REF!</definedName>
    <definedName name="DP_63">#REF!</definedName>
    <definedName name="DP_75" localSheetId="30">#REF!</definedName>
    <definedName name="DP_75" localSheetId="25">#REF!</definedName>
    <definedName name="DP_75" localSheetId="28">#REF!</definedName>
    <definedName name="DP_75" localSheetId="29">#REF!</definedName>
    <definedName name="DP_75" localSheetId="12">#REF!</definedName>
    <definedName name="DP_75" localSheetId="43">#REF!</definedName>
    <definedName name="DP_75" localSheetId="42">#REF!</definedName>
    <definedName name="DP_75" localSheetId="27">#REF!</definedName>
    <definedName name="DP_75" localSheetId="45">#REF!</definedName>
    <definedName name="DP_75">#REF!</definedName>
    <definedName name="DP_90" localSheetId="30">#REF!</definedName>
    <definedName name="DP_90" localSheetId="25">#REF!</definedName>
    <definedName name="DP_90" localSheetId="28">#REF!</definedName>
    <definedName name="DP_90" localSheetId="29">#REF!</definedName>
    <definedName name="DP_90" localSheetId="12">#REF!</definedName>
    <definedName name="DP_90" localSheetId="43">#REF!</definedName>
    <definedName name="DP_90" localSheetId="42">#REF!</definedName>
    <definedName name="DP_90" localSheetId="27">#REF!</definedName>
    <definedName name="DP_90" localSheetId="45">#REF!</definedName>
    <definedName name="DP_90">#REF!</definedName>
    <definedName name="DPC" localSheetId="30">#REF!</definedName>
    <definedName name="DPC" localSheetId="25">#REF!</definedName>
    <definedName name="DPC" localSheetId="28">#REF!</definedName>
    <definedName name="DPC" localSheetId="29">#REF!</definedName>
    <definedName name="DPC" localSheetId="12">#REF!</definedName>
    <definedName name="DPC" localSheetId="43">#REF!</definedName>
    <definedName name="DPC" localSheetId="42">#REF!</definedName>
    <definedName name="DPC" localSheetId="27">#REF!</definedName>
    <definedName name="DPC" localSheetId="45">#REF!</definedName>
    <definedName name="DPC">#REF!</definedName>
    <definedName name="DPC1D3" localSheetId="30">#REF!</definedName>
    <definedName name="DPC1D3" localSheetId="25">#REF!</definedName>
    <definedName name="DPC1D3" localSheetId="28">#REF!</definedName>
    <definedName name="DPC1D3" localSheetId="29">#REF!</definedName>
    <definedName name="DPC1D3" localSheetId="12">#REF!</definedName>
    <definedName name="DPC1D3" localSheetId="43">#REF!</definedName>
    <definedName name="DPC1D3" localSheetId="42">#REF!</definedName>
    <definedName name="DPC1D3" localSheetId="27">#REF!</definedName>
    <definedName name="DPC1D3" localSheetId="45">#REF!</definedName>
    <definedName name="DPC1D3">#REF!</definedName>
    <definedName name="DPI" localSheetId="17">[24]Ta301!$K$7</definedName>
    <definedName name="DPI" localSheetId="7">[25]Ta301!$K$7</definedName>
    <definedName name="DPI">[26]Ta301!$K$7</definedName>
    <definedName name="DPS" localSheetId="30">#REF!</definedName>
    <definedName name="DPS" localSheetId="25">#REF!</definedName>
    <definedName name="DPS" localSheetId="28">#REF!</definedName>
    <definedName name="DPS" localSheetId="29">#REF!</definedName>
    <definedName name="DPS" localSheetId="12">#REF!</definedName>
    <definedName name="DPS" localSheetId="43">#REF!</definedName>
    <definedName name="DPS" localSheetId="42">#REF!</definedName>
    <definedName name="DPS" localSheetId="27">#REF!</definedName>
    <definedName name="DPS" localSheetId="45">#REF!</definedName>
    <definedName name="DPS">#REF!</definedName>
    <definedName name="DPST" localSheetId="30">#REF!</definedName>
    <definedName name="DPST" localSheetId="25">#REF!</definedName>
    <definedName name="DPST" localSheetId="28">#REF!</definedName>
    <definedName name="DPST" localSheetId="29">#REF!</definedName>
    <definedName name="DPST" localSheetId="12">#REF!</definedName>
    <definedName name="DPST" localSheetId="43">#REF!</definedName>
    <definedName name="DPST" localSheetId="42">#REF!</definedName>
    <definedName name="DPST" localSheetId="27">#REF!</definedName>
    <definedName name="DPST" localSheetId="45">#REF!</definedName>
    <definedName name="DPST">#REF!</definedName>
    <definedName name="DRR_100X80" localSheetId="30">#REF!</definedName>
    <definedName name="DRR_100X80" localSheetId="25">#REF!</definedName>
    <definedName name="DRR_100X80" localSheetId="28">#REF!</definedName>
    <definedName name="DRR_100X80" localSheetId="29">#REF!</definedName>
    <definedName name="DRR_100X80" localSheetId="12">#REF!</definedName>
    <definedName name="DRR_100X80" localSheetId="43">#REF!</definedName>
    <definedName name="DRR_100X80" localSheetId="42">#REF!</definedName>
    <definedName name="DRR_100X80" localSheetId="27">#REF!</definedName>
    <definedName name="DRR_100X80" localSheetId="45">#REF!</definedName>
    <definedName name="DRR_100X80">#REF!</definedName>
    <definedName name="DRR_125X100" localSheetId="30">#REF!</definedName>
    <definedName name="DRR_125X100" localSheetId="25">#REF!</definedName>
    <definedName name="DRR_125X100" localSheetId="28">#REF!</definedName>
    <definedName name="DRR_125X100" localSheetId="29">#REF!</definedName>
    <definedName name="DRR_125X100" localSheetId="12">#REF!</definedName>
    <definedName name="DRR_125X100" localSheetId="43">#REF!</definedName>
    <definedName name="DRR_125X100" localSheetId="42">#REF!</definedName>
    <definedName name="DRR_125X100" localSheetId="27">#REF!</definedName>
    <definedName name="DRR_125X100" localSheetId="45">#REF!</definedName>
    <definedName name="DRR_125X100">#REF!</definedName>
    <definedName name="DRR_125X80" localSheetId="30">#REF!</definedName>
    <definedName name="DRR_125X80" localSheetId="25">#REF!</definedName>
    <definedName name="DRR_125X80" localSheetId="28">#REF!</definedName>
    <definedName name="DRR_125X80" localSheetId="29">#REF!</definedName>
    <definedName name="DRR_125X80" localSheetId="12">#REF!</definedName>
    <definedName name="DRR_125X80" localSheetId="43">#REF!</definedName>
    <definedName name="DRR_125X80" localSheetId="42">#REF!</definedName>
    <definedName name="DRR_125X80" localSheetId="27">#REF!</definedName>
    <definedName name="DRR_125X80" localSheetId="45">#REF!</definedName>
    <definedName name="DRR_125X80">#REF!</definedName>
    <definedName name="DRR_150X100" localSheetId="30">#REF!</definedName>
    <definedName name="DRR_150X100" localSheetId="25">#REF!</definedName>
    <definedName name="DRR_150X100" localSheetId="28">#REF!</definedName>
    <definedName name="DRR_150X100" localSheetId="29">#REF!</definedName>
    <definedName name="DRR_150X100" localSheetId="12">#REF!</definedName>
    <definedName name="DRR_150X100" localSheetId="43">#REF!</definedName>
    <definedName name="DRR_150X100" localSheetId="42">#REF!</definedName>
    <definedName name="DRR_150X100" localSheetId="27">#REF!</definedName>
    <definedName name="DRR_150X100" localSheetId="45">#REF!</definedName>
    <definedName name="DRR_150X100">#REF!</definedName>
    <definedName name="DRR_150X80" localSheetId="30">#REF!</definedName>
    <definedName name="DRR_150X80" localSheetId="25">#REF!</definedName>
    <definedName name="DRR_150X80" localSheetId="28">#REF!</definedName>
    <definedName name="DRR_150X80" localSheetId="29">#REF!</definedName>
    <definedName name="DRR_150X80" localSheetId="12">#REF!</definedName>
    <definedName name="DRR_150X80" localSheetId="43">#REF!</definedName>
    <definedName name="DRR_150X80" localSheetId="42">#REF!</definedName>
    <definedName name="DRR_150X80" localSheetId="27">#REF!</definedName>
    <definedName name="DRR_150X80" localSheetId="45">#REF!</definedName>
    <definedName name="DRR_150X80">#REF!</definedName>
    <definedName name="DRR_200X100" localSheetId="30">#REF!</definedName>
    <definedName name="DRR_200X100" localSheetId="25">#REF!</definedName>
    <definedName name="DRR_200X100" localSheetId="28">#REF!</definedName>
    <definedName name="DRR_200X100" localSheetId="29">#REF!</definedName>
    <definedName name="DRR_200X100" localSheetId="12">#REF!</definedName>
    <definedName name="DRR_200X100" localSheetId="43">#REF!</definedName>
    <definedName name="DRR_200X100" localSheetId="42">#REF!</definedName>
    <definedName name="DRR_200X100" localSheetId="27">#REF!</definedName>
    <definedName name="DRR_200X100" localSheetId="45">#REF!</definedName>
    <definedName name="DRR_200X100">#REF!</definedName>
    <definedName name="DRR_200X150" localSheetId="30">#REF!</definedName>
    <definedName name="DRR_200X150" localSheetId="25">#REF!</definedName>
    <definedName name="DRR_200X150" localSheetId="28">#REF!</definedName>
    <definedName name="DRR_200X150" localSheetId="29">#REF!</definedName>
    <definedName name="DRR_200X150" localSheetId="12">#REF!</definedName>
    <definedName name="DRR_200X150" localSheetId="43">#REF!</definedName>
    <definedName name="DRR_200X150" localSheetId="42">#REF!</definedName>
    <definedName name="DRR_200X150" localSheetId="27">#REF!</definedName>
    <definedName name="DRR_200X150" localSheetId="45">#REF!</definedName>
    <definedName name="DRR_200X150">#REF!</definedName>
    <definedName name="DRR_250X100" localSheetId="30">#REF!</definedName>
    <definedName name="DRR_250X100" localSheetId="25">#REF!</definedName>
    <definedName name="DRR_250X100" localSheetId="28">#REF!</definedName>
    <definedName name="DRR_250X100" localSheetId="29">#REF!</definedName>
    <definedName name="DRR_250X100" localSheetId="12">#REF!</definedName>
    <definedName name="DRR_250X100" localSheetId="43">#REF!</definedName>
    <definedName name="DRR_250X100" localSheetId="42">#REF!</definedName>
    <definedName name="DRR_250X100" localSheetId="27">#REF!</definedName>
    <definedName name="DRR_250X100" localSheetId="45">#REF!</definedName>
    <definedName name="DRR_250X100">#REF!</definedName>
    <definedName name="DRR_250X150" localSheetId="30">#REF!</definedName>
    <definedName name="DRR_250X150" localSheetId="25">#REF!</definedName>
    <definedName name="DRR_250X150" localSheetId="28">#REF!</definedName>
    <definedName name="DRR_250X150" localSheetId="29">#REF!</definedName>
    <definedName name="DRR_250X150" localSheetId="12">#REF!</definedName>
    <definedName name="DRR_250X150" localSheetId="43">#REF!</definedName>
    <definedName name="DRR_250X150" localSheetId="42">#REF!</definedName>
    <definedName name="DRR_250X150" localSheetId="27">#REF!</definedName>
    <definedName name="DRR_250X150" localSheetId="45">#REF!</definedName>
    <definedName name="DRR_250X150">#REF!</definedName>
    <definedName name="DRR_250X200" localSheetId="30">#REF!</definedName>
    <definedName name="DRR_250X200" localSheetId="25">#REF!</definedName>
    <definedName name="DRR_250X200" localSheetId="28">#REF!</definedName>
    <definedName name="DRR_250X200" localSheetId="29">#REF!</definedName>
    <definedName name="DRR_250X200" localSheetId="12">#REF!</definedName>
    <definedName name="DRR_250X200" localSheetId="43">#REF!</definedName>
    <definedName name="DRR_250X200" localSheetId="42">#REF!</definedName>
    <definedName name="DRR_250X200" localSheetId="27">#REF!</definedName>
    <definedName name="DRR_250X200" localSheetId="45">#REF!</definedName>
    <definedName name="DRR_250X200">#REF!</definedName>
    <definedName name="DRR_300X150" localSheetId="30">#REF!</definedName>
    <definedName name="DRR_300X150" localSheetId="25">#REF!</definedName>
    <definedName name="DRR_300X150" localSheetId="28">#REF!</definedName>
    <definedName name="DRR_300X150" localSheetId="29">#REF!</definedName>
    <definedName name="DRR_300X150" localSheetId="12">#REF!</definedName>
    <definedName name="DRR_300X150" localSheetId="43">#REF!</definedName>
    <definedName name="DRR_300X150" localSheetId="42">#REF!</definedName>
    <definedName name="DRR_300X150" localSheetId="27">#REF!</definedName>
    <definedName name="DRR_300X150" localSheetId="45">#REF!</definedName>
    <definedName name="DRR_300X150">#REF!</definedName>
    <definedName name="DRR_300X200" localSheetId="30">#REF!</definedName>
    <definedName name="DRR_300X200" localSheetId="25">#REF!</definedName>
    <definedName name="DRR_300X200" localSheetId="28">#REF!</definedName>
    <definedName name="DRR_300X200" localSheetId="29">#REF!</definedName>
    <definedName name="DRR_300X200" localSheetId="12">#REF!</definedName>
    <definedName name="DRR_300X200" localSheetId="43">#REF!</definedName>
    <definedName name="DRR_300X200" localSheetId="42">#REF!</definedName>
    <definedName name="DRR_300X200" localSheetId="27">#REF!</definedName>
    <definedName name="DRR_300X200" localSheetId="45">#REF!</definedName>
    <definedName name="DRR_300X200">#REF!</definedName>
    <definedName name="DRR_300X250" localSheetId="30">#REF!</definedName>
    <definedName name="DRR_300X250" localSheetId="25">#REF!</definedName>
    <definedName name="DRR_300X250" localSheetId="28">#REF!</definedName>
    <definedName name="DRR_300X250" localSheetId="29">#REF!</definedName>
    <definedName name="DRR_300X250" localSheetId="12">#REF!</definedName>
    <definedName name="DRR_300X250" localSheetId="43">#REF!</definedName>
    <definedName name="DRR_300X250" localSheetId="42">#REF!</definedName>
    <definedName name="DRR_300X250" localSheetId="27">#REF!</definedName>
    <definedName name="DRR_300X250" localSheetId="45">#REF!</definedName>
    <definedName name="DRR_300X250">#REF!</definedName>
    <definedName name="DRR_350X250" localSheetId="30">#REF!</definedName>
    <definedName name="DRR_350X250" localSheetId="25">#REF!</definedName>
    <definedName name="DRR_350X250" localSheetId="28">#REF!</definedName>
    <definedName name="DRR_350X250" localSheetId="29">#REF!</definedName>
    <definedName name="DRR_350X250" localSheetId="12">#REF!</definedName>
    <definedName name="DRR_350X250" localSheetId="43">#REF!</definedName>
    <definedName name="DRR_350X250" localSheetId="42">#REF!</definedName>
    <definedName name="DRR_350X250" localSheetId="27">#REF!</definedName>
    <definedName name="DRR_350X250" localSheetId="45">#REF!</definedName>
    <definedName name="DRR_350X250">#REF!</definedName>
    <definedName name="DRR_350X300" localSheetId="30">#REF!</definedName>
    <definedName name="DRR_350X300" localSheetId="25">#REF!</definedName>
    <definedName name="DRR_350X300" localSheetId="28">#REF!</definedName>
    <definedName name="DRR_350X300" localSheetId="29">#REF!</definedName>
    <definedName name="DRR_350X300" localSheetId="12">#REF!</definedName>
    <definedName name="DRR_350X300" localSheetId="43">#REF!</definedName>
    <definedName name="DRR_350X300" localSheetId="42">#REF!</definedName>
    <definedName name="DRR_350X300" localSheetId="27">#REF!</definedName>
    <definedName name="DRR_350X300" localSheetId="45">#REF!</definedName>
    <definedName name="DRR_350X300">#REF!</definedName>
    <definedName name="DRR_400X250" localSheetId="30">#REF!</definedName>
    <definedName name="DRR_400X250" localSheetId="25">#REF!</definedName>
    <definedName name="DRR_400X250" localSheetId="28">#REF!</definedName>
    <definedName name="DRR_400X250" localSheetId="29">#REF!</definedName>
    <definedName name="DRR_400X250" localSheetId="12">#REF!</definedName>
    <definedName name="DRR_400X250" localSheetId="43">#REF!</definedName>
    <definedName name="DRR_400X250" localSheetId="42">#REF!</definedName>
    <definedName name="DRR_400X250" localSheetId="27">#REF!</definedName>
    <definedName name="DRR_400X250" localSheetId="45">#REF!</definedName>
    <definedName name="DRR_400X250">#REF!</definedName>
    <definedName name="DRR_400X300" localSheetId="30">#REF!</definedName>
    <definedName name="DRR_400X300" localSheetId="25">#REF!</definedName>
    <definedName name="DRR_400X300" localSheetId="28">#REF!</definedName>
    <definedName name="DRR_400X300" localSheetId="29">#REF!</definedName>
    <definedName name="DRR_400X300" localSheetId="12">#REF!</definedName>
    <definedName name="DRR_400X300" localSheetId="43">#REF!</definedName>
    <definedName name="DRR_400X300" localSheetId="42">#REF!</definedName>
    <definedName name="DRR_400X300" localSheetId="27">#REF!</definedName>
    <definedName name="DRR_400X300" localSheetId="45">#REF!</definedName>
    <definedName name="DRR_400X300">#REF!</definedName>
    <definedName name="DRR_400X350" localSheetId="30">#REF!</definedName>
    <definedName name="DRR_400X350" localSheetId="25">#REF!</definedName>
    <definedName name="DRR_400X350" localSheetId="28">#REF!</definedName>
    <definedName name="DRR_400X350" localSheetId="29">#REF!</definedName>
    <definedName name="DRR_400X350" localSheetId="12">#REF!</definedName>
    <definedName name="DRR_400X350" localSheetId="43">#REF!</definedName>
    <definedName name="DRR_400X350" localSheetId="42">#REF!</definedName>
    <definedName name="DRR_400X350" localSheetId="27">#REF!</definedName>
    <definedName name="DRR_400X350" localSheetId="45">#REF!</definedName>
    <definedName name="DRR_400X350">#REF!</definedName>
    <definedName name="DRS" localSheetId="30">#REF!</definedName>
    <definedName name="DRS" localSheetId="25">#REF!</definedName>
    <definedName name="DRS" localSheetId="28">#REF!</definedName>
    <definedName name="DRS" localSheetId="29">#REF!</definedName>
    <definedName name="DRS" localSheetId="12">#REF!</definedName>
    <definedName name="DRS" localSheetId="43">#REF!</definedName>
    <definedName name="DRS" localSheetId="42">#REF!</definedName>
    <definedName name="DRS" localSheetId="27">#REF!</definedName>
    <definedName name="DRS" localSheetId="45">#REF!</definedName>
    <definedName name="DRS">#REF!</definedName>
    <definedName name="drsp">'[19]Abstract Cost'!$A$3</definedName>
    <definedName name="DRW" localSheetId="30">#REF!</definedName>
    <definedName name="DRW" localSheetId="25">#REF!</definedName>
    <definedName name="DRW" localSheetId="28">#REF!</definedName>
    <definedName name="DRW" localSheetId="29">#REF!</definedName>
    <definedName name="DRW" localSheetId="12">#REF!</definedName>
    <definedName name="DRW" localSheetId="43">#REF!</definedName>
    <definedName name="DRW" localSheetId="42">#REF!</definedName>
    <definedName name="DRW" localSheetId="27">#REF!</definedName>
    <definedName name="DRW" localSheetId="45">#REF!</definedName>
    <definedName name="DRW">#REF!</definedName>
    <definedName name="dsada">[19]Rates!$D$56</definedName>
    <definedName name="DSC" localSheetId="30">#REF!</definedName>
    <definedName name="DSC" localSheetId="25">#REF!</definedName>
    <definedName name="DSC" localSheetId="28">#REF!</definedName>
    <definedName name="DSC" localSheetId="29">#REF!</definedName>
    <definedName name="DSC" localSheetId="12">#REF!</definedName>
    <definedName name="DSC" localSheetId="43">#REF!</definedName>
    <definedName name="DSC" localSheetId="42">#REF!</definedName>
    <definedName name="DSC" localSheetId="27">#REF!</definedName>
    <definedName name="DSC" localSheetId="45">#REF!</definedName>
    <definedName name="DSC">#REF!</definedName>
    <definedName name="DSC_100X100" localSheetId="30">#REF!</definedName>
    <definedName name="DSC_100X100" localSheetId="25">#REF!</definedName>
    <definedName name="DSC_100X100" localSheetId="28">#REF!</definedName>
    <definedName name="DSC_100X100" localSheetId="29">#REF!</definedName>
    <definedName name="DSC_100X100" localSheetId="12">#REF!</definedName>
    <definedName name="DSC_100X100" localSheetId="43">#REF!</definedName>
    <definedName name="DSC_100X100" localSheetId="42">#REF!</definedName>
    <definedName name="DSC_100X100" localSheetId="27">#REF!</definedName>
    <definedName name="DSC_100X100" localSheetId="45">#REF!</definedName>
    <definedName name="DSC_100X100">#REF!</definedName>
    <definedName name="DSC_100X50" localSheetId="30">#REF!</definedName>
    <definedName name="DSC_100X50" localSheetId="25">#REF!</definedName>
    <definedName name="DSC_100X50" localSheetId="28">#REF!</definedName>
    <definedName name="DSC_100X50" localSheetId="29">#REF!</definedName>
    <definedName name="DSC_100X50" localSheetId="12">#REF!</definedName>
    <definedName name="DSC_100X50" localSheetId="43">#REF!</definedName>
    <definedName name="DSC_100X50" localSheetId="42">#REF!</definedName>
    <definedName name="DSC_100X50" localSheetId="27">#REF!</definedName>
    <definedName name="DSC_100X50" localSheetId="45">#REF!</definedName>
    <definedName name="DSC_100X50">#REF!</definedName>
    <definedName name="DSC_100X80" localSheetId="30">#REF!</definedName>
    <definedName name="DSC_100X80" localSheetId="25">#REF!</definedName>
    <definedName name="DSC_100X80" localSheetId="28">#REF!</definedName>
    <definedName name="DSC_100X80" localSheetId="29">#REF!</definedName>
    <definedName name="DSC_100X80" localSheetId="12">#REF!</definedName>
    <definedName name="DSC_100X80" localSheetId="43">#REF!</definedName>
    <definedName name="DSC_100X80" localSheetId="42">#REF!</definedName>
    <definedName name="DSC_100X80" localSheetId="27">#REF!</definedName>
    <definedName name="DSC_100X80" localSheetId="45">#REF!</definedName>
    <definedName name="DSC_100X80">#REF!</definedName>
    <definedName name="DSC_150X100" localSheetId="30">#REF!</definedName>
    <definedName name="DSC_150X100" localSheetId="25">#REF!</definedName>
    <definedName name="DSC_150X100" localSheetId="28">#REF!</definedName>
    <definedName name="DSC_150X100" localSheetId="29">#REF!</definedName>
    <definedName name="DSC_150X100" localSheetId="12">#REF!</definedName>
    <definedName name="DSC_150X100" localSheetId="43">#REF!</definedName>
    <definedName name="DSC_150X100" localSheetId="42">#REF!</definedName>
    <definedName name="DSC_150X100" localSheetId="27">#REF!</definedName>
    <definedName name="DSC_150X100" localSheetId="45">#REF!</definedName>
    <definedName name="DSC_150X100">#REF!</definedName>
    <definedName name="DSC_150X150" localSheetId="30">#REF!</definedName>
    <definedName name="DSC_150X150" localSheetId="25">#REF!</definedName>
    <definedName name="DSC_150X150" localSheetId="28">#REF!</definedName>
    <definedName name="DSC_150X150" localSheetId="29">#REF!</definedName>
    <definedName name="DSC_150X150" localSheetId="12">#REF!</definedName>
    <definedName name="DSC_150X150" localSheetId="43">#REF!</definedName>
    <definedName name="DSC_150X150" localSheetId="42">#REF!</definedName>
    <definedName name="DSC_150X150" localSheetId="27">#REF!</definedName>
    <definedName name="DSC_150X150" localSheetId="45">#REF!</definedName>
    <definedName name="DSC_150X150">#REF!</definedName>
    <definedName name="DSC_150X50" localSheetId="30">#REF!</definedName>
    <definedName name="DSC_150X50" localSheetId="25">#REF!</definedName>
    <definedName name="DSC_150X50" localSheetId="28">#REF!</definedName>
    <definedName name="DSC_150X50" localSheetId="29">#REF!</definedName>
    <definedName name="DSC_150X50" localSheetId="12">#REF!</definedName>
    <definedName name="DSC_150X50" localSheetId="43">#REF!</definedName>
    <definedName name="DSC_150X50" localSheetId="42">#REF!</definedName>
    <definedName name="DSC_150X50" localSheetId="27">#REF!</definedName>
    <definedName name="DSC_150X50" localSheetId="45">#REF!</definedName>
    <definedName name="DSC_150X50">#REF!</definedName>
    <definedName name="DSC_150X80" localSheetId="30">#REF!</definedName>
    <definedName name="DSC_150X80" localSheetId="25">#REF!</definedName>
    <definedName name="DSC_150X80" localSheetId="28">#REF!</definedName>
    <definedName name="DSC_150X80" localSheetId="29">#REF!</definedName>
    <definedName name="DSC_150X80" localSheetId="12">#REF!</definedName>
    <definedName name="DSC_150X80" localSheetId="43">#REF!</definedName>
    <definedName name="DSC_150X80" localSheetId="42">#REF!</definedName>
    <definedName name="DSC_150X80" localSheetId="27">#REF!</definedName>
    <definedName name="DSC_150X80" localSheetId="45">#REF!</definedName>
    <definedName name="DSC_150X80">#REF!</definedName>
    <definedName name="DSC_200X100" localSheetId="30">#REF!</definedName>
    <definedName name="DSC_200X100" localSheetId="25">#REF!</definedName>
    <definedName name="DSC_200X100" localSheetId="28">#REF!</definedName>
    <definedName name="DSC_200X100" localSheetId="29">#REF!</definedName>
    <definedName name="DSC_200X100" localSheetId="12">#REF!</definedName>
    <definedName name="DSC_200X100" localSheetId="43">#REF!</definedName>
    <definedName name="DSC_200X100" localSheetId="42">#REF!</definedName>
    <definedName name="DSC_200X100" localSheetId="27">#REF!</definedName>
    <definedName name="DSC_200X100" localSheetId="45">#REF!</definedName>
    <definedName name="DSC_200X100">#REF!</definedName>
    <definedName name="DSC_200X150" localSheetId="30">#REF!</definedName>
    <definedName name="DSC_200X150" localSheetId="25">#REF!</definedName>
    <definedName name="DSC_200X150" localSheetId="28">#REF!</definedName>
    <definedName name="DSC_200X150" localSheetId="29">#REF!</definedName>
    <definedName name="DSC_200X150" localSheetId="12">#REF!</definedName>
    <definedName name="DSC_200X150" localSheetId="43">#REF!</definedName>
    <definedName name="DSC_200X150" localSheetId="42">#REF!</definedName>
    <definedName name="DSC_200X150" localSheetId="27">#REF!</definedName>
    <definedName name="DSC_200X150" localSheetId="45">#REF!</definedName>
    <definedName name="DSC_200X150">#REF!</definedName>
    <definedName name="DSC_200X200" localSheetId="30">#REF!</definedName>
    <definedName name="DSC_200X200" localSheetId="25">#REF!</definedName>
    <definedName name="DSC_200X200" localSheetId="28">#REF!</definedName>
    <definedName name="DSC_200X200" localSheetId="29">#REF!</definedName>
    <definedName name="DSC_200X200" localSheetId="12">#REF!</definedName>
    <definedName name="DSC_200X200" localSheetId="43">#REF!</definedName>
    <definedName name="DSC_200X200" localSheetId="42">#REF!</definedName>
    <definedName name="DSC_200X200" localSheetId="27">#REF!</definedName>
    <definedName name="DSC_200X200" localSheetId="45">#REF!</definedName>
    <definedName name="DSC_200X200">#REF!</definedName>
    <definedName name="DSC_200X80" localSheetId="30">#REF!</definedName>
    <definedName name="DSC_200X80" localSheetId="25">#REF!</definedName>
    <definedName name="DSC_200X80" localSheetId="28">#REF!</definedName>
    <definedName name="DSC_200X80" localSheetId="29">#REF!</definedName>
    <definedName name="DSC_200X80" localSheetId="12">#REF!</definedName>
    <definedName name="DSC_200X80" localSheetId="43">#REF!</definedName>
    <definedName name="DSC_200X80" localSheetId="42">#REF!</definedName>
    <definedName name="DSC_200X80" localSheetId="27">#REF!</definedName>
    <definedName name="DSC_200X80" localSheetId="45">#REF!</definedName>
    <definedName name="DSC_200X80">#REF!</definedName>
    <definedName name="DSC_250X100" localSheetId="30">#REF!</definedName>
    <definedName name="DSC_250X100" localSheetId="25">#REF!</definedName>
    <definedName name="DSC_250X100" localSheetId="28">#REF!</definedName>
    <definedName name="DSC_250X100" localSheetId="29">#REF!</definedName>
    <definedName name="DSC_250X100" localSheetId="12">#REF!</definedName>
    <definedName name="DSC_250X100" localSheetId="43">#REF!</definedName>
    <definedName name="DSC_250X100" localSheetId="42">#REF!</definedName>
    <definedName name="DSC_250X100" localSheetId="27">#REF!</definedName>
    <definedName name="DSC_250X100" localSheetId="45">#REF!</definedName>
    <definedName name="DSC_250X100">#REF!</definedName>
    <definedName name="DSC_250X150" localSheetId="30">#REF!</definedName>
    <definedName name="DSC_250X150" localSheetId="25">#REF!</definedName>
    <definedName name="DSC_250X150" localSheetId="28">#REF!</definedName>
    <definedName name="DSC_250X150" localSheetId="29">#REF!</definedName>
    <definedName name="DSC_250X150" localSheetId="12">#REF!</definedName>
    <definedName name="DSC_250X150" localSheetId="43">#REF!</definedName>
    <definedName name="DSC_250X150" localSheetId="42">#REF!</definedName>
    <definedName name="DSC_250X150" localSheetId="27">#REF!</definedName>
    <definedName name="DSC_250X150" localSheetId="45">#REF!</definedName>
    <definedName name="DSC_250X150">#REF!</definedName>
    <definedName name="DSC_250X200" localSheetId="30">#REF!</definedName>
    <definedName name="DSC_250X200" localSheetId="25">#REF!</definedName>
    <definedName name="DSC_250X200" localSheetId="28">#REF!</definedName>
    <definedName name="DSC_250X200" localSheetId="29">#REF!</definedName>
    <definedName name="DSC_250X200" localSheetId="12">#REF!</definedName>
    <definedName name="DSC_250X200" localSheetId="43">#REF!</definedName>
    <definedName name="DSC_250X200" localSheetId="42">#REF!</definedName>
    <definedName name="DSC_250X200" localSheetId="27">#REF!</definedName>
    <definedName name="DSC_250X200" localSheetId="45">#REF!</definedName>
    <definedName name="DSC_250X200">#REF!</definedName>
    <definedName name="DSC_250X250" localSheetId="30">#REF!</definedName>
    <definedName name="DSC_250X250" localSheetId="25">#REF!</definedName>
    <definedName name="DSC_250X250" localSheetId="28">#REF!</definedName>
    <definedName name="DSC_250X250" localSheetId="29">#REF!</definedName>
    <definedName name="DSC_250X250" localSheetId="12">#REF!</definedName>
    <definedName name="DSC_250X250" localSheetId="43">#REF!</definedName>
    <definedName name="DSC_250X250" localSheetId="42">#REF!</definedName>
    <definedName name="DSC_250X250" localSheetId="27">#REF!</definedName>
    <definedName name="DSC_250X250" localSheetId="45">#REF!</definedName>
    <definedName name="DSC_250X250">#REF!</definedName>
    <definedName name="DSC_250X80" localSheetId="30">#REF!</definedName>
    <definedName name="DSC_250X80" localSheetId="25">#REF!</definedName>
    <definedName name="DSC_250X80" localSheetId="28">#REF!</definedName>
    <definedName name="DSC_250X80" localSheetId="29">#REF!</definedName>
    <definedName name="DSC_250X80" localSheetId="12">#REF!</definedName>
    <definedName name="DSC_250X80" localSheetId="43">#REF!</definedName>
    <definedName name="DSC_250X80" localSheetId="42">#REF!</definedName>
    <definedName name="DSC_250X80" localSheetId="27">#REF!</definedName>
    <definedName name="DSC_250X80" localSheetId="45">#REF!</definedName>
    <definedName name="DSC_250X80">#REF!</definedName>
    <definedName name="DSC_300X100" localSheetId="30">#REF!</definedName>
    <definedName name="DSC_300X100" localSheetId="25">#REF!</definedName>
    <definedName name="DSC_300X100" localSheetId="28">#REF!</definedName>
    <definedName name="DSC_300X100" localSheetId="29">#REF!</definedName>
    <definedName name="DSC_300X100" localSheetId="12">#REF!</definedName>
    <definedName name="DSC_300X100" localSheetId="43">#REF!</definedName>
    <definedName name="DSC_300X100" localSheetId="42">#REF!</definedName>
    <definedName name="DSC_300X100" localSheetId="27">#REF!</definedName>
    <definedName name="DSC_300X100" localSheetId="45">#REF!</definedName>
    <definedName name="DSC_300X100">#REF!</definedName>
    <definedName name="DSC_300X150" localSheetId="30">#REF!</definedName>
    <definedName name="DSC_300X150" localSheetId="25">#REF!</definedName>
    <definedName name="DSC_300X150" localSheetId="28">#REF!</definedName>
    <definedName name="DSC_300X150" localSheetId="29">#REF!</definedName>
    <definedName name="DSC_300X150" localSheetId="12">#REF!</definedName>
    <definedName name="DSC_300X150" localSheetId="43">#REF!</definedName>
    <definedName name="DSC_300X150" localSheetId="42">#REF!</definedName>
    <definedName name="DSC_300X150" localSheetId="27">#REF!</definedName>
    <definedName name="DSC_300X150" localSheetId="45">#REF!</definedName>
    <definedName name="DSC_300X150">#REF!</definedName>
    <definedName name="DSC_300X200" localSheetId="30">#REF!</definedName>
    <definedName name="DSC_300X200" localSheetId="25">#REF!</definedName>
    <definedName name="DSC_300X200" localSheetId="28">#REF!</definedName>
    <definedName name="DSC_300X200" localSheetId="29">#REF!</definedName>
    <definedName name="DSC_300X200" localSheetId="12">#REF!</definedName>
    <definedName name="DSC_300X200" localSheetId="43">#REF!</definedName>
    <definedName name="DSC_300X200" localSheetId="42">#REF!</definedName>
    <definedName name="DSC_300X200" localSheetId="27">#REF!</definedName>
    <definedName name="DSC_300X200" localSheetId="45">#REF!</definedName>
    <definedName name="DSC_300X200">#REF!</definedName>
    <definedName name="DSC_300X250" localSheetId="30">#REF!</definedName>
    <definedName name="DSC_300X250" localSheetId="25">#REF!</definedName>
    <definedName name="DSC_300X250" localSheetId="28">#REF!</definedName>
    <definedName name="DSC_300X250" localSheetId="29">#REF!</definedName>
    <definedName name="DSC_300X250" localSheetId="12">#REF!</definedName>
    <definedName name="DSC_300X250" localSheetId="43">#REF!</definedName>
    <definedName name="DSC_300X250" localSheetId="42">#REF!</definedName>
    <definedName name="DSC_300X250" localSheetId="27">#REF!</definedName>
    <definedName name="DSC_300X250" localSheetId="45">#REF!</definedName>
    <definedName name="DSC_300X250">#REF!</definedName>
    <definedName name="DSC_300X300" localSheetId="30">#REF!</definedName>
    <definedName name="DSC_300X300" localSheetId="25">#REF!</definedName>
    <definedName name="DSC_300X300" localSheetId="28">#REF!</definedName>
    <definedName name="DSC_300X300" localSheetId="29">#REF!</definedName>
    <definedName name="DSC_300X300" localSheetId="12">#REF!</definedName>
    <definedName name="DSC_300X300" localSheetId="43">#REF!</definedName>
    <definedName name="DSC_300X300" localSheetId="42">#REF!</definedName>
    <definedName name="DSC_300X300" localSheetId="27">#REF!</definedName>
    <definedName name="DSC_300X300" localSheetId="45">#REF!</definedName>
    <definedName name="DSC_300X300">#REF!</definedName>
    <definedName name="DSC_300X80" localSheetId="30">#REF!</definedName>
    <definedName name="DSC_300X80" localSheetId="25">#REF!</definedName>
    <definedName name="DSC_300X80" localSheetId="28">#REF!</definedName>
    <definedName name="DSC_300X80" localSheetId="29">#REF!</definedName>
    <definedName name="DSC_300X80" localSheetId="12">#REF!</definedName>
    <definedName name="DSC_300X80" localSheetId="43">#REF!</definedName>
    <definedName name="DSC_300X80" localSheetId="42">#REF!</definedName>
    <definedName name="DSC_300X80" localSheetId="27">#REF!</definedName>
    <definedName name="DSC_300X80" localSheetId="45">#REF!</definedName>
    <definedName name="DSC_300X80">#REF!</definedName>
    <definedName name="DSC_350X100" localSheetId="30">#REF!</definedName>
    <definedName name="DSC_350X100" localSheetId="25">#REF!</definedName>
    <definedName name="DSC_350X100" localSheetId="28">#REF!</definedName>
    <definedName name="DSC_350X100" localSheetId="29">#REF!</definedName>
    <definedName name="DSC_350X100" localSheetId="12">#REF!</definedName>
    <definedName name="DSC_350X100" localSheetId="43">#REF!</definedName>
    <definedName name="DSC_350X100" localSheetId="42">#REF!</definedName>
    <definedName name="DSC_350X100" localSheetId="27">#REF!</definedName>
    <definedName name="DSC_350X100" localSheetId="45">#REF!</definedName>
    <definedName name="DSC_350X100">#REF!</definedName>
    <definedName name="DSC_350X250" localSheetId="30">#REF!</definedName>
    <definedName name="DSC_350X250" localSheetId="25">#REF!</definedName>
    <definedName name="DSC_350X250" localSheetId="28">#REF!</definedName>
    <definedName name="DSC_350X250" localSheetId="29">#REF!</definedName>
    <definedName name="DSC_350X250" localSheetId="12">#REF!</definedName>
    <definedName name="DSC_350X250" localSheetId="43">#REF!</definedName>
    <definedName name="DSC_350X250" localSheetId="42">#REF!</definedName>
    <definedName name="DSC_350X250" localSheetId="27">#REF!</definedName>
    <definedName name="DSC_350X250" localSheetId="45">#REF!</definedName>
    <definedName name="DSC_350X250">#REF!</definedName>
    <definedName name="DSC_350X300" localSheetId="30">#REF!</definedName>
    <definedName name="DSC_350X300" localSheetId="25">#REF!</definedName>
    <definedName name="DSC_350X300" localSheetId="28">#REF!</definedName>
    <definedName name="DSC_350X300" localSheetId="29">#REF!</definedName>
    <definedName name="DSC_350X300" localSheetId="12">#REF!</definedName>
    <definedName name="DSC_350X300" localSheetId="43">#REF!</definedName>
    <definedName name="DSC_350X300" localSheetId="42">#REF!</definedName>
    <definedName name="DSC_350X300" localSheetId="27">#REF!</definedName>
    <definedName name="DSC_350X300" localSheetId="45">#REF!</definedName>
    <definedName name="DSC_350X300">#REF!</definedName>
    <definedName name="DSC_350X350" localSheetId="30">#REF!</definedName>
    <definedName name="DSC_350X350" localSheetId="25">#REF!</definedName>
    <definedName name="DSC_350X350" localSheetId="28">#REF!</definedName>
    <definedName name="DSC_350X350" localSheetId="29">#REF!</definedName>
    <definedName name="DSC_350X350" localSheetId="12">#REF!</definedName>
    <definedName name="DSC_350X350" localSheetId="43">#REF!</definedName>
    <definedName name="DSC_350X350" localSheetId="42">#REF!</definedName>
    <definedName name="DSC_350X350" localSheetId="27">#REF!</definedName>
    <definedName name="DSC_350X350" localSheetId="45">#REF!</definedName>
    <definedName name="DSC_350X350">#REF!</definedName>
    <definedName name="DSC_350X80" localSheetId="30">#REF!</definedName>
    <definedName name="DSC_350X80" localSheetId="25">#REF!</definedName>
    <definedName name="DSC_350X80" localSheetId="28">#REF!</definedName>
    <definedName name="DSC_350X80" localSheetId="29">#REF!</definedName>
    <definedName name="DSC_350X80" localSheetId="12">#REF!</definedName>
    <definedName name="DSC_350X80" localSheetId="43">#REF!</definedName>
    <definedName name="DSC_350X80" localSheetId="42">#REF!</definedName>
    <definedName name="DSC_350X80" localSheetId="27">#REF!</definedName>
    <definedName name="DSC_350X80" localSheetId="45">#REF!</definedName>
    <definedName name="DSC_350X80">#REF!</definedName>
    <definedName name="DSC_400X100" localSheetId="30">#REF!</definedName>
    <definedName name="DSC_400X100" localSheetId="25">#REF!</definedName>
    <definedName name="DSC_400X100" localSheetId="28">#REF!</definedName>
    <definedName name="DSC_400X100" localSheetId="29">#REF!</definedName>
    <definedName name="DSC_400X100" localSheetId="12">#REF!</definedName>
    <definedName name="DSC_400X100" localSheetId="43">#REF!</definedName>
    <definedName name="DSC_400X100" localSheetId="42">#REF!</definedName>
    <definedName name="DSC_400X100" localSheetId="27">#REF!</definedName>
    <definedName name="DSC_400X100" localSheetId="45">#REF!</definedName>
    <definedName name="DSC_400X100">#REF!</definedName>
    <definedName name="DSC_400X150" localSheetId="30">#REF!</definedName>
    <definedName name="DSC_400X150" localSheetId="25">#REF!</definedName>
    <definedName name="DSC_400X150" localSheetId="28">#REF!</definedName>
    <definedName name="DSC_400X150" localSheetId="29">#REF!</definedName>
    <definedName name="DSC_400X150" localSheetId="12">#REF!</definedName>
    <definedName name="DSC_400X150" localSheetId="43">#REF!</definedName>
    <definedName name="DSC_400X150" localSheetId="42">#REF!</definedName>
    <definedName name="DSC_400X150" localSheetId="27">#REF!</definedName>
    <definedName name="DSC_400X150" localSheetId="45">#REF!</definedName>
    <definedName name="DSC_400X150">#REF!</definedName>
    <definedName name="DSC_400X250" localSheetId="30">#REF!</definedName>
    <definedName name="DSC_400X250" localSheetId="25">#REF!</definedName>
    <definedName name="DSC_400X250" localSheetId="28">#REF!</definedName>
    <definedName name="DSC_400X250" localSheetId="29">#REF!</definedName>
    <definedName name="DSC_400X250" localSheetId="12">#REF!</definedName>
    <definedName name="DSC_400X250" localSheetId="43">#REF!</definedName>
    <definedName name="DSC_400X250" localSheetId="42">#REF!</definedName>
    <definedName name="DSC_400X250" localSheetId="27">#REF!</definedName>
    <definedName name="DSC_400X250" localSheetId="45">#REF!</definedName>
    <definedName name="DSC_400X250">#REF!</definedName>
    <definedName name="DSC_400X300" localSheetId="30">#REF!</definedName>
    <definedName name="DSC_400X300" localSheetId="25">#REF!</definedName>
    <definedName name="DSC_400X300" localSheetId="28">#REF!</definedName>
    <definedName name="DSC_400X300" localSheetId="29">#REF!</definedName>
    <definedName name="DSC_400X300" localSheetId="12">#REF!</definedName>
    <definedName name="DSC_400X300" localSheetId="43">#REF!</definedName>
    <definedName name="DSC_400X300" localSheetId="42">#REF!</definedName>
    <definedName name="DSC_400X300" localSheetId="27">#REF!</definedName>
    <definedName name="DSC_400X300" localSheetId="45">#REF!</definedName>
    <definedName name="DSC_400X300">#REF!</definedName>
    <definedName name="DSC_400X350" localSheetId="30">#REF!</definedName>
    <definedName name="DSC_400X350" localSheetId="25">#REF!</definedName>
    <definedName name="DSC_400X350" localSheetId="28">#REF!</definedName>
    <definedName name="DSC_400X350" localSheetId="29">#REF!</definedName>
    <definedName name="DSC_400X350" localSheetId="12">#REF!</definedName>
    <definedName name="DSC_400X350" localSheetId="43">#REF!</definedName>
    <definedName name="DSC_400X350" localSheetId="42">#REF!</definedName>
    <definedName name="DSC_400X350" localSheetId="27">#REF!</definedName>
    <definedName name="DSC_400X350" localSheetId="45">#REF!</definedName>
    <definedName name="DSC_400X350">#REF!</definedName>
    <definedName name="DSC_400X400" localSheetId="30">#REF!</definedName>
    <definedName name="DSC_400X400" localSheetId="25">#REF!</definedName>
    <definedName name="DSC_400X400" localSheetId="28">#REF!</definedName>
    <definedName name="DSC_400X400" localSheetId="29">#REF!</definedName>
    <definedName name="DSC_400X400" localSheetId="12">#REF!</definedName>
    <definedName name="DSC_400X400" localSheetId="43">#REF!</definedName>
    <definedName name="DSC_400X400" localSheetId="42">#REF!</definedName>
    <definedName name="DSC_400X400" localSheetId="27">#REF!</definedName>
    <definedName name="DSC_400X400" localSheetId="45">#REF!</definedName>
    <definedName name="DSC_400X400">#REF!</definedName>
    <definedName name="DSC_80X50" localSheetId="30">#REF!</definedName>
    <definedName name="DSC_80X50" localSheetId="25">#REF!</definedName>
    <definedName name="DSC_80X50" localSheetId="28">#REF!</definedName>
    <definedName name="DSC_80X50" localSheetId="29">#REF!</definedName>
    <definedName name="DSC_80X50" localSheetId="12">#REF!</definedName>
    <definedName name="DSC_80X50" localSheetId="43">#REF!</definedName>
    <definedName name="DSC_80X50" localSheetId="42">#REF!</definedName>
    <definedName name="DSC_80X50" localSheetId="27">#REF!</definedName>
    <definedName name="DSC_80X50" localSheetId="45">#REF!</definedName>
    <definedName name="DSC_80X50">#REF!</definedName>
    <definedName name="DSC_80X80" localSheetId="30">#REF!</definedName>
    <definedName name="DSC_80X80" localSheetId="25">#REF!</definedName>
    <definedName name="DSC_80X80" localSheetId="28">#REF!</definedName>
    <definedName name="DSC_80X80" localSheetId="29">#REF!</definedName>
    <definedName name="DSC_80X80" localSheetId="12">#REF!</definedName>
    <definedName name="DSC_80X80" localSheetId="43">#REF!</definedName>
    <definedName name="DSC_80X80" localSheetId="42">#REF!</definedName>
    <definedName name="DSC_80X80" localSheetId="27">#REF!</definedName>
    <definedName name="DSC_80X80" localSheetId="45">#REF!</definedName>
    <definedName name="DSC_80X80">#REF!</definedName>
    <definedName name="DSCF" localSheetId="30">#REF!</definedName>
    <definedName name="DSCF" localSheetId="25">#REF!</definedName>
    <definedName name="DSCF" localSheetId="28">#REF!</definedName>
    <definedName name="DSCF" localSheetId="29">#REF!</definedName>
    <definedName name="DSCF" localSheetId="12">#REF!</definedName>
    <definedName name="DSCF" localSheetId="43">#REF!</definedName>
    <definedName name="DSCF" localSheetId="42">#REF!</definedName>
    <definedName name="DSCF" localSheetId="27">#REF!</definedName>
    <definedName name="DSCF" localSheetId="45">#REF!</definedName>
    <definedName name="DSCF">#REF!</definedName>
    <definedName name="DSE" localSheetId="30">#REF!</definedName>
    <definedName name="DSE" localSheetId="25">#REF!</definedName>
    <definedName name="DSE" localSheetId="28">#REF!</definedName>
    <definedName name="DSE" localSheetId="29">#REF!</definedName>
    <definedName name="DSE" localSheetId="12">#REF!</definedName>
    <definedName name="DSE" localSheetId="43">#REF!</definedName>
    <definedName name="DSE" localSheetId="42">#REF!</definedName>
    <definedName name="DSE" localSheetId="27">#REF!</definedName>
    <definedName name="DSE" localSheetId="45">#REF!</definedName>
    <definedName name="DSE">#REF!</definedName>
    <definedName name="DSF_100X100" localSheetId="30">#REF!</definedName>
    <definedName name="DSF_100X100" localSheetId="25">#REF!</definedName>
    <definedName name="DSF_100X100" localSheetId="28">#REF!</definedName>
    <definedName name="DSF_100X100" localSheetId="29">#REF!</definedName>
    <definedName name="DSF_100X100" localSheetId="12">#REF!</definedName>
    <definedName name="DSF_100X100" localSheetId="43">#REF!</definedName>
    <definedName name="DSF_100X100" localSheetId="42">#REF!</definedName>
    <definedName name="DSF_100X100" localSheetId="27">#REF!</definedName>
    <definedName name="DSF_100X100" localSheetId="45">#REF!</definedName>
    <definedName name="DSF_100X100">#REF!</definedName>
    <definedName name="DSF_100X50" localSheetId="30">#REF!</definedName>
    <definedName name="DSF_100X50" localSheetId="25">#REF!</definedName>
    <definedName name="DSF_100X50" localSheetId="28">#REF!</definedName>
    <definedName name="DSF_100X50" localSheetId="29">#REF!</definedName>
    <definedName name="DSF_100X50" localSheetId="12">#REF!</definedName>
    <definedName name="DSF_100X50" localSheetId="43">#REF!</definedName>
    <definedName name="DSF_100X50" localSheetId="42">#REF!</definedName>
    <definedName name="DSF_100X50" localSheetId="27">#REF!</definedName>
    <definedName name="DSF_100X50" localSheetId="45">#REF!</definedName>
    <definedName name="DSF_100X50">#REF!</definedName>
    <definedName name="DSF_100X80" localSheetId="30">#REF!</definedName>
    <definedName name="DSF_100X80" localSheetId="25">#REF!</definedName>
    <definedName name="DSF_100X80" localSheetId="28">#REF!</definedName>
    <definedName name="DSF_100X80" localSheetId="29">#REF!</definedName>
    <definedName name="DSF_100X80" localSheetId="12">#REF!</definedName>
    <definedName name="DSF_100X80" localSheetId="43">#REF!</definedName>
    <definedName name="DSF_100X80" localSheetId="42">#REF!</definedName>
    <definedName name="DSF_100X80" localSheetId="27">#REF!</definedName>
    <definedName name="DSF_100X80" localSheetId="45">#REF!</definedName>
    <definedName name="DSF_100X80">#REF!</definedName>
    <definedName name="DSF_150X100" localSheetId="30">#REF!</definedName>
    <definedName name="DSF_150X100" localSheetId="25">#REF!</definedName>
    <definedName name="DSF_150X100" localSheetId="28">#REF!</definedName>
    <definedName name="DSF_150X100" localSheetId="29">#REF!</definedName>
    <definedName name="DSF_150X100" localSheetId="12">#REF!</definedName>
    <definedName name="DSF_150X100" localSheetId="43">#REF!</definedName>
    <definedName name="DSF_150X100" localSheetId="42">#REF!</definedName>
    <definedName name="DSF_150X100" localSheetId="27">#REF!</definedName>
    <definedName name="DSF_150X100" localSheetId="45">#REF!</definedName>
    <definedName name="DSF_150X100">#REF!</definedName>
    <definedName name="DSF_150X150" localSheetId="30">#REF!</definedName>
    <definedName name="DSF_150X150" localSheetId="25">#REF!</definedName>
    <definedName name="DSF_150X150" localSheetId="28">#REF!</definedName>
    <definedName name="DSF_150X150" localSheetId="29">#REF!</definedName>
    <definedName name="DSF_150X150" localSheetId="12">#REF!</definedName>
    <definedName name="DSF_150X150" localSheetId="43">#REF!</definedName>
    <definedName name="DSF_150X150" localSheetId="42">#REF!</definedName>
    <definedName name="DSF_150X150" localSheetId="27">#REF!</definedName>
    <definedName name="DSF_150X150" localSheetId="45">#REF!</definedName>
    <definedName name="DSF_150X150">#REF!</definedName>
    <definedName name="DSF_150X50" localSheetId="30">#REF!</definedName>
    <definedName name="DSF_150X50" localSheetId="25">#REF!</definedName>
    <definedName name="DSF_150X50" localSheetId="28">#REF!</definedName>
    <definedName name="DSF_150X50" localSheetId="29">#REF!</definedName>
    <definedName name="DSF_150X50" localSheetId="12">#REF!</definedName>
    <definedName name="DSF_150X50" localSheetId="43">#REF!</definedName>
    <definedName name="DSF_150X50" localSheetId="42">#REF!</definedName>
    <definedName name="DSF_150X50" localSheetId="27">#REF!</definedName>
    <definedName name="DSF_150X50" localSheetId="45">#REF!</definedName>
    <definedName name="DSF_150X50">#REF!</definedName>
    <definedName name="DSF_150X80" localSheetId="30">#REF!</definedName>
    <definedName name="DSF_150X80" localSheetId="25">#REF!</definedName>
    <definedName name="DSF_150X80" localSheetId="28">#REF!</definedName>
    <definedName name="DSF_150X80" localSheetId="29">#REF!</definedName>
    <definedName name="DSF_150X80" localSheetId="12">#REF!</definedName>
    <definedName name="DSF_150X80" localSheetId="43">#REF!</definedName>
    <definedName name="DSF_150X80" localSheetId="42">#REF!</definedName>
    <definedName name="DSF_150X80" localSheetId="27">#REF!</definedName>
    <definedName name="DSF_150X80" localSheetId="45">#REF!</definedName>
    <definedName name="DSF_150X80">#REF!</definedName>
    <definedName name="DSF_200X100" localSheetId="30">#REF!</definedName>
    <definedName name="DSF_200X100" localSheetId="25">#REF!</definedName>
    <definedName name="DSF_200X100" localSheetId="28">#REF!</definedName>
    <definedName name="DSF_200X100" localSheetId="29">#REF!</definedName>
    <definedName name="DSF_200X100" localSheetId="12">#REF!</definedName>
    <definedName name="DSF_200X100" localSheetId="43">#REF!</definedName>
    <definedName name="DSF_200X100" localSheetId="42">#REF!</definedName>
    <definedName name="DSF_200X100" localSheetId="27">#REF!</definedName>
    <definedName name="DSF_200X100" localSheetId="45">#REF!</definedName>
    <definedName name="DSF_200X100">#REF!</definedName>
    <definedName name="DSF_200X150" localSheetId="30">#REF!</definedName>
    <definedName name="DSF_200X150" localSheetId="25">#REF!</definedName>
    <definedName name="DSF_200X150" localSheetId="28">#REF!</definedName>
    <definedName name="DSF_200X150" localSheetId="29">#REF!</definedName>
    <definedName name="DSF_200X150" localSheetId="12">#REF!</definedName>
    <definedName name="DSF_200X150" localSheetId="43">#REF!</definedName>
    <definedName name="DSF_200X150" localSheetId="42">#REF!</definedName>
    <definedName name="DSF_200X150" localSheetId="27">#REF!</definedName>
    <definedName name="DSF_200X150" localSheetId="45">#REF!</definedName>
    <definedName name="DSF_200X150">#REF!</definedName>
    <definedName name="DSF_200X200" localSheetId="30">#REF!</definedName>
    <definedName name="DSF_200X200" localSheetId="25">#REF!</definedName>
    <definedName name="DSF_200X200" localSheetId="28">#REF!</definedName>
    <definedName name="DSF_200X200" localSheetId="29">#REF!</definedName>
    <definedName name="DSF_200X200" localSheetId="12">#REF!</definedName>
    <definedName name="DSF_200X200" localSheetId="43">#REF!</definedName>
    <definedName name="DSF_200X200" localSheetId="42">#REF!</definedName>
    <definedName name="DSF_200X200" localSheetId="27">#REF!</definedName>
    <definedName name="DSF_200X200" localSheetId="45">#REF!</definedName>
    <definedName name="DSF_200X200">#REF!</definedName>
    <definedName name="DSF_200X80" localSheetId="30">#REF!</definedName>
    <definedName name="DSF_200X80" localSheetId="25">#REF!</definedName>
    <definedName name="DSF_200X80" localSheetId="28">#REF!</definedName>
    <definedName name="DSF_200X80" localSheetId="29">#REF!</definedName>
    <definedName name="DSF_200X80" localSheetId="12">#REF!</definedName>
    <definedName name="DSF_200X80" localSheetId="43">#REF!</definedName>
    <definedName name="DSF_200X80" localSheetId="42">#REF!</definedName>
    <definedName name="DSF_200X80" localSheetId="27">#REF!</definedName>
    <definedName name="DSF_200X80" localSheetId="45">#REF!</definedName>
    <definedName name="DSF_200X80">#REF!</definedName>
    <definedName name="DSF_250X100" localSheetId="30">#REF!</definedName>
    <definedName name="DSF_250X100" localSheetId="25">#REF!</definedName>
    <definedName name="DSF_250X100" localSheetId="28">#REF!</definedName>
    <definedName name="DSF_250X100" localSheetId="29">#REF!</definedName>
    <definedName name="DSF_250X100" localSheetId="12">#REF!</definedName>
    <definedName name="DSF_250X100" localSheetId="43">#REF!</definedName>
    <definedName name="DSF_250X100" localSheetId="42">#REF!</definedName>
    <definedName name="DSF_250X100" localSheetId="27">#REF!</definedName>
    <definedName name="DSF_250X100" localSheetId="45">#REF!</definedName>
    <definedName name="DSF_250X100">#REF!</definedName>
    <definedName name="DSF_250X150" localSheetId="30">#REF!</definedName>
    <definedName name="DSF_250X150" localSheetId="25">#REF!</definedName>
    <definedName name="DSF_250X150" localSheetId="28">#REF!</definedName>
    <definedName name="DSF_250X150" localSheetId="29">#REF!</definedName>
    <definedName name="DSF_250X150" localSheetId="12">#REF!</definedName>
    <definedName name="DSF_250X150" localSheetId="43">#REF!</definedName>
    <definedName name="DSF_250X150" localSheetId="42">#REF!</definedName>
    <definedName name="DSF_250X150" localSheetId="27">#REF!</definedName>
    <definedName name="DSF_250X150" localSheetId="45">#REF!</definedName>
    <definedName name="DSF_250X150">#REF!</definedName>
    <definedName name="DSF_250X200" localSheetId="30">#REF!</definedName>
    <definedName name="DSF_250X200" localSheetId="25">#REF!</definedName>
    <definedName name="DSF_250X200" localSheetId="28">#REF!</definedName>
    <definedName name="DSF_250X200" localSheetId="29">#REF!</definedName>
    <definedName name="DSF_250X200" localSheetId="12">#REF!</definedName>
    <definedName name="DSF_250X200" localSheetId="43">#REF!</definedName>
    <definedName name="DSF_250X200" localSheetId="42">#REF!</definedName>
    <definedName name="DSF_250X200" localSheetId="27">#REF!</definedName>
    <definedName name="DSF_250X200" localSheetId="45">#REF!</definedName>
    <definedName name="DSF_250X200">#REF!</definedName>
    <definedName name="DSF_250X250" localSheetId="30">#REF!</definedName>
    <definedName name="DSF_250X250" localSheetId="25">#REF!</definedName>
    <definedName name="DSF_250X250" localSheetId="28">#REF!</definedName>
    <definedName name="DSF_250X250" localSheetId="29">#REF!</definedName>
    <definedName name="DSF_250X250" localSheetId="12">#REF!</definedName>
    <definedName name="DSF_250X250" localSheetId="43">#REF!</definedName>
    <definedName name="DSF_250X250" localSheetId="42">#REF!</definedName>
    <definedName name="DSF_250X250" localSheetId="27">#REF!</definedName>
    <definedName name="DSF_250X250" localSheetId="45">#REF!</definedName>
    <definedName name="DSF_250X250">#REF!</definedName>
    <definedName name="DSF_250X80" localSheetId="30">#REF!</definedName>
    <definedName name="DSF_250X80" localSheetId="25">#REF!</definedName>
    <definedName name="DSF_250X80" localSheetId="28">#REF!</definedName>
    <definedName name="DSF_250X80" localSheetId="29">#REF!</definedName>
    <definedName name="DSF_250X80" localSheetId="12">#REF!</definedName>
    <definedName name="DSF_250X80" localSheetId="43">#REF!</definedName>
    <definedName name="DSF_250X80" localSheetId="42">#REF!</definedName>
    <definedName name="DSF_250X80" localSheetId="27">#REF!</definedName>
    <definedName name="DSF_250X80" localSheetId="45">#REF!</definedName>
    <definedName name="DSF_250X80">#REF!</definedName>
    <definedName name="DSF_300X100" localSheetId="30">#REF!</definedName>
    <definedName name="DSF_300X100" localSheetId="25">#REF!</definedName>
    <definedName name="DSF_300X100" localSheetId="28">#REF!</definedName>
    <definedName name="DSF_300X100" localSheetId="29">#REF!</definedName>
    <definedName name="DSF_300X100" localSheetId="12">#REF!</definedName>
    <definedName name="DSF_300X100" localSheetId="43">#REF!</definedName>
    <definedName name="DSF_300X100" localSheetId="42">#REF!</definedName>
    <definedName name="DSF_300X100" localSheetId="27">#REF!</definedName>
    <definedName name="DSF_300X100" localSheetId="45">#REF!</definedName>
    <definedName name="DSF_300X100">#REF!</definedName>
    <definedName name="DSF_300X150" localSheetId="30">#REF!</definedName>
    <definedName name="DSF_300X150" localSheetId="25">#REF!</definedName>
    <definedName name="DSF_300X150" localSheetId="28">#REF!</definedName>
    <definedName name="DSF_300X150" localSheetId="29">#REF!</definedName>
    <definedName name="DSF_300X150" localSheetId="12">#REF!</definedName>
    <definedName name="DSF_300X150" localSheetId="43">#REF!</definedName>
    <definedName name="DSF_300X150" localSheetId="42">#REF!</definedName>
    <definedName name="DSF_300X150" localSheetId="27">#REF!</definedName>
    <definedName name="DSF_300X150" localSheetId="45">#REF!</definedName>
    <definedName name="DSF_300X150">#REF!</definedName>
    <definedName name="DSF_300X200" localSheetId="30">#REF!</definedName>
    <definedName name="DSF_300X200" localSheetId="25">#REF!</definedName>
    <definedName name="DSF_300X200" localSheetId="28">#REF!</definedName>
    <definedName name="DSF_300X200" localSheetId="29">#REF!</definedName>
    <definedName name="DSF_300X200" localSheetId="12">#REF!</definedName>
    <definedName name="DSF_300X200" localSheetId="43">#REF!</definedName>
    <definedName name="DSF_300X200" localSheetId="42">#REF!</definedName>
    <definedName name="DSF_300X200" localSheetId="27">#REF!</definedName>
    <definedName name="DSF_300X200" localSheetId="45">#REF!</definedName>
    <definedName name="DSF_300X200">#REF!</definedName>
    <definedName name="DSF_300X250" localSheetId="30">#REF!</definedName>
    <definedName name="DSF_300X250" localSheetId="25">#REF!</definedName>
    <definedName name="DSF_300X250" localSheetId="28">#REF!</definedName>
    <definedName name="DSF_300X250" localSheetId="29">#REF!</definedName>
    <definedName name="DSF_300X250" localSheetId="12">#REF!</definedName>
    <definedName name="DSF_300X250" localSheetId="43">#REF!</definedName>
    <definedName name="DSF_300X250" localSheetId="42">#REF!</definedName>
    <definedName name="DSF_300X250" localSheetId="27">#REF!</definedName>
    <definedName name="DSF_300X250" localSheetId="45">#REF!</definedName>
    <definedName name="DSF_300X250">#REF!</definedName>
    <definedName name="DSF_300X300" localSheetId="30">#REF!</definedName>
    <definedName name="DSF_300X300" localSheetId="25">#REF!</definedName>
    <definedName name="DSF_300X300" localSheetId="28">#REF!</definedName>
    <definedName name="DSF_300X300" localSheetId="29">#REF!</definedName>
    <definedName name="DSF_300X300" localSheetId="12">#REF!</definedName>
    <definedName name="DSF_300X300" localSheetId="43">#REF!</definedName>
    <definedName name="DSF_300X300" localSheetId="42">#REF!</definedName>
    <definedName name="DSF_300X300" localSheetId="27">#REF!</definedName>
    <definedName name="DSF_300X300" localSheetId="45">#REF!</definedName>
    <definedName name="DSF_300X300">#REF!</definedName>
    <definedName name="DSF_300X80" localSheetId="30">#REF!</definedName>
    <definedName name="DSF_300X80" localSheetId="25">#REF!</definedName>
    <definedName name="DSF_300X80" localSheetId="28">#REF!</definedName>
    <definedName name="DSF_300X80" localSheetId="29">#REF!</definedName>
    <definedName name="DSF_300X80" localSheetId="12">#REF!</definedName>
    <definedName name="DSF_300X80" localSheetId="43">#REF!</definedName>
    <definedName name="DSF_300X80" localSheetId="42">#REF!</definedName>
    <definedName name="DSF_300X80" localSheetId="27">#REF!</definedName>
    <definedName name="DSF_300X80" localSheetId="45">#REF!</definedName>
    <definedName name="DSF_300X80">#REF!</definedName>
    <definedName name="DSF_350X100" localSheetId="30">#REF!</definedName>
    <definedName name="DSF_350X100" localSheetId="25">#REF!</definedName>
    <definedName name="DSF_350X100" localSheetId="28">#REF!</definedName>
    <definedName name="DSF_350X100" localSheetId="29">#REF!</definedName>
    <definedName name="DSF_350X100" localSheetId="12">#REF!</definedName>
    <definedName name="DSF_350X100" localSheetId="43">#REF!</definedName>
    <definedName name="DSF_350X100" localSheetId="42">#REF!</definedName>
    <definedName name="DSF_350X100" localSheetId="27">#REF!</definedName>
    <definedName name="DSF_350X100" localSheetId="45">#REF!</definedName>
    <definedName name="DSF_350X100">#REF!</definedName>
    <definedName name="DSF_350X150" localSheetId="30">#REF!</definedName>
    <definedName name="DSF_350X150" localSheetId="25">#REF!</definedName>
    <definedName name="DSF_350X150" localSheetId="28">#REF!</definedName>
    <definedName name="DSF_350X150" localSheetId="29">#REF!</definedName>
    <definedName name="DSF_350X150" localSheetId="12">#REF!</definedName>
    <definedName name="DSF_350X150" localSheetId="43">#REF!</definedName>
    <definedName name="DSF_350X150" localSheetId="42">#REF!</definedName>
    <definedName name="DSF_350X150" localSheetId="27">#REF!</definedName>
    <definedName name="DSF_350X150" localSheetId="45">#REF!</definedName>
    <definedName name="DSF_350X150">#REF!</definedName>
    <definedName name="DSF_350X200" localSheetId="30">#REF!</definedName>
    <definedName name="DSF_350X200" localSheetId="25">#REF!</definedName>
    <definedName name="DSF_350X200" localSheetId="28">#REF!</definedName>
    <definedName name="DSF_350X200" localSheetId="29">#REF!</definedName>
    <definedName name="DSF_350X200" localSheetId="12">#REF!</definedName>
    <definedName name="DSF_350X200" localSheetId="43">#REF!</definedName>
    <definedName name="DSF_350X200" localSheetId="42">#REF!</definedName>
    <definedName name="DSF_350X200" localSheetId="27">#REF!</definedName>
    <definedName name="DSF_350X200" localSheetId="45">#REF!</definedName>
    <definedName name="DSF_350X200">#REF!</definedName>
    <definedName name="DSF_350X250" localSheetId="30">#REF!</definedName>
    <definedName name="DSF_350X250" localSheetId="25">#REF!</definedName>
    <definedName name="DSF_350X250" localSheetId="28">#REF!</definedName>
    <definedName name="DSF_350X250" localSheetId="29">#REF!</definedName>
    <definedName name="DSF_350X250" localSheetId="12">#REF!</definedName>
    <definedName name="DSF_350X250" localSheetId="43">#REF!</definedName>
    <definedName name="DSF_350X250" localSheetId="42">#REF!</definedName>
    <definedName name="DSF_350X250" localSheetId="27">#REF!</definedName>
    <definedName name="DSF_350X250" localSheetId="45">#REF!</definedName>
    <definedName name="DSF_350X250">#REF!</definedName>
    <definedName name="DSF_350X300" localSheetId="30">#REF!</definedName>
    <definedName name="DSF_350X300" localSheetId="25">#REF!</definedName>
    <definedName name="DSF_350X300" localSheetId="28">#REF!</definedName>
    <definedName name="DSF_350X300" localSheetId="29">#REF!</definedName>
    <definedName name="DSF_350X300" localSheetId="12">#REF!</definedName>
    <definedName name="DSF_350X300" localSheetId="43">#REF!</definedName>
    <definedName name="DSF_350X300" localSheetId="42">#REF!</definedName>
    <definedName name="DSF_350X300" localSheetId="27">#REF!</definedName>
    <definedName name="DSF_350X300" localSheetId="45">#REF!</definedName>
    <definedName name="DSF_350X300">#REF!</definedName>
    <definedName name="DSF_350X350" localSheetId="30">#REF!</definedName>
    <definedName name="DSF_350X350" localSheetId="25">#REF!</definedName>
    <definedName name="DSF_350X350" localSheetId="28">#REF!</definedName>
    <definedName name="DSF_350X350" localSheetId="29">#REF!</definedName>
    <definedName name="DSF_350X350" localSheetId="12">#REF!</definedName>
    <definedName name="DSF_350X350" localSheetId="43">#REF!</definedName>
    <definedName name="DSF_350X350" localSheetId="42">#REF!</definedName>
    <definedName name="DSF_350X350" localSheetId="27">#REF!</definedName>
    <definedName name="DSF_350X350" localSheetId="45">#REF!</definedName>
    <definedName name="DSF_350X350">#REF!</definedName>
    <definedName name="DSF_350X80" localSheetId="30">#REF!</definedName>
    <definedName name="DSF_350X80" localSheetId="25">#REF!</definedName>
    <definedName name="DSF_350X80" localSheetId="28">#REF!</definedName>
    <definedName name="DSF_350X80" localSheetId="29">#REF!</definedName>
    <definedName name="DSF_350X80" localSheetId="12">#REF!</definedName>
    <definedName name="DSF_350X80" localSheetId="43">#REF!</definedName>
    <definedName name="DSF_350X80" localSheetId="42">#REF!</definedName>
    <definedName name="DSF_350X80" localSheetId="27">#REF!</definedName>
    <definedName name="DSF_350X80" localSheetId="45">#REF!</definedName>
    <definedName name="DSF_350X80">#REF!</definedName>
    <definedName name="DSF_400X100" localSheetId="30">#REF!</definedName>
    <definedName name="DSF_400X100" localSheetId="25">#REF!</definedName>
    <definedName name="DSF_400X100" localSheetId="28">#REF!</definedName>
    <definedName name="DSF_400X100" localSheetId="29">#REF!</definedName>
    <definedName name="DSF_400X100" localSheetId="12">#REF!</definedName>
    <definedName name="DSF_400X100" localSheetId="43">#REF!</definedName>
    <definedName name="DSF_400X100" localSheetId="42">#REF!</definedName>
    <definedName name="DSF_400X100" localSheetId="27">#REF!</definedName>
    <definedName name="DSF_400X100" localSheetId="45">#REF!</definedName>
    <definedName name="DSF_400X100">#REF!</definedName>
    <definedName name="DSF_400X150" localSheetId="30">#REF!</definedName>
    <definedName name="DSF_400X150" localSheetId="25">#REF!</definedName>
    <definedName name="DSF_400X150" localSheetId="28">#REF!</definedName>
    <definedName name="DSF_400X150" localSheetId="29">#REF!</definedName>
    <definedName name="DSF_400X150" localSheetId="12">#REF!</definedName>
    <definedName name="DSF_400X150" localSheetId="43">#REF!</definedName>
    <definedName name="DSF_400X150" localSheetId="42">#REF!</definedName>
    <definedName name="DSF_400X150" localSheetId="27">#REF!</definedName>
    <definedName name="DSF_400X150" localSheetId="45">#REF!</definedName>
    <definedName name="DSF_400X150">#REF!</definedName>
    <definedName name="DSF_400X200" localSheetId="30">#REF!</definedName>
    <definedName name="DSF_400X200" localSheetId="25">#REF!</definedName>
    <definedName name="DSF_400X200" localSheetId="28">#REF!</definedName>
    <definedName name="DSF_400X200" localSheetId="29">#REF!</definedName>
    <definedName name="DSF_400X200" localSheetId="12">#REF!</definedName>
    <definedName name="DSF_400X200" localSheetId="43">#REF!</definedName>
    <definedName name="DSF_400X200" localSheetId="42">#REF!</definedName>
    <definedName name="DSF_400X200" localSheetId="27">#REF!</definedName>
    <definedName name="DSF_400X200" localSheetId="45">#REF!</definedName>
    <definedName name="DSF_400X200">#REF!</definedName>
    <definedName name="DSF_400X250" localSheetId="30">#REF!</definedName>
    <definedName name="DSF_400X250" localSheetId="25">#REF!</definedName>
    <definedName name="DSF_400X250" localSheetId="28">#REF!</definedName>
    <definedName name="DSF_400X250" localSheetId="29">#REF!</definedName>
    <definedName name="DSF_400X250" localSheetId="12">#REF!</definedName>
    <definedName name="DSF_400X250" localSheetId="43">#REF!</definedName>
    <definedName name="DSF_400X250" localSheetId="42">#REF!</definedName>
    <definedName name="DSF_400X250" localSheetId="27">#REF!</definedName>
    <definedName name="DSF_400X250" localSheetId="45">#REF!</definedName>
    <definedName name="DSF_400X250">#REF!</definedName>
    <definedName name="DSF_400X300" localSheetId="30">#REF!</definedName>
    <definedName name="DSF_400X300" localSheetId="25">#REF!</definedName>
    <definedName name="DSF_400X300" localSheetId="28">#REF!</definedName>
    <definedName name="DSF_400X300" localSheetId="29">#REF!</definedName>
    <definedName name="DSF_400X300" localSheetId="12">#REF!</definedName>
    <definedName name="DSF_400X300" localSheetId="43">#REF!</definedName>
    <definedName name="DSF_400X300" localSheetId="42">#REF!</definedName>
    <definedName name="DSF_400X300" localSheetId="27">#REF!</definedName>
    <definedName name="DSF_400X300" localSheetId="45">#REF!</definedName>
    <definedName name="DSF_400X300">#REF!</definedName>
    <definedName name="DSF_400X350" localSheetId="30">#REF!</definedName>
    <definedName name="DSF_400X350" localSheetId="25">#REF!</definedName>
    <definedName name="DSF_400X350" localSheetId="28">#REF!</definedName>
    <definedName name="DSF_400X350" localSheetId="29">#REF!</definedName>
    <definedName name="DSF_400X350" localSheetId="12">#REF!</definedName>
    <definedName name="DSF_400X350" localSheetId="43">#REF!</definedName>
    <definedName name="DSF_400X350" localSheetId="42">#REF!</definedName>
    <definedName name="DSF_400X350" localSheetId="27">#REF!</definedName>
    <definedName name="DSF_400X350" localSheetId="45">#REF!</definedName>
    <definedName name="DSF_400X350">#REF!</definedName>
    <definedName name="DSF_400X400" localSheetId="30">#REF!</definedName>
    <definedName name="DSF_400X400" localSheetId="25">#REF!</definedName>
    <definedName name="DSF_400X400" localSheetId="28">#REF!</definedName>
    <definedName name="DSF_400X400" localSheetId="29">#REF!</definedName>
    <definedName name="DSF_400X400" localSheetId="12">#REF!</definedName>
    <definedName name="DSF_400X400" localSheetId="43">#REF!</definedName>
    <definedName name="DSF_400X400" localSheetId="42">#REF!</definedName>
    <definedName name="DSF_400X400" localSheetId="27">#REF!</definedName>
    <definedName name="DSF_400X400" localSheetId="45">#REF!</definedName>
    <definedName name="DSF_400X400">#REF!</definedName>
    <definedName name="DSF_80X80" localSheetId="30">#REF!</definedName>
    <definedName name="DSF_80X80" localSheetId="25">#REF!</definedName>
    <definedName name="DSF_80X80" localSheetId="28">#REF!</definedName>
    <definedName name="DSF_80X80" localSheetId="29">#REF!</definedName>
    <definedName name="DSF_80X80" localSheetId="12">#REF!</definedName>
    <definedName name="DSF_80X80" localSheetId="43">#REF!</definedName>
    <definedName name="DSF_80X80" localSheetId="42">#REF!</definedName>
    <definedName name="DSF_80X80" localSheetId="27">#REF!</definedName>
    <definedName name="DSF_80X80" localSheetId="45">#REF!</definedName>
    <definedName name="DSF_80X80">#REF!</definedName>
    <definedName name="DSG" localSheetId="30">#REF!</definedName>
    <definedName name="DSG" localSheetId="25">#REF!</definedName>
    <definedName name="DSG" localSheetId="28">#REF!</definedName>
    <definedName name="DSG" localSheetId="29">#REF!</definedName>
    <definedName name="DSG" localSheetId="12">#REF!</definedName>
    <definedName name="DSG" localSheetId="43">#REF!</definedName>
    <definedName name="DSG" localSheetId="42">#REF!</definedName>
    <definedName name="DSG" localSheetId="27">#REF!</definedName>
    <definedName name="DSG" localSheetId="45">#REF!</definedName>
    <definedName name="DSG">#REF!</definedName>
    <definedName name="DSR" localSheetId="30">#REF!</definedName>
    <definedName name="DSR" localSheetId="25">#REF!</definedName>
    <definedName name="DSR" localSheetId="28">#REF!</definedName>
    <definedName name="DSR" localSheetId="29">#REF!</definedName>
    <definedName name="DSR" localSheetId="12">#REF!</definedName>
    <definedName name="DSR" localSheetId="43">#REF!</definedName>
    <definedName name="DSR" localSheetId="42">#REF!</definedName>
    <definedName name="DSR" localSheetId="27">#REF!</definedName>
    <definedName name="DSR" localSheetId="45">#REF!</definedName>
    <definedName name="DSR">#REF!</definedName>
    <definedName name="DSR_100X80" localSheetId="30">#REF!</definedName>
    <definedName name="DSR_100X80" localSheetId="25">#REF!</definedName>
    <definedName name="DSR_100X80" localSheetId="28">#REF!</definedName>
    <definedName name="DSR_100X80" localSheetId="29">#REF!</definedName>
    <definedName name="DSR_100X80" localSheetId="12">#REF!</definedName>
    <definedName name="DSR_100X80" localSheetId="43">#REF!</definedName>
    <definedName name="DSR_100X80" localSheetId="42">#REF!</definedName>
    <definedName name="DSR_100X80" localSheetId="27">#REF!</definedName>
    <definedName name="DSR_100X80" localSheetId="45">#REF!</definedName>
    <definedName name="DSR_100X80">#REF!</definedName>
    <definedName name="DSR_125X100" localSheetId="30">#REF!</definedName>
    <definedName name="DSR_125X100" localSheetId="25">#REF!</definedName>
    <definedName name="DSR_125X100" localSheetId="28">#REF!</definedName>
    <definedName name="DSR_125X100" localSheetId="29">#REF!</definedName>
    <definedName name="DSR_125X100" localSheetId="12">#REF!</definedName>
    <definedName name="DSR_125X100" localSheetId="43">#REF!</definedName>
    <definedName name="DSR_125X100" localSheetId="42">#REF!</definedName>
    <definedName name="DSR_125X100" localSheetId="27">#REF!</definedName>
    <definedName name="DSR_125X100" localSheetId="45">#REF!</definedName>
    <definedName name="DSR_125X100">#REF!</definedName>
    <definedName name="DSR_125X80" localSheetId="30">#REF!</definedName>
    <definedName name="DSR_125X80" localSheetId="25">#REF!</definedName>
    <definedName name="DSR_125X80" localSheetId="28">#REF!</definedName>
    <definedName name="DSR_125X80" localSheetId="29">#REF!</definedName>
    <definedName name="DSR_125X80" localSheetId="12">#REF!</definedName>
    <definedName name="DSR_125X80" localSheetId="43">#REF!</definedName>
    <definedName name="DSR_125X80" localSheetId="42">#REF!</definedName>
    <definedName name="DSR_125X80" localSheetId="27">#REF!</definedName>
    <definedName name="DSR_125X80" localSheetId="45">#REF!</definedName>
    <definedName name="DSR_125X80">#REF!</definedName>
    <definedName name="DSR_150X100" localSheetId="30">#REF!</definedName>
    <definedName name="DSR_150X100" localSheetId="25">#REF!</definedName>
    <definedName name="DSR_150X100" localSheetId="28">#REF!</definedName>
    <definedName name="DSR_150X100" localSheetId="29">#REF!</definedName>
    <definedName name="DSR_150X100" localSheetId="12">#REF!</definedName>
    <definedName name="DSR_150X100" localSheetId="43">#REF!</definedName>
    <definedName name="DSR_150X100" localSheetId="42">#REF!</definedName>
    <definedName name="DSR_150X100" localSheetId="27">#REF!</definedName>
    <definedName name="DSR_150X100" localSheetId="45">#REF!</definedName>
    <definedName name="DSR_150X100">#REF!</definedName>
    <definedName name="DSR_150X125" localSheetId="30">#REF!</definedName>
    <definedName name="DSR_150X125" localSheetId="25">#REF!</definedName>
    <definedName name="DSR_150X125" localSheetId="28">#REF!</definedName>
    <definedName name="DSR_150X125" localSheetId="29">#REF!</definedName>
    <definedName name="DSR_150X125" localSheetId="12">#REF!</definedName>
    <definedName name="DSR_150X125" localSheetId="43">#REF!</definedName>
    <definedName name="DSR_150X125" localSheetId="42">#REF!</definedName>
    <definedName name="DSR_150X125" localSheetId="27">#REF!</definedName>
    <definedName name="DSR_150X125" localSheetId="45">#REF!</definedName>
    <definedName name="DSR_150X125">#REF!</definedName>
    <definedName name="DSR_150X80" localSheetId="30">#REF!</definedName>
    <definedName name="DSR_150X80" localSheetId="25">#REF!</definedName>
    <definedName name="DSR_150X80" localSheetId="28">#REF!</definedName>
    <definedName name="DSR_150X80" localSheetId="29">#REF!</definedName>
    <definedName name="DSR_150X80" localSheetId="12">#REF!</definedName>
    <definedName name="DSR_150X80" localSheetId="43">#REF!</definedName>
    <definedName name="DSR_150X80" localSheetId="42">#REF!</definedName>
    <definedName name="DSR_150X80" localSheetId="27">#REF!</definedName>
    <definedName name="DSR_150X80" localSheetId="45">#REF!</definedName>
    <definedName name="DSR_150X80">#REF!</definedName>
    <definedName name="DSR_200X100" localSheetId="30">#REF!</definedName>
    <definedName name="DSR_200X100" localSheetId="25">#REF!</definedName>
    <definedName name="DSR_200X100" localSheetId="28">#REF!</definedName>
    <definedName name="DSR_200X100" localSheetId="29">#REF!</definedName>
    <definedName name="DSR_200X100" localSheetId="12">#REF!</definedName>
    <definedName name="DSR_200X100" localSheetId="43">#REF!</definedName>
    <definedName name="DSR_200X100" localSheetId="42">#REF!</definedName>
    <definedName name="DSR_200X100" localSheetId="27">#REF!</definedName>
    <definedName name="DSR_200X100" localSheetId="45">#REF!</definedName>
    <definedName name="DSR_200X100">#REF!</definedName>
    <definedName name="DSR_200X150" localSheetId="30">#REF!</definedName>
    <definedName name="DSR_200X150" localSheetId="25">#REF!</definedName>
    <definedName name="DSR_200X150" localSheetId="28">#REF!</definedName>
    <definedName name="DSR_200X150" localSheetId="29">#REF!</definedName>
    <definedName name="DSR_200X150" localSheetId="12">#REF!</definedName>
    <definedName name="DSR_200X150" localSheetId="43">#REF!</definedName>
    <definedName name="DSR_200X150" localSheetId="42">#REF!</definedName>
    <definedName name="DSR_200X150" localSheetId="27">#REF!</definedName>
    <definedName name="DSR_200X150" localSheetId="45">#REF!</definedName>
    <definedName name="DSR_200X150">#REF!</definedName>
    <definedName name="DSR_200X80" localSheetId="30">#REF!</definedName>
    <definedName name="DSR_200X80" localSheetId="25">#REF!</definedName>
    <definedName name="DSR_200X80" localSheetId="28">#REF!</definedName>
    <definedName name="DSR_200X80" localSheetId="29">#REF!</definedName>
    <definedName name="DSR_200X80" localSheetId="12">#REF!</definedName>
    <definedName name="DSR_200X80" localSheetId="43">#REF!</definedName>
    <definedName name="DSR_200X80" localSheetId="42">#REF!</definedName>
    <definedName name="DSR_200X80" localSheetId="27">#REF!</definedName>
    <definedName name="DSR_200X80" localSheetId="45">#REF!</definedName>
    <definedName name="DSR_200X80">#REF!</definedName>
    <definedName name="DSR_250X100" localSheetId="30">#REF!</definedName>
    <definedName name="DSR_250X100" localSheetId="25">#REF!</definedName>
    <definedName name="DSR_250X100" localSheetId="28">#REF!</definedName>
    <definedName name="DSR_250X100" localSheetId="29">#REF!</definedName>
    <definedName name="DSR_250X100" localSheetId="12">#REF!</definedName>
    <definedName name="DSR_250X100" localSheetId="43">#REF!</definedName>
    <definedName name="DSR_250X100" localSheetId="42">#REF!</definedName>
    <definedName name="DSR_250X100" localSheetId="27">#REF!</definedName>
    <definedName name="DSR_250X100" localSheetId="45">#REF!</definedName>
    <definedName name="DSR_250X100">#REF!</definedName>
    <definedName name="DSR_250X150" localSheetId="30">#REF!</definedName>
    <definedName name="DSR_250X150" localSheetId="25">#REF!</definedName>
    <definedName name="DSR_250X150" localSheetId="28">#REF!</definedName>
    <definedName name="DSR_250X150" localSheetId="29">#REF!</definedName>
    <definedName name="DSR_250X150" localSheetId="12">#REF!</definedName>
    <definedName name="DSR_250X150" localSheetId="43">#REF!</definedName>
    <definedName name="DSR_250X150" localSheetId="42">#REF!</definedName>
    <definedName name="DSR_250X150" localSheetId="27">#REF!</definedName>
    <definedName name="DSR_250X150" localSheetId="45">#REF!</definedName>
    <definedName name="DSR_250X150">#REF!</definedName>
    <definedName name="DSR_250X200" localSheetId="30">#REF!</definedName>
    <definedName name="DSR_250X200" localSheetId="25">#REF!</definedName>
    <definedName name="DSR_250X200" localSheetId="28">#REF!</definedName>
    <definedName name="DSR_250X200" localSheetId="29">#REF!</definedName>
    <definedName name="DSR_250X200" localSheetId="12">#REF!</definedName>
    <definedName name="DSR_250X200" localSheetId="43">#REF!</definedName>
    <definedName name="DSR_250X200" localSheetId="42">#REF!</definedName>
    <definedName name="DSR_250X200" localSheetId="27">#REF!</definedName>
    <definedName name="DSR_250X200" localSheetId="45">#REF!</definedName>
    <definedName name="DSR_250X200">#REF!</definedName>
    <definedName name="DSR_250X50" localSheetId="30">#REF!</definedName>
    <definedName name="DSR_250X50" localSheetId="25">#REF!</definedName>
    <definedName name="DSR_250X50" localSheetId="28">#REF!</definedName>
    <definedName name="DSR_250X50" localSheetId="29">#REF!</definedName>
    <definedName name="DSR_250X50" localSheetId="12">#REF!</definedName>
    <definedName name="DSR_250X50" localSheetId="43">#REF!</definedName>
    <definedName name="DSR_250X50" localSheetId="42">#REF!</definedName>
    <definedName name="DSR_250X50" localSheetId="27">#REF!</definedName>
    <definedName name="DSR_250X50" localSheetId="45">#REF!</definedName>
    <definedName name="DSR_250X50">#REF!</definedName>
    <definedName name="DSR_250X80" localSheetId="30">#REF!</definedName>
    <definedName name="DSR_250X80" localSheetId="25">#REF!</definedName>
    <definedName name="DSR_250X80" localSheetId="28">#REF!</definedName>
    <definedName name="DSR_250X80" localSheetId="29">#REF!</definedName>
    <definedName name="DSR_250X80" localSheetId="12">#REF!</definedName>
    <definedName name="DSR_250X80" localSheetId="43">#REF!</definedName>
    <definedName name="DSR_250X80" localSheetId="42">#REF!</definedName>
    <definedName name="DSR_250X80" localSheetId="27">#REF!</definedName>
    <definedName name="DSR_250X80" localSheetId="45">#REF!</definedName>
    <definedName name="DSR_250X80">#REF!</definedName>
    <definedName name="DSR_300X150" localSheetId="30">#REF!</definedName>
    <definedName name="DSR_300X150" localSheetId="25">#REF!</definedName>
    <definedName name="DSR_300X150" localSheetId="28">#REF!</definedName>
    <definedName name="DSR_300X150" localSheetId="29">#REF!</definedName>
    <definedName name="DSR_300X150" localSheetId="12">#REF!</definedName>
    <definedName name="DSR_300X150" localSheetId="43">#REF!</definedName>
    <definedName name="DSR_300X150" localSheetId="42">#REF!</definedName>
    <definedName name="DSR_300X150" localSheetId="27">#REF!</definedName>
    <definedName name="DSR_300X150" localSheetId="45">#REF!</definedName>
    <definedName name="DSR_300X150">#REF!</definedName>
    <definedName name="DSR_300X200" localSheetId="30">#REF!</definedName>
    <definedName name="DSR_300X200" localSheetId="25">#REF!</definedName>
    <definedName name="DSR_300X200" localSheetId="28">#REF!</definedName>
    <definedName name="DSR_300X200" localSheetId="29">#REF!</definedName>
    <definedName name="DSR_300X200" localSheetId="12">#REF!</definedName>
    <definedName name="DSR_300X200" localSheetId="43">#REF!</definedName>
    <definedName name="DSR_300X200" localSheetId="42">#REF!</definedName>
    <definedName name="DSR_300X200" localSheetId="27">#REF!</definedName>
    <definedName name="DSR_300X200" localSheetId="45">#REF!</definedName>
    <definedName name="DSR_300X200">#REF!</definedName>
    <definedName name="DSR_300X250" localSheetId="30">#REF!</definedName>
    <definedName name="DSR_300X250" localSheetId="25">#REF!</definedName>
    <definedName name="DSR_300X250" localSheetId="28">#REF!</definedName>
    <definedName name="DSR_300X250" localSheetId="29">#REF!</definedName>
    <definedName name="DSR_300X250" localSheetId="12">#REF!</definedName>
    <definedName name="DSR_300X250" localSheetId="43">#REF!</definedName>
    <definedName name="DSR_300X250" localSheetId="42">#REF!</definedName>
    <definedName name="DSR_300X250" localSheetId="27">#REF!</definedName>
    <definedName name="DSR_300X250" localSheetId="45">#REF!</definedName>
    <definedName name="DSR_300X250">#REF!</definedName>
    <definedName name="DSR_350X200" localSheetId="30">#REF!</definedName>
    <definedName name="DSR_350X200" localSheetId="25">#REF!</definedName>
    <definedName name="DSR_350X200" localSheetId="28">#REF!</definedName>
    <definedName name="DSR_350X200" localSheetId="29">#REF!</definedName>
    <definedName name="DSR_350X200" localSheetId="12">#REF!</definedName>
    <definedName name="DSR_350X200" localSheetId="43">#REF!</definedName>
    <definedName name="DSR_350X200" localSheetId="42">#REF!</definedName>
    <definedName name="DSR_350X200" localSheetId="27">#REF!</definedName>
    <definedName name="DSR_350X200" localSheetId="45">#REF!</definedName>
    <definedName name="DSR_350X200">#REF!</definedName>
    <definedName name="DSR_350X250" localSheetId="30">#REF!</definedName>
    <definedName name="DSR_350X250" localSheetId="25">#REF!</definedName>
    <definedName name="DSR_350X250" localSheetId="28">#REF!</definedName>
    <definedName name="DSR_350X250" localSheetId="29">#REF!</definedName>
    <definedName name="DSR_350X250" localSheetId="12">#REF!</definedName>
    <definedName name="DSR_350X250" localSheetId="43">#REF!</definedName>
    <definedName name="DSR_350X250" localSheetId="42">#REF!</definedName>
    <definedName name="DSR_350X250" localSheetId="27">#REF!</definedName>
    <definedName name="DSR_350X250" localSheetId="45">#REF!</definedName>
    <definedName name="DSR_350X250">#REF!</definedName>
    <definedName name="DSR_350X300" localSheetId="30">#REF!</definedName>
    <definedName name="DSR_350X300" localSheetId="25">#REF!</definedName>
    <definedName name="DSR_350X300" localSheetId="28">#REF!</definedName>
    <definedName name="DSR_350X300" localSheetId="29">#REF!</definedName>
    <definedName name="DSR_350X300" localSheetId="12">#REF!</definedName>
    <definedName name="DSR_350X300" localSheetId="43">#REF!</definedName>
    <definedName name="DSR_350X300" localSheetId="42">#REF!</definedName>
    <definedName name="DSR_350X300" localSheetId="27">#REF!</definedName>
    <definedName name="DSR_350X300" localSheetId="45">#REF!</definedName>
    <definedName name="DSR_350X300">#REF!</definedName>
    <definedName name="DSR_400X250" localSheetId="30">#REF!</definedName>
    <definedName name="DSR_400X250" localSheetId="25">#REF!</definedName>
    <definedName name="DSR_400X250" localSheetId="28">#REF!</definedName>
    <definedName name="DSR_400X250" localSheetId="29">#REF!</definedName>
    <definedName name="DSR_400X250" localSheetId="12">#REF!</definedName>
    <definedName name="DSR_400X250" localSheetId="43">#REF!</definedName>
    <definedName name="DSR_400X250" localSheetId="42">#REF!</definedName>
    <definedName name="DSR_400X250" localSheetId="27">#REF!</definedName>
    <definedName name="DSR_400X250" localSheetId="45">#REF!</definedName>
    <definedName name="DSR_400X250">#REF!</definedName>
    <definedName name="DSR_400X300" localSheetId="30">#REF!</definedName>
    <definedName name="DSR_400X300" localSheetId="25">#REF!</definedName>
    <definedName name="DSR_400X300" localSheetId="28">#REF!</definedName>
    <definedName name="DSR_400X300" localSheetId="29">#REF!</definedName>
    <definedName name="DSR_400X300" localSheetId="12">#REF!</definedName>
    <definedName name="DSR_400X300" localSheetId="43">#REF!</definedName>
    <definedName name="DSR_400X300" localSheetId="42">#REF!</definedName>
    <definedName name="DSR_400X300" localSheetId="27">#REF!</definedName>
    <definedName name="DSR_400X300" localSheetId="45">#REF!</definedName>
    <definedName name="DSR_400X300">#REF!</definedName>
    <definedName name="DSR_400X350" localSheetId="30">#REF!</definedName>
    <definedName name="DSR_400X350" localSheetId="25">#REF!</definedName>
    <definedName name="DSR_400X350" localSheetId="28">#REF!</definedName>
    <definedName name="DSR_400X350" localSheetId="29">#REF!</definedName>
    <definedName name="DSR_400X350" localSheetId="12">#REF!</definedName>
    <definedName name="DSR_400X350" localSheetId="43">#REF!</definedName>
    <definedName name="DSR_400X350" localSheetId="42">#REF!</definedName>
    <definedName name="DSR_400X350" localSheetId="27">#REF!</definedName>
    <definedName name="DSR_400X350" localSheetId="45">#REF!</definedName>
    <definedName name="DSR_400X350">#REF!</definedName>
    <definedName name="DSRS" localSheetId="30">#REF!</definedName>
    <definedName name="DSRS" localSheetId="25">#REF!</definedName>
    <definedName name="DSRS" localSheetId="28">#REF!</definedName>
    <definedName name="DSRS" localSheetId="29">#REF!</definedName>
    <definedName name="DSRS" localSheetId="12">#REF!</definedName>
    <definedName name="DSRS" localSheetId="43">#REF!</definedName>
    <definedName name="DSRS" localSheetId="42">#REF!</definedName>
    <definedName name="DSRS" localSheetId="27">#REF!</definedName>
    <definedName name="DSRS" localSheetId="45">#REF!</definedName>
    <definedName name="DSRS">#REF!</definedName>
    <definedName name="DSS" localSheetId="30">#REF!</definedName>
    <definedName name="DSS" localSheetId="25">#REF!</definedName>
    <definedName name="DSS" localSheetId="28">#REF!</definedName>
    <definedName name="DSS" localSheetId="29">#REF!</definedName>
    <definedName name="DSS" localSheetId="12">#REF!</definedName>
    <definedName name="DSS" localSheetId="43">#REF!</definedName>
    <definedName name="DSS" localSheetId="42">#REF!</definedName>
    <definedName name="DSS" localSheetId="27">#REF!</definedName>
    <definedName name="DSS" localSheetId="45">#REF!</definedName>
    <definedName name="DSS">#REF!</definedName>
    <definedName name="DSS_100X100" localSheetId="30">#REF!</definedName>
    <definedName name="DSS_100X100" localSheetId="25">#REF!</definedName>
    <definedName name="DSS_100X100" localSheetId="28">#REF!</definedName>
    <definedName name="DSS_100X100" localSheetId="29">#REF!</definedName>
    <definedName name="DSS_100X100" localSheetId="12">#REF!</definedName>
    <definedName name="DSS_100X100" localSheetId="43">#REF!</definedName>
    <definedName name="DSS_100X100" localSheetId="42">#REF!</definedName>
    <definedName name="DSS_100X100" localSheetId="27">#REF!</definedName>
    <definedName name="DSS_100X100" localSheetId="45">#REF!</definedName>
    <definedName name="DSS_100X100">#REF!</definedName>
    <definedName name="DSS_100X50" localSheetId="30">#REF!</definedName>
    <definedName name="DSS_100X50" localSheetId="25">#REF!</definedName>
    <definedName name="DSS_100X50" localSheetId="28">#REF!</definedName>
    <definedName name="DSS_100X50" localSheetId="29">#REF!</definedName>
    <definedName name="DSS_100X50" localSheetId="12">#REF!</definedName>
    <definedName name="DSS_100X50" localSheetId="43">#REF!</definedName>
    <definedName name="DSS_100X50" localSheetId="42">#REF!</definedName>
    <definedName name="DSS_100X50" localSheetId="27">#REF!</definedName>
    <definedName name="DSS_100X50" localSheetId="45">#REF!</definedName>
    <definedName name="DSS_100X50">#REF!</definedName>
    <definedName name="DSS_100X80" localSheetId="30">#REF!</definedName>
    <definedName name="DSS_100X80" localSheetId="25">#REF!</definedName>
    <definedName name="DSS_100X80" localSheetId="28">#REF!</definedName>
    <definedName name="DSS_100X80" localSheetId="29">#REF!</definedName>
    <definedName name="DSS_100X80" localSheetId="12">#REF!</definedName>
    <definedName name="DSS_100X80" localSheetId="43">#REF!</definedName>
    <definedName name="DSS_100X80" localSheetId="42">#REF!</definedName>
    <definedName name="DSS_100X80" localSheetId="27">#REF!</definedName>
    <definedName name="DSS_100X80" localSheetId="45">#REF!</definedName>
    <definedName name="DSS_100X80">#REF!</definedName>
    <definedName name="DSS_150X100" localSheetId="30">#REF!</definedName>
    <definedName name="DSS_150X100" localSheetId="25">#REF!</definedName>
    <definedName name="DSS_150X100" localSheetId="28">#REF!</definedName>
    <definedName name="DSS_150X100" localSheetId="29">#REF!</definedName>
    <definedName name="DSS_150X100" localSheetId="12">#REF!</definedName>
    <definedName name="DSS_150X100" localSheetId="43">#REF!</definedName>
    <definedName name="DSS_150X100" localSheetId="42">#REF!</definedName>
    <definedName name="DSS_150X100" localSheetId="27">#REF!</definedName>
    <definedName name="DSS_150X100" localSheetId="45">#REF!</definedName>
    <definedName name="DSS_150X100">#REF!</definedName>
    <definedName name="DSS_150X125" localSheetId="30">#REF!</definedName>
    <definedName name="DSS_150X125" localSheetId="25">#REF!</definedName>
    <definedName name="DSS_150X125" localSheetId="28">#REF!</definedName>
    <definedName name="DSS_150X125" localSheetId="29">#REF!</definedName>
    <definedName name="DSS_150X125" localSheetId="12">#REF!</definedName>
    <definedName name="DSS_150X125" localSheetId="43">#REF!</definedName>
    <definedName name="DSS_150X125" localSheetId="42">#REF!</definedName>
    <definedName name="DSS_150X125" localSheetId="27">#REF!</definedName>
    <definedName name="DSS_150X125" localSheetId="45">#REF!</definedName>
    <definedName name="DSS_150X125">#REF!</definedName>
    <definedName name="DSS_150X150" localSheetId="30">#REF!</definedName>
    <definedName name="DSS_150X150" localSheetId="25">#REF!</definedName>
    <definedName name="DSS_150X150" localSheetId="28">#REF!</definedName>
    <definedName name="DSS_150X150" localSheetId="29">#REF!</definedName>
    <definedName name="DSS_150X150" localSheetId="12">#REF!</definedName>
    <definedName name="DSS_150X150" localSheetId="43">#REF!</definedName>
    <definedName name="DSS_150X150" localSheetId="42">#REF!</definedName>
    <definedName name="DSS_150X150" localSheetId="27">#REF!</definedName>
    <definedName name="DSS_150X150" localSheetId="45">#REF!</definedName>
    <definedName name="DSS_150X150">#REF!</definedName>
    <definedName name="DSS_150X50" localSheetId="30">#REF!</definedName>
    <definedName name="DSS_150X50" localSheetId="25">#REF!</definedName>
    <definedName name="DSS_150X50" localSheetId="28">#REF!</definedName>
    <definedName name="DSS_150X50" localSheetId="29">#REF!</definedName>
    <definedName name="DSS_150X50" localSheetId="12">#REF!</definedName>
    <definedName name="DSS_150X50" localSheetId="43">#REF!</definedName>
    <definedName name="DSS_150X50" localSheetId="42">#REF!</definedName>
    <definedName name="DSS_150X50" localSheetId="27">#REF!</definedName>
    <definedName name="DSS_150X50" localSheetId="45">#REF!</definedName>
    <definedName name="DSS_150X50">#REF!</definedName>
    <definedName name="DSS_150X80" localSheetId="30">#REF!</definedName>
    <definedName name="DSS_150X80" localSheetId="25">#REF!</definedName>
    <definedName name="DSS_150X80" localSheetId="28">#REF!</definedName>
    <definedName name="DSS_150X80" localSheetId="29">#REF!</definedName>
    <definedName name="DSS_150X80" localSheetId="12">#REF!</definedName>
    <definedName name="DSS_150X80" localSheetId="43">#REF!</definedName>
    <definedName name="DSS_150X80" localSheetId="42">#REF!</definedName>
    <definedName name="DSS_150X80" localSheetId="27">#REF!</definedName>
    <definedName name="DSS_150X80" localSheetId="45">#REF!</definedName>
    <definedName name="DSS_150X80">#REF!</definedName>
    <definedName name="DSS_200X100" localSheetId="30">#REF!</definedName>
    <definedName name="DSS_200X100" localSheetId="25">#REF!</definedName>
    <definedName name="DSS_200X100" localSheetId="28">#REF!</definedName>
    <definedName name="DSS_200X100" localSheetId="29">#REF!</definedName>
    <definedName name="DSS_200X100" localSheetId="12">#REF!</definedName>
    <definedName name="DSS_200X100" localSheetId="43">#REF!</definedName>
    <definedName name="DSS_200X100" localSheetId="42">#REF!</definedName>
    <definedName name="DSS_200X100" localSheetId="27">#REF!</definedName>
    <definedName name="DSS_200X100" localSheetId="45">#REF!</definedName>
    <definedName name="DSS_200X100">#REF!</definedName>
    <definedName name="DSS_200X125" localSheetId="30">#REF!</definedName>
    <definedName name="DSS_200X125" localSheetId="25">#REF!</definedName>
    <definedName name="DSS_200X125" localSheetId="28">#REF!</definedName>
    <definedName name="DSS_200X125" localSheetId="29">#REF!</definedName>
    <definedName name="DSS_200X125" localSheetId="12">#REF!</definedName>
    <definedName name="DSS_200X125" localSheetId="43">#REF!</definedName>
    <definedName name="DSS_200X125" localSheetId="42">#REF!</definedName>
    <definedName name="DSS_200X125" localSheetId="27">#REF!</definedName>
    <definedName name="DSS_200X125" localSheetId="45">#REF!</definedName>
    <definedName name="DSS_200X125">#REF!</definedName>
    <definedName name="DSS_200X150" localSheetId="30">#REF!</definedName>
    <definedName name="DSS_200X150" localSheetId="25">#REF!</definedName>
    <definedName name="DSS_200X150" localSheetId="28">#REF!</definedName>
    <definedName name="DSS_200X150" localSheetId="29">#REF!</definedName>
    <definedName name="DSS_200X150" localSheetId="12">#REF!</definedName>
    <definedName name="DSS_200X150" localSheetId="43">#REF!</definedName>
    <definedName name="DSS_200X150" localSheetId="42">#REF!</definedName>
    <definedName name="DSS_200X150" localSheetId="27">#REF!</definedName>
    <definedName name="DSS_200X150" localSheetId="45">#REF!</definedName>
    <definedName name="DSS_200X150">#REF!</definedName>
    <definedName name="DSS_200X200" localSheetId="30">#REF!</definedName>
    <definedName name="DSS_200X200" localSheetId="25">#REF!</definedName>
    <definedName name="DSS_200X200" localSheetId="28">#REF!</definedName>
    <definedName name="DSS_200X200" localSheetId="29">#REF!</definedName>
    <definedName name="DSS_200X200" localSheetId="12">#REF!</definedName>
    <definedName name="DSS_200X200" localSheetId="43">#REF!</definedName>
    <definedName name="DSS_200X200" localSheetId="42">#REF!</definedName>
    <definedName name="DSS_200X200" localSheetId="27">#REF!</definedName>
    <definedName name="DSS_200X200" localSheetId="45">#REF!</definedName>
    <definedName name="DSS_200X200">#REF!</definedName>
    <definedName name="DSS_200X80" localSheetId="30">#REF!</definedName>
    <definedName name="DSS_200X80" localSheetId="25">#REF!</definedName>
    <definedName name="DSS_200X80" localSheetId="28">#REF!</definedName>
    <definedName name="DSS_200X80" localSheetId="29">#REF!</definedName>
    <definedName name="DSS_200X80" localSheetId="12">#REF!</definedName>
    <definedName name="DSS_200X80" localSheetId="43">#REF!</definedName>
    <definedName name="DSS_200X80" localSheetId="42">#REF!</definedName>
    <definedName name="DSS_200X80" localSheetId="27">#REF!</definedName>
    <definedName name="DSS_200X80" localSheetId="45">#REF!</definedName>
    <definedName name="DSS_200X80">#REF!</definedName>
    <definedName name="DSS_250X100" localSheetId="30">#REF!</definedName>
    <definedName name="DSS_250X100" localSheetId="25">#REF!</definedName>
    <definedName name="DSS_250X100" localSheetId="28">#REF!</definedName>
    <definedName name="DSS_250X100" localSheetId="29">#REF!</definedName>
    <definedName name="DSS_250X100" localSheetId="12">#REF!</definedName>
    <definedName name="DSS_250X100" localSheetId="43">#REF!</definedName>
    <definedName name="DSS_250X100" localSheetId="42">#REF!</definedName>
    <definedName name="DSS_250X100" localSheetId="27">#REF!</definedName>
    <definedName name="DSS_250X100" localSheetId="45">#REF!</definedName>
    <definedName name="DSS_250X100">#REF!</definedName>
    <definedName name="DSS_250X150" localSheetId="30">#REF!</definedName>
    <definedName name="DSS_250X150" localSheetId="25">#REF!</definedName>
    <definedName name="DSS_250X150" localSheetId="28">#REF!</definedName>
    <definedName name="DSS_250X150" localSheetId="29">#REF!</definedName>
    <definedName name="DSS_250X150" localSheetId="12">#REF!</definedName>
    <definedName name="DSS_250X150" localSheetId="43">#REF!</definedName>
    <definedName name="DSS_250X150" localSheetId="42">#REF!</definedName>
    <definedName name="DSS_250X150" localSheetId="27">#REF!</definedName>
    <definedName name="DSS_250X150" localSheetId="45">#REF!</definedName>
    <definedName name="DSS_250X150">#REF!</definedName>
    <definedName name="DSS_250X200" localSheetId="30">#REF!</definedName>
    <definedName name="DSS_250X200" localSheetId="25">#REF!</definedName>
    <definedName name="DSS_250X200" localSheetId="28">#REF!</definedName>
    <definedName name="DSS_250X200" localSheetId="29">#REF!</definedName>
    <definedName name="DSS_250X200" localSheetId="12">#REF!</definedName>
    <definedName name="DSS_250X200" localSheetId="43">#REF!</definedName>
    <definedName name="DSS_250X200" localSheetId="42">#REF!</definedName>
    <definedName name="DSS_250X200" localSheetId="27">#REF!</definedName>
    <definedName name="DSS_250X200" localSheetId="45">#REF!</definedName>
    <definedName name="DSS_250X200">#REF!</definedName>
    <definedName name="DSS_250X250" localSheetId="30">#REF!</definedName>
    <definedName name="DSS_250X250" localSheetId="25">#REF!</definedName>
    <definedName name="DSS_250X250" localSheetId="28">#REF!</definedName>
    <definedName name="DSS_250X250" localSheetId="29">#REF!</definedName>
    <definedName name="DSS_250X250" localSheetId="12">#REF!</definedName>
    <definedName name="DSS_250X250" localSheetId="43">#REF!</definedName>
    <definedName name="DSS_250X250" localSheetId="42">#REF!</definedName>
    <definedName name="DSS_250X250" localSheetId="27">#REF!</definedName>
    <definedName name="DSS_250X250" localSheetId="45">#REF!</definedName>
    <definedName name="DSS_250X250">#REF!</definedName>
    <definedName name="DSS_250X80" localSheetId="30">#REF!</definedName>
    <definedName name="DSS_250X80" localSheetId="25">#REF!</definedName>
    <definedName name="DSS_250X80" localSheetId="28">#REF!</definedName>
    <definedName name="DSS_250X80" localSheetId="29">#REF!</definedName>
    <definedName name="DSS_250X80" localSheetId="12">#REF!</definedName>
    <definedName name="DSS_250X80" localSheetId="43">#REF!</definedName>
    <definedName name="DSS_250X80" localSheetId="42">#REF!</definedName>
    <definedName name="DSS_250X80" localSheetId="27">#REF!</definedName>
    <definedName name="DSS_250X80" localSheetId="45">#REF!</definedName>
    <definedName name="DSS_250X80">#REF!</definedName>
    <definedName name="DSS_300X100" localSheetId="30">#REF!</definedName>
    <definedName name="DSS_300X100" localSheetId="25">#REF!</definedName>
    <definedName name="DSS_300X100" localSheetId="28">#REF!</definedName>
    <definedName name="DSS_300X100" localSheetId="29">#REF!</definedName>
    <definedName name="DSS_300X100" localSheetId="12">#REF!</definedName>
    <definedName name="DSS_300X100" localSheetId="43">#REF!</definedName>
    <definedName name="DSS_300X100" localSheetId="42">#REF!</definedName>
    <definedName name="DSS_300X100" localSheetId="27">#REF!</definedName>
    <definedName name="DSS_300X100" localSheetId="45">#REF!</definedName>
    <definedName name="DSS_300X100">#REF!</definedName>
    <definedName name="DSS_300X150" localSheetId="30">#REF!</definedName>
    <definedName name="DSS_300X150" localSheetId="25">#REF!</definedName>
    <definedName name="DSS_300X150" localSheetId="28">#REF!</definedName>
    <definedName name="DSS_300X150" localSheetId="29">#REF!</definedName>
    <definedName name="DSS_300X150" localSheetId="12">#REF!</definedName>
    <definedName name="DSS_300X150" localSheetId="43">#REF!</definedName>
    <definedName name="DSS_300X150" localSheetId="42">#REF!</definedName>
    <definedName name="DSS_300X150" localSheetId="27">#REF!</definedName>
    <definedName name="DSS_300X150" localSheetId="45">#REF!</definedName>
    <definedName name="DSS_300X150">#REF!</definedName>
    <definedName name="DSS_300X200" localSheetId="30">#REF!</definedName>
    <definedName name="DSS_300X200" localSheetId="25">#REF!</definedName>
    <definedName name="DSS_300X200" localSheetId="28">#REF!</definedName>
    <definedName name="DSS_300X200" localSheetId="29">#REF!</definedName>
    <definedName name="DSS_300X200" localSheetId="12">#REF!</definedName>
    <definedName name="DSS_300X200" localSheetId="43">#REF!</definedName>
    <definedName name="DSS_300X200" localSheetId="42">#REF!</definedName>
    <definedName name="DSS_300X200" localSheetId="27">#REF!</definedName>
    <definedName name="DSS_300X200" localSheetId="45">#REF!</definedName>
    <definedName name="DSS_300X200">#REF!</definedName>
    <definedName name="DSS_300X250" localSheetId="30">#REF!</definedName>
    <definedName name="DSS_300X250" localSheetId="25">#REF!</definedName>
    <definedName name="DSS_300X250" localSheetId="28">#REF!</definedName>
    <definedName name="DSS_300X250" localSheetId="29">#REF!</definedName>
    <definedName name="DSS_300X250" localSheetId="12">#REF!</definedName>
    <definedName name="DSS_300X250" localSheetId="43">#REF!</definedName>
    <definedName name="DSS_300X250" localSheetId="42">#REF!</definedName>
    <definedName name="DSS_300X250" localSheetId="27">#REF!</definedName>
    <definedName name="DSS_300X250" localSheetId="45">#REF!</definedName>
    <definedName name="DSS_300X250">#REF!</definedName>
    <definedName name="DSS_300X300" localSheetId="30">#REF!</definedName>
    <definedName name="DSS_300X300" localSheetId="25">#REF!</definedName>
    <definedName name="DSS_300X300" localSheetId="28">#REF!</definedName>
    <definedName name="DSS_300X300" localSheetId="29">#REF!</definedName>
    <definedName name="DSS_300X300" localSheetId="12">#REF!</definedName>
    <definedName name="DSS_300X300" localSheetId="43">#REF!</definedName>
    <definedName name="DSS_300X300" localSheetId="42">#REF!</definedName>
    <definedName name="DSS_300X300" localSheetId="27">#REF!</definedName>
    <definedName name="DSS_300X300" localSheetId="45">#REF!</definedName>
    <definedName name="DSS_300X300">#REF!</definedName>
    <definedName name="DSS_300X80" localSheetId="30">#REF!</definedName>
    <definedName name="DSS_300X80" localSheetId="25">#REF!</definedName>
    <definedName name="DSS_300X80" localSheetId="28">#REF!</definedName>
    <definedName name="DSS_300X80" localSheetId="29">#REF!</definedName>
    <definedName name="DSS_300X80" localSheetId="12">#REF!</definedName>
    <definedName name="DSS_300X80" localSheetId="43">#REF!</definedName>
    <definedName name="DSS_300X80" localSheetId="42">#REF!</definedName>
    <definedName name="DSS_300X80" localSheetId="27">#REF!</definedName>
    <definedName name="DSS_300X80" localSheetId="45">#REF!</definedName>
    <definedName name="DSS_300X80">#REF!</definedName>
    <definedName name="DSS_350X100" localSheetId="30">#REF!</definedName>
    <definedName name="DSS_350X100" localSheetId="25">#REF!</definedName>
    <definedName name="DSS_350X100" localSheetId="28">#REF!</definedName>
    <definedName name="DSS_350X100" localSheetId="29">#REF!</definedName>
    <definedName name="DSS_350X100" localSheetId="12">#REF!</definedName>
    <definedName name="DSS_350X100" localSheetId="43">#REF!</definedName>
    <definedName name="DSS_350X100" localSheetId="42">#REF!</definedName>
    <definedName name="DSS_350X100" localSheetId="27">#REF!</definedName>
    <definedName name="DSS_350X100" localSheetId="45">#REF!</definedName>
    <definedName name="DSS_350X100">#REF!</definedName>
    <definedName name="DSS_350X250" localSheetId="30">#REF!</definedName>
    <definedName name="DSS_350X250" localSheetId="25">#REF!</definedName>
    <definedName name="DSS_350X250" localSheetId="28">#REF!</definedName>
    <definedName name="DSS_350X250" localSheetId="29">#REF!</definedName>
    <definedName name="DSS_350X250" localSheetId="12">#REF!</definedName>
    <definedName name="DSS_350X250" localSheetId="43">#REF!</definedName>
    <definedName name="DSS_350X250" localSheetId="42">#REF!</definedName>
    <definedName name="DSS_350X250" localSheetId="27">#REF!</definedName>
    <definedName name="DSS_350X250" localSheetId="45">#REF!</definedName>
    <definedName name="DSS_350X250">#REF!</definedName>
    <definedName name="DSS_350X300" localSheetId="30">#REF!</definedName>
    <definedName name="DSS_350X300" localSheetId="25">#REF!</definedName>
    <definedName name="DSS_350X300" localSheetId="28">#REF!</definedName>
    <definedName name="DSS_350X300" localSheetId="29">#REF!</definedName>
    <definedName name="DSS_350X300" localSheetId="12">#REF!</definedName>
    <definedName name="DSS_350X300" localSheetId="43">#REF!</definedName>
    <definedName name="DSS_350X300" localSheetId="42">#REF!</definedName>
    <definedName name="DSS_350X300" localSheetId="27">#REF!</definedName>
    <definedName name="DSS_350X300" localSheetId="45">#REF!</definedName>
    <definedName name="DSS_350X300">#REF!</definedName>
    <definedName name="DSS_350X350" localSheetId="30">#REF!</definedName>
    <definedName name="DSS_350X350" localSheetId="25">#REF!</definedName>
    <definedName name="DSS_350X350" localSheetId="28">#REF!</definedName>
    <definedName name="DSS_350X350" localSheetId="29">#REF!</definedName>
    <definedName name="DSS_350X350" localSheetId="12">#REF!</definedName>
    <definedName name="DSS_350X350" localSheetId="43">#REF!</definedName>
    <definedName name="DSS_350X350" localSheetId="42">#REF!</definedName>
    <definedName name="DSS_350X350" localSheetId="27">#REF!</definedName>
    <definedName name="DSS_350X350" localSheetId="45">#REF!</definedName>
    <definedName name="DSS_350X350">#REF!</definedName>
    <definedName name="DSS_350X80" localSheetId="30">#REF!</definedName>
    <definedName name="DSS_350X80" localSheetId="25">#REF!</definedName>
    <definedName name="DSS_350X80" localSheetId="28">#REF!</definedName>
    <definedName name="DSS_350X80" localSheetId="29">#REF!</definedName>
    <definedName name="DSS_350X80" localSheetId="12">#REF!</definedName>
    <definedName name="DSS_350X80" localSheetId="43">#REF!</definedName>
    <definedName name="DSS_350X80" localSheetId="42">#REF!</definedName>
    <definedName name="DSS_350X80" localSheetId="27">#REF!</definedName>
    <definedName name="DSS_350X80" localSheetId="45">#REF!</definedName>
    <definedName name="DSS_350X80">#REF!</definedName>
    <definedName name="DSS_400X100" localSheetId="30">#REF!</definedName>
    <definedName name="DSS_400X100" localSheetId="25">#REF!</definedName>
    <definedName name="DSS_400X100" localSheetId="28">#REF!</definedName>
    <definedName name="DSS_400X100" localSheetId="29">#REF!</definedName>
    <definedName name="DSS_400X100" localSheetId="12">#REF!</definedName>
    <definedName name="DSS_400X100" localSheetId="43">#REF!</definedName>
    <definedName name="DSS_400X100" localSheetId="42">#REF!</definedName>
    <definedName name="DSS_400X100" localSheetId="27">#REF!</definedName>
    <definedName name="DSS_400X100" localSheetId="45">#REF!</definedName>
    <definedName name="DSS_400X100">#REF!</definedName>
    <definedName name="DSS_400X150" localSheetId="30">#REF!</definedName>
    <definedName name="DSS_400X150" localSheetId="25">#REF!</definedName>
    <definedName name="DSS_400X150" localSheetId="28">#REF!</definedName>
    <definedName name="DSS_400X150" localSheetId="29">#REF!</definedName>
    <definedName name="DSS_400X150" localSheetId="12">#REF!</definedName>
    <definedName name="DSS_400X150" localSheetId="43">#REF!</definedName>
    <definedName name="DSS_400X150" localSheetId="42">#REF!</definedName>
    <definedName name="DSS_400X150" localSheetId="27">#REF!</definedName>
    <definedName name="DSS_400X150" localSheetId="45">#REF!</definedName>
    <definedName name="DSS_400X150">#REF!</definedName>
    <definedName name="DSS_400X250" localSheetId="30">#REF!</definedName>
    <definedName name="DSS_400X250" localSheetId="25">#REF!</definedName>
    <definedName name="DSS_400X250" localSheetId="28">#REF!</definedName>
    <definedName name="DSS_400X250" localSheetId="29">#REF!</definedName>
    <definedName name="DSS_400X250" localSheetId="12">#REF!</definedName>
    <definedName name="DSS_400X250" localSheetId="43">#REF!</definedName>
    <definedName name="DSS_400X250" localSheetId="42">#REF!</definedName>
    <definedName name="DSS_400X250" localSheetId="27">#REF!</definedName>
    <definedName name="DSS_400X250" localSheetId="45">#REF!</definedName>
    <definedName name="DSS_400X250">#REF!</definedName>
    <definedName name="DSS_400X300" localSheetId="30">#REF!</definedName>
    <definedName name="DSS_400X300" localSheetId="25">#REF!</definedName>
    <definedName name="DSS_400X300" localSheetId="28">#REF!</definedName>
    <definedName name="DSS_400X300" localSheetId="29">#REF!</definedName>
    <definedName name="DSS_400X300" localSheetId="12">#REF!</definedName>
    <definedName name="DSS_400X300" localSheetId="43">#REF!</definedName>
    <definedName name="DSS_400X300" localSheetId="42">#REF!</definedName>
    <definedName name="DSS_400X300" localSheetId="27">#REF!</definedName>
    <definedName name="DSS_400X300" localSheetId="45">#REF!</definedName>
    <definedName name="DSS_400X300">#REF!</definedName>
    <definedName name="DSS_400X350" localSheetId="30">#REF!</definedName>
    <definedName name="DSS_400X350" localSheetId="25">#REF!</definedName>
    <definedName name="DSS_400X350" localSheetId="28">#REF!</definedName>
    <definedName name="DSS_400X350" localSheetId="29">#REF!</definedName>
    <definedName name="DSS_400X350" localSheetId="12">#REF!</definedName>
    <definedName name="DSS_400X350" localSheetId="43">#REF!</definedName>
    <definedName name="DSS_400X350" localSheetId="42">#REF!</definedName>
    <definedName name="DSS_400X350" localSheetId="27">#REF!</definedName>
    <definedName name="DSS_400X350" localSheetId="45">#REF!</definedName>
    <definedName name="DSS_400X350">#REF!</definedName>
    <definedName name="DSS_400X400" localSheetId="30">#REF!</definedName>
    <definedName name="DSS_400X400" localSheetId="25">#REF!</definedName>
    <definedName name="DSS_400X400" localSheetId="28">#REF!</definedName>
    <definedName name="DSS_400X400" localSheetId="29">#REF!</definedName>
    <definedName name="DSS_400X400" localSheetId="12">#REF!</definedName>
    <definedName name="DSS_400X400" localSheetId="43">#REF!</definedName>
    <definedName name="DSS_400X400" localSheetId="42">#REF!</definedName>
    <definedName name="DSS_400X400" localSheetId="27">#REF!</definedName>
    <definedName name="DSS_400X400" localSheetId="45">#REF!</definedName>
    <definedName name="DSS_400X400">#REF!</definedName>
    <definedName name="DSS_80X50" localSheetId="30">#REF!</definedName>
    <definedName name="DSS_80X50" localSheetId="25">#REF!</definedName>
    <definedName name="DSS_80X50" localSheetId="28">#REF!</definedName>
    <definedName name="DSS_80X50" localSheetId="29">#REF!</definedName>
    <definedName name="DSS_80X50" localSheetId="12">#REF!</definedName>
    <definedName name="DSS_80X50" localSheetId="43">#REF!</definedName>
    <definedName name="DSS_80X50" localSheetId="42">#REF!</definedName>
    <definedName name="DSS_80X50" localSheetId="27">#REF!</definedName>
    <definedName name="DSS_80X50" localSheetId="45">#REF!</definedName>
    <definedName name="DSS_80X50">#REF!</definedName>
    <definedName name="DSS_80X80" localSheetId="30">#REF!</definedName>
    <definedName name="DSS_80X80" localSheetId="25">#REF!</definedName>
    <definedName name="DSS_80X80" localSheetId="28">#REF!</definedName>
    <definedName name="DSS_80X80" localSheetId="29">#REF!</definedName>
    <definedName name="DSS_80X80" localSheetId="12">#REF!</definedName>
    <definedName name="DSS_80X80" localSheetId="43">#REF!</definedName>
    <definedName name="DSS_80X80" localSheetId="42">#REF!</definedName>
    <definedName name="DSS_80X80" localSheetId="27">#REF!</definedName>
    <definedName name="DSS_80X80" localSheetId="45">#REF!</definedName>
    <definedName name="DSS_80X80">#REF!</definedName>
    <definedName name="DSSP" localSheetId="30">#REF!</definedName>
    <definedName name="DSSP" localSheetId="25">#REF!</definedName>
    <definedName name="DSSP" localSheetId="28">#REF!</definedName>
    <definedName name="DSSP" localSheetId="29">#REF!</definedName>
    <definedName name="DSSP" localSheetId="12">#REF!</definedName>
    <definedName name="DSSP" localSheetId="43">#REF!</definedName>
    <definedName name="DSSP" localSheetId="42">#REF!</definedName>
    <definedName name="DSSP" localSheetId="27">#REF!</definedName>
    <definedName name="DSSP" localSheetId="45">#REF!</definedName>
    <definedName name="DSSP">#REF!</definedName>
    <definedName name="DST_100X100" localSheetId="30">#REF!</definedName>
    <definedName name="DST_100X100" localSheetId="25">#REF!</definedName>
    <definedName name="DST_100X100" localSheetId="28">#REF!</definedName>
    <definedName name="DST_100X100" localSheetId="29">#REF!</definedName>
    <definedName name="DST_100X100" localSheetId="12">#REF!</definedName>
    <definedName name="DST_100X100" localSheetId="43">#REF!</definedName>
    <definedName name="DST_100X100" localSheetId="42">#REF!</definedName>
    <definedName name="DST_100X100" localSheetId="27">#REF!</definedName>
    <definedName name="DST_100X100" localSheetId="45">#REF!</definedName>
    <definedName name="DST_100X100">#REF!</definedName>
    <definedName name="DST_100X50" localSheetId="30">#REF!</definedName>
    <definedName name="DST_100X50" localSheetId="25">#REF!</definedName>
    <definedName name="DST_100X50" localSheetId="28">#REF!</definedName>
    <definedName name="DST_100X50" localSheetId="29">#REF!</definedName>
    <definedName name="DST_100X50" localSheetId="12">#REF!</definedName>
    <definedName name="DST_100X50" localSheetId="43">#REF!</definedName>
    <definedName name="DST_100X50" localSheetId="42">#REF!</definedName>
    <definedName name="DST_100X50" localSheetId="27">#REF!</definedName>
    <definedName name="DST_100X50" localSheetId="45">#REF!</definedName>
    <definedName name="DST_100X50">#REF!</definedName>
    <definedName name="DST_100X80" localSheetId="30">#REF!</definedName>
    <definedName name="DST_100X80" localSheetId="25">#REF!</definedName>
    <definedName name="DST_100X80" localSheetId="28">#REF!</definedName>
    <definedName name="DST_100X80" localSheetId="29">#REF!</definedName>
    <definedName name="DST_100X80" localSheetId="12">#REF!</definedName>
    <definedName name="DST_100X80" localSheetId="43">#REF!</definedName>
    <definedName name="DST_100X80" localSheetId="42">#REF!</definedName>
    <definedName name="DST_100X80" localSheetId="27">#REF!</definedName>
    <definedName name="DST_100X80" localSheetId="45">#REF!</definedName>
    <definedName name="DST_100X80">#REF!</definedName>
    <definedName name="DST_150X100" localSheetId="30">#REF!</definedName>
    <definedName name="DST_150X100" localSheetId="25">#REF!</definedName>
    <definedName name="DST_150X100" localSheetId="28">#REF!</definedName>
    <definedName name="DST_150X100" localSheetId="29">#REF!</definedName>
    <definedName name="DST_150X100" localSheetId="12">#REF!</definedName>
    <definedName name="DST_150X100" localSheetId="43">#REF!</definedName>
    <definedName name="DST_150X100" localSheetId="42">#REF!</definedName>
    <definedName name="DST_150X100" localSheetId="27">#REF!</definedName>
    <definedName name="DST_150X100" localSheetId="45">#REF!</definedName>
    <definedName name="DST_150X100">#REF!</definedName>
    <definedName name="DST_150X150" localSheetId="30">#REF!</definedName>
    <definedName name="DST_150X150" localSheetId="25">#REF!</definedName>
    <definedName name="DST_150X150" localSheetId="28">#REF!</definedName>
    <definedName name="DST_150X150" localSheetId="29">#REF!</definedName>
    <definedName name="DST_150X150" localSheetId="12">#REF!</definedName>
    <definedName name="DST_150X150" localSheetId="43">#REF!</definedName>
    <definedName name="DST_150X150" localSheetId="42">#REF!</definedName>
    <definedName name="DST_150X150" localSheetId="27">#REF!</definedName>
    <definedName name="DST_150X150" localSheetId="45">#REF!</definedName>
    <definedName name="DST_150X150">#REF!</definedName>
    <definedName name="DST_150X50" localSheetId="30">#REF!</definedName>
    <definedName name="DST_150X50" localSheetId="25">#REF!</definedName>
    <definedName name="DST_150X50" localSheetId="28">#REF!</definedName>
    <definedName name="DST_150X50" localSheetId="29">#REF!</definedName>
    <definedName name="DST_150X50" localSheetId="12">#REF!</definedName>
    <definedName name="DST_150X50" localSheetId="43">#REF!</definedName>
    <definedName name="DST_150X50" localSheetId="42">#REF!</definedName>
    <definedName name="DST_150X50" localSheetId="27">#REF!</definedName>
    <definedName name="DST_150X50" localSheetId="45">#REF!</definedName>
    <definedName name="DST_150X50">#REF!</definedName>
    <definedName name="DST_150X80" localSheetId="30">#REF!</definedName>
    <definedName name="DST_150X80" localSheetId="25">#REF!</definedName>
    <definedName name="DST_150X80" localSheetId="28">#REF!</definedName>
    <definedName name="DST_150X80" localSheetId="29">#REF!</definedName>
    <definedName name="DST_150X80" localSheetId="12">#REF!</definedName>
    <definedName name="DST_150X80" localSheetId="43">#REF!</definedName>
    <definedName name="DST_150X80" localSheetId="42">#REF!</definedName>
    <definedName name="DST_150X80" localSheetId="27">#REF!</definedName>
    <definedName name="DST_150X80" localSheetId="45">#REF!</definedName>
    <definedName name="DST_150X80">#REF!</definedName>
    <definedName name="DST_200X100" localSheetId="30">#REF!</definedName>
    <definedName name="DST_200X100" localSheetId="25">#REF!</definedName>
    <definedName name="DST_200X100" localSheetId="28">#REF!</definedName>
    <definedName name="DST_200X100" localSheetId="29">#REF!</definedName>
    <definedName name="DST_200X100" localSheetId="12">#REF!</definedName>
    <definedName name="DST_200X100" localSheetId="43">#REF!</definedName>
    <definedName name="DST_200X100" localSheetId="42">#REF!</definedName>
    <definedName name="DST_200X100" localSheetId="27">#REF!</definedName>
    <definedName name="DST_200X100" localSheetId="45">#REF!</definedName>
    <definedName name="DST_200X100">#REF!</definedName>
    <definedName name="DST_200X200" localSheetId="30">#REF!</definedName>
    <definedName name="DST_200X200" localSheetId="25">#REF!</definedName>
    <definedName name="DST_200X200" localSheetId="28">#REF!</definedName>
    <definedName name="DST_200X200" localSheetId="29">#REF!</definedName>
    <definedName name="DST_200X200" localSheetId="12">#REF!</definedName>
    <definedName name="DST_200X200" localSheetId="43">#REF!</definedName>
    <definedName name="DST_200X200" localSheetId="42">#REF!</definedName>
    <definedName name="DST_200X200" localSheetId="27">#REF!</definedName>
    <definedName name="DST_200X200" localSheetId="45">#REF!</definedName>
    <definedName name="DST_200X200">#REF!</definedName>
    <definedName name="DST_200X50" localSheetId="30">#REF!</definedName>
    <definedName name="DST_200X50" localSheetId="25">#REF!</definedName>
    <definedName name="DST_200X50" localSheetId="28">#REF!</definedName>
    <definedName name="DST_200X50" localSheetId="29">#REF!</definedName>
    <definedName name="DST_200X50" localSheetId="12">#REF!</definedName>
    <definedName name="DST_200X50" localSheetId="43">#REF!</definedName>
    <definedName name="DST_200X50" localSheetId="42">#REF!</definedName>
    <definedName name="DST_200X50" localSheetId="27">#REF!</definedName>
    <definedName name="DST_200X50" localSheetId="45">#REF!</definedName>
    <definedName name="DST_200X50">#REF!</definedName>
    <definedName name="DST_200X80" localSheetId="30">#REF!</definedName>
    <definedName name="DST_200X80" localSheetId="25">#REF!</definedName>
    <definedName name="DST_200X80" localSheetId="28">#REF!</definedName>
    <definedName name="DST_200X80" localSheetId="29">#REF!</definedName>
    <definedName name="DST_200X80" localSheetId="12">#REF!</definedName>
    <definedName name="DST_200X80" localSheetId="43">#REF!</definedName>
    <definedName name="DST_200X80" localSheetId="42">#REF!</definedName>
    <definedName name="DST_200X80" localSheetId="27">#REF!</definedName>
    <definedName name="DST_200X80" localSheetId="45">#REF!</definedName>
    <definedName name="DST_200X80">#REF!</definedName>
    <definedName name="DST_250X100" localSheetId="30">#REF!</definedName>
    <definedName name="DST_250X100" localSheetId="25">#REF!</definedName>
    <definedName name="DST_250X100" localSheetId="28">#REF!</definedName>
    <definedName name="DST_250X100" localSheetId="29">#REF!</definedName>
    <definedName name="DST_250X100" localSheetId="12">#REF!</definedName>
    <definedName name="DST_250X100" localSheetId="43">#REF!</definedName>
    <definedName name="DST_250X100" localSheetId="42">#REF!</definedName>
    <definedName name="DST_250X100" localSheetId="27">#REF!</definedName>
    <definedName name="DST_250X100" localSheetId="45">#REF!</definedName>
    <definedName name="DST_250X100">#REF!</definedName>
    <definedName name="DST_250X150" localSheetId="30">#REF!</definedName>
    <definedName name="DST_250X150" localSheetId="25">#REF!</definedName>
    <definedName name="DST_250X150" localSheetId="28">#REF!</definedName>
    <definedName name="DST_250X150" localSheetId="29">#REF!</definedName>
    <definedName name="DST_250X150" localSheetId="12">#REF!</definedName>
    <definedName name="DST_250X150" localSheetId="43">#REF!</definedName>
    <definedName name="DST_250X150" localSheetId="42">#REF!</definedName>
    <definedName name="DST_250X150" localSheetId="27">#REF!</definedName>
    <definedName name="DST_250X150" localSheetId="45">#REF!</definedName>
    <definedName name="DST_250X150">#REF!</definedName>
    <definedName name="DST_250X200" localSheetId="30">#REF!</definedName>
    <definedName name="DST_250X200" localSheetId="25">#REF!</definedName>
    <definedName name="DST_250X200" localSheetId="28">#REF!</definedName>
    <definedName name="DST_250X200" localSheetId="29">#REF!</definedName>
    <definedName name="DST_250X200" localSheetId="12">#REF!</definedName>
    <definedName name="DST_250X200" localSheetId="43">#REF!</definedName>
    <definedName name="DST_250X200" localSheetId="42">#REF!</definedName>
    <definedName name="DST_250X200" localSheetId="27">#REF!</definedName>
    <definedName name="DST_250X200" localSheetId="45">#REF!</definedName>
    <definedName name="DST_250X200">#REF!</definedName>
    <definedName name="DST_250X250" localSheetId="30">#REF!</definedName>
    <definedName name="DST_250X250" localSheetId="25">#REF!</definedName>
    <definedName name="DST_250X250" localSheetId="28">#REF!</definedName>
    <definedName name="DST_250X250" localSheetId="29">#REF!</definedName>
    <definedName name="DST_250X250" localSheetId="12">#REF!</definedName>
    <definedName name="DST_250X250" localSheetId="43">#REF!</definedName>
    <definedName name="DST_250X250" localSheetId="42">#REF!</definedName>
    <definedName name="DST_250X250" localSheetId="27">#REF!</definedName>
    <definedName name="DST_250X250" localSheetId="45">#REF!</definedName>
    <definedName name="DST_250X250">#REF!</definedName>
    <definedName name="DST_250X80" localSheetId="30">#REF!</definedName>
    <definedName name="DST_250X80" localSheetId="25">#REF!</definedName>
    <definedName name="DST_250X80" localSheetId="28">#REF!</definedName>
    <definedName name="DST_250X80" localSheetId="29">#REF!</definedName>
    <definedName name="DST_250X80" localSheetId="12">#REF!</definedName>
    <definedName name="DST_250X80" localSheetId="43">#REF!</definedName>
    <definedName name="DST_250X80" localSheetId="42">#REF!</definedName>
    <definedName name="DST_250X80" localSheetId="27">#REF!</definedName>
    <definedName name="DST_250X80" localSheetId="45">#REF!</definedName>
    <definedName name="DST_250X80">#REF!</definedName>
    <definedName name="DST_300X100" localSheetId="30">#REF!</definedName>
    <definedName name="DST_300X100" localSheetId="25">#REF!</definedName>
    <definedName name="DST_300X100" localSheetId="28">#REF!</definedName>
    <definedName name="DST_300X100" localSheetId="29">#REF!</definedName>
    <definedName name="DST_300X100" localSheetId="12">#REF!</definedName>
    <definedName name="DST_300X100" localSheetId="43">#REF!</definedName>
    <definedName name="DST_300X100" localSheetId="42">#REF!</definedName>
    <definedName name="DST_300X100" localSheetId="27">#REF!</definedName>
    <definedName name="DST_300X100" localSheetId="45">#REF!</definedName>
    <definedName name="DST_300X100">#REF!</definedName>
    <definedName name="DST_300X125" localSheetId="30">#REF!</definedName>
    <definedName name="DST_300X125" localSheetId="25">#REF!</definedName>
    <definedName name="DST_300X125" localSheetId="28">#REF!</definedName>
    <definedName name="DST_300X125" localSheetId="29">#REF!</definedName>
    <definedName name="DST_300X125" localSheetId="12">#REF!</definedName>
    <definedName name="DST_300X125" localSheetId="43">#REF!</definedName>
    <definedName name="DST_300X125" localSheetId="42">#REF!</definedName>
    <definedName name="DST_300X125" localSheetId="27">#REF!</definedName>
    <definedName name="DST_300X125" localSheetId="45">#REF!</definedName>
    <definedName name="DST_300X125">#REF!</definedName>
    <definedName name="DST_300X150" localSheetId="30">#REF!</definedName>
    <definedName name="DST_300X150" localSheetId="25">#REF!</definedName>
    <definedName name="DST_300X150" localSheetId="28">#REF!</definedName>
    <definedName name="DST_300X150" localSheetId="29">#REF!</definedName>
    <definedName name="DST_300X150" localSheetId="12">#REF!</definedName>
    <definedName name="DST_300X150" localSheetId="43">#REF!</definedName>
    <definedName name="DST_300X150" localSheetId="42">#REF!</definedName>
    <definedName name="DST_300X150" localSheetId="27">#REF!</definedName>
    <definedName name="DST_300X150" localSheetId="45">#REF!</definedName>
    <definedName name="DST_300X150">#REF!</definedName>
    <definedName name="DST_300X200" localSheetId="30">#REF!</definedName>
    <definedName name="DST_300X200" localSheetId="25">#REF!</definedName>
    <definedName name="DST_300X200" localSheetId="28">#REF!</definedName>
    <definedName name="DST_300X200" localSheetId="29">#REF!</definedName>
    <definedName name="DST_300X200" localSheetId="12">#REF!</definedName>
    <definedName name="DST_300X200" localSheetId="43">#REF!</definedName>
    <definedName name="DST_300X200" localSheetId="42">#REF!</definedName>
    <definedName name="DST_300X200" localSheetId="27">#REF!</definedName>
    <definedName name="DST_300X200" localSheetId="45">#REF!</definedName>
    <definedName name="DST_300X200">#REF!</definedName>
    <definedName name="DST_300X250" localSheetId="30">#REF!</definedName>
    <definedName name="DST_300X250" localSheetId="25">#REF!</definedName>
    <definedName name="DST_300X250" localSheetId="28">#REF!</definedName>
    <definedName name="DST_300X250" localSheetId="29">#REF!</definedName>
    <definedName name="DST_300X250" localSheetId="12">#REF!</definedName>
    <definedName name="DST_300X250" localSheetId="43">#REF!</definedName>
    <definedName name="DST_300X250" localSheetId="42">#REF!</definedName>
    <definedName name="DST_300X250" localSheetId="27">#REF!</definedName>
    <definedName name="DST_300X250" localSheetId="45">#REF!</definedName>
    <definedName name="DST_300X250">#REF!</definedName>
    <definedName name="DST_300X300" localSheetId="30">#REF!</definedName>
    <definedName name="DST_300X300" localSheetId="25">#REF!</definedName>
    <definedName name="DST_300X300" localSheetId="28">#REF!</definedName>
    <definedName name="DST_300X300" localSheetId="29">#REF!</definedName>
    <definedName name="DST_300X300" localSheetId="12">#REF!</definedName>
    <definedName name="DST_300X300" localSheetId="43">#REF!</definedName>
    <definedName name="DST_300X300" localSheetId="42">#REF!</definedName>
    <definedName name="DST_300X300" localSheetId="27">#REF!</definedName>
    <definedName name="DST_300X300" localSheetId="45">#REF!</definedName>
    <definedName name="DST_300X300">#REF!</definedName>
    <definedName name="DST_300X80" localSheetId="30">#REF!</definedName>
    <definedName name="DST_300X80" localSheetId="25">#REF!</definedName>
    <definedName name="DST_300X80" localSheetId="28">#REF!</definedName>
    <definedName name="DST_300X80" localSheetId="29">#REF!</definedName>
    <definedName name="DST_300X80" localSheetId="12">#REF!</definedName>
    <definedName name="DST_300X80" localSheetId="43">#REF!</definedName>
    <definedName name="DST_300X80" localSheetId="42">#REF!</definedName>
    <definedName name="DST_300X80" localSheetId="27">#REF!</definedName>
    <definedName name="DST_300X80" localSheetId="45">#REF!</definedName>
    <definedName name="DST_300X80">#REF!</definedName>
    <definedName name="DST_350X100" localSheetId="30">#REF!</definedName>
    <definedName name="DST_350X100" localSheetId="25">#REF!</definedName>
    <definedName name="DST_350X100" localSheetId="28">#REF!</definedName>
    <definedName name="DST_350X100" localSheetId="29">#REF!</definedName>
    <definedName name="DST_350X100" localSheetId="12">#REF!</definedName>
    <definedName name="DST_350X100" localSheetId="43">#REF!</definedName>
    <definedName name="DST_350X100" localSheetId="42">#REF!</definedName>
    <definedName name="DST_350X100" localSheetId="27">#REF!</definedName>
    <definedName name="DST_350X100" localSheetId="45">#REF!</definedName>
    <definedName name="DST_350X100">#REF!</definedName>
    <definedName name="DST_350X150" localSheetId="30">#REF!</definedName>
    <definedName name="DST_350X150" localSheetId="25">#REF!</definedName>
    <definedName name="DST_350X150" localSheetId="28">#REF!</definedName>
    <definedName name="DST_350X150" localSheetId="29">#REF!</definedName>
    <definedName name="DST_350X150" localSheetId="12">#REF!</definedName>
    <definedName name="DST_350X150" localSheetId="43">#REF!</definedName>
    <definedName name="DST_350X150" localSheetId="42">#REF!</definedName>
    <definedName name="DST_350X150" localSheetId="27">#REF!</definedName>
    <definedName name="DST_350X150" localSheetId="45">#REF!</definedName>
    <definedName name="DST_350X150">#REF!</definedName>
    <definedName name="DST_350X250" localSheetId="30">#REF!</definedName>
    <definedName name="DST_350X250" localSheetId="25">#REF!</definedName>
    <definedName name="DST_350X250" localSheetId="28">#REF!</definedName>
    <definedName name="DST_350X250" localSheetId="29">#REF!</definedName>
    <definedName name="DST_350X250" localSheetId="12">#REF!</definedName>
    <definedName name="DST_350X250" localSheetId="43">#REF!</definedName>
    <definedName name="DST_350X250" localSheetId="42">#REF!</definedName>
    <definedName name="DST_350X250" localSheetId="27">#REF!</definedName>
    <definedName name="DST_350X250" localSheetId="45">#REF!</definedName>
    <definedName name="DST_350X250">#REF!</definedName>
    <definedName name="DST_350X300" localSheetId="30">#REF!</definedName>
    <definedName name="DST_350X300" localSheetId="25">#REF!</definedName>
    <definedName name="DST_350X300" localSheetId="28">#REF!</definedName>
    <definedName name="DST_350X300" localSheetId="29">#REF!</definedName>
    <definedName name="DST_350X300" localSheetId="12">#REF!</definedName>
    <definedName name="DST_350X300" localSheetId="43">#REF!</definedName>
    <definedName name="DST_350X300" localSheetId="42">#REF!</definedName>
    <definedName name="DST_350X300" localSheetId="27">#REF!</definedName>
    <definedName name="DST_350X300" localSheetId="45">#REF!</definedName>
    <definedName name="DST_350X300">#REF!</definedName>
    <definedName name="DST_350X80" localSheetId="30">#REF!</definedName>
    <definedName name="DST_350X80" localSheetId="25">#REF!</definedName>
    <definedName name="DST_350X80" localSheetId="28">#REF!</definedName>
    <definedName name="DST_350X80" localSheetId="29">#REF!</definedName>
    <definedName name="DST_350X80" localSheetId="12">#REF!</definedName>
    <definedName name="DST_350X80" localSheetId="43">#REF!</definedName>
    <definedName name="DST_350X80" localSheetId="42">#REF!</definedName>
    <definedName name="DST_350X80" localSheetId="27">#REF!</definedName>
    <definedName name="DST_350X80" localSheetId="45">#REF!</definedName>
    <definedName name="DST_350X80">#REF!</definedName>
    <definedName name="DST_400X100" localSheetId="30">#REF!</definedName>
    <definedName name="DST_400X100" localSheetId="25">#REF!</definedName>
    <definedName name="DST_400X100" localSheetId="28">#REF!</definedName>
    <definedName name="DST_400X100" localSheetId="29">#REF!</definedName>
    <definedName name="DST_400X100" localSheetId="12">#REF!</definedName>
    <definedName name="DST_400X100" localSheetId="43">#REF!</definedName>
    <definedName name="DST_400X100" localSheetId="42">#REF!</definedName>
    <definedName name="DST_400X100" localSheetId="27">#REF!</definedName>
    <definedName name="DST_400X100" localSheetId="45">#REF!</definedName>
    <definedName name="DST_400X100">#REF!</definedName>
    <definedName name="DST_400X150" localSheetId="30">#REF!</definedName>
    <definedName name="DST_400X150" localSheetId="25">#REF!</definedName>
    <definedName name="DST_400X150" localSheetId="28">#REF!</definedName>
    <definedName name="DST_400X150" localSheetId="29">#REF!</definedName>
    <definedName name="DST_400X150" localSheetId="12">#REF!</definedName>
    <definedName name="DST_400X150" localSheetId="43">#REF!</definedName>
    <definedName name="DST_400X150" localSheetId="42">#REF!</definedName>
    <definedName name="DST_400X150" localSheetId="27">#REF!</definedName>
    <definedName name="DST_400X150" localSheetId="45">#REF!</definedName>
    <definedName name="DST_400X150">#REF!</definedName>
    <definedName name="DST_400X250" localSheetId="30">#REF!</definedName>
    <definedName name="DST_400X250" localSheetId="25">#REF!</definedName>
    <definedName name="DST_400X250" localSheetId="28">#REF!</definedName>
    <definedName name="DST_400X250" localSheetId="29">#REF!</definedName>
    <definedName name="DST_400X250" localSheetId="12">#REF!</definedName>
    <definedName name="DST_400X250" localSheetId="43">#REF!</definedName>
    <definedName name="DST_400X250" localSheetId="42">#REF!</definedName>
    <definedName name="DST_400X250" localSheetId="27">#REF!</definedName>
    <definedName name="DST_400X250" localSheetId="45">#REF!</definedName>
    <definedName name="DST_400X250">#REF!</definedName>
    <definedName name="DST_400X300" localSheetId="30">#REF!</definedName>
    <definedName name="DST_400X300" localSheetId="25">#REF!</definedName>
    <definedName name="DST_400X300" localSheetId="28">#REF!</definedName>
    <definedName name="DST_400X300" localSheetId="29">#REF!</definedName>
    <definedName name="DST_400X300" localSheetId="12">#REF!</definedName>
    <definedName name="DST_400X300" localSheetId="43">#REF!</definedName>
    <definedName name="DST_400X300" localSheetId="42">#REF!</definedName>
    <definedName name="DST_400X300" localSheetId="27">#REF!</definedName>
    <definedName name="DST_400X300" localSheetId="45">#REF!</definedName>
    <definedName name="DST_400X300">#REF!</definedName>
    <definedName name="DST_80X50" localSheetId="30">#REF!</definedName>
    <definedName name="DST_80X50" localSheetId="25">#REF!</definedName>
    <definedName name="DST_80X50" localSheetId="28">#REF!</definedName>
    <definedName name="DST_80X50" localSheetId="29">#REF!</definedName>
    <definedName name="DST_80X50" localSheetId="12">#REF!</definedName>
    <definedName name="DST_80X50" localSheetId="43">#REF!</definedName>
    <definedName name="DST_80X50" localSheetId="42">#REF!</definedName>
    <definedName name="DST_80X50" localSheetId="27">#REF!</definedName>
    <definedName name="DST_80X50" localSheetId="45">#REF!</definedName>
    <definedName name="DST_80X50">#REF!</definedName>
    <definedName name="DST_80X80" localSheetId="30">#REF!</definedName>
    <definedName name="DST_80X80" localSheetId="25">#REF!</definedName>
    <definedName name="DST_80X80" localSheetId="28">#REF!</definedName>
    <definedName name="DST_80X80" localSheetId="29">#REF!</definedName>
    <definedName name="DST_80X80" localSheetId="12">#REF!</definedName>
    <definedName name="DST_80X80" localSheetId="43">#REF!</definedName>
    <definedName name="DST_80X80" localSheetId="42">#REF!</definedName>
    <definedName name="DST_80X80" localSheetId="27">#REF!</definedName>
    <definedName name="DST_80X80" localSheetId="45">#REF!</definedName>
    <definedName name="DST_80X80">#REF!</definedName>
    <definedName name="DSTF_100X100" localSheetId="30">#REF!</definedName>
    <definedName name="DSTF_100X100" localSheetId="25">#REF!</definedName>
    <definedName name="DSTF_100X100" localSheetId="28">#REF!</definedName>
    <definedName name="DSTF_100X100" localSheetId="29">#REF!</definedName>
    <definedName name="DSTF_100X100" localSheetId="12">#REF!</definedName>
    <definedName name="DSTF_100X100" localSheetId="43">#REF!</definedName>
    <definedName name="DSTF_100X100" localSheetId="42">#REF!</definedName>
    <definedName name="DSTF_100X100" localSheetId="27">#REF!</definedName>
    <definedName name="DSTF_100X100" localSheetId="45">#REF!</definedName>
    <definedName name="DSTF_100X100">#REF!</definedName>
    <definedName name="DSTF_100X50" localSheetId="30">#REF!</definedName>
    <definedName name="DSTF_100X50" localSheetId="25">#REF!</definedName>
    <definedName name="DSTF_100X50" localSheetId="28">#REF!</definedName>
    <definedName name="DSTF_100X50" localSheetId="29">#REF!</definedName>
    <definedName name="DSTF_100X50" localSheetId="12">#REF!</definedName>
    <definedName name="DSTF_100X50" localSheetId="43">#REF!</definedName>
    <definedName name="DSTF_100X50" localSheetId="42">#REF!</definedName>
    <definedName name="DSTF_100X50" localSheetId="27">#REF!</definedName>
    <definedName name="DSTF_100X50" localSheetId="45">#REF!</definedName>
    <definedName name="DSTF_100X50">#REF!</definedName>
    <definedName name="DSTF_100X80" localSheetId="30">#REF!</definedName>
    <definedName name="DSTF_100X80" localSheetId="25">#REF!</definedName>
    <definedName name="DSTF_100X80" localSheetId="28">#REF!</definedName>
    <definedName name="DSTF_100X80" localSheetId="29">#REF!</definedName>
    <definedName name="DSTF_100X80" localSheetId="12">#REF!</definedName>
    <definedName name="DSTF_100X80" localSheetId="43">#REF!</definedName>
    <definedName name="DSTF_100X80" localSheetId="42">#REF!</definedName>
    <definedName name="DSTF_100X80" localSheetId="27">#REF!</definedName>
    <definedName name="DSTF_100X80" localSheetId="45">#REF!</definedName>
    <definedName name="DSTF_100X80">#REF!</definedName>
    <definedName name="DSTF_150X100" localSheetId="30">#REF!</definedName>
    <definedName name="DSTF_150X100" localSheetId="25">#REF!</definedName>
    <definedName name="DSTF_150X100" localSheetId="28">#REF!</definedName>
    <definedName name="DSTF_150X100" localSheetId="29">#REF!</definedName>
    <definedName name="DSTF_150X100" localSheetId="12">#REF!</definedName>
    <definedName name="DSTF_150X100" localSheetId="43">#REF!</definedName>
    <definedName name="DSTF_150X100" localSheetId="42">#REF!</definedName>
    <definedName name="DSTF_150X100" localSheetId="27">#REF!</definedName>
    <definedName name="DSTF_150X100" localSheetId="45">#REF!</definedName>
    <definedName name="DSTF_150X100">#REF!</definedName>
    <definedName name="DSTF_150X150" localSheetId="30">#REF!</definedName>
    <definedName name="DSTF_150X150" localSheetId="25">#REF!</definedName>
    <definedName name="DSTF_150X150" localSheetId="28">#REF!</definedName>
    <definedName name="DSTF_150X150" localSheetId="29">#REF!</definedName>
    <definedName name="DSTF_150X150" localSheetId="12">#REF!</definedName>
    <definedName name="DSTF_150X150" localSheetId="43">#REF!</definedName>
    <definedName name="DSTF_150X150" localSheetId="42">#REF!</definedName>
    <definedName name="DSTF_150X150" localSheetId="27">#REF!</definedName>
    <definedName name="DSTF_150X150" localSheetId="45">#REF!</definedName>
    <definedName name="DSTF_150X150">#REF!</definedName>
    <definedName name="DSTF_150X50" localSheetId="30">#REF!</definedName>
    <definedName name="DSTF_150X50" localSheetId="25">#REF!</definedName>
    <definedName name="DSTF_150X50" localSheetId="28">#REF!</definedName>
    <definedName name="DSTF_150X50" localSheetId="29">#REF!</definedName>
    <definedName name="DSTF_150X50" localSheetId="12">#REF!</definedName>
    <definedName name="DSTF_150X50" localSheetId="43">#REF!</definedName>
    <definedName name="DSTF_150X50" localSheetId="42">#REF!</definedName>
    <definedName name="DSTF_150X50" localSheetId="27">#REF!</definedName>
    <definedName name="DSTF_150X50" localSheetId="45">#REF!</definedName>
    <definedName name="DSTF_150X50">#REF!</definedName>
    <definedName name="DSTF_150X80" localSheetId="30">#REF!</definedName>
    <definedName name="DSTF_150X80" localSheetId="25">#REF!</definedName>
    <definedName name="DSTF_150X80" localSheetId="28">#REF!</definedName>
    <definedName name="DSTF_150X80" localSheetId="29">#REF!</definedName>
    <definedName name="DSTF_150X80" localSheetId="12">#REF!</definedName>
    <definedName name="DSTF_150X80" localSheetId="43">#REF!</definedName>
    <definedName name="DSTF_150X80" localSheetId="42">#REF!</definedName>
    <definedName name="DSTF_150X80" localSheetId="27">#REF!</definedName>
    <definedName name="DSTF_150X80" localSheetId="45">#REF!</definedName>
    <definedName name="DSTF_150X80">#REF!</definedName>
    <definedName name="DSTF_200X100" localSheetId="30">#REF!</definedName>
    <definedName name="DSTF_200X100" localSheetId="25">#REF!</definedName>
    <definedName name="DSTF_200X100" localSheetId="28">#REF!</definedName>
    <definedName name="DSTF_200X100" localSheetId="29">#REF!</definedName>
    <definedName name="DSTF_200X100" localSheetId="12">#REF!</definedName>
    <definedName name="DSTF_200X100" localSheetId="43">#REF!</definedName>
    <definedName name="DSTF_200X100" localSheetId="42">#REF!</definedName>
    <definedName name="DSTF_200X100" localSheetId="27">#REF!</definedName>
    <definedName name="DSTF_200X100" localSheetId="45">#REF!</definedName>
    <definedName name="DSTF_200X100">#REF!</definedName>
    <definedName name="DSTF_200X200" localSheetId="30">#REF!</definedName>
    <definedName name="DSTF_200X200" localSheetId="25">#REF!</definedName>
    <definedName name="DSTF_200X200" localSheetId="28">#REF!</definedName>
    <definedName name="DSTF_200X200" localSheetId="29">#REF!</definedName>
    <definedName name="DSTF_200X200" localSheetId="12">#REF!</definedName>
    <definedName name="DSTF_200X200" localSheetId="43">#REF!</definedName>
    <definedName name="DSTF_200X200" localSheetId="42">#REF!</definedName>
    <definedName name="DSTF_200X200" localSheetId="27">#REF!</definedName>
    <definedName name="DSTF_200X200" localSheetId="45">#REF!</definedName>
    <definedName name="DSTF_200X200">#REF!</definedName>
    <definedName name="DSTF_200X80" localSheetId="30">#REF!</definedName>
    <definedName name="DSTF_200X80" localSheetId="25">#REF!</definedName>
    <definedName name="DSTF_200X80" localSheetId="28">#REF!</definedName>
    <definedName name="DSTF_200X80" localSheetId="29">#REF!</definedName>
    <definedName name="DSTF_200X80" localSheetId="12">#REF!</definedName>
    <definedName name="DSTF_200X80" localSheetId="43">#REF!</definedName>
    <definedName name="DSTF_200X80" localSheetId="42">#REF!</definedName>
    <definedName name="DSTF_200X80" localSheetId="27">#REF!</definedName>
    <definedName name="DSTF_200X80" localSheetId="45">#REF!</definedName>
    <definedName name="DSTF_200X80">#REF!</definedName>
    <definedName name="DSTF_250X100" localSheetId="30">#REF!</definedName>
    <definedName name="DSTF_250X100" localSheetId="25">#REF!</definedName>
    <definedName name="DSTF_250X100" localSheetId="28">#REF!</definedName>
    <definedName name="DSTF_250X100" localSheetId="29">#REF!</definedName>
    <definedName name="DSTF_250X100" localSheetId="12">#REF!</definedName>
    <definedName name="DSTF_250X100" localSheetId="43">#REF!</definedName>
    <definedName name="DSTF_250X100" localSheetId="42">#REF!</definedName>
    <definedName name="DSTF_250X100" localSheetId="27">#REF!</definedName>
    <definedName name="DSTF_250X100" localSheetId="45">#REF!</definedName>
    <definedName name="DSTF_250X100">#REF!</definedName>
    <definedName name="DSTF_250X150" localSheetId="30">#REF!</definedName>
    <definedName name="DSTF_250X150" localSheetId="25">#REF!</definedName>
    <definedName name="DSTF_250X150" localSheetId="28">#REF!</definedName>
    <definedName name="DSTF_250X150" localSheetId="29">#REF!</definedName>
    <definedName name="DSTF_250X150" localSheetId="12">#REF!</definedName>
    <definedName name="DSTF_250X150" localSheetId="43">#REF!</definedName>
    <definedName name="DSTF_250X150" localSheetId="42">#REF!</definedName>
    <definedName name="DSTF_250X150" localSheetId="27">#REF!</definedName>
    <definedName name="DSTF_250X150" localSheetId="45">#REF!</definedName>
    <definedName name="DSTF_250X150">#REF!</definedName>
    <definedName name="DSTF_250X200" localSheetId="30">#REF!</definedName>
    <definedName name="DSTF_250X200" localSheetId="25">#REF!</definedName>
    <definedName name="DSTF_250X200" localSheetId="28">#REF!</definedName>
    <definedName name="DSTF_250X200" localSheetId="29">#REF!</definedName>
    <definedName name="DSTF_250X200" localSheetId="12">#REF!</definedName>
    <definedName name="DSTF_250X200" localSheetId="43">#REF!</definedName>
    <definedName name="DSTF_250X200" localSheetId="42">#REF!</definedName>
    <definedName name="DSTF_250X200" localSheetId="27">#REF!</definedName>
    <definedName name="DSTF_250X200" localSheetId="45">#REF!</definedName>
    <definedName name="DSTF_250X200">#REF!</definedName>
    <definedName name="DSTF_250X250" localSheetId="30">#REF!</definedName>
    <definedName name="DSTF_250X250" localSheetId="25">#REF!</definedName>
    <definedName name="DSTF_250X250" localSheetId="28">#REF!</definedName>
    <definedName name="DSTF_250X250" localSheetId="29">#REF!</definedName>
    <definedName name="DSTF_250X250" localSheetId="12">#REF!</definedName>
    <definedName name="DSTF_250X250" localSheetId="43">#REF!</definedName>
    <definedName name="DSTF_250X250" localSheetId="42">#REF!</definedName>
    <definedName name="DSTF_250X250" localSheetId="27">#REF!</definedName>
    <definedName name="DSTF_250X250" localSheetId="45">#REF!</definedName>
    <definedName name="DSTF_250X250">#REF!</definedName>
    <definedName name="DSTF_250X80" localSheetId="30">#REF!</definedName>
    <definedName name="DSTF_250X80" localSheetId="25">#REF!</definedName>
    <definedName name="DSTF_250X80" localSheetId="28">#REF!</definedName>
    <definedName name="DSTF_250X80" localSheetId="29">#REF!</definedName>
    <definedName name="DSTF_250X80" localSheetId="12">#REF!</definedName>
    <definedName name="DSTF_250X80" localSheetId="43">#REF!</definedName>
    <definedName name="DSTF_250X80" localSheetId="42">#REF!</definedName>
    <definedName name="DSTF_250X80" localSheetId="27">#REF!</definedName>
    <definedName name="DSTF_250X80" localSheetId="45">#REF!</definedName>
    <definedName name="DSTF_250X80">#REF!</definedName>
    <definedName name="DSTF_300X100" localSheetId="30">#REF!</definedName>
    <definedName name="DSTF_300X100" localSheetId="25">#REF!</definedName>
    <definedName name="DSTF_300X100" localSheetId="28">#REF!</definedName>
    <definedName name="DSTF_300X100" localSheetId="29">#REF!</definedName>
    <definedName name="DSTF_300X100" localSheetId="12">#REF!</definedName>
    <definedName name="DSTF_300X100" localSheetId="43">#REF!</definedName>
    <definedName name="DSTF_300X100" localSheetId="42">#REF!</definedName>
    <definedName name="DSTF_300X100" localSheetId="27">#REF!</definedName>
    <definedName name="DSTF_300X100" localSheetId="45">#REF!</definedName>
    <definedName name="DSTF_300X100">#REF!</definedName>
    <definedName name="DSTF_300X125" localSheetId="30">#REF!</definedName>
    <definedName name="DSTF_300X125" localSheetId="25">#REF!</definedName>
    <definedName name="DSTF_300X125" localSheetId="28">#REF!</definedName>
    <definedName name="DSTF_300X125" localSheetId="29">#REF!</definedName>
    <definedName name="DSTF_300X125" localSheetId="12">#REF!</definedName>
    <definedName name="DSTF_300X125" localSheetId="43">#REF!</definedName>
    <definedName name="DSTF_300X125" localSheetId="42">#REF!</definedName>
    <definedName name="DSTF_300X125" localSheetId="27">#REF!</definedName>
    <definedName name="DSTF_300X125" localSheetId="45">#REF!</definedName>
    <definedName name="DSTF_300X125">#REF!</definedName>
    <definedName name="DSTF_300X150" localSheetId="30">#REF!</definedName>
    <definedName name="DSTF_300X150" localSheetId="25">#REF!</definedName>
    <definedName name="DSTF_300X150" localSheetId="28">#REF!</definedName>
    <definedName name="DSTF_300X150" localSheetId="29">#REF!</definedName>
    <definedName name="DSTF_300X150" localSheetId="12">#REF!</definedName>
    <definedName name="DSTF_300X150" localSheetId="43">#REF!</definedName>
    <definedName name="DSTF_300X150" localSheetId="42">#REF!</definedName>
    <definedName name="DSTF_300X150" localSheetId="27">#REF!</definedName>
    <definedName name="DSTF_300X150" localSheetId="45">#REF!</definedName>
    <definedName name="DSTF_300X150">#REF!</definedName>
    <definedName name="DSTF_300X200" localSheetId="30">#REF!</definedName>
    <definedName name="DSTF_300X200" localSheetId="25">#REF!</definedName>
    <definedName name="DSTF_300X200" localSheetId="28">#REF!</definedName>
    <definedName name="DSTF_300X200" localSheetId="29">#REF!</definedName>
    <definedName name="DSTF_300X200" localSheetId="12">#REF!</definedName>
    <definedName name="DSTF_300X200" localSheetId="43">#REF!</definedName>
    <definedName name="DSTF_300X200" localSheetId="42">#REF!</definedName>
    <definedName name="DSTF_300X200" localSheetId="27">#REF!</definedName>
    <definedName name="DSTF_300X200" localSheetId="45">#REF!</definedName>
    <definedName name="DSTF_300X200">#REF!</definedName>
    <definedName name="DSTF_300X250" localSheetId="30">#REF!</definedName>
    <definedName name="DSTF_300X250" localSheetId="25">#REF!</definedName>
    <definedName name="DSTF_300X250" localSheetId="28">#REF!</definedName>
    <definedName name="DSTF_300X250" localSheetId="29">#REF!</definedName>
    <definedName name="DSTF_300X250" localSheetId="12">#REF!</definedName>
    <definedName name="DSTF_300X250" localSheetId="43">#REF!</definedName>
    <definedName name="DSTF_300X250" localSheetId="42">#REF!</definedName>
    <definedName name="DSTF_300X250" localSheetId="27">#REF!</definedName>
    <definedName name="DSTF_300X250" localSheetId="45">#REF!</definedName>
    <definedName name="DSTF_300X250">#REF!</definedName>
    <definedName name="DSTF_300X300" localSheetId="30">#REF!</definedName>
    <definedName name="DSTF_300X300" localSheetId="25">#REF!</definedName>
    <definedName name="DSTF_300X300" localSheetId="28">#REF!</definedName>
    <definedName name="DSTF_300X300" localSheetId="29">#REF!</definedName>
    <definedName name="DSTF_300X300" localSheetId="12">#REF!</definedName>
    <definedName name="DSTF_300X300" localSheetId="43">#REF!</definedName>
    <definedName name="DSTF_300X300" localSheetId="42">#REF!</definedName>
    <definedName name="DSTF_300X300" localSheetId="27">#REF!</definedName>
    <definedName name="DSTF_300X300" localSheetId="45">#REF!</definedName>
    <definedName name="DSTF_300X300">#REF!</definedName>
    <definedName name="DSTF_300X80" localSheetId="30">#REF!</definedName>
    <definedName name="DSTF_300X80" localSheetId="25">#REF!</definedName>
    <definedName name="DSTF_300X80" localSheetId="28">#REF!</definedName>
    <definedName name="DSTF_300X80" localSheetId="29">#REF!</definedName>
    <definedName name="DSTF_300X80" localSheetId="12">#REF!</definedName>
    <definedName name="DSTF_300X80" localSheetId="43">#REF!</definedName>
    <definedName name="DSTF_300X80" localSheetId="42">#REF!</definedName>
    <definedName name="DSTF_300X80" localSheetId="27">#REF!</definedName>
    <definedName name="DSTF_300X80" localSheetId="45">#REF!</definedName>
    <definedName name="DSTF_300X80">#REF!</definedName>
    <definedName name="DSTF_350X100" localSheetId="30">#REF!</definedName>
    <definedName name="DSTF_350X100" localSheetId="25">#REF!</definedName>
    <definedName name="DSTF_350X100" localSheetId="28">#REF!</definedName>
    <definedName name="DSTF_350X100" localSheetId="29">#REF!</definedName>
    <definedName name="DSTF_350X100" localSheetId="12">#REF!</definedName>
    <definedName name="DSTF_350X100" localSheetId="43">#REF!</definedName>
    <definedName name="DSTF_350X100" localSheetId="42">#REF!</definedName>
    <definedName name="DSTF_350X100" localSheetId="27">#REF!</definedName>
    <definedName name="DSTF_350X100" localSheetId="45">#REF!</definedName>
    <definedName name="DSTF_350X100">#REF!</definedName>
    <definedName name="DSTF_350X150" localSheetId="30">#REF!</definedName>
    <definedName name="DSTF_350X150" localSheetId="25">#REF!</definedName>
    <definedName name="DSTF_350X150" localSheetId="28">#REF!</definedName>
    <definedName name="DSTF_350X150" localSheetId="29">#REF!</definedName>
    <definedName name="DSTF_350X150" localSheetId="12">#REF!</definedName>
    <definedName name="DSTF_350X150" localSheetId="43">#REF!</definedName>
    <definedName name="DSTF_350X150" localSheetId="42">#REF!</definedName>
    <definedName name="DSTF_350X150" localSheetId="27">#REF!</definedName>
    <definedName name="DSTF_350X150" localSheetId="45">#REF!</definedName>
    <definedName name="DSTF_350X150">#REF!</definedName>
    <definedName name="DSTF_350X250" localSheetId="30">#REF!</definedName>
    <definedName name="DSTF_350X250" localSheetId="25">#REF!</definedName>
    <definedName name="DSTF_350X250" localSheetId="28">#REF!</definedName>
    <definedName name="DSTF_350X250" localSheetId="29">#REF!</definedName>
    <definedName name="DSTF_350X250" localSheetId="12">#REF!</definedName>
    <definedName name="DSTF_350X250" localSheetId="43">#REF!</definedName>
    <definedName name="DSTF_350X250" localSheetId="42">#REF!</definedName>
    <definedName name="DSTF_350X250" localSheetId="27">#REF!</definedName>
    <definedName name="DSTF_350X250" localSheetId="45">#REF!</definedName>
    <definedName name="DSTF_350X250">#REF!</definedName>
    <definedName name="DSTF_350X300" localSheetId="30">#REF!</definedName>
    <definedName name="DSTF_350X300" localSheetId="25">#REF!</definedName>
    <definedName name="DSTF_350X300" localSheetId="28">#REF!</definedName>
    <definedName name="DSTF_350X300" localSheetId="29">#REF!</definedName>
    <definedName name="DSTF_350X300" localSheetId="12">#REF!</definedName>
    <definedName name="DSTF_350X300" localSheetId="43">#REF!</definedName>
    <definedName name="DSTF_350X300" localSheetId="42">#REF!</definedName>
    <definedName name="DSTF_350X300" localSheetId="27">#REF!</definedName>
    <definedName name="DSTF_350X300" localSheetId="45">#REF!</definedName>
    <definedName name="DSTF_350X300">#REF!</definedName>
    <definedName name="DSTF_350X350" localSheetId="30">#REF!</definedName>
    <definedName name="DSTF_350X350" localSheetId="25">#REF!</definedName>
    <definedName name="DSTF_350X350" localSheetId="28">#REF!</definedName>
    <definedName name="DSTF_350X350" localSheetId="29">#REF!</definedName>
    <definedName name="DSTF_350X350" localSheetId="12">#REF!</definedName>
    <definedName name="DSTF_350X350" localSheetId="43">#REF!</definedName>
    <definedName name="DSTF_350X350" localSheetId="42">#REF!</definedName>
    <definedName name="DSTF_350X350" localSheetId="27">#REF!</definedName>
    <definedName name="DSTF_350X350" localSheetId="45">#REF!</definedName>
    <definedName name="DSTF_350X350">#REF!</definedName>
    <definedName name="DSTF_350X80" localSheetId="30">#REF!</definedName>
    <definedName name="DSTF_350X80" localSheetId="25">#REF!</definedName>
    <definedName name="DSTF_350X80" localSheetId="28">#REF!</definedName>
    <definedName name="DSTF_350X80" localSheetId="29">#REF!</definedName>
    <definedName name="DSTF_350X80" localSheetId="12">#REF!</definedName>
    <definedName name="DSTF_350X80" localSheetId="43">#REF!</definedName>
    <definedName name="DSTF_350X80" localSheetId="42">#REF!</definedName>
    <definedName name="DSTF_350X80" localSheetId="27">#REF!</definedName>
    <definedName name="DSTF_350X80" localSheetId="45">#REF!</definedName>
    <definedName name="DSTF_350X80">#REF!</definedName>
    <definedName name="DSTF_400X100" localSheetId="30">#REF!</definedName>
    <definedName name="DSTF_400X100" localSheetId="25">#REF!</definedName>
    <definedName name="DSTF_400X100" localSheetId="28">#REF!</definedName>
    <definedName name="DSTF_400X100" localSheetId="29">#REF!</definedName>
    <definedName name="DSTF_400X100" localSheetId="12">#REF!</definedName>
    <definedName name="DSTF_400X100" localSheetId="43">#REF!</definedName>
    <definedName name="DSTF_400X100" localSheetId="42">#REF!</definedName>
    <definedName name="DSTF_400X100" localSheetId="27">#REF!</definedName>
    <definedName name="DSTF_400X100" localSheetId="45">#REF!</definedName>
    <definedName name="DSTF_400X100">#REF!</definedName>
    <definedName name="DSTF_400X150" localSheetId="30">#REF!</definedName>
    <definedName name="DSTF_400X150" localSheetId="25">#REF!</definedName>
    <definedName name="DSTF_400X150" localSheetId="28">#REF!</definedName>
    <definedName name="DSTF_400X150" localSheetId="29">#REF!</definedName>
    <definedName name="DSTF_400X150" localSheetId="12">#REF!</definedName>
    <definedName name="DSTF_400X150" localSheetId="43">#REF!</definedName>
    <definedName name="DSTF_400X150" localSheetId="42">#REF!</definedName>
    <definedName name="DSTF_400X150" localSheetId="27">#REF!</definedName>
    <definedName name="DSTF_400X150" localSheetId="45">#REF!</definedName>
    <definedName name="DSTF_400X150">#REF!</definedName>
    <definedName name="DSTF_400X250" localSheetId="30">#REF!</definedName>
    <definedName name="DSTF_400X250" localSheetId="25">#REF!</definedName>
    <definedName name="DSTF_400X250" localSheetId="28">#REF!</definedName>
    <definedName name="DSTF_400X250" localSheetId="29">#REF!</definedName>
    <definedName name="DSTF_400X250" localSheetId="12">#REF!</definedName>
    <definedName name="DSTF_400X250" localSheetId="43">#REF!</definedName>
    <definedName name="DSTF_400X250" localSheetId="42">#REF!</definedName>
    <definedName name="DSTF_400X250" localSheetId="27">#REF!</definedName>
    <definedName name="DSTF_400X250" localSheetId="45">#REF!</definedName>
    <definedName name="DSTF_400X250">#REF!</definedName>
    <definedName name="DSTF_400X300" localSheetId="30">#REF!</definedName>
    <definedName name="DSTF_400X300" localSheetId="25">#REF!</definedName>
    <definedName name="DSTF_400X300" localSheetId="28">#REF!</definedName>
    <definedName name="DSTF_400X300" localSheetId="29">#REF!</definedName>
    <definedName name="DSTF_400X300" localSheetId="12">#REF!</definedName>
    <definedName name="DSTF_400X300" localSheetId="43">#REF!</definedName>
    <definedName name="DSTF_400X300" localSheetId="42">#REF!</definedName>
    <definedName name="DSTF_400X300" localSheetId="27">#REF!</definedName>
    <definedName name="DSTF_400X300" localSheetId="45">#REF!</definedName>
    <definedName name="DSTF_400X300">#REF!</definedName>
    <definedName name="DSTF_400X400" localSheetId="30">#REF!</definedName>
    <definedName name="DSTF_400X400" localSheetId="25">#REF!</definedName>
    <definedName name="DSTF_400X400" localSheetId="28">#REF!</definedName>
    <definedName name="DSTF_400X400" localSheetId="29">#REF!</definedName>
    <definedName name="DSTF_400X400" localSheetId="12">#REF!</definedName>
    <definedName name="DSTF_400X400" localSheetId="43">#REF!</definedName>
    <definedName name="DSTF_400X400" localSheetId="42">#REF!</definedName>
    <definedName name="DSTF_400X400" localSheetId="27">#REF!</definedName>
    <definedName name="DSTF_400X400" localSheetId="45">#REF!</definedName>
    <definedName name="DSTF_400X400">#REF!</definedName>
    <definedName name="DSTF_80X50" localSheetId="30">#REF!</definedName>
    <definedName name="DSTF_80X50" localSheetId="25">#REF!</definedName>
    <definedName name="DSTF_80X50" localSheetId="28">#REF!</definedName>
    <definedName name="DSTF_80X50" localSheetId="29">#REF!</definedName>
    <definedName name="DSTF_80X50" localSheetId="12">#REF!</definedName>
    <definedName name="DSTF_80X50" localSheetId="43">#REF!</definedName>
    <definedName name="DSTF_80X50" localSheetId="42">#REF!</definedName>
    <definedName name="DSTF_80X50" localSheetId="27">#REF!</definedName>
    <definedName name="DSTF_80X50" localSheetId="45">#REF!</definedName>
    <definedName name="DSTF_80X50">#REF!</definedName>
    <definedName name="DSTF_80X80" localSheetId="30">#REF!</definedName>
    <definedName name="DSTF_80X80" localSheetId="25">#REF!</definedName>
    <definedName name="DSTF_80X80" localSheetId="28">#REF!</definedName>
    <definedName name="DSTF_80X80" localSheetId="29">#REF!</definedName>
    <definedName name="DSTF_80X80" localSheetId="12">#REF!</definedName>
    <definedName name="DSTF_80X80" localSheetId="43">#REF!</definedName>
    <definedName name="DSTF_80X80" localSheetId="42">#REF!</definedName>
    <definedName name="DSTF_80X80" localSheetId="27">#REF!</definedName>
    <definedName name="DSTF_80X80" localSheetId="45">#REF!</definedName>
    <definedName name="DSTF_80X80">#REF!</definedName>
    <definedName name="DSV_100" localSheetId="30">#REF!</definedName>
    <definedName name="DSV_100" localSheetId="25">#REF!</definedName>
    <definedName name="DSV_100" localSheetId="28">#REF!</definedName>
    <definedName name="DSV_100" localSheetId="29">#REF!</definedName>
    <definedName name="DSV_100" localSheetId="12">#REF!</definedName>
    <definedName name="DSV_100" localSheetId="43">#REF!</definedName>
    <definedName name="DSV_100" localSheetId="42">#REF!</definedName>
    <definedName name="DSV_100" localSheetId="27">#REF!</definedName>
    <definedName name="DSV_100" localSheetId="45">#REF!</definedName>
    <definedName name="DSV_100">#REF!</definedName>
    <definedName name="DSV_150" localSheetId="30">#REF!</definedName>
    <definedName name="DSV_150" localSheetId="25">#REF!</definedName>
    <definedName name="DSV_150" localSheetId="28">#REF!</definedName>
    <definedName name="DSV_150" localSheetId="29">#REF!</definedName>
    <definedName name="DSV_150" localSheetId="12">#REF!</definedName>
    <definedName name="DSV_150" localSheetId="43">#REF!</definedName>
    <definedName name="DSV_150" localSheetId="42">#REF!</definedName>
    <definedName name="DSV_150" localSheetId="27">#REF!</definedName>
    <definedName name="DSV_150" localSheetId="45">#REF!</definedName>
    <definedName name="DSV_150">#REF!</definedName>
    <definedName name="DSV_200" localSheetId="30">#REF!</definedName>
    <definedName name="DSV_200" localSheetId="25">#REF!</definedName>
    <definedName name="DSV_200" localSheetId="28">#REF!</definedName>
    <definedName name="DSV_200" localSheetId="29">#REF!</definedName>
    <definedName name="DSV_200" localSheetId="12">#REF!</definedName>
    <definedName name="DSV_200" localSheetId="43">#REF!</definedName>
    <definedName name="DSV_200" localSheetId="42">#REF!</definedName>
    <definedName name="DSV_200" localSheetId="27">#REF!</definedName>
    <definedName name="DSV_200" localSheetId="45">#REF!</definedName>
    <definedName name="DSV_200">#REF!</definedName>
    <definedName name="DSV_250" localSheetId="30">#REF!</definedName>
    <definedName name="DSV_250" localSheetId="25">#REF!</definedName>
    <definedName name="DSV_250" localSheetId="28">#REF!</definedName>
    <definedName name="DSV_250" localSheetId="29">#REF!</definedName>
    <definedName name="DSV_250" localSheetId="12">#REF!</definedName>
    <definedName name="DSV_250" localSheetId="43">#REF!</definedName>
    <definedName name="DSV_250" localSheetId="42">#REF!</definedName>
    <definedName name="DSV_250" localSheetId="27">#REF!</definedName>
    <definedName name="DSV_250" localSheetId="45">#REF!</definedName>
    <definedName name="DSV_250">#REF!</definedName>
    <definedName name="DSV_300" localSheetId="30">#REF!</definedName>
    <definedName name="DSV_300" localSheetId="25">#REF!</definedName>
    <definedName name="DSV_300" localSheetId="28">#REF!</definedName>
    <definedName name="DSV_300" localSheetId="29">#REF!</definedName>
    <definedName name="DSV_300" localSheetId="12">#REF!</definedName>
    <definedName name="DSV_300" localSheetId="43">#REF!</definedName>
    <definedName name="DSV_300" localSheetId="42">#REF!</definedName>
    <definedName name="DSV_300" localSheetId="27">#REF!</definedName>
    <definedName name="DSV_300" localSheetId="45">#REF!</definedName>
    <definedName name="DSV_300">#REF!</definedName>
    <definedName name="DSV_350" localSheetId="30">#REF!</definedName>
    <definedName name="DSV_350" localSheetId="25">#REF!</definedName>
    <definedName name="DSV_350" localSheetId="28">#REF!</definedName>
    <definedName name="DSV_350" localSheetId="29">#REF!</definedName>
    <definedName name="DSV_350" localSheetId="12">#REF!</definedName>
    <definedName name="DSV_350" localSheetId="43">#REF!</definedName>
    <definedName name="DSV_350" localSheetId="42">#REF!</definedName>
    <definedName name="DSV_350" localSheetId="27">#REF!</definedName>
    <definedName name="DSV_350" localSheetId="45">#REF!</definedName>
    <definedName name="DSV_350">#REF!</definedName>
    <definedName name="DSV_400" localSheetId="30">#REF!</definedName>
    <definedName name="DSV_400" localSheetId="25">#REF!</definedName>
    <definedName name="DSV_400" localSheetId="28">#REF!</definedName>
    <definedName name="DSV_400" localSheetId="29">#REF!</definedName>
    <definedName name="DSV_400" localSheetId="12">#REF!</definedName>
    <definedName name="DSV_400" localSheetId="43">#REF!</definedName>
    <definedName name="DSV_400" localSheetId="42">#REF!</definedName>
    <definedName name="DSV_400" localSheetId="27">#REF!</definedName>
    <definedName name="DSV_400" localSheetId="45">#REF!</definedName>
    <definedName name="DSV_400">#REF!</definedName>
    <definedName name="DSV_50" localSheetId="30">#REF!</definedName>
    <definedName name="DSV_50" localSheetId="25">#REF!</definedName>
    <definedName name="DSV_50" localSheetId="28">#REF!</definedName>
    <definedName name="DSV_50" localSheetId="29">#REF!</definedName>
    <definedName name="DSV_50" localSheetId="12">#REF!</definedName>
    <definedName name="DSV_50" localSheetId="43">#REF!</definedName>
    <definedName name="DSV_50" localSheetId="42">#REF!</definedName>
    <definedName name="DSV_50" localSheetId="27">#REF!</definedName>
    <definedName name="DSV_50" localSheetId="45">#REF!</definedName>
    <definedName name="DSV_50">#REF!</definedName>
    <definedName name="DSV_80" localSheetId="30">#REF!</definedName>
    <definedName name="DSV_80" localSheetId="25">#REF!</definedName>
    <definedName name="DSV_80" localSheetId="28">#REF!</definedName>
    <definedName name="DSV_80" localSheetId="29">#REF!</definedName>
    <definedName name="DSV_80" localSheetId="12">#REF!</definedName>
    <definedName name="DSV_80" localSheetId="43">#REF!</definedName>
    <definedName name="DSV_80" localSheetId="42">#REF!</definedName>
    <definedName name="DSV_80" localSheetId="27">#REF!</definedName>
    <definedName name="DSV_80" localSheetId="45">#REF!</definedName>
    <definedName name="DSV_80">#REF!</definedName>
    <definedName name="DSW" localSheetId="30">#REF!</definedName>
    <definedName name="DSW" localSheetId="25">#REF!</definedName>
    <definedName name="DSW" localSheetId="28">#REF!</definedName>
    <definedName name="DSW" localSheetId="29">#REF!</definedName>
    <definedName name="DSW" localSheetId="12">#REF!</definedName>
    <definedName name="DSW" localSheetId="43">#REF!</definedName>
    <definedName name="DSW" localSheetId="42">#REF!</definedName>
    <definedName name="DSW" localSheetId="27">#REF!</definedName>
    <definedName name="DSW" localSheetId="45">#REF!</definedName>
    <definedName name="DSW">#REF!</definedName>
    <definedName name="DSW_100X50" localSheetId="30">#REF!</definedName>
    <definedName name="DSW_100X50" localSheetId="25">#REF!</definedName>
    <definedName name="DSW_100X50" localSheetId="28">#REF!</definedName>
    <definedName name="DSW_100X50" localSheetId="29">#REF!</definedName>
    <definedName name="DSW_100X50" localSheetId="12">#REF!</definedName>
    <definedName name="DSW_100X50" localSheetId="43">#REF!</definedName>
    <definedName name="DSW_100X50" localSheetId="42">#REF!</definedName>
    <definedName name="DSW_100X50" localSheetId="27">#REF!</definedName>
    <definedName name="DSW_100X50" localSheetId="45">#REF!</definedName>
    <definedName name="DSW_100X50">#REF!</definedName>
    <definedName name="DSW_150X50" localSheetId="30">#REF!</definedName>
    <definedName name="DSW_150X50" localSheetId="25">#REF!</definedName>
    <definedName name="DSW_150X50" localSheetId="28">#REF!</definedName>
    <definedName name="DSW_150X50" localSheetId="29">#REF!</definedName>
    <definedName name="DSW_150X50" localSheetId="12">#REF!</definedName>
    <definedName name="DSW_150X50" localSheetId="43">#REF!</definedName>
    <definedName name="DSW_150X50" localSheetId="42">#REF!</definedName>
    <definedName name="DSW_150X50" localSheetId="27">#REF!</definedName>
    <definedName name="DSW_150X50" localSheetId="45">#REF!</definedName>
    <definedName name="DSW_150X50">#REF!</definedName>
    <definedName name="DSW_200X80" localSheetId="30">#REF!</definedName>
    <definedName name="DSW_200X80" localSheetId="25">#REF!</definedName>
    <definedName name="DSW_200X80" localSheetId="28">#REF!</definedName>
    <definedName name="DSW_200X80" localSheetId="29">#REF!</definedName>
    <definedName name="DSW_200X80" localSheetId="12">#REF!</definedName>
    <definedName name="DSW_200X80" localSheetId="43">#REF!</definedName>
    <definedName name="DSW_200X80" localSheetId="42">#REF!</definedName>
    <definedName name="DSW_200X80" localSheetId="27">#REF!</definedName>
    <definedName name="DSW_200X80" localSheetId="45">#REF!</definedName>
    <definedName name="DSW_200X80">#REF!</definedName>
    <definedName name="DSW_250X100" localSheetId="30">#REF!</definedName>
    <definedName name="DSW_250X100" localSheetId="25">#REF!</definedName>
    <definedName name="DSW_250X100" localSheetId="28">#REF!</definedName>
    <definedName name="DSW_250X100" localSheetId="29">#REF!</definedName>
    <definedName name="DSW_250X100" localSheetId="12">#REF!</definedName>
    <definedName name="DSW_250X100" localSheetId="43">#REF!</definedName>
    <definedName name="DSW_250X100" localSheetId="42">#REF!</definedName>
    <definedName name="DSW_250X100" localSheetId="27">#REF!</definedName>
    <definedName name="DSW_250X100" localSheetId="45">#REF!</definedName>
    <definedName name="DSW_250X100">#REF!</definedName>
    <definedName name="DSW_250X80" localSheetId="30">#REF!</definedName>
    <definedName name="DSW_250X80" localSheetId="25">#REF!</definedName>
    <definedName name="DSW_250X80" localSheetId="28">#REF!</definedName>
    <definedName name="DSW_250X80" localSheetId="29">#REF!</definedName>
    <definedName name="DSW_250X80" localSheetId="12">#REF!</definedName>
    <definedName name="DSW_250X80" localSheetId="43">#REF!</definedName>
    <definedName name="DSW_250X80" localSheetId="42">#REF!</definedName>
    <definedName name="DSW_250X80" localSheetId="27">#REF!</definedName>
    <definedName name="DSW_250X80" localSheetId="45">#REF!</definedName>
    <definedName name="DSW_250X80">#REF!</definedName>
    <definedName name="DSW_300X100" localSheetId="30">#REF!</definedName>
    <definedName name="DSW_300X100" localSheetId="25">#REF!</definedName>
    <definedName name="DSW_300X100" localSheetId="28">#REF!</definedName>
    <definedName name="DSW_300X100" localSheetId="29">#REF!</definedName>
    <definedName name="DSW_300X100" localSheetId="12">#REF!</definedName>
    <definedName name="DSW_300X100" localSheetId="43">#REF!</definedName>
    <definedName name="DSW_300X100" localSheetId="42">#REF!</definedName>
    <definedName name="DSW_300X100" localSheetId="27">#REF!</definedName>
    <definedName name="DSW_300X100" localSheetId="45">#REF!</definedName>
    <definedName name="DSW_300X100">#REF!</definedName>
    <definedName name="DSW_300X80" localSheetId="30">#REF!</definedName>
    <definedName name="DSW_300X80" localSheetId="25">#REF!</definedName>
    <definedName name="DSW_300X80" localSheetId="28">#REF!</definedName>
    <definedName name="DSW_300X80" localSheetId="29">#REF!</definedName>
    <definedName name="DSW_300X80" localSheetId="12">#REF!</definedName>
    <definedName name="DSW_300X80" localSheetId="43">#REF!</definedName>
    <definedName name="DSW_300X80" localSheetId="42">#REF!</definedName>
    <definedName name="DSW_300X80" localSheetId="27">#REF!</definedName>
    <definedName name="DSW_300X80" localSheetId="45">#REF!</definedName>
    <definedName name="DSW_300X80">#REF!</definedName>
    <definedName name="DSW_350X100" localSheetId="30">#REF!</definedName>
    <definedName name="DSW_350X100" localSheetId="25">#REF!</definedName>
    <definedName name="DSW_350X100" localSheetId="28">#REF!</definedName>
    <definedName name="DSW_350X100" localSheetId="29">#REF!</definedName>
    <definedName name="DSW_350X100" localSheetId="12">#REF!</definedName>
    <definedName name="DSW_350X100" localSheetId="43">#REF!</definedName>
    <definedName name="DSW_350X100" localSheetId="42">#REF!</definedName>
    <definedName name="DSW_350X100" localSheetId="27">#REF!</definedName>
    <definedName name="DSW_350X100" localSheetId="45">#REF!</definedName>
    <definedName name="DSW_350X100">#REF!</definedName>
    <definedName name="DSW_350X200" localSheetId="30">#REF!</definedName>
    <definedName name="DSW_350X200" localSheetId="25">#REF!</definedName>
    <definedName name="DSW_350X200" localSheetId="28">#REF!</definedName>
    <definedName name="DSW_350X200" localSheetId="29">#REF!</definedName>
    <definedName name="DSW_350X200" localSheetId="12">#REF!</definedName>
    <definedName name="DSW_350X200" localSheetId="43">#REF!</definedName>
    <definedName name="DSW_350X200" localSheetId="42">#REF!</definedName>
    <definedName name="DSW_350X200" localSheetId="27">#REF!</definedName>
    <definedName name="DSW_350X200" localSheetId="45">#REF!</definedName>
    <definedName name="DSW_350X200">#REF!</definedName>
    <definedName name="DSW_400X100" localSheetId="30">#REF!</definedName>
    <definedName name="DSW_400X100" localSheetId="25">#REF!</definedName>
    <definedName name="DSW_400X100" localSheetId="28">#REF!</definedName>
    <definedName name="DSW_400X100" localSheetId="29">#REF!</definedName>
    <definedName name="DSW_400X100" localSheetId="12">#REF!</definedName>
    <definedName name="DSW_400X100" localSheetId="43">#REF!</definedName>
    <definedName name="DSW_400X100" localSheetId="42">#REF!</definedName>
    <definedName name="DSW_400X100" localSheetId="27">#REF!</definedName>
    <definedName name="DSW_400X100" localSheetId="45">#REF!</definedName>
    <definedName name="DSW_400X100">#REF!</definedName>
    <definedName name="DSW_400X200" localSheetId="30">#REF!</definedName>
    <definedName name="DSW_400X200" localSheetId="25">#REF!</definedName>
    <definedName name="DSW_400X200" localSheetId="28">#REF!</definedName>
    <definedName name="DSW_400X200" localSheetId="29">#REF!</definedName>
    <definedName name="DSW_400X200" localSheetId="12">#REF!</definedName>
    <definedName name="DSW_400X200" localSheetId="43">#REF!</definedName>
    <definedName name="DSW_400X200" localSheetId="42">#REF!</definedName>
    <definedName name="DSW_400X200" localSheetId="27">#REF!</definedName>
    <definedName name="DSW_400X200" localSheetId="45">#REF!</definedName>
    <definedName name="DSW_400X200">#REF!</definedName>
    <definedName name="DSW_80X50" localSheetId="30">#REF!</definedName>
    <definedName name="DSW_80X50" localSheetId="25">#REF!</definedName>
    <definedName name="DSW_80X50" localSheetId="28">#REF!</definedName>
    <definedName name="DSW_80X50" localSheetId="29">#REF!</definedName>
    <definedName name="DSW_80X50" localSheetId="12">#REF!</definedName>
    <definedName name="DSW_80X50" localSheetId="43">#REF!</definedName>
    <definedName name="DSW_80X50" localSheetId="42">#REF!</definedName>
    <definedName name="DSW_80X50" localSheetId="27">#REF!</definedName>
    <definedName name="DSW_80X50" localSheetId="45">#REF!</definedName>
    <definedName name="DSW_80X50">#REF!</definedName>
    <definedName name="DSWS" localSheetId="30">#REF!</definedName>
    <definedName name="DSWS" localSheetId="25">#REF!</definedName>
    <definedName name="DSWS" localSheetId="28">#REF!</definedName>
    <definedName name="DSWS" localSheetId="29">#REF!</definedName>
    <definedName name="DSWS" localSheetId="12">#REF!</definedName>
    <definedName name="DSWS" localSheetId="43">#REF!</definedName>
    <definedName name="DSWS" localSheetId="42">#REF!</definedName>
    <definedName name="DSWS" localSheetId="27">#REF!</definedName>
    <definedName name="DSWS" localSheetId="45">#REF!</definedName>
    <definedName name="DSWS">#REF!</definedName>
    <definedName name="dszfs">[19]Rates!$D$32</definedName>
    <definedName name="DTC" localSheetId="30">#REF!</definedName>
    <definedName name="DTC" localSheetId="25">#REF!</definedName>
    <definedName name="DTC" localSheetId="28">#REF!</definedName>
    <definedName name="DTC" localSheetId="29">#REF!</definedName>
    <definedName name="DTC" localSheetId="12">#REF!</definedName>
    <definedName name="DTC" localSheetId="43">#REF!</definedName>
    <definedName name="DTC" localSheetId="42">#REF!</definedName>
    <definedName name="DTC" localSheetId="27">#REF!</definedName>
    <definedName name="DTC" localSheetId="45">#REF!</definedName>
    <definedName name="DTC">#REF!</definedName>
    <definedName name="DTP_100X1K" localSheetId="30">#REF!</definedName>
    <definedName name="DTP_100X1K" localSheetId="25">#REF!</definedName>
    <definedName name="DTP_100X1K" localSheetId="28">#REF!</definedName>
    <definedName name="DTP_100X1K" localSheetId="29">#REF!</definedName>
    <definedName name="DTP_100X1K" localSheetId="12">#REF!</definedName>
    <definedName name="DTP_100X1K" localSheetId="43">#REF!</definedName>
    <definedName name="DTP_100X1K" localSheetId="42">#REF!</definedName>
    <definedName name="DTP_100X1K" localSheetId="27">#REF!</definedName>
    <definedName name="DTP_100X1K" localSheetId="45">#REF!</definedName>
    <definedName name="DTP_100X1K">#REF!</definedName>
    <definedName name="DTP_125X1K" localSheetId="30">#REF!</definedName>
    <definedName name="DTP_125X1K" localSheetId="25">#REF!</definedName>
    <definedName name="DTP_125X1K" localSheetId="28">#REF!</definedName>
    <definedName name="DTP_125X1K" localSheetId="29">#REF!</definedName>
    <definedName name="DTP_125X1K" localSheetId="12">#REF!</definedName>
    <definedName name="DTP_125X1K" localSheetId="43">#REF!</definedName>
    <definedName name="DTP_125X1K" localSheetId="42">#REF!</definedName>
    <definedName name="DTP_125X1K" localSheetId="27">#REF!</definedName>
    <definedName name="DTP_125X1K" localSheetId="45">#REF!</definedName>
    <definedName name="DTP_125X1K">#REF!</definedName>
    <definedName name="DTP_150X1K" localSheetId="30">#REF!</definedName>
    <definedName name="DTP_150X1K" localSheetId="25">#REF!</definedName>
    <definedName name="DTP_150X1K" localSheetId="28">#REF!</definedName>
    <definedName name="DTP_150X1K" localSheetId="29">#REF!</definedName>
    <definedName name="DTP_150X1K" localSheetId="12">#REF!</definedName>
    <definedName name="DTP_150X1K" localSheetId="43">#REF!</definedName>
    <definedName name="DTP_150X1K" localSheetId="42">#REF!</definedName>
    <definedName name="DTP_150X1K" localSheetId="27">#REF!</definedName>
    <definedName name="DTP_150X1K" localSheetId="45">#REF!</definedName>
    <definedName name="DTP_150X1K">#REF!</definedName>
    <definedName name="DTP_200X1K" localSheetId="30">#REF!</definedName>
    <definedName name="DTP_200X1K" localSheetId="25">#REF!</definedName>
    <definedName name="DTP_200X1K" localSheetId="28">#REF!</definedName>
    <definedName name="DTP_200X1K" localSheetId="29">#REF!</definedName>
    <definedName name="DTP_200X1K" localSheetId="12">#REF!</definedName>
    <definedName name="DTP_200X1K" localSheetId="43">#REF!</definedName>
    <definedName name="DTP_200X1K" localSheetId="42">#REF!</definedName>
    <definedName name="DTP_200X1K" localSheetId="27">#REF!</definedName>
    <definedName name="DTP_200X1K" localSheetId="45">#REF!</definedName>
    <definedName name="DTP_200X1K">#REF!</definedName>
    <definedName name="DTP_250X1K" localSheetId="30">#REF!</definedName>
    <definedName name="DTP_250X1K" localSheetId="25">#REF!</definedName>
    <definedName name="DTP_250X1K" localSheetId="28">#REF!</definedName>
    <definedName name="DTP_250X1K" localSheetId="29">#REF!</definedName>
    <definedName name="DTP_250X1K" localSheetId="12">#REF!</definedName>
    <definedName name="DTP_250X1K" localSheetId="43">#REF!</definedName>
    <definedName name="DTP_250X1K" localSheetId="42">#REF!</definedName>
    <definedName name="DTP_250X1K" localSheetId="27">#REF!</definedName>
    <definedName name="DTP_250X1K" localSheetId="45">#REF!</definedName>
    <definedName name="DTP_250X1K">#REF!</definedName>
    <definedName name="DTP_300X1K" localSheetId="30">#REF!</definedName>
    <definedName name="DTP_300X1K" localSheetId="25">#REF!</definedName>
    <definedName name="DTP_300X1K" localSheetId="28">#REF!</definedName>
    <definedName name="DTP_300X1K" localSheetId="29">#REF!</definedName>
    <definedName name="DTP_300X1K" localSheetId="12">#REF!</definedName>
    <definedName name="DTP_300X1K" localSheetId="43">#REF!</definedName>
    <definedName name="DTP_300X1K" localSheetId="42">#REF!</definedName>
    <definedName name="DTP_300X1K" localSheetId="27">#REF!</definedName>
    <definedName name="DTP_300X1K" localSheetId="45">#REF!</definedName>
    <definedName name="DTP_300X1K">#REF!</definedName>
    <definedName name="DTP_350X1K" localSheetId="30">#REF!</definedName>
    <definedName name="DTP_350X1K" localSheetId="25">#REF!</definedName>
    <definedName name="DTP_350X1K" localSheetId="28">#REF!</definedName>
    <definedName name="DTP_350X1K" localSheetId="29">#REF!</definedName>
    <definedName name="DTP_350X1K" localSheetId="12">#REF!</definedName>
    <definedName name="DTP_350X1K" localSheetId="43">#REF!</definedName>
    <definedName name="DTP_350X1K" localSheetId="42">#REF!</definedName>
    <definedName name="DTP_350X1K" localSheetId="27">#REF!</definedName>
    <definedName name="DTP_350X1K" localSheetId="45">#REF!</definedName>
    <definedName name="DTP_350X1K">#REF!</definedName>
    <definedName name="DTP_400X1K" localSheetId="30">#REF!</definedName>
    <definedName name="DTP_400X1K" localSheetId="25">#REF!</definedName>
    <definedName name="DTP_400X1K" localSheetId="28">#REF!</definedName>
    <definedName name="DTP_400X1K" localSheetId="29">#REF!</definedName>
    <definedName name="DTP_400X1K" localSheetId="12">#REF!</definedName>
    <definedName name="DTP_400X1K" localSheetId="43">#REF!</definedName>
    <definedName name="DTP_400X1K" localSheetId="42">#REF!</definedName>
    <definedName name="DTP_400X1K" localSheetId="27">#REF!</definedName>
    <definedName name="DTP_400X1K" localSheetId="45">#REF!</definedName>
    <definedName name="DTP_400X1K">#REF!</definedName>
    <definedName name="DTP_450X1K" localSheetId="30">#REF!</definedName>
    <definedName name="DTP_450X1K" localSheetId="25">#REF!</definedName>
    <definedName name="DTP_450X1K" localSheetId="28">#REF!</definedName>
    <definedName name="DTP_450X1K" localSheetId="29">#REF!</definedName>
    <definedName name="DTP_450X1K" localSheetId="12">#REF!</definedName>
    <definedName name="DTP_450X1K" localSheetId="43">#REF!</definedName>
    <definedName name="DTP_450X1K" localSheetId="42">#REF!</definedName>
    <definedName name="DTP_450X1K" localSheetId="27">#REF!</definedName>
    <definedName name="DTP_450X1K" localSheetId="45">#REF!</definedName>
    <definedName name="DTP_450X1K">#REF!</definedName>
    <definedName name="DTP_500X1K" localSheetId="30">#REF!</definedName>
    <definedName name="DTP_500X1K" localSheetId="25">#REF!</definedName>
    <definedName name="DTP_500X1K" localSheetId="28">#REF!</definedName>
    <definedName name="DTP_500X1K" localSheetId="29">#REF!</definedName>
    <definedName name="DTP_500X1K" localSheetId="12">#REF!</definedName>
    <definedName name="DTP_500X1K" localSheetId="43">#REF!</definedName>
    <definedName name="DTP_500X1K" localSheetId="42">#REF!</definedName>
    <definedName name="DTP_500X1K" localSheetId="27">#REF!</definedName>
    <definedName name="DTP_500X1K" localSheetId="45">#REF!</definedName>
    <definedName name="DTP_500X1K">#REF!</definedName>
    <definedName name="DTP_80X1K" localSheetId="30">#REF!</definedName>
    <definedName name="DTP_80X1K" localSheetId="25">#REF!</definedName>
    <definedName name="DTP_80X1K" localSheetId="28">#REF!</definedName>
    <definedName name="DTP_80X1K" localSheetId="29">#REF!</definedName>
    <definedName name="DTP_80X1K" localSheetId="12">#REF!</definedName>
    <definedName name="DTP_80X1K" localSheetId="43">#REF!</definedName>
    <definedName name="DTP_80X1K" localSheetId="42">#REF!</definedName>
    <definedName name="DTP_80X1K" localSheetId="27">#REF!</definedName>
    <definedName name="DTP_80X1K" localSheetId="45">#REF!</definedName>
    <definedName name="DTP_80X1K">#REF!</definedName>
    <definedName name="DTP_80X300" localSheetId="30">#REF!</definedName>
    <definedName name="DTP_80X300" localSheetId="25">#REF!</definedName>
    <definedName name="DTP_80X300" localSheetId="28">#REF!</definedName>
    <definedName name="DTP_80X300" localSheetId="29">#REF!</definedName>
    <definedName name="DTP_80X300" localSheetId="12">#REF!</definedName>
    <definedName name="DTP_80X300" localSheetId="43">#REF!</definedName>
    <definedName name="DTP_80X300" localSheetId="42">#REF!</definedName>
    <definedName name="DTP_80X300" localSheetId="27">#REF!</definedName>
    <definedName name="DTP_80X300" localSheetId="45">#REF!</definedName>
    <definedName name="DTP_80X300">#REF!</definedName>
    <definedName name="DTPR" localSheetId="30">#REF!</definedName>
    <definedName name="DTPR" localSheetId="25">#REF!</definedName>
    <definedName name="DTPR" localSheetId="28">#REF!</definedName>
    <definedName name="DTPR" localSheetId="29">#REF!</definedName>
    <definedName name="DTPR" localSheetId="12">#REF!</definedName>
    <definedName name="DTPR" localSheetId="43">#REF!</definedName>
    <definedName name="DTPR" localSheetId="42">#REF!</definedName>
    <definedName name="DTPR" localSheetId="27">#REF!</definedName>
    <definedName name="DTPR" localSheetId="45">#REF!</definedName>
    <definedName name="DTPR">#REF!</definedName>
    <definedName name="DTT" localSheetId="30">#REF!</definedName>
    <definedName name="DTT" localSheetId="25">#REF!</definedName>
    <definedName name="DTT" localSheetId="28">#REF!</definedName>
    <definedName name="DTT" localSheetId="29">#REF!</definedName>
    <definedName name="DTT" localSheetId="12">#REF!</definedName>
    <definedName name="DTT" localSheetId="43">#REF!</definedName>
    <definedName name="DTT" localSheetId="42">#REF!</definedName>
    <definedName name="DTT" localSheetId="27">#REF!</definedName>
    <definedName name="DTT" localSheetId="45">#REF!</definedName>
    <definedName name="DTT">#REF!</definedName>
    <definedName name="DTWC" localSheetId="30">#REF!</definedName>
    <definedName name="DTWC" localSheetId="25">#REF!</definedName>
    <definedName name="DTWC" localSheetId="28">#REF!</definedName>
    <definedName name="DTWC" localSheetId="29">#REF!</definedName>
    <definedName name="DTWC" localSheetId="12">#REF!</definedName>
    <definedName name="DTWC" localSheetId="43">#REF!</definedName>
    <definedName name="DTWC" localSheetId="42">#REF!</definedName>
    <definedName name="DTWC" localSheetId="27">#REF!</definedName>
    <definedName name="DTWC" localSheetId="45">#REF!</definedName>
    <definedName name="DTWC">#REF!</definedName>
    <definedName name="DW" localSheetId="30">#REF!</definedName>
    <definedName name="DW" localSheetId="25">#REF!</definedName>
    <definedName name="DW" localSheetId="28">#REF!</definedName>
    <definedName name="DW" localSheetId="29">#REF!</definedName>
    <definedName name="DW" localSheetId="12">#REF!</definedName>
    <definedName name="DW" localSheetId="43">#REF!</definedName>
    <definedName name="DW" localSheetId="42">#REF!</definedName>
    <definedName name="DW" localSheetId="27">#REF!</definedName>
    <definedName name="DW" localSheetId="45">#REF!</definedName>
    <definedName name="DW">#REF!</definedName>
    <definedName name="DWF" localSheetId="30">#REF!</definedName>
    <definedName name="DWF" localSheetId="25">#REF!</definedName>
    <definedName name="DWF" localSheetId="28">#REF!</definedName>
    <definedName name="DWF" localSheetId="29">#REF!</definedName>
    <definedName name="DWF" localSheetId="12">#REF!</definedName>
    <definedName name="DWF" localSheetId="43">#REF!</definedName>
    <definedName name="DWF" localSheetId="42">#REF!</definedName>
    <definedName name="DWF" localSheetId="27">#REF!</definedName>
    <definedName name="DWF" localSheetId="45">#REF!</definedName>
    <definedName name="DWF">#REF!</definedName>
    <definedName name="DWM" localSheetId="30">#REF!</definedName>
    <definedName name="DWM" localSheetId="25">#REF!</definedName>
    <definedName name="DWM" localSheetId="28">#REF!</definedName>
    <definedName name="DWM" localSheetId="29">#REF!</definedName>
    <definedName name="DWM" localSheetId="12">#REF!</definedName>
    <definedName name="DWM" localSheetId="43">#REF!</definedName>
    <definedName name="DWM" localSheetId="42">#REF!</definedName>
    <definedName name="DWM" localSheetId="27">#REF!</definedName>
    <definedName name="DWM" localSheetId="45">#REF!</definedName>
    <definedName name="DWM">#REF!</definedName>
    <definedName name="dwsdwed">[19]Rates!$D$12</definedName>
    <definedName name="DWW" localSheetId="30">#REF!</definedName>
    <definedName name="DWW" localSheetId="25">#REF!</definedName>
    <definedName name="DWW" localSheetId="28">#REF!</definedName>
    <definedName name="DWW" localSheetId="29">#REF!</definedName>
    <definedName name="DWW" localSheetId="12">#REF!</definedName>
    <definedName name="DWW" localSheetId="43">#REF!</definedName>
    <definedName name="DWW" localSheetId="42">#REF!</definedName>
    <definedName name="DWW" localSheetId="27">#REF!</definedName>
    <definedName name="DWW" localSheetId="45">#REF!</definedName>
    <definedName name="DWW">#REF!</definedName>
    <definedName name="EC_1" localSheetId="30">#REF!</definedName>
    <definedName name="EC_1" localSheetId="25">#REF!</definedName>
    <definedName name="EC_1" localSheetId="28">#REF!</definedName>
    <definedName name="EC_1" localSheetId="29">#REF!</definedName>
    <definedName name="EC_1" localSheetId="12">#REF!</definedName>
    <definedName name="EC_1" localSheetId="43">#REF!</definedName>
    <definedName name="EC_1" localSheetId="42">#REF!</definedName>
    <definedName name="EC_1" localSheetId="27">#REF!</definedName>
    <definedName name="EC_1" localSheetId="45">#REF!</definedName>
    <definedName name="EC_1">#REF!</definedName>
    <definedName name="EC_2" localSheetId="30">#REF!</definedName>
    <definedName name="EC_2" localSheetId="25">#REF!</definedName>
    <definedName name="EC_2" localSheetId="28">#REF!</definedName>
    <definedName name="EC_2" localSheetId="29">#REF!</definedName>
    <definedName name="EC_2" localSheetId="12">#REF!</definedName>
    <definedName name="EC_2" localSheetId="43">#REF!</definedName>
    <definedName name="EC_2" localSheetId="42">#REF!</definedName>
    <definedName name="EC_2" localSheetId="27">#REF!</definedName>
    <definedName name="EC_2" localSheetId="45">#REF!</definedName>
    <definedName name="EC_2">#REF!</definedName>
    <definedName name="EC_3" localSheetId="30">#REF!</definedName>
    <definedName name="EC_3" localSheetId="25">#REF!</definedName>
    <definedName name="EC_3" localSheetId="28">#REF!</definedName>
    <definedName name="EC_3" localSheetId="29">#REF!</definedName>
    <definedName name="EC_3" localSheetId="12">#REF!</definedName>
    <definedName name="EC_3" localSheetId="43">#REF!</definedName>
    <definedName name="EC_3" localSheetId="42">#REF!</definedName>
    <definedName name="EC_3" localSheetId="27">#REF!</definedName>
    <definedName name="EC_3" localSheetId="45">#REF!</definedName>
    <definedName name="EC_3">#REF!</definedName>
    <definedName name="EC_4" localSheetId="30">#REF!</definedName>
    <definedName name="EC_4" localSheetId="25">#REF!</definedName>
    <definedName name="EC_4" localSheetId="28">#REF!</definedName>
    <definedName name="EC_4" localSheetId="29">#REF!</definedName>
    <definedName name="EC_4" localSheetId="12">#REF!</definedName>
    <definedName name="EC_4" localSheetId="43">#REF!</definedName>
    <definedName name="EC_4" localSheetId="42">#REF!</definedName>
    <definedName name="EC_4" localSheetId="27">#REF!</definedName>
    <definedName name="EC_4" localSheetId="45">#REF!</definedName>
    <definedName name="EC_4">#REF!</definedName>
    <definedName name="EC_5" localSheetId="30">#REF!</definedName>
    <definedName name="EC_5" localSheetId="25">#REF!</definedName>
    <definedName name="EC_5" localSheetId="28">#REF!</definedName>
    <definedName name="EC_5" localSheetId="29">#REF!</definedName>
    <definedName name="EC_5" localSheetId="12">#REF!</definedName>
    <definedName name="EC_5" localSheetId="43">#REF!</definedName>
    <definedName name="EC_5" localSheetId="42">#REF!</definedName>
    <definedName name="EC_5" localSheetId="27">#REF!</definedName>
    <definedName name="EC_5" localSheetId="45">#REF!</definedName>
    <definedName name="EC_5">#REF!</definedName>
    <definedName name="EC_6" localSheetId="30">#REF!</definedName>
    <definedName name="EC_6" localSheetId="25">#REF!</definedName>
    <definedName name="EC_6" localSheetId="28">#REF!</definedName>
    <definedName name="EC_6" localSheetId="29">#REF!</definedName>
    <definedName name="EC_6" localSheetId="12">#REF!</definedName>
    <definedName name="EC_6" localSheetId="43">#REF!</definedName>
    <definedName name="EC_6" localSheetId="42">#REF!</definedName>
    <definedName name="EC_6" localSheetId="27">#REF!</definedName>
    <definedName name="EC_6" localSheetId="45">#REF!</definedName>
    <definedName name="EC_6">#REF!</definedName>
    <definedName name="Ehs">[5]DR!$D$56</definedName>
    <definedName name="EJ" localSheetId="30">#REF!</definedName>
    <definedName name="EJ" localSheetId="25">#REF!</definedName>
    <definedName name="EJ" localSheetId="28">#REF!</definedName>
    <definedName name="EJ" localSheetId="29">#REF!</definedName>
    <definedName name="EJ" localSheetId="12">#REF!</definedName>
    <definedName name="EJ" localSheetId="43">#REF!</definedName>
    <definedName name="EJ" localSheetId="42">#REF!</definedName>
    <definedName name="EJ" localSheetId="27">#REF!</definedName>
    <definedName name="EJ" localSheetId="45">#REF!</definedName>
    <definedName name="EJ">#REF!</definedName>
    <definedName name="EL_1" localSheetId="30">#REF!</definedName>
    <definedName name="EL_1" localSheetId="25">#REF!</definedName>
    <definedName name="EL_1" localSheetId="28">#REF!</definedName>
    <definedName name="EL_1" localSheetId="29">#REF!</definedName>
    <definedName name="EL_1" localSheetId="12">#REF!</definedName>
    <definedName name="EL_1" localSheetId="43">#REF!</definedName>
    <definedName name="EL_1" localSheetId="42">#REF!</definedName>
    <definedName name="EL_1" localSheetId="27">#REF!</definedName>
    <definedName name="EL_1" localSheetId="45">#REF!</definedName>
    <definedName name="EL_1">#REF!</definedName>
    <definedName name="EL_2" localSheetId="30">#REF!</definedName>
    <definedName name="EL_2" localSheetId="25">#REF!</definedName>
    <definedName name="EL_2" localSheetId="28">#REF!</definedName>
    <definedName name="EL_2" localSheetId="29">#REF!</definedName>
    <definedName name="EL_2" localSheetId="12">#REF!</definedName>
    <definedName name="EL_2" localSheetId="43">#REF!</definedName>
    <definedName name="EL_2" localSheetId="42">#REF!</definedName>
    <definedName name="EL_2" localSheetId="27">#REF!</definedName>
    <definedName name="EL_2" localSheetId="45">#REF!</definedName>
    <definedName name="EL_2">#REF!</definedName>
    <definedName name="EL_3" localSheetId="30">#REF!</definedName>
    <definedName name="EL_3" localSheetId="25">#REF!</definedName>
    <definedName name="EL_3" localSheetId="28">#REF!</definedName>
    <definedName name="EL_3" localSheetId="29">#REF!</definedName>
    <definedName name="EL_3" localSheetId="12">#REF!</definedName>
    <definedName name="EL_3" localSheetId="43">#REF!</definedName>
    <definedName name="EL_3" localSheetId="42">#REF!</definedName>
    <definedName name="EL_3" localSheetId="27">#REF!</definedName>
    <definedName name="EL_3" localSheetId="45">#REF!</definedName>
    <definedName name="EL_3">#REF!</definedName>
    <definedName name="EL_4" localSheetId="30">#REF!</definedName>
    <definedName name="EL_4" localSheetId="25">#REF!</definedName>
    <definedName name="EL_4" localSheetId="28">#REF!</definedName>
    <definedName name="EL_4" localSheetId="29">#REF!</definedName>
    <definedName name="EL_4" localSheetId="12">#REF!</definedName>
    <definedName name="EL_4" localSheetId="43">#REF!</definedName>
    <definedName name="EL_4" localSheetId="42">#REF!</definedName>
    <definedName name="EL_4" localSheetId="27">#REF!</definedName>
    <definedName name="EL_4" localSheetId="45">#REF!</definedName>
    <definedName name="EL_4">#REF!</definedName>
    <definedName name="EL_5" localSheetId="30">#REF!</definedName>
    <definedName name="EL_5" localSheetId="25">#REF!</definedName>
    <definedName name="EL_5" localSheetId="28">#REF!</definedName>
    <definedName name="EL_5" localSheetId="29">#REF!</definedName>
    <definedName name="EL_5" localSheetId="12">#REF!</definedName>
    <definedName name="EL_5" localSheetId="43">#REF!</definedName>
    <definedName name="EL_5" localSheetId="42">#REF!</definedName>
    <definedName name="EL_5" localSheetId="27">#REF!</definedName>
    <definedName name="EL_5" localSheetId="45">#REF!</definedName>
    <definedName name="EL_5">#REF!</definedName>
    <definedName name="EL_6" localSheetId="30">#REF!</definedName>
    <definedName name="EL_6" localSheetId="25">#REF!</definedName>
    <definedName name="EL_6" localSheetId="28">#REF!</definedName>
    <definedName name="EL_6" localSheetId="29">#REF!</definedName>
    <definedName name="EL_6" localSheetId="12">#REF!</definedName>
    <definedName name="EL_6" localSheetId="43">#REF!</definedName>
    <definedName name="EL_6" localSheetId="42">#REF!</definedName>
    <definedName name="EL_6" localSheetId="27">#REF!</definedName>
    <definedName name="EL_6" localSheetId="45">#REF!</definedName>
    <definedName name="EL_6">#REF!</definedName>
    <definedName name="EL_7" localSheetId="30">#REF!</definedName>
    <definedName name="EL_7" localSheetId="25">#REF!</definedName>
    <definedName name="EL_7" localSheetId="28">#REF!</definedName>
    <definedName name="EL_7" localSheetId="29">#REF!</definedName>
    <definedName name="EL_7" localSheetId="12">#REF!</definedName>
    <definedName name="EL_7" localSheetId="43">#REF!</definedName>
    <definedName name="EL_7" localSheetId="42">#REF!</definedName>
    <definedName name="EL_7" localSheetId="27">#REF!</definedName>
    <definedName name="EL_7" localSheetId="45">#REF!</definedName>
    <definedName name="EL_7">#REF!</definedName>
    <definedName name="EL_8" localSheetId="30">#REF!</definedName>
    <definedName name="EL_8" localSheetId="25">#REF!</definedName>
    <definedName name="EL_8" localSheetId="28">#REF!</definedName>
    <definedName name="EL_8" localSheetId="29">#REF!</definedName>
    <definedName name="EL_8" localSheetId="12">#REF!</definedName>
    <definedName name="EL_8" localSheetId="43">#REF!</definedName>
    <definedName name="EL_8" localSheetId="42">#REF!</definedName>
    <definedName name="EL_8" localSheetId="27">#REF!</definedName>
    <definedName name="EL_8" localSheetId="45">#REF!</definedName>
    <definedName name="EL_8">#REF!</definedName>
    <definedName name="Emr">[5]DR!$D$58</definedName>
    <definedName name="ena">[4]Sheet1!$D$53</definedName>
    <definedName name="enam">[8]DRates!$J$24</definedName>
    <definedName name="Enamel">'[22]District Rates'!$E$29</definedName>
    <definedName name="EnamelPaint_Lt_M">[21]Transport_Cost_F!$D$52</definedName>
    <definedName name="Eor">[5]DR!$D$57</definedName>
    <definedName name="Eos">[5]DR!$D$55</definedName>
    <definedName name="ET_1" localSheetId="30">#REF!</definedName>
    <definedName name="ET_1" localSheetId="25">#REF!</definedName>
    <definedName name="ET_1" localSheetId="28">#REF!</definedName>
    <definedName name="ET_1" localSheetId="29">#REF!</definedName>
    <definedName name="ET_1" localSheetId="12">#REF!</definedName>
    <definedName name="ET_1" localSheetId="43">#REF!</definedName>
    <definedName name="ET_1" localSheetId="42">#REF!</definedName>
    <definedName name="ET_1" localSheetId="27">#REF!</definedName>
    <definedName name="ET_1" localSheetId="45">#REF!</definedName>
    <definedName name="ET_1">#REF!</definedName>
    <definedName name="ET_2" localSheetId="30">#REF!</definedName>
    <definedName name="ET_2" localSheetId="25">#REF!</definedName>
    <definedName name="ET_2" localSheetId="28">#REF!</definedName>
    <definedName name="ET_2" localSheetId="29">#REF!</definedName>
    <definedName name="ET_2" localSheetId="12">#REF!</definedName>
    <definedName name="ET_2" localSheetId="43">#REF!</definedName>
    <definedName name="ET_2" localSheetId="42">#REF!</definedName>
    <definedName name="ET_2" localSheetId="27">#REF!</definedName>
    <definedName name="ET_2" localSheetId="45">#REF!</definedName>
    <definedName name="ET_2">#REF!</definedName>
    <definedName name="ET_3" localSheetId="30">#REF!</definedName>
    <definedName name="ET_3" localSheetId="25">#REF!</definedName>
    <definedName name="ET_3" localSheetId="28">#REF!</definedName>
    <definedName name="ET_3" localSheetId="29">#REF!</definedName>
    <definedName name="ET_3" localSheetId="12">#REF!</definedName>
    <definedName name="ET_3" localSheetId="43">#REF!</definedName>
    <definedName name="ET_3" localSheetId="42">#REF!</definedName>
    <definedName name="ET_3" localSheetId="27">#REF!</definedName>
    <definedName name="ET_3" localSheetId="45">#REF!</definedName>
    <definedName name="ET_3">#REF!</definedName>
    <definedName name="ET_4" localSheetId="30">#REF!</definedName>
    <definedName name="ET_4" localSheetId="25">#REF!</definedName>
    <definedName name="ET_4" localSheetId="28">#REF!</definedName>
    <definedName name="ET_4" localSheetId="29">#REF!</definedName>
    <definedName name="ET_4" localSheetId="12">#REF!</definedName>
    <definedName name="ET_4" localSheetId="43">#REF!</definedName>
    <definedName name="ET_4" localSheetId="42">#REF!</definedName>
    <definedName name="ET_4" localSheetId="27">#REF!</definedName>
    <definedName name="ET_4" localSheetId="45">#REF!</definedName>
    <definedName name="ET_4">#REF!</definedName>
    <definedName name="ET_5" localSheetId="30">#REF!</definedName>
    <definedName name="ET_5" localSheetId="25">#REF!</definedName>
    <definedName name="ET_5" localSheetId="28">#REF!</definedName>
    <definedName name="ET_5" localSheetId="29">#REF!</definedName>
    <definedName name="ET_5" localSheetId="12">#REF!</definedName>
    <definedName name="ET_5" localSheetId="43">#REF!</definedName>
    <definedName name="ET_5" localSheetId="42">#REF!</definedName>
    <definedName name="ET_5" localSheetId="27">#REF!</definedName>
    <definedName name="ET_5" localSheetId="45">#REF!</definedName>
    <definedName name="ET_5">#REF!</definedName>
    <definedName name="ET_6" localSheetId="30">#REF!</definedName>
    <definedName name="ET_6" localSheetId="25">#REF!</definedName>
    <definedName name="ET_6" localSheetId="28">#REF!</definedName>
    <definedName name="ET_6" localSheetId="29">#REF!</definedName>
    <definedName name="ET_6" localSheetId="12">#REF!</definedName>
    <definedName name="ET_6" localSheetId="43">#REF!</definedName>
    <definedName name="ET_6" localSheetId="42">#REF!</definedName>
    <definedName name="ET_6" localSheetId="27">#REF!</definedName>
    <definedName name="ET_6" localSheetId="45">#REF!</definedName>
    <definedName name="ET_6">#REF!</definedName>
    <definedName name="ET_7" localSheetId="30">#REF!</definedName>
    <definedName name="ET_7" localSheetId="25">#REF!</definedName>
    <definedName name="ET_7" localSheetId="28">#REF!</definedName>
    <definedName name="ET_7" localSheetId="29">#REF!</definedName>
    <definedName name="ET_7" localSheetId="12">#REF!</definedName>
    <definedName name="ET_7" localSheetId="43">#REF!</definedName>
    <definedName name="ET_7" localSheetId="42">#REF!</definedName>
    <definedName name="ET_7" localSheetId="27">#REF!</definedName>
    <definedName name="ET_7" localSheetId="45">#REF!</definedName>
    <definedName name="ET_7">#REF!</definedName>
    <definedName name="ET_8" localSheetId="30">#REF!</definedName>
    <definedName name="ET_8" localSheetId="25">#REF!</definedName>
    <definedName name="ET_8" localSheetId="28">#REF!</definedName>
    <definedName name="ET_8" localSheetId="29">#REF!</definedName>
    <definedName name="ET_8" localSheetId="12">#REF!</definedName>
    <definedName name="ET_8" localSheetId="43">#REF!</definedName>
    <definedName name="ET_8" localSheetId="42">#REF!</definedName>
    <definedName name="ET_8" localSheetId="27">#REF!</definedName>
    <definedName name="ET_8" localSheetId="45">#REF!</definedName>
    <definedName name="ET_8">#REF!</definedName>
    <definedName name="EW_pipe_Bidder">[32]TRANS_dist_pipework_Contractor!$B$7:$R$17</definedName>
    <definedName name="EWcostDL2" hidden="1">[16]PipeLineWork!$O$75</definedName>
    <definedName name="EWcostDL3" hidden="1">[16]PipeLineWork!$O$141</definedName>
    <definedName name="EWcostDL4" hidden="1">[16]PipeLineWork!$O$207</definedName>
    <definedName name="EWcostDL5" hidden="1">[16]PipeLineWork!$O$273</definedName>
    <definedName name="EWcostDL6" hidden="1">[16]PipeLineWork!$O$339</definedName>
    <definedName name="F_AVC_MG">[27]VC!$T$75:$T$115</definedName>
    <definedName name="F_AVC_MP">[27]VC!$T$121:$T$170</definedName>
    <definedName name="F_BPT_MG">'[27]CC BPT DC IC'!$U$260:$U$359</definedName>
    <definedName name="F_BPT_MP">'[27]CC BPT DC IC'!$U$365:$U$465</definedName>
    <definedName name="F_BPT_PG">'[27]CC BPT DC IC'!$U$472:$U$549</definedName>
    <definedName name="F_BPT_PP">'[27]CC BPT DC IC'!$U$555:$U$646</definedName>
    <definedName name="F_CC_G">'[27]CC BPT DC IC'!$U$75:$U$164</definedName>
    <definedName name="F_CC_P">'[27]CC BPT DC IC'!$U$170:$U$254</definedName>
    <definedName name="F_CUS_1">[27]CusStr!$I$160:$I$173</definedName>
    <definedName name="F_CUS_10">[27]CusStr!$I$1682:$I$1694</definedName>
    <definedName name="F_CUS_2">[27]CusStr!$I$330:$I$342</definedName>
    <definedName name="F_CUS_3">[27]CusStr!$I$499:$I$511</definedName>
    <definedName name="F_CUS_4">[27]CusStr!$I$668:$I$680</definedName>
    <definedName name="F_CUS_5">[27]CusStr!$I$837:$I$849</definedName>
    <definedName name="F_CUS_6">[27]CusStr!$I$1006:$I$1018</definedName>
    <definedName name="F_CUS_7">[27]CusStr!$I$1175:$I$1187</definedName>
    <definedName name="F_CUS_8">[27]CusStr!$I$1344:$I$1356</definedName>
    <definedName name="F_CUS_9">[27]CusStr!$I$1513:$I$1525</definedName>
    <definedName name="F_CUSI_1">[27]CusIn!$I$170:$I$183</definedName>
    <definedName name="F_CUSI_10">[27]CusIn!$I$1727:$I$1737</definedName>
    <definedName name="F_CUSI_2">[27]CusIn!$I$354:$I$369</definedName>
    <definedName name="F_CUSI_3">[27]CusIn!$I$529:$I$539</definedName>
    <definedName name="F_CUSI_4">[27]CusIn!$I$708:$I$718</definedName>
    <definedName name="F_CUSI_5">[27]CusIn!$I$892:$I$902</definedName>
    <definedName name="F_CUSI_6">[27]CusIn!$I$1059:$I$1069</definedName>
    <definedName name="F_CUSI_7">[27]CusIn!$I$1226:$I$1236</definedName>
    <definedName name="F_CUSI_8">[27]CusIn!$I$1393:$I$1403</definedName>
    <definedName name="F_CUSI_9">[27]CusIn!$I$1560:$I$1570</definedName>
    <definedName name="F_DC_MG">'[27]CC BPT DC IC'!$U$1014:$U$1089</definedName>
    <definedName name="F_DC_MP">'[27]CC BPT DC IC'!$U$1095:$U$1176</definedName>
    <definedName name="F_FCT1_5G">[27]FctH!$S$73:$S$124</definedName>
    <definedName name="F_FCT1_5P">[27]FctH!$S$364:$S$410</definedName>
    <definedName name="F_FCT10G">[27]FctH!$S$248:$S$300</definedName>
    <definedName name="F_FCT10P">[27]FctH!$S$520:$S$566</definedName>
    <definedName name="F_FCT2_5G">[27]FctH!$S$131:$S$183</definedName>
    <definedName name="F_FCT2_5P">[27]FctH!$S$416:$S$462</definedName>
    <definedName name="F_FCT20G">[27]FctH!$S$306:$S$358</definedName>
    <definedName name="F_FCT20P">[27]FctH!$S$572:$S$618</definedName>
    <definedName name="F_FCT5_0G">[27]FctH!$S$190:$S$242</definedName>
    <definedName name="F_FCT5_0P">[27]FctH!$S$468:$S$514</definedName>
    <definedName name="F_FCTO10G">[27]FctO!$E$1042:$E$1142</definedName>
    <definedName name="F_FCTO12G">[27]FctO!$E$1149:$E$1251</definedName>
    <definedName name="F_FCTO14G">[27]FctO!$E$1258:$E$1360</definedName>
    <definedName name="F_FCTO16G">[27]FctO!$E$1367:$E$1469</definedName>
    <definedName name="F_FCTO18G">[27]FctO!$E$1476:$E$1580</definedName>
    <definedName name="F_FCTO1G">[27]FctO!$E$74:$E$173</definedName>
    <definedName name="F_FCTO20G">[27]FctO!$E$1587:$E$1686</definedName>
    <definedName name="F_FCTO2G">[27]FctO!$E$180:$E$279</definedName>
    <definedName name="F_FCTO3G">[27]FctO!$E$286:$E$388</definedName>
    <definedName name="F_FCTO4G">[27]FctO!$E$395:$E$496</definedName>
    <definedName name="F_FCTO5G">[27]FctO!$E$503:$E$603</definedName>
    <definedName name="F_FCTO6G">[27]FctO!$E$610:$E$711</definedName>
    <definedName name="F_FCTO7G">[27]FctO!$E$718:$E$819</definedName>
    <definedName name="F_FCTO8G">[27]FctO!$E$826:$E$926</definedName>
    <definedName name="F_FCTO9G">[27]FctO!$E$933:$E$1035</definedName>
    <definedName name="F_FCTT1_5G">[27]FctTap!$E$76:$E$119</definedName>
    <definedName name="F_FCTT1_5P">[27]FctTap!$E$226:$E$263</definedName>
    <definedName name="F_FCTT2_5G">[27]FctTap!$E$126:$E$169</definedName>
    <definedName name="F_FCTT2_5P">[27]FctTap!$E$271:$E$309</definedName>
    <definedName name="F_FCTT5_0G">[27]FctTap!$E$176:$E$219</definedName>
    <definedName name="F_FCTT5_0P">[27]FctTap!$E$316:$E$353</definedName>
    <definedName name="F_IC_MG">'[27]CC BPT DC IC'!$U$652:$U$741</definedName>
    <definedName name="F_IC_MP">'[27]CC BPT DC IC'!$U$747:$U$839</definedName>
    <definedName name="F_IC_PG">'[27]CC BPT DC IC'!$U$845:$U$928</definedName>
    <definedName name="F_IC_PP">'[27]CC BPT DC IC'!$U$934:$U$1008</definedName>
    <definedName name="F_PL">[27]DataPT!$I$57:$I$84</definedName>
    <definedName name="F_STG">[27]STank!$E$77:$E$150</definedName>
    <definedName name="F_SVC_MG">[27]VC!$T$176:$T$214</definedName>
    <definedName name="F_SVC_MP">[27]VC!$T$220:$T$267</definedName>
    <definedName name="F_SVC_PG">[27]VC!$T$273:$T$311</definedName>
    <definedName name="F_SVC_PP">[27]VC!$T$317:$T$355</definedName>
    <definedName name="F_TAP_AG">[27]Taps!$S$76:$S$99</definedName>
    <definedName name="F_TAP_AP">[27]Taps!$S$192:$S$215</definedName>
    <definedName name="F_TAP_BG">[27]Taps!$S$105:$S$128</definedName>
    <definedName name="F_TAP_BP">[27]Taps!$S$221:$S$244</definedName>
    <definedName name="F_TAP_CG">[27]Taps!$S$134:$S$157</definedName>
    <definedName name="F_TAP_CP">[27]Taps!$S$250:$S$273</definedName>
    <definedName name="F_TAP_MG">[27]Taps!$S$163:$S$186</definedName>
    <definedName name="F_TAP_MP">[27]Taps!$S$279:$S$302</definedName>
    <definedName name="F_TAP_RG">[27]Taps!$S$308:$S$331</definedName>
    <definedName name="F_TAP_RP">[27]Taps!$S$337:$S$360</definedName>
    <definedName name="F_TYPI_1">[27]TypIn!$I$206:$I$216</definedName>
    <definedName name="F_TYPI_2">[27]TypIn!$I$419:$I$429</definedName>
    <definedName name="F_TYPI_3">[27]TypIn!$I$632:$I$642</definedName>
    <definedName name="F_TYPI_4">[27]TypIn!$I$845:$I$855</definedName>
    <definedName name="F_TYPI_5">[27]TypIn!$I$1058:$I$1068</definedName>
    <definedName name="F_WVC_MG">[27]VC!$T$361:$T$409</definedName>
    <definedName name="F_WVC_MP">[27]VC!$T$415:$T$471</definedName>
    <definedName name="F_WVC_PG">[27]VC!$T$477:$T$525</definedName>
    <definedName name="F_WVC_PP">[27]VC!$T$531:$T$587</definedName>
    <definedName name="FA" localSheetId="30">#REF!</definedName>
    <definedName name="FA" localSheetId="25">#REF!</definedName>
    <definedName name="FA" localSheetId="28">#REF!</definedName>
    <definedName name="FA" localSheetId="29">#REF!</definedName>
    <definedName name="FA" localSheetId="12">#REF!</definedName>
    <definedName name="FA" localSheetId="43">#REF!</definedName>
    <definedName name="FA" localSheetId="42">#REF!</definedName>
    <definedName name="FA" localSheetId="27">#REF!</definedName>
    <definedName name="FA" localSheetId="45">#REF!</definedName>
    <definedName name="FA">#REF!</definedName>
    <definedName name="fasdas">[19]Rates!$D$62</definedName>
    <definedName name="FCT" localSheetId="30">#REF!</definedName>
    <definedName name="FCT" localSheetId="25">#REF!</definedName>
    <definedName name="FCT" localSheetId="28">#REF!</definedName>
    <definedName name="FCT" localSheetId="29">#REF!</definedName>
    <definedName name="FCT" localSheetId="12">#REF!</definedName>
    <definedName name="FCT" localSheetId="43">#REF!</definedName>
    <definedName name="FCT" localSheetId="42">#REF!</definedName>
    <definedName name="FCT" localSheetId="27">#REF!</definedName>
    <definedName name="FCT" localSheetId="45">#REF!</definedName>
    <definedName name="FCT">#REF!</definedName>
    <definedName name="FCTT1_5GN">[27]FctTap!$E$73</definedName>
    <definedName name="FCTT1_5PN">[27]FctTap!$E$223</definedName>
    <definedName name="FCTT2_5GN">[27]FctTap!$E$123</definedName>
    <definedName name="FCTT2_5PN">[27]FctTap!$E$268</definedName>
    <definedName name="FCTT5GN">[27]FctTap!$E$173</definedName>
    <definedName name="FCTT5PN">[27]FctTap!$E$313</definedName>
    <definedName name="Fe_32" localSheetId="30">#REF!</definedName>
    <definedName name="Fe_32" localSheetId="25">#REF!</definedName>
    <definedName name="Fe_32" localSheetId="28">#REF!</definedName>
    <definedName name="Fe_32" localSheetId="29">#REF!</definedName>
    <definedName name="Fe_32" localSheetId="12">#REF!</definedName>
    <definedName name="Fe_32" localSheetId="43">#REF!</definedName>
    <definedName name="Fe_32" localSheetId="42">#REF!</definedName>
    <definedName name="Fe_32" localSheetId="27">#REF!</definedName>
    <definedName name="Fe_32" localSheetId="45">#REF!</definedName>
    <definedName name="Fe_32">#REF!</definedName>
    <definedName name="FFFF" hidden="1">[33]PipeDesign!$D$25:$D$26</definedName>
    <definedName name="fffff" localSheetId="30" hidden="1">[15]DRates!#REF!</definedName>
    <definedName name="fffff" localSheetId="25" hidden="1">[15]DRates!#REF!</definedName>
    <definedName name="fffff" localSheetId="28" hidden="1">[15]DRates!#REF!</definedName>
    <definedName name="fffff" localSheetId="29" hidden="1">[15]DRates!#REF!</definedName>
    <definedName name="fffff" localSheetId="12" hidden="1">[15]DRates!#REF!</definedName>
    <definedName name="fffff" localSheetId="43" hidden="1">[15]DRates!#REF!</definedName>
    <definedName name="fffff" localSheetId="42" hidden="1">[15]DRates!#REF!</definedName>
    <definedName name="fffff" localSheetId="27" hidden="1">[15]DRates!#REF!</definedName>
    <definedName name="fffff" localSheetId="45" hidden="1">[15]DRates!#REF!</definedName>
    <definedName name="fffff" hidden="1">[15]DRates!#REF!</definedName>
    <definedName name="FH" localSheetId="30">#REF!</definedName>
    <definedName name="FH" localSheetId="25">#REF!</definedName>
    <definedName name="FH" localSheetId="28">#REF!</definedName>
    <definedName name="FH" localSheetId="29">#REF!</definedName>
    <definedName name="FH" localSheetId="12">#REF!</definedName>
    <definedName name="FH" localSheetId="43">#REF!</definedName>
    <definedName name="FH" localSheetId="42">#REF!</definedName>
    <definedName name="FH" localSheetId="27">#REF!</definedName>
    <definedName name="FH" localSheetId="45">#REF!</definedName>
    <definedName name="FH">#REF!</definedName>
    <definedName name="FR" localSheetId="30">#REF!</definedName>
    <definedName name="FR" localSheetId="25">#REF!</definedName>
    <definedName name="FR" localSheetId="28">#REF!</definedName>
    <definedName name="FR" localSheetId="29">#REF!</definedName>
    <definedName name="FR" localSheetId="12">#REF!</definedName>
    <definedName name="FR" localSheetId="43">#REF!</definedName>
    <definedName name="FR" localSheetId="42">#REF!</definedName>
    <definedName name="FR" localSheetId="27">#REF!</definedName>
    <definedName name="FR" localSheetId="45">#REF!</definedName>
    <definedName name="FR">#REF!</definedName>
    <definedName name="fuel">[8]DRates!$J$46</definedName>
    <definedName name="FV" localSheetId="30">#REF!</definedName>
    <definedName name="FV" localSheetId="25">#REF!</definedName>
    <definedName name="FV" localSheetId="28">#REF!</definedName>
    <definedName name="FV" localSheetId="29">#REF!</definedName>
    <definedName name="FV" localSheetId="12">#REF!</definedName>
    <definedName name="FV" localSheetId="43">#REF!</definedName>
    <definedName name="FV" localSheetId="42">#REF!</definedName>
    <definedName name="FV" localSheetId="27">#REF!</definedName>
    <definedName name="FV" localSheetId="45">#REF!</definedName>
    <definedName name="FV">#REF!</definedName>
    <definedName name="FV_1" localSheetId="30">#REF!</definedName>
    <definedName name="FV_1" localSheetId="25">#REF!</definedName>
    <definedName name="FV_1" localSheetId="28">#REF!</definedName>
    <definedName name="FV_1" localSheetId="29">#REF!</definedName>
    <definedName name="FV_1" localSheetId="12">#REF!</definedName>
    <definedName name="FV_1" localSheetId="43">#REF!</definedName>
    <definedName name="FV_1" localSheetId="42">#REF!</definedName>
    <definedName name="FV_1" localSheetId="27">#REF!</definedName>
    <definedName name="FV_1" localSheetId="45">#REF!</definedName>
    <definedName name="FV_1">#REF!</definedName>
    <definedName name="FV_2" localSheetId="30">#REF!</definedName>
    <definedName name="FV_2" localSheetId="25">#REF!</definedName>
    <definedName name="FV_2" localSheetId="28">#REF!</definedName>
    <definedName name="FV_2" localSheetId="29">#REF!</definedName>
    <definedName name="FV_2" localSheetId="12">#REF!</definedName>
    <definedName name="FV_2" localSheetId="43">#REF!</definedName>
    <definedName name="FV_2" localSheetId="42">#REF!</definedName>
    <definedName name="FV_2" localSheetId="27">#REF!</definedName>
    <definedName name="FV_2" localSheetId="45">#REF!</definedName>
    <definedName name="FV_2">#REF!</definedName>
    <definedName name="FV_3" localSheetId="30">#REF!</definedName>
    <definedName name="FV_3" localSheetId="25">#REF!</definedName>
    <definedName name="FV_3" localSheetId="28">#REF!</definedName>
    <definedName name="FV_3" localSheetId="29">#REF!</definedName>
    <definedName name="FV_3" localSheetId="12">#REF!</definedName>
    <definedName name="FV_3" localSheetId="43">#REF!</definedName>
    <definedName name="FV_3" localSheetId="42">#REF!</definedName>
    <definedName name="FV_3" localSheetId="27">#REF!</definedName>
    <definedName name="FV_3" localSheetId="45">#REF!</definedName>
    <definedName name="FV_3">#REF!</definedName>
    <definedName name="FV_4" localSheetId="30">#REF!</definedName>
    <definedName name="FV_4" localSheetId="25">#REF!</definedName>
    <definedName name="FV_4" localSheetId="28">#REF!</definedName>
    <definedName name="FV_4" localSheetId="29">#REF!</definedName>
    <definedName name="FV_4" localSheetId="12">#REF!</definedName>
    <definedName name="FV_4" localSheetId="43">#REF!</definedName>
    <definedName name="FV_4" localSheetId="42">#REF!</definedName>
    <definedName name="FV_4" localSheetId="27">#REF!</definedName>
    <definedName name="FV_4" localSheetId="45">#REF!</definedName>
    <definedName name="FV_4">#REF!</definedName>
    <definedName name="FV_5" localSheetId="30">#REF!</definedName>
    <definedName name="FV_5" localSheetId="25">#REF!</definedName>
    <definedName name="FV_5" localSheetId="28">#REF!</definedName>
    <definedName name="FV_5" localSheetId="29">#REF!</definedName>
    <definedName name="FV_5" localSheetId="12">#REF!</definedName>
    <definedName name="FV_5" localSheetId="43">#REF!</definedName>
    <definedName name="FV_5" localSheetId="42">#REF!</definedName>
    <definedName name="FV_5" localSheetId="27">#REF!</definedName>
    <definedName name="FV_5" localSheetId="45">#REF!</definedName>
    <definedName name="FV_5">#REF!</definedName>
    <definedName name="FV_6" localSheetId="30">#REF!</definedName>
    <definedName name="FV_6" localSheetId="25">#REF!</definedName>
    <definedName name="FV_6" localSheetId="28">#REF!</definedName>
    <definedName name="FV_6" localSheetId="29">#REF!</definedName>
    <definedName name="FV_6" localSheetId="12">#REF!</definedName>
    <definedName name="FV_6" localSheetId="43">#REF!</definedName>
    <definedName name="FV_6" localSheetId="42">#REF!</definedName>
    <definedName name="FV_6" localSheetId="27">#REF!</definedName>
    <definedName name="FV_6" localSheetId="45">#REF!</definedName>
    <definedName name="FV_6">#REF!</definedName>
    <definedName name="FY" localSheetId="30" hidden="1">[28]Data!#REF!</definedName>
    <definedName name="FY" localSheetId="25" hidden="1">[28]Data!#REF!</definedName>
    <definedName name="FY" localSheetId="28" hidden="1">[28]Data!#REF!</definedName>
    <definedName name="FY" localSheetId="29" hidden="1">[28]Data!#REF!</definedName>
    <definedName name="FY" localSheetId="12" hidden="1">[28]Data!#REF!</definedName>
    <definedName name="FY" localSheetId="43" hidden="1">[28]Data!#REF!</definedName>
    <definedName name="FY" localSheetId="42" hidden="1">[28]Data!#REF!</definedName>
    <definedName name="FY" localSheetId="27" hidden="1">[28]Data!#REF!</definedName>
    <definedName name="FY" localSheetId="45" hidden="1">[28]Data!#REF!</definedName>
    <definedName name="FY" hidden="1">[28]Data!#REF!</definedName>
    <definedName name="GabionH12">[19]Rates!$D$42</definedName>
    <definedName name="GB_100" localSheetId="30">#REF!</definedName>
    <definedName name="GB_100" localSheetId="25">#REF!</definedName>
    <definedName name="GB_100" localSheetId="28">#REF!</definedName>
    <definedName name="GB_100" localSheetId="29">#REF!</definedName>
    <definedName name="GB_100" localSheetId="12">#REF!</definedName>
    <definedName name="GB_100" localSheetId="43">#REF!</definedName>
    <definedName name="GB_100" localSheetId="42">#REF!</definedName>
    <definedName name="GB_100" localSheetId="27">#REF!</definedName>
    <definedName name="GB_100" localSheetId="45">#REF!</definedName>
    <definedName name="GB_100">#REF!</definedName>
    <definedName name="GB_125" localSheetId="30">#REF!</definedName>
    <definedName name="GB_125" localSheetId="25">#REF!</definedName>
    <definedName name="GB_125" localSheetId="28">#REF!</definedName>
    <definedName name="GB_125" localSheetId="29">#REF!</definedName>
    <definedName name="GB_125" localSheetId="12">#REF!</definedName>
    <definedName name="GB_125" localSheetId="43">#REF!</definedName>
    <definedName name="GB_125" localSheetId="42">#REF!</definedName>
    <definedName name="GB_125" localSheetId="27">#REF!</definedName>
    <definedName name="GB_125" localSheetId="45">#REF!</definedName>
    <definedName name="GB_125">#REF!</definedName>
    <definedName name="GB_150" localSheetId="30">#REF!</definedName>
    <definedName name="GB_150" localSheetId="25">#REF!</definedName>
    <definedName name="GB_150" localSheetId="28">#REF!</definedName>
    <definedName name="GB_150" localSheetId="29">#REF!</definedName>
    <definedName name="GB_150" localSheetId="12">#REF!</definedName>
    <definedName name="GB_150" localSheetId="43">#REF!</definedName>
    <definedName name="GB_150" localSheetId="42">#REF!</definedName>
    <definedName name="GB_150" localSheetId="27">#REF!</definedName>
    <definedName name="GB_150" localSheetId="45">#REF!</definedName>
    <definedName name="GB_150">#REF!</definedName>
    <definedName name="GB_25" localSheetId="30">#REF!</definedName>
    <definedName name="GB_25" localSheetId="25">#REF!</definedName>
    <definedName name="GB_25" localSheetId="28">#REF!</definedName>
    <definedName name="GB_25" localSheetId="29">#REF!</definedName>
    <definedName name="GB_25" localSheetId="12">#REF!</definedName>
    <definedName name="GB_25" localSheetId="43">#REF!</definedName>
    <definedName name="GB_25" localSheetId="42">#REF!</definedName>
    <definedName name="GB_25" localSheetId="27">#REF!</definedName>
    <definedName name="GB_25" localSheetId="45">#REF!</definedName>
    <definedName name="GB_25">#REF!</definedName>
    <definedName name="GB_32" localSheetId="30">#REF!</definedName>
    <definedName name="GB_32" localSheetId="25">#REF!</definedName>
    <definedName name="GB_32" localSheetId="28">#REF!</definedName>
    <definedName name="GB_32" localSheetId="29">#REF!</definedName>
    <definedName name="GB_32" localSheetId="12">#REF!</definedName>
    <definedName name="GB_32" localSheetId="43">#REF!</definedName>
    <definedName name="GB_32" localSheetId="42">#REF!</definedName>
    <definedName name="GB_32" localSheetId="27">#REF!</definedName>
    <definedName name="GB_32" localSheetId="45">#REF!</definedName>
    <definedName name="GB_32">#REF!</definedName>
    <definedName name="GB_40" localSheetId="30">#REF!</definedName>
    <definedName name="GB_40" localSheetId="25">#REF!</definedName>
    <definedName name="GB_40" localSheetId="28">#REF!</definedName>
    <definedName name="GB_40" localSheetId="29">#REF!</definedName>
    <definedName name="GB_40" localSheetId="12">#REF!</definedName>
    <definedName name="GB_40" localSheetId="43">#REF!</definedName>
    <definedName name="GB_40" localSheetId="42">#REF!</definedName>
    <definedName name="GB_40" localSheetId="27">#REF!</definedName>
    <definedName name="GB_40" localSheetId="45">#REF!</definedName>
    <definedName name="GB_40">#REF!</definedName>
    <definedName name="GB_50" localSheetId="30">#REF!</definedName>
    <definedName name="GB_50" localSheetId="25">#REF!</definedName>
    <definedName name="GB_50" localSheetId="28">#REF!</definedName>
    <definedName name="GB_50" localSheetId="29">#REF!</definedName>
    <definedName name="GB_50" localSheetId="12">#REF!</definedName>
    <definedName name="GB_50" localSheetId="43">#REF!</definedName>
    <definedName name="GB_50" localSheetId="42">#REF!</definedName>
    <definedName name="GB_50" localSheetId="27">#REF!</definedName>
    <definedName name="GB_50" localSheetId="45">#REF!</definedName>
    <definedName name="GB_50">#REF!</definedName>
    <definedName name="GB_65" localSheetId="30">#REF!</definedName>
    <definedName name="GB_65" localSheetId="25">#REF!</definedName>
    <definedName name="GB_65" localSheetId="28">#REF!</definedName>
    <definedName name="GB_65" localSheetId="29">#REF!</definedName>
    <definedName name="GB_65" localSheetId="12">#REF!</definedName>
    <definedName name="GB_65" localSheetId="43">#REF!</definedName>
    <definedName name="GB_65" localSheetId="42">#REF!</definedName>
    <definedName name="GB_65" localSheetId="27">#REF!</definedName>
    <definedName name="GB_65" localSheetId="45">#REF!</definedName>
    <definedName name="GB_65">#REF!</definedName>
    <definedName name="GB_80" localSheetId="30">#REF!</definedName>
    <definedName name="GB_80" localSheetId="25">#REF!</definedName>
    <definedName name="GB_80" localSheetId="28">#REF!</definedName>
    <definedName name="GB_80" localSheetId="29">#REF!</definedName>
    <definedName name="GB_80" localSheetId="12">#REF!</definedName>
    <definedName name="GB_80" localSheetId="43">#REF!</definedName>
    <definedName name="GB_80" localSheetId="42">#REF!</definedName>
    <definedName name="GB_80" localSheetId="27">#REF!</definedName>
    <definedName name="GB_80" localSheetId="45">#REF!</definedName>
    <definedName name="GB_80">#REF!</definedName>
    <definedName name="GC_15" localSheetId="30">#REF!</definedName>
    <definedName name="GC_15" localSheetId="25">#REF!</definedName>
    <definedName name="GC_15" localSheetId="28">#REF!</definedName>
    <definedName name="GC_15" localSheetId="29">#REF!</definedName>
    <definedName name="GC_15" localSheetId="12">#REF!</definedName>
    <definedName name="GC_15" localSheetId="43">#REF!</definedName>
    <definedName name="GC_15" localSheetId="42">#REF!</definedName>
    <definedName name="GC_15" localSheetId="27">#REF!</definedName>
    <definedName name="GC_15" localSheetId="45">#REF!</definedName>
    <definedName name="GC_15">#REF!</definedName>
    <definedName name="GC_25" localSheetId="30">#REF!</definedName>
    <definedName name="GC_25" localSheetId="25">#REF!</definedName>
    <definedName name="GC_25" localSheetId="28">#REF!</definedName>
    <definedName name="GC_25" localSheetId="29">#REF!</definedName>
    <definedName name="GC_25" localSheetId="12">#REF!</definedName>
    <definedName name="GC_25" localSheetId="43">#REF!</definedName>
    <definedName name="GC_25" localSheetId="42">#REF!</definedName>
    <definedName name="GC_25" localSheetId="27">#REF!</definedName>
    <definedName name="GC_25" localSheetId="45">#REF!</definedName>
    <definedName name="GC_25">#REF!</definedName>
    <definedName name="GC_32" localSheetId="30">#REF!</definedName>
    <definedName name="GC_32" localSheetId="25">#REF!</definedName>
    <definedName name="GC_32" localSheetId="28">#REF!</definedName>
    <definedName name="GC_32" localSheetId="29">#REF!</definedName>
    <definedName name="GC_32" localSheetId="12">#REF!</definedName>
    <definedName name="GC_32" localSheetId="43">#REF!</definedName>
    <definedName name="GC_32" localSheetId="42">#REF!</definedName>
    <definedName name="GC_32" localSheetId="27">#REF!</definedName>
    <definedName name="GC_32" localSheetId="45">#REF!</definedName>
    <definedName name="GC_32">#REF!</definedName>
    <definedName name="GC_40" localSheetId="30">#REF!</definedName>
    <definedName name="GC_40" localSheetId="25">#REF!</definedName>
    <definedName name="GC_40" localSheetId="28">#REF!</definedName>
    <definedName name="GC_40" localSheetId="29">#REF!</definedName>
    <definedName name="GC_40" localSheetId="12">#REF!</definedName>
    <definedName name="GC_40" localSheetId="43">#REF!</definedName>
    <definedName name="GC_40" localSheetId="42">#REF!</definedName>
    <definedName name="GC_40" localSheetId="27">#REF!</definedName>
    <definedName name="GC_40" localSheetId="45">#REF!</definedName>
    <definedName name="GC_40">#REF!</definedName>
    <definedName name="GE_100" localSheetId="30">#REF!</definedName>
    <definedName name="GE_100" localSheetId="25">#REF!</definedName>
    <definedName name="GE_100" localSheetId="28">#REF!</definedName>
    <definedName name="GE_100" localSheetId="29">#REF!</definedName>
    <definedName name="GE_100" localSheetId="12">#REF!</definedName>
    <definedName name="GE_100" localSheetId="43">#REF!</definedName>
    <definedName name="GE_100" localSheetId="42">#REF!</definedName>
    <definedName name="GE_100" localSheetId="27">#REF!</definedName>
    <definedName name="GE_100" localSheetId="45">#REF!</definedName>
    <definedName name="GE_100">#REF!</definedName>
    <definedName name="GE_125" localSheetId="30">#REF!</definedName>
    <definedName name="GE_125" localSheetId="25">#REF!</definedName>
    <definedName name="GE_125" localSheetId="28">#REF!</definedName>
    <definedName name="GE_125" localSheetId="29">#REF!</definedName>
    <definedName name="GE_125" localSheetId="12">#REF!</definedName>
    <definedName name="GE_125" localSheetId="43">#REF!</definedName>
    <definedName name="GE_125" localSheetId="42">#REF!</definedName>
    <definedName name="GE_125" localSheetId="27">#REF!</definedName>
    <definedName name="GE_125" localSheetId="45">#REF!</definedName>
    <definedName name="GE_125">#REF!</definedName>
    <definedName name="GE_15" localSheetId="30">#REF!</definedName>
    <definedName name="GE_15" localSheetId="25">#REF!</definedName>
    <definedName name="GE_15" localSheetId="28">#REF!</definedName>
    <definedName name="GE_15" localSheetId="29">#REF!</definedName>
    <definedName name="GE_15" localSheetId="12">#REF!</definedName>
    <definedName name="GE_15" localSheetId="43">#REF!</definedName>
    <definedName name="GE_15" localSheetId="42">#REF!</definedName>
    <definedName name="GE_15" localSheetId="27">#REF!</definedName>
    <definedName name="GE_15" localSheetId="45">#REF!</definedName>
    <definedName name="GE_15">#REF!</definedName>
    <definedName name="GE_150" localSheetId="30">#REF!</definedName>
    <definedName name="GE_150" localSheetId="25">#REF!</definedName>
    <definedName name="GE_150" localSheetId="28">#REF!</definedName>
    <definedName name="GE_150" localSheetId="29">#REF!</definedName>
    <definedName name="GE_150" localSheetId="12">#REF!</definedName>
    <definedName name="GE_150" localSheetId="43">#REF!</definedName>
    <definedName name="GE_150" localSheetId="42">#REF!</definedName>
    <definedName name="GE_150" localSheetId="27">#REF!</definedName>
    <definedName name="GE_150" localSheetId="45">#REF!</definedName>
    <definedName name="GE_150">#REF!</definedName>
    <definedName name="GE_20" localSheetId="30">#REF!</definedName>
    <definedName name="GE_20" localSheetId="25">#REF!</definedName>
    <definedName name="GE_20" localSheetId="28">#REF!</definedName>
    <definedName name="GE_20" localSheetId="29">#REF!</definedName>
    <definedName name="GE_20" localSheetId="12">#REF!</definedName>
    <definedName name="GE_20" localSheetId="43">#REF!</definedName>
    <definedName name="GE_20" localSheetId="42">#REF!</definedName>
    <definedName name="GE_20" localSheetId="27">#REF!</definedName>
    <definedName name="GE_20" localSheetId="45">#REF!</definedName>
    <definedName name="GE_20">#REF!</definedName>
    <definedName name="GE_25" localSheetId="30">#REF!</definedName>
    <definedName name="GE_25" localSheetId="25">#REF!</definedName>
    <definedName name="GE_25" localSheetId="28">#REF!</definedName>
    <definedName name="GE_25" localSheetId="29">#REF!</definedName>
    <definedName name="GE_25" localSheetId="12">#REF!</definedName>
    <definedName name="GE_25" localSheetId="43">#REF!</definedName>
    <definedName name="GE_25" localSheetId="42">#REF!</definedName>
    <definedName name="GE_25" localSheetId="27">#REF!</definedName>
    <definedName name="GE_25" localSheetId="45">#REF!</definedName>
    <definedName name="GE_25">#REF!</definedName>
    <definedName name="GE_32" localSheetId="30">#REF!</definedName>
    <definedName name="GE_32" localSheetId="25">#REF!</definedName>
    <definedName name="GE_32" localSheetId="28">#REF!</definedName>
    <definedName name="GE_32" localSheetId="29">#REF!</definedName>
    <definedName name="GE_32" localSheetId="12">#REF!</definedName>
    <definedName name="GE_32" localSheetId="43">#REF!</definedName>
    <definedName name="GE_32" localSheetId="42">#REF!</definedName>
    <definedName name="GE_32" localSheetId="27">#REF!</definedName>
    <definedName name="GE_32" localSheetId="45">#REF!</definedName>
    <definedName name="GE_32">#REF!</definedName>
    <definedName name="GE_40" localSheetId="30">#REF!</definedName>
    <definedName name="GE_40" localSheetId="25">#REF!</definedName>
    <definedName name="GE_40" localSheetId="28">#REF!</definedName>
    <definedName name="GE_40" localSheetId="29">#REF!</definedName>
    <definedName name="GE_40" localSheetId="12">#REF!</definedName>
    <definedName name="GE_40" localSheetId="43">#REF!</definedName>
    <definedName name="GE_40" localSheetId="42">#REF!</definedName>
    <definedName name="GE_40" localSheetId="27">#REF!</definedName>
    <definedName name="GE_40" localSheetId="45">#REF!</definedName>
    <definedName name="GE_40">#REF!</definedName>
    <definedName name="GE_50" localSheetId="30">#REF!</definedName>
    <definedName name="GE_50" localSheetId="25">#REF!</definedName>
    <definedName name="GE_50" localSheetId="28">#REF!</definedName>
    <definedName name="GE_50" localSheetId="29">#REF!</definedName>
    <definedName name="GE_50" localSheetId="12">#REF!</definedName>
    <definedName name="GE_50" localSheetId="43">#REF!</definedName>
    <definedName name="GE_50" localSheetId="42">#REF!</definedName>
    <definedName name="GE_50" localSheetId="27">#REF!</definedName>
    <definedName name="GE_50" localSheetId="45">#REF!</definedName>
    <definedName name="GE_50">#REF!</definedName>
    <definedName name="GE_65" localSheetId="30">#REF!</definedName>
    <definedName name="GE_65" localSheetId="25">#REF!</definedName>
    <definedName name="GE_65" localSheetId="28">#REF!</definedName>
    <definedName name="GE_65" localSheetId="29">#REF!</definedName>
    <definedName name="GE_65" localSheetId="12">#REF!</definedName>
    <definedName name="GE_65" localSheetId="43">#REF!</definedName>
    <definedName name="GE_65" localSheetId="42">#REF!</definedName>
    <definedName name="GE_65" localSheetId="27">#REF!</definedName>
    <definedName name="GE_65" localSheetId="45">#REF!</definedName>
    <definedName name="GE_65">#REF!</definedName>
    <definedName name="GE_80" localSheetId="30">#REF!</definedName>
    <definedName name="GE_80" localSheetId="25">#REF!</definedName>
    <definedName name="GE_80" localSheetId="28">#REF!</definedName>
    <definedName name="GE_80" localSheetId="29">#REF!</definedName>
    <definedName name="GE_80" localSheetId="12">#REF!</definedName>
    <definedName name="GE_80" localSheetId="43">#REF!</definedName>
    <definedName name="GE_80" localSheetId="42">#REF!</definedName>
    <definedName name="GE_80" localSheetId="27">#REF!</definedName>
    <definedName name="GE_80" localSheetId="45">#REF!</definedName>
    <definedName name="GE_80">#REF!</definedName>
    <definedName name="Geo">[5]DR!$D$40</definedName>
    <definedName name="GeoTextile">[19]Rates!$D$58</definedName>
    <definedName name="Geotextile_sqm_M">[23]Transport_Cost_F!$D$13</definedName>
    <definedName name="GEP_100" localSheetId="30">#REF!</definedName>
    <definedName name="GEP_100" localSheetId="25">#REF!</definedName>
    <definedName name="GEP_100" localSheetId="28">#REF!</definedName>
    <definedName name="GEP_100" localSheetId="29">#REF!</definedName>
    <definedName name="GEP_100" localSheetId="12">#REF!</definedName>
    <definedName name="GEP_100" localSheetId="43">#REF!</definedName>
    <definedName name="GEP_100" localSheetId="42">#REF!</definedName>
    <definedName name="GEP_100" localSheetId="27">#REF!</definedName>
    <definedName name="GEP_100" localSheetId="45">#REF!</definedName>
    <definedName name="GEP_100">#REF!</definedName>
    <definedName name="GEP_125" localSheetId="30">#REF!</definedName>
    <definedName name="GEP_125" localSheetId="25">#REF!</definedName>
    <definedName name="GEP_125" localSheetId="28">#REF!</definedName>
    <definedName name="GEP_125" localSheetId="29">#REF!</definedName>
    <definedName name="GEP_125" localSheetId="12">#REF!</definedName>
    <definedName name="GEP_125" localSheetId="43">#REF!</definedName>
    <definedName name="GEP_125" localSheetId="42">#REF!</definedName>
    <definedName name="GEP_125" localSheetId="27">#REF!</definedName>
    <definedName name="GEP_125" localSheetId="45">#REF!</definedName>
    <definedName name="GEP_125">#REF!</definedName>
    <definedName name="GEP_15" localSheetId="30">#REF!</definedName>
    <definedName name="GEP_15" localSheetId="25">#REF!</definedName>
    <definedName name="GEP_15" localSheetId="28">#REF!</definedName>
    <definedName name="GEP_15" localSheetId="29">#REF!</definedName>
    <definedName name="GEP_15" localSheetId="12">#REF!</definedName>
    <definedName name="GEP_15" localSheetId="43">#REF!</definedName>
    <definedName name="GEP_15" localSheetId="42">#REF!</definedName>
    <definedName name="GEP_15" localSheetId="27">#REF!</definedName>
    <definedName name="GEP_15" localSheetId="45">#REF!</definedName>
    <definedName name="GEP_15">#REF!</definedName>
    <definedName name="GEP_50" localSheetId="30">#REF!</definedName>
    <definedName name="GEP_50" localSheetId="25">#REF!</definedName>
    <definedName name="GEP_50" localSheetId="28">#REF!</definedName>
    <definedName name="GEP_50" localSheetId="29">#REF!</definedName>
    <definedName name="GEP_50" localSheetId="12">#REF!</definedName>
    <definedName name="GEP_50" localSheetId="43">#REF!</definedName>
    <definedName name="GEP_50" localSheetId="42">#REF!</definedName>
    <definedName name="GEP_50" localSheetId="27">#REF!</definedName>
    <definedName name="GEP_50" localSheetId="45">#REF!</definedName>
    <definedName name="GEP_50">#REF!</definedName>
    <definedName name="GEP_65" localSheetId="30">#REF!</definedName>
    <definedName name="GEP_65" localSheetId="25">#REF!</definedName>
    <definedName name="GEP_65" localSheetId="28">#REF!</definedName>
    <definedName name="GEP_65" localSheetId="29">#REF!</definedName>
    <definedName name="GEP_65" localSheetId="12">#REF!</definedName>
    <definedName name="GEP_65" localSheetId="43">#REF!</definedName>
    <definedName name="GEP_65" localSheetId="42">#REF!</definedName>
    <definedName name="GEP_65" localSheetId="27">#REF!</definedName>
    <definedName name="GEP_65" localSheetId="45">#REF!</definedName>
    <definedName name="GEP_65">#REF!</definedName>
    <definedName name="GEP_80" localSheetId="30">#REF!</definedName>
    <definedName name="GEP_80" localSheetId="25">#REF!</definedName>
    <definedName name="GEP_80" localSheetId="28">#REF!</definedName>
    <definedName name="GEP_80" localSheetId="29">#REF!</definedName>
    <definedName name="GEP_80" localSheetId="12">#REF!</definedName>
    <definedName name="GEP_80" localSheetId="43">#REF!</definedName>
    <definedName name="GEP_80" localSheetId="42">#REF!</definedName>
    <definedName name="GEP_80" localSheetId="27">#REF!</definedName>
    <definedName name="GEP_80" localSheetId="45">#REF!</definedName>
    <definedName name="GEP_80">#REF!</definedName>
    <definedName name="GET_100" localSheetId="30">#REF!</definedName>
    <definedName name="GET_100" localSheetId="25">#REF!</definedName>
    <definedName name="GET_100" localSheetId="28">#REF!</definedName>
    <definedName name="GET_100" localSheetId="29">#REF!</definedName>
    <definedName name="GET_100" localSheetId="12">#REF!</definedName>
    <definedName name="GET_100" localSheetId="43">#REF!</definedName>
    <definedName name="GET_100" localSheetId="42">#REF!</definedName>
    <definedName name="GET_100" localSheetId="27">#REF!</definedName>
    <definedName name="GET_100" localSheetId="45">#REF!</definedName>
    <definedName name="GET_100">#REF!</definedName>
    <definedName name="GET_125" localSheetId="30">#REF!</definedName>
    <definedName name="GET_125" localSheetId="25">#REF!</definedName>
    <definedName name="GET_125" localSheetId="28">#REF!</definedName>
    <definedName name="GET_125" localSheetId="29">#REF!</definedName>
    <definedName name="GET_125" localSheetId="12">#REF!</definedName>
    <definedName name="GET_125" localSheetId="43">#REF!</definedName>
    <definedName name="GET_125" localSheetId="42">#REF!</definedName>
    <definedName name="GET_125" localSheetId="27">#REF!</definedName>
    <definedName name="GET_125" localSheetId="45">#REF!</definedName>
    <definedName name="GET_125">#REF!</definedName>
    <definedName name="GET_15" localSheetId="30">#REF!</definedName>
    <definedName name="GET_15" localSheetId="25">#REF!</definedName>
    <definedName name="GET_15" localSheetId="28">#REF!</definedName>
    <definedName name="GET_15" localSheetId="29">#REF!</definedName>
    <definedName name="GET_15" localSheetId="12">#REF!</definedName>
    <definedName name="GET_15" localSheetId="43">#REF!</definedName>
    <definedName name="GET_15" localSheetId="42">#REF!</definedName>
    <definedName name="GET_15" localSheetId="27">#REF!</definedName>
    <definedName name="GET_15" localSheetId="45">#REF!</definedName>
    <definedName name="GET_15">#REF!</definedName>
    <definedName name="GET_150" localSheetId="30">#REF!</definedName>
    <definedName name="GET_150" localSheetId="25">#REF!</definedName>
    <definedName name="GET_150" localSheetId="28">#REF!</definedName>
    <definedName name="GET_150" localSheetId="29">#REF!</definedName>
    <definedName name="GET_150" localSheetId="12">#REF!</definedName>
    <definedName name="GET_150" localSheetId="43">#REF!</definedName>
    <definedName name="GET_150" localSheetId="42">#REF!</definedName>
    <definedName name="GET_150" localSheetId="27">#REF!</definedName>
    <definedName name="GET_150" localSheetId="45">#REF!</definedName>
    <definedName name="GET_150">#REF!</definedName>
    <definedName name="GET_20" localSheetId="30">#REF!</definedName>
    <definedName name="GET_20" localSheetId="25">#REF!</definedName>
    <definedName name="GET_20" localSheetId="28">#REF!</definedName>
    <definedName name="GET_20" localSheetId="29">#REF!</definedName>
    <definedName name="GET_20" localSheetId="12">#REF!</definedName>
    <definedName name="GET_20" localSheetId="43">#REF!</definedName>
    <definedName name="GET_20" localSheetId="42">#REF!</definedName>
    <definedName name="GET_20" localSheetId="27">#REF!</definedName>
    <definedName name="GET_20" localSheetId="45">#REF!</definedName>
    <definedName name="GET_20">#REF!</definedName>
    <definedName name="GET_25" localSheetId="30">#REF!</definedName>
    <definedName name="GET_25" localSheetId="25">#REF!</definedName>
    <definedName name="GET_25" localSheetId="28">#REF!</definedName>
    <definedName name="GET_25" localSheetId="29">#REF!</definedName>
    <definedName name="GET_25" localSheetId="12">#REF!</definedName>
    <definedName name="GET_25" localSheetId="43">#REF!</definedName>
    <definedName name="GET_25" localSheetId="42">#REF!</definedName>
    <definedName name="GET_25" localSheetId="27">#REF!</definedName>
    <definedName name="GET_25" localSheetId="45">#REF!</definedName>
    <definedName name="GET_25">#REF!</definedName>
    <definedName name="GET_32" localSheetId="30">#REF!</definedName>
    <definedName name="GET_32" localSheetId="25">#REF!</definedName>
    <definedName name="GET_32" localSheetId="28">#REF!</definedName>
    <definedName name="GET_32" localSheetId="29">#REF!</definedName>
    <definedName name="GET_32" localSheetId="12">#REF!</definedName>
    <definedName name="GET_32" localSheetId="43">#REF!</definedName>
    <definedName name="GET_32" localSheetId="42">#REF!</definedName>
    <definedName name="GET_32" localSheetId="27">#REF!</definedName>
    <definedName name="GET_32" localSheetId="45">#REF!</definedName>
    <definedName name="GET_32">#REF!</definedName>
    <definedName name="GET_40" localSheetId="30">#REF!</definedName>
    <definedName name="GET_40" localSheetId="25">#REF!</definedName>
    <definedName name="GET_40" localSheetId="28">#REF!</definedName>
    <definedName name="GET_40" localSheetId="29">#REF!</definedName>
    <definedName name="GET_40" localSheetId="12">#REF!</definedName>
    <definedName name="GET_40" localSheetId="43">#REF!</definedName>
    <definedName name="GET_40" localSheetId="42">#REF!</definedName>
    <definedName name="GET_40" localSheetId="27">#REF!</definedName>
    <definedName name="GET_40" localSheetId="45">#REF!</definedName>
    <definedName name="GET_40">#REF!</definedName>
    <definedName name="GET_50" localSheetId="30">#REF!</definedName>
    <definedName name="GET_50" localSheetId="25">#REF!</definedName>
    <definedName name="GET_50" localSheetId="28">#REF!</definedName>
    <definedName name="GET_50" localSheetId="29">#REF!</definedName>
    <definedName name="GET_50" localSheetId="12">#REF!</definedName>
    <definedName name="GET_50" localSheetId="43">#REF!</definedName>
    <definedName name="GET_50" localSheetId="42">#REF!</definedName>
    <definedName name="GET_50" localSheetId="27">#REF!</definedName>
    <definedName name="GET_50" localSheetId="45">#REF!</definedName>
    <definedName name="GET_50">#REF!</definedName>
    <definedName name="GET_65" localSheetId="30">#REF!</definedName>
    <definedName name="GET_65" localSheetId="25">#REF!</definedName>
    <definedName name="GET_65" localSheetId="28">#REF!</definedName>
    <definedName name="GET_65" localSheetId="29">#REF!</definedName>
    <definedName name="GET_65" localSheetId="12">#REF!</definedName>
    <definedName name="GET_65" localSheetId="43">#REF!</definedName>
    <definedName name="GET_65" localSheetId="42">#REF!</definedName>
    <definedName name="GET_65" localSheetId="27">#REF!</definedName>
    <definedName name="GET_65" localSheetId="45">#REF!</definedName>
    <definedName name="GET_65">#REF!</definedName>
    <definedName name="GET_80" localSheetId="30">#REF!</definedName>
    <definedName name="GET_80" localSheetId="25">#REF!</definedName>
    <definedName name="GET_80" localSheetId="28">#REF!</definedName>
    <definedName name="GET_80" localSheetId="29">#REF!</definedName>
    <definedName name="GET_80" localSheetId="12">#REF!</definedName>
    <definedName name="GET_80" localSheetId="43">#REF!</definedName>
    <definedName name="GET_80" localSheetId="42">#REF!</definedName>
    <definedName name="GET_80" localSheetId="27">#REF!</definedName>
    <definedName name="GET_80" localSheetId="45">#REF!</definedName>
    <definedName name="GET_80">#REF!</definedName>
    <definedName name="GF_1" localSheetId="30">#REF!</definedName>
    <definedName name="GF_1" localSheetId="25">#REF!</definedName>
    <definedName name="GF_1" localSheetId="28">#REF!</definedName>
    <definedName name="GF_1" localSheetId="29">#REF!</definedName>
    <definedName name="GF_1" localSheetId="12">#REF!</definedName>
    <definedName name="GF_1" localSheetId="43">#REF!</definedName>
    <definedName name="GF_1" localSheetId="42">#REF!</definedName>
    <definedName name="GF_1" localSheetId="27">#REF!</definedName>
    <definedName name="GF_1" localSheetId="45">#REF!</definedName>
    <definedName name="GF_1">#REF!</definedName>
    <definedName name="GF_100" localSheetId="30">#REF!</definedName>
    <definedName name="GF_100" localSheetId="25">#REF!</definedName>
    <definedName name="GF_100" localSheetId="28">#REF!</definedName>
    <definedName name="GF_100" localSheetId="29">#REF!</definedName>
    <definedName name="GF_100" localSheetId="12">#REF!</definedName>
    <definedName name="GF_100" localSheetId="43">#REF!</definedName>
    <definedName name="GF_100" localSheetId="42">#REF!</definedName>
    <definedName name="GF_100" localSheetId="27">#REF!</definedName>
    <definedName name="GF_100" localSheetId="45">#REF!</definedName>
    <definedName name="GF_100">#REF!</definedName>
    <definedName name="GF_125" localSheetId="30">#REF!</definedName>
    <definedName name="GF_125" localSheetId="25">#REF!</definedName>
    <definedName name="GF_125" localSheetId="28">#REF!</definedName>
    <definedName name="GF_125" localSheetId="29">#REF!</definedName>
    <definedName name="GF_125" localSheetId="12">#REF!</definedName>
    <definedName name="GF_125" localSheetId="43">#REF!</definedName>
    <definedName name="GF_125" localSheetId="42">#REF!</definedName>
    <definedName name="GF_125" localSheetId="27">#REF!</definedName>
    <definedName name="GF_125" localSheetId="45">#REF!</definedName>
    <definedName name="GF_125">#REF!</definedName>
    <definedName name="GF_150" localSheetId="30">#REF!</definedName>
    <definedName name="GF_150" localSheetId="25">#REF!</definedName>
    <definedName name="GF_150" localSheetId="28">#REF!</definedName>
    <definedName name="GF_150" localSheetId="29">#REF!</definedName>
    <definedName name="GF_150" localSheetId="12">#REF!</definedName>
    <definedName name="GF_150" localSheetId="43">#REF!</definedName>
    <definedName name="GF_150" localSheetId="42">#REF!</definedName>
    <definedName name="GF_150" localSheetId="27">#REF!</definedName>
    <definedName name="GF_150" localSheetId="45">#REF!</definedName>
    <definedName name="GF_150">#REF!</definedName>
    <definedName name="GF_2" localSheetId="30">#REF!</definedName>
    <definedName name="GF_2" localSheetId="25">#REF!</definedName>
    <definedName name="GF_2" localSheetId="28">#REF!</definedName>
    <definedName name="GF_2" localSheetId="29">#REF!</definedName>
    <definedName name="GF_2" localSheetId="12">#REF!</definedName>
    <definedName name="GF_2" localSheetId="43">#REF!</definedName>
    <definedName name="GF_2" localSheetId="42">#REF!</definedName>
    <definedName name="GF_2" localSheetId="27">#REF!</definedName>
    <definedName name="GF_2" localSheetId="45">#REF!</definedName>
    <definedName name="GF_2">#REF!</definedName>
    <definedName name="GF_3" localSheetId="30">#REF!</definedName>
    <definedName name="GF_3" localSheetId="25">#REF!</definedName>
    <definedName name="GF_3" localSheetId="28">#REF!</definedName>
    <definedName name="GF_3" localSheetId="29">#REF!</definedName>
    <definedName name="GF_3" localSheetId="12">#REF!</definedName>
    <definedName name="GF_3" localSheetId="43">#REF!</definedName>
    <definedName name="GF_3" localSheetId="42">#REF!</definedName>
    <definedName name="GF_3" localSheetId="27">#REF!</definedName>
    <definedName name="GF_3" localSheetId="45">#REF!</definedName>
    <definedName name="GF_3">#REF!</definedName>
    <definedName name="GF_32" localSheetId="30">#REF!</definedName>
    <definedName name="GF_32" localSheetId="25">#REF!</definedName>
    <definedName name="GF_32" localSheetId="28">#REF!</definedName>
    <definedName name="GF_32" localSheetId="29">#REF!</definedName>
    <definedName name="GF_32" localSheetId="12">#REF!</definedName>
    <definedName name="GF_32" localSheetId="43">#REF!</definedName>
    <definedName name="GF_32" localSheetId="42">#REF!</definedName>
    <definedName name="GF_32" localSheetId="27">#REF!</definedName>
    <definedName name="GF_32" localSheetId="45">#REF!</definedName>
    <definedName name="GF_32">#REF!</definedName>
    <definedName name="GF_4" localSheetId="30">#REF!</definedName>
    <definedName name="GF_4" localSheetId="25">#REF!</definedName>
    <definedName name="GF_4" localSheetId="28">#REF!</definedName>
    <definedName name="GF_4" localSheetId="29">#REF!</definedName>
    <definedName name="GF_4" localSheetId="12">#REF!</definedName>
    <definedName name="GF_4" localSheetId="43">#REF!</definedName>
    <definedName name="GF_4" localSheetId="42">#REF!</definedName>
    <definedName name="GF_4" localSheetId="27">#REF!</definedName>
    <definedName name="GF_4" localSheetId="45">#REF!</definedName>
    <definedName name="GF_4">#REF!</definedName>
    <definedName name="GF_40" localSheetId="30">#REF!</definedName>
    <definedName name="GF_40" localSheetId="25">#REF!</definedName>
    <definedName name="GF_40" localSheetId="28">#REF!</definedName>
    <definedName name="GF_40" localSheetId="29">#REF!</definedName>
    <definedName name="GF_40" localSheetId="12">#REF!</definedName>
    <definedName name="GF_40" localSheetId="43">#REF!</definedName>
    <definedName name="GF_40" localSheetId="42">#REF!</definedName>
    <definedName name="GF_40" localSheetId="27">#REF!</definedName>
    <definedName name="GF_40" localSheetId="45">#REF!</definedName>
    <definedName name="GF_40">#REF!</definedName>
    <definedName name="GF_5" localSheetId="30">#REF!</definedName>
    <definedName name="GF_5" localSheetId="25">#REF!</definedName>
    <definedName name="GF_5" localSheetId="28">#REF!</definedName>
    <definedName name="GF_5" localSheetId="29">#REF!</definedName>
    <definedName name="GF_5" localSheetId="12">#REF!</definedName>
    <definedName name="GF_5" localSheetId="43">#REF!</definedName>
    <definedName name="GF_5" localSheetId="42">#REF!</definedName>
    <definedName name="GF_5" localSheetId="27">#REF!</definedName>
    <definedName name="GF_5" localSheetId="45">#REF!</definedName>
    <definedName name="GF_5">#REF!</definedName>
    <definedName name="GF_50" localSheetId="30">#REF!</definedName>
    <definedName name="GF_50" localSheetId="25">#REF!</definedName>
    <definedName name="GF_50" localSheetId="28">#REF!</definedName>
    <definedName name="GF_50" localSheetId="29">#REF!</definedName>
    <definedName name="GF_50" localSheetId="12">#REF!</definedName>
    <definedName name="GF_50" localSheetId="43">#REF!</definedName>
    <definedName name="GF_50" localSheetId="42">#REF!</definedName>
    <definedName name="GF_50" localSheetId="27">#REF!</definedName>
    <definedName name="GF_50" localSheetId="45">#REF!</definedName>
    <definedName name="GF_50">#REF!</definedName>
    <definedName name="GF_6" localSheetId="30">#REF!</definedName>
    <definedName name="GF_6" localSheetId="25">#REF!</definedName>
    <definedName name="GF_6" localSheetId="28">#REF!</definedName>
    <definedName name="GF_6" localSheetId="29">#REF!</definedName>
    <definedName name="GF_6" localSheetId="12">#REF!</definedName>
    <definedName name="GF_6" localSheetId="43">#REF!</definedName>
    <definedName name="GF_6" localSheetId="42">#REF!</definedName>
    <definedName name="GF_6" localSheetId="27">#REF!</definedName>
    <definedName name="GF_6" localSheetId="45">#REF!</definedName>
    <definedName name="GF_6">#REF!</definedName>
    <definedName name="GF_65" localSheetId="30">#REF!</definedName>
    <definedName name="GF_65" localSheetId="25">#REF!</definedName>
    <definedName name="GF_65" localSheetId="28">#REF!</definedName>
    <definedName name="GF_65" localSheetId="29">#REF!</definedName>
    <definedName name="GF_65" localSheetId="12">#REF!</definedName>
    <definedName name="GF_65" localSheetId="43">#REF!</definedName>
    <definedName name="GF_65" localSheetId="42">#REF!</definedName>
    <definedName name="GF_65" localSheetId="27">#REF!</definedName>
    <definedName name="GF_65" localSheetId="45">#REF!</definedName>
    <definedName name="GF_65">#REF!</definedName>
    <definedName name="GF_7" localSheetId="30">#REF!</definedName>
    <definedName name="GF_7" localSheetId="25">#REF!</definedName>
    <definedName name="GF_7" localSheetId="28">#REF!</definedName>
    <definedName name="GF_7" localSheetId="29">#REF!</definedName>
    <definedName name="GF_7" localSheetId="12">#REF!</definedName>
    <definedName name="GF_7" localSheetId="43">#REF!</definedName>
    <definedName name="GF_7" localSheetId="42">#REF!</definedName>
    <definedName name="GF_7" localSheetId="27">#REF!</definedName>
    <definedName name="GF_7" localSheetId="45">#REF!</definedName>
    <definedName name="GF_7">#REF!</definedName>
    <definedName name="GF_8" localSheetId="30">#REF!</definedName>
    <definedName name="GF_8" localSheetId="25">#REF!</definedName>
    <definedName name="GF_8" localSheetId="28">#REF!</definedName>
    <definedName name="GF_8" localSheetId="29">#REF!</definedName>
    <definedName name="GF_8" localSheetId="12">#REF!</definedName>
    <definedName name="GF_8" localSheetId="43">#REF!</definedName>
    <definedName name="GF_8" localSheetId="42">#REF!</definedName>
    <definedName name="GF_8" localSheetId="27">#REF!</definedName>
    <definedName name="GF_8" localSheetId="45">#REF!</definedName>
    <definedName name="GF_8">#REF!</definedName>
    <definedName name="GF_80" localSheetId="30">#REF!</definedName>
    <definedName name="GF_80" localSheetId="25">#REF!</definedName>
    <definedName name="GF_80" localSheetId="28">#REF!</definedName>
    <definedName name="GF_80" localSheetId="29">#REF!</definedName>
    <definedName name="GF_80" localSheetId="12">#REF!</definedName>
    <definedName name="GF_80" localSheetId="43">#REF!</definedName>
    <definedName name="GF_80" localSheetId="42">#REF!</definedName>
    <definedName name="GF_80" localSheetId="27">#REF!</definedName>
    <definedName name="GF_80" localSheetId="45">#REF!</definedName>
    <definedName name="GF_80">#REF!</definedName>
    <definedName name="GFN_125" localSheetId="30">#REF!</definedName>
    <definedName name="GFN_125" localSheetId="25">#REF!</definedName>
    <definedName name="GFN_125" localSheetId="28">#REF!</definedName>
    <definedName name="GFN_125" localSheetId="29">#REF!</definedName>
    <definedName name="GFN_125" localSheetId="12">#REF!</definedName>
    <definedName name="GFN_125" localSheetId="43">#REF!</definedName>
    <definedName name="GFN_125" localSheetId="42">#REF!</definedName>
    <definedName name="GFN_125" localSheetId="27">#REF!</definedName>
    <definedName name="GFN_125" localSheetId="45">#REF!</definedName>
    <definedName name="GFN_125">#REF!</definedName>
    <definedName name="ghgfhgf">[19]Rates!$D$27</definedName>
    <definedName name="GI_Reducer" localSheetId="30">#REF!</definedName>
    <definedName name="GI_Reducer" localSheetId="25">#REF!</definedName>
    <definedName name="GI_Reducer" localSheetId="28">#REF!</definedName>
    <definedName name="GI_Reducer" localSheetId="29">#REF!</definedName>
    <definedName name="GI_Reducer" localSheetId="12">#REF!</definedName>
    <definedName name="GI_Reducer" localSheetId="43">#REF!</definedName>
    <definedName name="GI_Reducer" localSheetId="42">#REF!</definedName>
    <definedName name="GI_Reducer" localSheetId="27">#REF!</definedName>
    <definedName name="GI_Reducer" localSheetId="45">#REF!</definedName>
    <definedName name="GI_Reducer">#REF!</definedName>
    <definedName name="gips">[8]MatCol!$K$63</definedName>
    <definedName name="GIPS28" hidden="1">[8]MatCol!$U$40</definedName>
    <definedName name="giwar">'[34]update Rate'!$E$172</definedName>
    <definedName name="giwire">'[14]update Rate'!$E$46</definedName>
    <definedName name="giwire24">'[14]update Rate'!$E$47</definedName>
    <definedName name="glass4">'[35]update Rate'!$E$83</definedName>
    <definedName name="glass6">'[14]update Rate'!$E$80</definedName>
    <definedName name="GLJH_100" localSheetId="30">#REF!</definedName>
    <definedName name="GLJH_100" localSheetId="25">#REF!</definedName>
    <definedName name="GLJH_100" localSheetId="28">#REF!</definedName>
    <definedName name="GLJH_100" localSheetId="29">#REF!</definedName>
    <definedName name="GLJH_100" localSheetId="12">#REF!</definedName>
    <definedName name="GLJH_100" localSheetId="43">#REF!</definedName>
    <definedName name="GLJH_100" localSheetId="42">#REF!</definedName>
    <definedName name="GLJH_100" localSheetId="27">#REF!</definedName>
    <definedName name="GLJH_100" localSheetId="45">#REF!</definedName>
    <definedName name="GLJH_100">#REF!</definedName>
    <definedName name="GLJH_20" localSheetId="30">#REF!</definedName>
    <definedName name="GLJH_20" localSheetId="25">#REF!</definedName>
    <definedName name="GLJH_20" localSheetId="28">#REF!</definedName>
    <definedName name="GLJH_20" localSheetId="29">#REF!</definedName>
    <definedName name="GLJH_20" localSheetId="12">#REF!</definedName>
    <definedName name="GLJH_20" localSheetId="43">#REF!</definedName>
    <definedName name="GLJH_20" localSheetId="42">#REF!</definedName>
    <definedName name="GLJH_20" localSheetId="27">#REF!</definedName>
    <definedName name="GLJH_20" localSheetId="45">#REF!</definedName>
    <definedName name="GLJH_20">#REF!</definedName>
    <definedName name="GLJH_25" localSheetId="30">#REF!</definedName>
    <definedName name="GLJH_25" localSheetId="25">#REF!</definedName>
    <definedName name="GLJH_25" localSheetId="28">#REF!</definedName>
    <definedName name="GLJH_25" localSheetId="29">#REF!</definedName>
    <definedName name="GLJH_25" localSheetId="12">#REF!</definedName>
    <definedName name="GLJH_25" localSheetId="43">#REF!</definedName>
    <definedName name="GLJH_25" localSheetId="42">#REF!</definedName>
    <definedName name="GLJH_25" localSheetId="27">#REF!</definedName>
    <definedName name="GLJH_25" localSheetId="45">#REF!</definedName>
    <definedName name="GLJH_25">#REF!</definedName>
    <definedName name="GLJH_32" localSheetId="30">#REF!</definedName>
    <definedName name="GLJH_32" localSheetId="25">#REF!</definedName>
    <definedName name="GLJH_32" localSheetId="28">#REF!</definedName>
    <definedName name="GLJH_32" localSheetId="29">#REF!</definedName>
    <definedName name="GLJH_32" localSheetId="12">#REF!</definedName>
    <definedName name="GLJH_32" localSheetId="43">#REF!</definedName>
    <definedName name="GLJH_32" localSheetId="42">#REF!</definedName>
    <definedName name="GLJH_32" localSheetId="27">#REF!</definedName>
    <definedName name="GLJH_32" localSheetId="45">#REF!</definedName>
    <definedName name="GLJH_32">#REF!</definedName>
    <definedName name="GLJH_40" localSheetId="30">#REF!</definedName>
    <definedName name="GLJH_40" localSheetId="25">#REF!</definedName>
    <definedName name="GLJH_40" localSheetId="28">#REF!</definedName>
    <definedName name="GLJH_40" localSheetId="29">#REF!</definedName>
    <definedName name="GLJH_40" localSheetId="12">#REF!</definedName>
    <definedName name="GLJH_40" localSheetId="43">#REF!</definedName>
    <definedName name="GLJH_40" localSheetId="42">#REF!</definedName>
    <definedName name="GLJH_40" localSheetId="27">#REF!</definedName>
    <definedName name="GLJH_40" localSheetId="45">#REF!</definedName>
    <definedName name="GLJH_40">#REF!</definedName>
    <definedName name="GLJH_50" localSheetId="30">#REF!</definedName>
    <definedName name="GLJH_50" localSheetId="25">#REF!</definedName>
    <definedName name="GLJH_50" localSheetId="28">#REF!</definedName>
    <definedName name="GLJH_50" localSheetId="29">#REF!</definedName>
    <definedName name="GLJH_50" localSheetId="12">#REF!</definedName>
    <definedName name="GLJH_50" localSheetId="43">#REF!</definedName>
    <definedName name="GLJH_50" localSheetId="42">#REF!</definedName>
    <definedName name="GLJH_50" localSheetId="27">#REF!</definedName>
    <definedName name="GLJH_50" localSheetId="45">#REF!</definedName>
    <definedName name="GLJH_50">#REF!</definedName>
    <definedName name="GLJH_65" localSheetId="30">#REF!</definedName>
    <definedName name="GLJH_65" localSheetId="25">#REF!</definedName>
    <definedName name="GLJH_65" localSheetId="28">#REF!</definedName>
    <definedName name="GLJH_65" localSheetId="29">#REF!</definedName>
    <definedName name="GLJH_65" localSheetId="12">#REF!</definedName>
    <definedName name="GLJH_65" localSheetId="43">#REF!</definedName>
    <definedName name="GLJH_65" localSheetId="42">#REF!</definedName>
    <definedName name="GLJH_65" localSheetId="27">#REF!</definedName>
    <definedName name="GLJH_65" localSheetId="45">#REF!</definedName>
    <definedName name="GLJH_65">#REF!</definedName>
    <definedName name="GLJH_80" localSheetId="30">#REF!</definedName>
    <definedName name="GLJH_80" localSheetId="25">#REF!</definedName>
    <definedName name="GLJH_80" localSheetId="28">#REF!</definedName>
    <definedName name="GLJH_80" localSheetId="29">#REF!</definedName>
    <definedName name="GLJH_80" localSheetId="12">#REF!</definedName>
    <definedName name="GLJH_80" localSheetId="43">#REF!</definedName>
    <definedName name="GLJH_80" localSheetId="42">#REF!</definedName>
    <definedName name="GLJH_80" localSheetId="27">#REF!</definedName>
    <definedName name="GLJH_80" localSheetId="45">#REF!</definedName>
    <definedName name="GLJH_80">#REF!</definedName>
    <definedName name="GLJL_100" localSheetId="30">#REF!</definedName>
    <definedName name="GLJL_100" localSheetId="25">#REF!</definedName>
    <definedName name="GLJL_100" localSheetId="28">#REF!</definedName>
    <definedName name="GLJL_100" localSheetId="29">#REF!</definedName>
    <definedName name="GLJL_100" localSheetId="12">#REF!</definedName>
    <definedName name="GLJL_100" localSheetId="43">#REF!</definedName>
    <definedName name="GLJL_100" localSheetId="42">#REF!</definedName>
    <definedName name="GLJL_100" localSheetId="27">#REF!</definedName>
    <definedName name="GLJL_100" localSheetId="45">#REF!</definedName>
    <definedName name="GLJL_100">#REF!</definedName>
    <definedName name="GLJL_15" localSheetId="30">#REF!</definedName>
    <definedName name="GLJL_15" localSheetId="25">#REF!</definedName>
    <definedName name="GLJL_15" localSheetId="28">#REF!</definedName>
    <definedName name="GLJL_15" localSheetId="29">#REF!</definedName>
    <definedName name="GLJL_15" localSheetId="12">#REF!</definedName>
    <definedName name="GLJL_15" localSheetId="43">#REF!</definedName>
    <definedName name="GLJL_15" localSheetId="42">#REF!</definedName>
    <definedName name="GLJL_15" localSheetId="27">#REF!</definedName>
    <definedName name="GLJL_15" localSheetId="45">#REF!</definedName>
    <definedName name="GLJL_15">#REF!</definedName>
    <definedName name="GLJL_20" localSheetId="30">#REF!</definedName>
    <definedName name="GLJL_20" localSheetId="25">#REF!</definedName>
    <definedName name="GLJL_20" localSheetId="28">#REF!</definedName>
    <definedName name="GLJL_20" localSheetId="29">#REF!</definedName>
    <definedName name="GLJL_20" localSheetId="12">#REF!</definedName>
    <definedName name="GLJL_20" localSheetId="43">#REF!</definedName>
    <definedName name="GLJL_20" localSheetId="42">#REF!</definedName>
    <definedName name="GLJL_20" localSheetId="27">#REF!</definedName>
    <definedName name="GLJL_20" localSheetId="45">#REF!</definedName>
    <definedName name="GLJL_20">#REF!</definedName>
    <definedName name="GLJL_25" localSheetId="30">#REF!</definedName>
    <definedName name="GLJL_25" localSheetId="25">#REF!</definedName>
    <definedName name="GLJL_25" localSheetId="28">#REF!</definedName>
    <definedName name="GLJL_25" localSheetId="29">#REF!</definedName>
    <definedName name="GLJL_25" localSheetId="12">#REF!</definedName>
    <definedName name="GLJL_25" localSheetId="43">#REF!</definedName>
    <definedName name="GLJL_25" localSheetId="42">#REF!</definedName>
    <definedName name="GLJL_25" localSheetId="27">#REF!</definedName>
    <definedName name="GLJL_25" localSheetId="45">#REF!</definedName>
    <definedName name="GLJL_25">#REF!</definedName>
    <definedName name="GLJL_32" localSheetId="30">#REF!</definedName>
    <definedName name="GLJL_32" localSheetId="25">#REF!</definedName>
    <definedName name="GLJL_32" localSheetId="28">#REF!</definedName>
    <definedName name="GLJL_32" localSheetId="29">#REF!</definedName>
    <definedName name="GLJL_32" localSheetId="12">#REF!</definedName>
    <definedName name="GLJL_32" localSheetId="43">#REF!</definedName>
    <definedName name="GLJL_32" localSheetId="42">#REF!</definedName>
    <definedName name="GLJL_32" localSheetId="27">#REF!</definedName>
    <definedName name="GLJL_32" localSheetId="45">#REF!</definedName>
    <definedName name="GLJL_32">#REF!</definedName>
    <definedName name="GLJL_40" localSheetId="30">#REF!</definedName>
    <definedName name="GLJL_40" localSheetId="25">#REF!</definedName>
    <definedName name="GLJL_40" localSheetId="28">#REF!</definedName>
    <definedName name="GLJL_40" localSheetId="29">#REF!</definedName>
    <definedName name="GLJL_40" localSheetId="12">#REF!</definedName>
    <definedName name="GLJL_40" localSheetId="43">#REF!</definedName>
    <definedName name="GLJL_40" localSheetId="42">#REF!</definedName>
    <definedName name="GLJL_40" localSheetId="27">#REF!</definedName>
    <definedName name="GLJL_40" localSheetId="45">#REF!</definedName>
    <definedName name="GLJL_40">#REF!</definedName>
    <definedName name="GLJL_50" localSheetId="30">#REF!</definedName>
    <definedName name="GLJL_50" localSheetId="25">#REF!</definedName>
    <definedName name="GLJL_50" localSheetId="28">#REF!</definedName>
    <definedName name="GLJL_50" localSheetId="29">#REF!</definedName>
    <definedName name="GLJL_50" localSheetId="12">#REF!</definedName>
    <definedName name="GLJL_50" localSheetId="43">#REF!</definedName>
    <definedName name="GLJL_50" localSheetId="42">#REF!</definedName>
    <definedName name="GLJL_50" localSheetId="27">#REF!</definedName>
    <definedName name="GLJL_50" localSheetId="45">#REF!</definedName>
    <definedName name="GLJL_50">#REF!</definedName>
    <definedName name="GLJL_65" localSheetId="30">#REF!</definedName>
    <definedName name="GLJL_65" localSheetId="25">#REF!</definedName>
    <definedName name="GLJL_65" localSheetId="28">#REF!</definedName>
    <definedName name="GLJL_65" localSheetId="29">#REF!</definedName>
    <definedName name="GLJL_65" localSheetId="12">#REF!</definedName>
    <definedName name="GLJL_65" localSheetId="43">#REF!</definedName>
    <definedName name="GLJL_65" localSheetId="42">#REF!</definedName>
    <definedName name="GLJL_65" localSheetId="27">#REF!</definedName>
    <definedName name="GLJL_65" localSheetId="45">#REF!</definedName>
    <definedName name="GLJL_65">#REF!</definedName>
    <definedName name="GLJL_80" localSheetId="30">#REF!</definedName>
    <definedName name="GLJL_80" localSheetId="25">#REF!</definedName>
    <definedName name="GLJL_80" localSheetId="28">#REF!</definedName>
    <definedName name="GLJL_80" localSheetId="29">#REF!</definedName>
    <definedName name="GLJL_80" localSheetId="12">#REF!</definedName>
    <definedName name="GLJL_80" localSheetId="43">#REF!</definedName>
    <definedName name="GLJL_80" localSheetId="42">#REF!</definedName>
    <definedName name="GLJL_80" localSheetId="27">#REF!</definedName>
    <definedName name="GLJL_80" localSheetId="45">#REF!</definedName>
    <definedName name="GLJL_80">#REF!</definedName>
    <definedName name="GLJM_100" localSheetId="30">#REF!</definedName>
    <definedName name="GLJM_100" localSheetId="25">#REF!</definedName>
    <definedName name="GLJM_100" localSheetId="28">#REF!</definedName>
    <definedName name="GLJM_100" localSheetId="29">#REF!</definedName>
    <definedName name="GLJM_100" localSheetId="12">#REF!</definedName>
    <definedName name="GLJM_100" localSheetId="43">#REF!</definedName>
    <definedName name="GLJM_100" localSheetId="42">#REF!</definedName>
    <definedName name="GLJM_100" localSheetId="27">#REF!</definedName>
    <definedName name="GLJM_100" localSheetId="45">#REF!</definedName>
    <definedName name="GLJM_100">#REF!</definedName>
    <definedName name="GLJM_125" localSheetId="30">#REF!</definedName>
    <definedName name="GLJM_125" localSheetId="25">#REF!</definedName>
    <definedName name="GLJM_125" localSheetId="28">#REF!</definedName>
    <definedName name="GLJM_125" localSheetId="29">#REF!</definedName>
    <definedName name="GLJM_125" localSheetId="12">#REF!</definedName>
    <definedName name="GLJM_125" localSheetId="43">#REF!</definedName>
    <definedName name="GLJM_125" localSheetId="42">#REF!</definedName>
    <definedName name="GLJM_125" localSheetId="27">#REF!</definedName>
    <definedName name="GLJM_125" localSheetId="45">#REF!</definedName>
    <definedName name="GLJM_125">#REF!</definedName>
    <definedName name="GLJM_15" localSheetId="30">#REF!</definedName>
    <definedName name="GLJM_15" localSheetId="25">#REF!</definedName>
    <definedName name="GLJM_15" localSheetId="28">#REF!</definedName>
    <definedName name="GLJM_15" localSheetId="29">#REF!</definedName>
    <definedName name="GLJM_15" localSheetId="12">#REF!</definedName>
    <definedName name="GLJM_15" localSheetId="43">#REF!</definedName>
    <definedName name="GLJM_15" localSheetId="42">#REF!</definedName>
    <definedName name="GLJM_15" localSheetId="27">#REF!</definedName>
    <definedName name="GLJM_15" localSheetId="45">#REF!</definedName>
    <definedName name="GLJM_15">#REF!</definedName>
    <definedName name="GLJM_150" localSheetId="30">#REF!</definedName>
    <definedName name="GLJM_150" localSheetId="25">#REF!</definedName>
    <definedName name="GLJM_150" localSheetId="28">#REF!</definedName>
    <definedName name="GLJM_150" localSheetId="29">#REF!</definedName>
    <definedName name="GLJM_150" localSheetId="12">#REF!</definedName>
    <definedName name="GLJM_150" localSheetId="43">#REF!</definedName>
    <definedName name="GLJM_150" localSheetId="42">#REF!</definedName>
    <definedName name="GLJM_150" localSheetId="27">#REF!</definedName>
    <definedName name="GLJM_150" localSheetId="45">#REF!</definedName>
    <definedName name="GLJM_150">#REF!</definedName>
    <definedName name="GLJM_20" localSheetId="30">#REF!</definedName>
    <definedName name="GLJM_20" localSheetId="25">#REF!</definedName>
    <definedName name="GLJM_20" localSheetId="28">#REF!</definedName>
    <definedName name="GLJM_20" localSheetId="29">#REF!</definedName>
    <definedName name="GLJM_20" localSheetId="12">#REF!</definedName>
    <definedName name="GLJM_20" localSheetId="43">#REF!</definedName>
    <definedName name="GLJM_20" localSheetId="42">#REF!</definedName>
    <definedName name="GLJM_20" localSheetId="27">#REF!</definedName>
    <definedName name="GLJM_20" localSheetId="45">#REF!</definedName>
    <definedName name="GLJM_20">#REF!</definedName>
    <definedName name="GLJM_200" localSheetId="30">#REF!</definedName>
    <definedName name="GLJM_200" localSheetId="25">#REF!</definedName>
    <definedName name="GLJM_200" localSheetId="28">#REF!</definedName>
    <definedName name="GLJM_200" localSheetId="29">#REF!</definedName>
    <definedName name="GLJM_200" localSheetId="12">#REF!</definedName>
    <definedName name="GLJM_200" localSheetId="43">#REF!</definedName>
    <definedName name="GLJM_200" localSheetId="42">#REF!</definedName>
    <definedName name="GLJM_200" localSheetId="27">#REF!</definedName>
    <definedName name="GLJM_200" localSheetId="45">#REF!</definedName>
    <definedName name="GLJM_200">#REF!</definedName>
    <definedName name="GLJM_25" localSheetId="30">#REF!</definedName>
    <definedName name="GLJM_25" localSheetId="25">#REF!</definedName>
    <definedName name="GLJM_25" localSheetId="28">#REF!</definedName>
    <definedName name="GLJM_25" localSheetId="29">#REF!</definedName>
    <definedName name="GLJM_25" localSheetId="12">#REF!</definedName>
    <definedName name="GLJM_25" localSheetId="43">#REF!</definedName>
    <definedName name="GLJM_25" localSheetId="42">#REF!</definedName>
    <definedName name="GLJM_25" localSheetId="27">#REF!</definedName>
    <definedName name="GLJM_25" localSheetId="45">#REF!</definedName>
    <definedName name="GLJM_25">#REF!</definedName>
    <definedName name="GLJM_32" localSheetId="30">#REF!</definedName>
    <definedName name="GLJM_32" localSheetId="25">#REF!</definedName>
    <definedName name="GLJM_32" localSheetId="28">#REF!</definedName>
    <definedName name="GLJM_32" localSheetId="29">#REF!</definedName>
    <definedName name="GLJM_32" localSheetId="12">#REF!</definedName>
    <definedName name="GLJM_32" localSheetId="43">#REF!</definedName>
    <definedName name="GLJM_32" localSheetId="42">#REF!</definedName>
    <definedName name="GLJM_32" localSheetId="27">#REF!</definedName>
    <definedName name="GLJM_32" localSheetId="45">#REF!</definedName>
    <definedName name="GLJM_32">#REF!</definedName>
    <definedName name="GLJM_40" localSheetId="30">#REF!</definedName>
    <definedName name="GLJM_40" localSheetId="25">#REF!</definedName>
    <definedName name="GLJM_40" localSheetId="28">#REF!</definedName>
    <definedName name="GLJM_40" localSheetId="29">#REF!</definedName>
    <definedName name="GLJM_40" localSheetId="12">#REF!</definedName>
    <definedName name="GLJM_40" localSheetId="43">#REF!</definedName>
    <definedName name="GLJM_40" localSheetId="42">#REF!</definedName>
    <definedName name="GLJM_40" localSheetId="27">#REF!</definedName>
    <definedName name="GLJM_40" localSheetId="45">#REF!</definedName>
    <definedName name="GLJM_40">#REF!</definedName>
    <definedName name="GLJM_50" localSheetId="30">#REF!</definedName>
    <definedName name="GLJM_50" localSheetId="25">#REF!</definedName>
    <definedName name="GLJM_50" localSheetId="28">#REF!</definedName>
    <definedName name="GLJM_50" localSheetId="29">#REF!</definedName>
    <definedName name="GLJM_50" localSheetId="12">#REF!</definedName>
    <definedName name="GLJM_50" localSheetId="43">#REF!</definedName>
    <definedName name="GLJM_50" localSheetId="42">#REF!</definedName>
    <definedName name="GLJM_50" localSheetId="27">#REF!</definedName>
    <definedName name="GLJM_50" localSheetId="45">#REF!</definedName>
    <definedName name="GLJM_50">#REF!</definedName>
    <definedName name="GLJM_65" localSheetId="30">#REF!</definedName>
    <definedName name="GLJM_65" localSheetId="25">#REF!</definedName>
    <definedName name="GLJM_65" localSheetId="28">#REF!</definedName>
    <definedName name="GLJM_65" localSheetId="29">#REF!</definedName>
    <definedName name="GLJM_65" localSheetId="12">#REF!</definedName>
    <definedName name="GLJM_65" localSheetId="43">#REF!</definedName>
    <definedName name="GLJM_65" localSheetId="42">#REF!</definedName>
    <definedName name="GLJM_65" localSheetId="27">#REF!</definedName>
    <definedName name="GLJM_65" localSheetId="45">#REF!</definedName>
    <definedName name="GLJM_65">#REF!</definedName>
    <definedName name="GLJM_80" localSheetId="30">#REF!</definedName>
    <definedName name="GLJM_80" localSheetId="25">#REF!</definedName>
    <definedName name="GLJM_80" localSheetId="28">#REF!</definedName>
    <definedName name="GLJM_80" localSheetId="29">#REF!</definedName>
    <definedName name="GLJM_80" localSheetId="12">#REF!</definedName>
    <definedName name="GLJM_80" localSheetId="43">#REF!</definedName>
    <definedName name="GLJM_80" localSheetId="42">#REF!</definedName>
    <definedName name="GLJM_80" localSheetId="27">#REF!</definedName>
    <definedName name="GLJM_80" localSheetId="45">#REF!</definedName>
    <definedName name="GLJM_80">#REF!</definedName>
    <definedName name="GLN" localSheetId="30">#REF!</definedName>
    <definedName name="GLN" localSheetId="25">#REF!</definedName>
    <definedName name="GLN" localSheetId="28">#REF!</definedName>
    <definedName name="GLN" localSheetId="29">#REF!</definedName>
    <definedName name="GLN" localSheetId="12">#REF!</definedName>
    <definedName name="GLN" localSheetId="43">#REF!</definedName>
    <definedName name="GLN" localSheetId="42">#REF!</definedName>
    <definedName name="GLN" localSheetId="27">#REF!</definedName>
    <definedName name="GLN" localSheetId="45">#REF!</definedName>
    <definedName name="GLN">#REF!</definedName>
    <definedName name="GloV_15" localSheetId="30">#REF!</definedName>
    <definedName name="GloV_15" localSheetId="25">#REF!</definedName>
    <definedName name="GloV_15" localSheetId="28">#REF!</definedName>
    <definedName name="GloV_15" localSheetId="29">#REF!</definedName>
    <definedName name="GloV_15" localSheetId="12">#REF!</definedName>
    <definedName name="GloV_15" localSheetId="43">#REF!</definedName>
    <definedName name="GloV_15" localSheetId="42">#REF!</definedName>
    <definedName name="GloV_15" localSheetId="27">#REF!</definedName>
    <definedName name="GloV_15" localSheetId="45">#REF!</definedName>
    <definedName name="GloV_15">#REF!</definedName>
    <definedName name="glu">[36]MAT!$D$37</definedName>
    <definedName name="GMF_15" localSheetId="30">#REF!</definedName>
    <definedName name="GMF_15" localSheetId="25">#REF!</definedName>
    <definedName name="GMF_15" localSheetId="28">#REF!</definedName>
    <definedName name="GMF_15" localSheetId="29">#REF!</definedName>
    <definedName name="GMF_15" localSheetId="12">#REF!</definedName>
    <definedName name="GMF_15" localSheetId="43">#REF!</definedName>
    <definedName name="GMF_15" localSheetId="42">#REF!</definedName>
    <definedName name="GMF_15" localSheetId="27">#REF!</definedName>
    <definedName name="GMF_15" localSheetId="45">#REF!</definedName>
    <definedName name="GMF_15">#REF!</definedName>
    <definedName name="GN_100" localSheetId="30">#REF!</definedName>
    <definedName name="GN_100" localSheetId="25">#REF!</definedName>
    <definedName name="GN_100" localSheetId="28">#REF!</definedName>
    <definedName name="GN_100" localSheetId="29">#REF!</definedName>
    <definedName name="GN_100" localSheetId="12">#REF!</definedName>
    <definedName name="GN_100" localSheetId="43">#REF!</definedName>
    <definedName name="GN_100" localSheetId="42">#REF!</definedName>
    <definedName name="GN_100" localSheetId="27">#REF!</definedName>
    <definedName name="GN_100" localSheetId="45">#REF!</definedName>
    <definedName name="GN_100">#REF!</definedName>
    <definedName name="GN_125" localSheetId="30">#REF!</definedName>
    <definedName name="GN_125" localSheetId="25">#REF!</definedName>
    <definedName name="GN_125" localSheetId="28">#REF!</definedName>
    <definedName name="GN_125" localSheetId="29">#REF!</definedName>
    <definedName name="GN_125" localSheetId="12">#REF!</definedName>
    <definedName name="GN_125" localSheetId="43">#REF!</definedName>
    <definedName name="GN_125" localSheetId="42">#REF!</definedName>
    <definedName name="GN_125" localSheetId="27">#REF!</definedName>
    <definedName name="GN_125" localSheetId="45">#REF!</definedName>
    <definedName name="GN_125">#REF!</definedName>
    <definedName name="GN_15" localSheetId="30">#REF!</definedName>
    <definedName name="GN_15" localSheetId="25">#REF!</definedName>
    <definedName name="GN_15" localSheetId="28">#REF!</definedName>
    <definedName name="GN_15" localSheetId="29">#REF!</definedName>
    <definedName name="GN_15" localSheetId="12">#REF!</definedName>
    <definedName name="GN_15" localSheetId="43">#REF!</definedName>
    <definedName name="GN_15" localSheetId="42">#REF!</definedName>
    <definedName name="GN_15" localSheetId="27">#REF!</definedName>
    <definedName name="GN_15" localSheetId="45">#REF!</definedName>
    <definedName name="GN_15">#REF!</definedName>
    <definedName name="GN_150" localSheetId="30">#REF!</definedName>
    <definedName name="GN_150" localSheetId="25">#REF!</definedName>
    <definedName name="GN_150" localSheetId="28">#REF!</definedName>
    <definedName name="GN_150" localSheetId="29">#REF!</definedName>
    <definedName name="GN_150" localSheetId="12">#REF!</definedName>
    <definedName name="GN_150" localSheetId="43">#REF!</definedName>
    <definedName name="GN_150" localSheetId="42">#REF!</definedName>
    <definedName name="GN_150" localSheetId="27">#REF!</definedName>
    <definedName name="GN_150" localSheetId="45">#REF!</definedName>
    <definedName name="GN_150">#REF!</definedName>
    <definedName name="GN_20" localSheetId="30">#REF!</definedName>
    <definedName name="GN_20" localSheetId="25">#REF!</definedName>
    <definedName name="GN_20" localSheetId="28">#REF!</definedName>
    <definedName name="GN_20" localSheetId="29">#REF!</definedName>
    <definedName name="GN_20" localSheetId="12">#REF!</definedName>
    <definedName name="GN_20" localSheetId="43">#REF!</definedName>
    <definedName name="GN_20" localSheetId="42">#REF!</definedName>
    <definedName name="GN_20" localSheetId="27">#REF!</definedName>
    <definedName name="GN_20" localSheetId="45">#REF!</definedName>
    <definedName name="GN_20">#REF!</definedName>
    <definedName name="GN_25" localSheetId="30">#REF!</definedName>
    <definedName name="GN_25" localSheetId="25">#REF!</definedName>
    <definedName name="GN_25" localSheetId="28">#REF!</definedName>
    <definedName name="GN_25" localSheetId="29">#REF!</definedName>
    <definedName name="GN_25" localSheetId="12">#REF!</definedName>
    <definedName name="GN_25" localSheetId="43">#REF!</definedName>
    <definedName name="GN_25" localSheetId="42">#REF!</definedName>
    <definedName name="GN_25" localSheetId="27">#REF!</definedName>
    <definedName name="GN_25" localSheetId="45">#REF!</definedName>
    <definedName name="GN_25">#REF!</definedName>
    <definedName name="GN_32" localSheetId="30">#REF!</definedName>
    <definedName name="GN_32" localSheetId="25">#REF!</definedName>
    <definedName name="GN_32" localSheetId="28">#REF!</definedName>
    <definedName name="GN_32" localSheetId="29">#REF!</definedName>
    <definedName name="GN_32" localSheetId="12">#REF!</definedName>
    <definedName name="GN_32" localSheetId="43">#REF!</definedName>
    <definedName name="GN_32" localSheetId="42">#REF!</definedName>
    <definedName name="GN_32" localSheetId="27">#REF!</definedName>
    <definedName name="GN_32" localSheetId="45">#REF!</definedName>
    <definedName name="GN_32">#REF!</definedName>
    <definedName name="GN_40" localSheetId="30">#REF!</definedName>
    <definedName name="GN_40" localSheetId="25">#REF!</definedName>
    <definedName name="GN_40" localSheetId="28">#REF!</definedName>
    <definedName name="GN_40" localSheetId="29">#REF!</definedName>
    <definedName name="GN_40" localSheetId="12">#REF!</definedName>
    <definedName name="GN_40" localSheetId="43">#REF!</definedName>
    <definedName name="GN_40" localSheetId="42">#REF!</definedName>
    <definedName name="GN_40" localSheetId="27">#REF!</definedName>
    <definedName name="GN_40" localSheetId="45">#REF!</definedName>
    <definedName name="GN_40">#REF!</definedName>
    <definedName name="GN_50" localSheetId="30">#REF!</definedName>
    <definedName name="GN_50" localSheetId="25">#REF!</definedName>
    <definedName name="GN_50" localSheetId="28">#REF!</definedName>
    <definedName name="GN_50" localSheetId="29">#REF!</definedName>
    <definedName name="GN_50" localSheetId="12">#REF!</definedName>
    <definedName name="GN_50" localSheetId="43">#REF!</definedName>
    <definedName name="GN_50" localSheetId="42">#REF!</definedName>
    <definedName name="GN_50" localSheetId="27">#REF!</definedName>
    <definedName name="GN_50" localSheetId="45">#REF!</definedName>
    <definedName name="GN_50">#REF!</definedName>
    <definedName name="GN_65" localSheetId="30">#REF!</definedName>
    <definedName name="GN_65" localSheetId="25">#REF!</definedName>
    <definedName name="GN_65" localSheetId="28">#REF!</definedName>
    <definedName name="GN_65" localSheetId="29">#REF!</definedName>
    <definedName name="GN_65" localSheetId="12">#REF!</definedName>
    <definedName name="GN_65" localSheetId="43">#REF!</definedName>
    <definedName name="GN_65" localSheetId="42">#REF!</definedName>
    <definedName name="GN_65" localSheetId="27">#REF!</definedName>
    <definedName name="GN_65" localSheetId="45">#REF!</definedName>
    <definedName name="GN_65">#REF!</definedName>
    <definedName name="GN_80" localSheetId="30">#REF!</definedName>
    <definedName name="GN_80" localSheetId="25">#REF!</definedName>
    <definedName name="GN_80" localSheetId="28">#REF!</definedName>
    <definedName name="GN_80" localSheetId="29">#REF!</definedName>
    <definedName name="GN_80" localSheetId="12">#REF!</definedName>
    <definedName name="GN_80" localSheetId="43">#REF!</definedName>
    <definedName name="GN_80" localSheetId="42">#REF!</definedName>
    <definedName name="GN_80" localSheetId="27">#REF!</definedName>
    <definedName name="GN_80" localSheetId="45">#REF!</definedName>
    <definedName name="GN_80">#REF!</definedName>
    <definedName name="GP_1" localSheetId="30">#REF!</definedName>
    <definedName name="GP_1" localSheetId="25">#REF!</definedName>
    <definedName name="GP_1" localSheetId="28">#REF!</definedName>
    <definedName name="GP_1" localSheetId="29">#REF!</definedName>
    <definedName name="GP_1" localSheetId="12">#REF!</definedName>
    <definedName name="GP_1" localSheetId="43">#REF!</definedName>
    <definedName name="GP_1" localSheetId="42">#REF!</definedName>
    <definedName name="GP_1" localSheetId="27">#REF!</definedName>
    <definedName name="GP_1" localSheetId="45">#REF!</definedName>
    <definedName name="GP_1">#REF!</definedName>
    <definedName name="GP_2" localSheetId="30">#REF!</definedName>
    <definedName name="GP_2" localSheetId="25">#REF!</definedName>
    <definedName name="GP_2" localSheetId="28">#REF!</definedName>
    <definedName name="GP_2" localSheetId="29">#REF!</definedName>
    <definedName name="GP_2" localSheetId="12">#REF!</definedName>
    <definedName name="GP_2" localSheetId="43">#REF!</definedName>
    <definedName name="GP_2" localSheetId="42">#REF!</definedName>
    <definedName name="GP_2" localSheetId="27">#REF!</definedName>
    <definedName name="GP_2" localSheetId="45">#REF!</definedName>
    <definedName name="GP_2">#REF!</definedName>
    <definedName name="GP_3" localSheetId="30">#REF!</definedName>
    <definedName name="GP_3" localSheetId="25">#REF!</definedName>
    <definedName name="GP_3" localSheetId="28">#REF!</definedName>
    <definedName name="GP_3" localSheetId="29">#REF!</definedName>
    <definedName name="GP_3" localSheetId="12">#REF!</definedName>
    <definedName name="GP_3" localSheetId="43">#REF!</definedName>
    <definedName name="GP_3" localSheetId="42">#REF!</definedName>
    <definedName name="GP_3" localSheetId="27">#REF!</definedName>
    <definedName name="GP_3" localSheetId="45">#REF!</definedName>
    <definedName name="GP_3">#REF!</definedName>
    <definedName name="GP_4" localSheetId="30">#REF!</definedName>
    <definedName name="GP_4" localSheetId="25">#REF!</definedName>
    <definedName name="GP_4" localSheetId="28">#REF!</definedName>
    <definedName name="GP_4" localSheetId="29">#REF!</definedName>
    <definedName name="GP_4" localSheetId="12">#REF!</definedName>
    <definedName name="GP_4" localSheetId="43">#REF!</definedName>
    <definedName name="GP_4" localSheetId="42">#REF!</definedName>
    <definedName name="GP_4" localSheetId="27">#REF!</definedName>
    <definedName name="GP_4" localSheetId="45">#REF!</definedName>
    <definedName name="GP_4">#REF!</definedName>
    <definedName name="GP_5" localSheetId="30">#REF!</definedName>
    <definedName name="GP_5" localSheetId="25">#REF!</definedName>
    <definedName name="GP_5" localSheetId="28">#REF!</definedName>
    <definedName name="GP_5" localSheetId="29">#REF!</definedName>
    <definedName name="GP_5" localSheetId="12">#REF!</definedName>
    <definedName name="GP_5" localSheetId="43">#REF!</definedName>
    <definedName name="GP_5" localSheetId="42">#REF!</definedName>
    <definedName name="GP_5" localSheetId="27">#REF!</definedName>
    <definedName name="GP_5" localSheetId="45">#REF!</definedName>
    <definedName name="GP_5">#REF!</definedName>
    <definedName name="GP_6" localSheetId="30">#REF!</definedName>
    <definedName name="GP_6" localSheetId="25">#REF!</definedName>
    <definedName name="GP_6" localSheetId="28">#REF!</definedName>
    <definedName name="GP_6" localSheetId="29">#REF!</definedName>
    <definedName name="GP_6" localSheetId="12">#REF!</definedName>
    <definedName name="GP_6" localSheetId="43">#REF!</definedName>
    <definedName name="GP_6" localSheetId="42">#REF!</definedName>
    <definedName name="GP_6" localSheetId="27">#REF!</definedName>
    <definedName name="GP_6" localSheetId="45">#REF!</definedName>
    <definedName name="GP_6">#REF!</definedName>
    <definedName name="GP_7" localSheetId="30">#REF!</definedName>
    <definedName name="GP_7" localSheetId="25">#REF!</definedName>
    <definedName name="GP_7" localSheetId="28">#REF!</definedName>
    <definedName name="GP_7" localSheetId="29">#REF!</definedName>
    <definedName name="GP_7" localSheetId="12">#REF!</definedName>
    <definedName name="GP_7" localSheetId="43">#REF!</definedName>
    <definedName name="GP_7" localSheetId="42">#REF!</definedName>
    <definedName name="GP_7" localSheetId="27">#REF!</definedName>
    <definedName name="GP_7" localSheetId="45">#REF!</definedName>
    <definedName name="GP_7">#REF!</definedName>
    <definedName name="GP_8" localSheetId="30">#REF!</definedName>
    <definedName name="GP_8" localSheetId="25">#REF!</definedName>
    <definedName name="GP_8" localSheetId="28">#REF!</definedName>
    <definedName name="GP_8" localSheetId="29">#REF!</definedName>
    <definedName name="GP_8" localSheetId="12">#REF!</definedName>
    <definedName name="GP_8" localSheetId="43">#REF!</definedName>
    <definedName name="GP_8" localSheetId="42">#REF!</definedName>
    <definedName name="GP_8" localSheetId="27">#REF!</definedName>
    <definedName name="GP_8" localSheetId="45">#REF!</definedName>
    <definedName name="GP_8">#REF!</definedName>
    <definedName name="GP_9" localSheetId="30">#REF!</definedName>
    <definedName name="GP_9" localSheetId="25">#REF!</definedName>
    <definedName name="GP_9" localSheetId="28">#REF!</definedName>
    <definedName name="GP_9" localSheetId="29">#REF!</definedName>
    <definedName name="GP_9" localSheetId="12">#REF!</definedName>
    <definedName name="GP_9" localSheetId="43">#REF!</definedName>
    <definedName name="GP_9" localSheetId="42">#REF!</definedName>
    <definedName name="GP_9" localSheetId="27">#REF!</definedName>
    <definedName name="GP_9" localSheetId="45">#REF!</definedName>
    <definedName name="GP_9">#REF!</definedName>
    <definedName name="GPH_100" localSheetId="30">#REF!</definedName>
    <definedName name="GPH_100" localSheetId="25">#REF!</definedName>
    <definedName name="GPH_100" localSheetId="28">#REF!</definedName>
    <definedName name="GPH_100" localSheetId="29">#REF!</definedName>
    <definedName name="GPH_100" localSheetId="12">#REF!</definedName>
    <definedName name="GPH_100" localSheetId="43">#REF!</definedName>
    <definedName name="GPH_100" localSheetId="42">#REF!</definedName>
    <definedName name="GPH_100" localSheetId="27">#REF!</definedName>
    <definedName name="GPH_100" localSheetId="45">#REF!</definedName>
    <definedName name="GPH_100">#REF!</definedName>
    <definedName name="GPH_125" localSheetId="30">#REF!</definedName>
    <definedName name="GPH_125" localSheetId="25">#REF!</definedName>
    <definedName name="GPH_125" localSheetId="28">#REF!</definedName>
    <definedName name="GPH_125" localSheetId="29">#REF!</definedName>
    <definedName name="GPH_125" localSheetId="12">#REF!</definedName>
    <definedName name="GPH_125" localSheetId="43">#REF!</definedName>
    <definedName name="GPH_125" localSheetId="42">#REF!</definedName>
    <definedName name="GPH_125" localSheetId="27">#REF!</definedName>
    <definedName name="GPH_125" localSheetId="45">#REF!</definedName>
    <definedName name="GPH_125">#REF!</definedName>
    <definedName name="GPH_15" localSheetId="30">#REF!</definedName>
    <definedName name="GPH_15" localSheetId="25">#REF!</definedName>
    <definedName name="GPH_15" localSheetId="28">#REF!</definedName>
    <definedName name="GPH_15" localSheetId="29">#REF!</definedName>
    <definedName name="GPH_15" localSheetId="12">#REF!</definedName>
    <definedName name="GPH_15" localSheetId="43">#REF!</definedName>
    <definedName name="GPH_15" localSheetId="42">#REF!</definedName>
    <definedName name="GPH_15" localSheetId="27">#REF!</definedName>
    <definedName name="GPH_15" localSheetId="45">#REF!</definedName>
    <definedName name="GPH_15">#REF!</definedName>
    <definedName name="GPH_150" localSheetId="30">#REF!</definedName>
    <definedName name="GPH_150" localSheetId="25">#REF!</definedName>
    <definedName name="GPH_150" localSheetId="28">#REF!</definedName>
    <definedName name="GPH_150" localSheetId="29">#REF!</definedName>
    <definedName name="GPH_150" localSheetId="12">#REF!</definedName>
    <definedName name="GPH_150" localSheetId="43">#REF!</definedName>
    <definedName name="GPH_150" localSheetId="42">#REF!</definedName>
    <definedName name="GPH_150" localSheetId="27">#REF!</definedName>
    <definedName name="GPH_150" localSheetId="45">#REF!</definedName>
    <definedName name="GPH_150">#REF!</definedName>
    <definedName name="GPH_20" localSheetId="30">#REF!</definedName>
    <definedName name="GPH_20" localSheetId="25">#REF!</definedName>
    <definedName name="GPH_20" localSheetId="28">#REF!</definedName>
    <definedName name="GPH_20" localSheetId="29">#REF!</definedName>
    <definedName name="GPH_20" localSheetId="12">#REF!</definedName>
    <definedName name="GPH_20" localSheetId="43">#REF!</definedName>
    <definedName name="GPH_20" localSheetId="42">#REF!</definedName>
    <definedName name="GPH_20" localSheetId="27">#REF!</definedName>
    <definedName name="GPH_20" localSheetId="45">#REF!</definedName>
    <definedName name="GPH_20">#REF!</definedName>
    <definedName name="GPH_25" localSheetId="30">#REF!</definedName>
    <definedName name="GPH_25" localSheetId="25">#REF!</definedName>
    <definedName name="GPH_25" localSheetId="28">#REF!</definedName>
    <definedName name="GPH_25" localSheetId="29">#REF!</definedName>
    <definedName name="GPH_25" localSheetId="12">#REF!</definedName>
    <definedName name="GPH_25" localSheetId="43">#REF!</definedName>
    <definedName name="GPH_25" localSheetId="42">#REF!</definedName>
    <definedName name="GPH_25" localSheetId="27">#REF!</definedName>
    <definedName name="GPH_25" localSheetId="45">#REF!</definedName>
    <definedName name="GPH_25">#REF!</definedName>
    <definedName name="GPH_32" localSheetId="30">#REF!</definedName>
    <definedName name="GPH_32" localSheetId="25">#REF!</definedName>
    <definedName name="GPH_32" localSheetId="28">#REF!</definedName>
    <definedName name="GPH_32" localSheetId="29">#REF!</definedName>
    <definedName name="GPH_32" localSheetId="12">#REF!</definedName>
    <definedName name="GPH_32" localSheetId="43">#REF!</definedName>
    <definedName name="GPH_32" localSheetId="42">#REF!</definedName>
    <definedName name="GPH_32" localSheetId="27">#REF!</definedName>
    <definedName name="GPH_32" localSheetId="45">#REF!</definedName>
    <definedName name="GPH_32">#REF!</definedName>
    <definedName name="GPH_40" localSheetId="30">#REF!</definedName>
    <definedName name="GPH_40" localSheetId="25">#REF!</definedName>
    <definedName name="GPH_40" localSheetId="28">#REF!</definedName>
    <definedName name="GPH_40" localSheetId="29">#REF!</definedName>
    <definedName name="GPH_40" localSheetId="12">#REF!</definedName>
    <definedName name="GPH_40" localSheetId="43">#REF!</definedName>
    <definedName name="GPH_40" localSheetId="42">#REF!</definedName>
    <definedName name="GPH_40" localSheetId="27">#REF!</definedName>
    <definedName name="GPH_40" localSheetId="45">#REF!</definedName>
    <definedName name="GPH_40">#REF!</definedName>
    <definedName name="GPH_50" localSheetId="30">#REF!</definedName>
    <definedName name="GPH_50" localSheetId="25">#REF!</definedName>
    <definedName name="GPH_50" localSheetId="28">#REF!</definedName>
    <definedName name="GPH_50" localSheetId="29">#REF!</definedName>
    <definedName name="GPH_50" localSheetId="12">#REF!</definedName>
    <definedName name="GPH_50" localSheetId="43">#REF!</definedName>
    <definedName name="GPH_50" localSheetId="42">#REF!</definedName>
    <definedName name="GPH_50" localSheetId="27">#REF!</definedName>
    <definedName name="GPH_50" localSheetId="45">#REF!</definedName>
    <definedName name="GPH_50">#REF!</definedName>
    <definedName name="GPH_65" localSheetId="30">#REF!</definedName>
    <definedName name="GPH_65" localSheetId="25">#REF!</definedName>
    <definedName name="GPH_65" localSheetId="28">#REF!</definedName>
    <definedName name="GPH_65" localSheetId="29">#REF!</definedName>
    <definedName name="GPH_65" localSheetId="12">#REF!</definedName>
    <definedName name="GPH_65" localSheetId="43">#REF!</definedName>
    <definedName name="GPH_65" localSheetId="42">#REF!</definedName>
    <definedName name="GPH_65" localSheetId="27">#REF!</definedName>
    <definedName name="GPH_65" localSheetId="45">#REF!</definedName>
    <definedName name="GPH_65">#REF!</definedName>
    <definedName name="GPH_80" localSheetId="30">#REF!</definedName>
    <definedName name="GPH_80" localSheetId="25">#REF!</definedName>
    <definedName name="GPH_80" localSheetId="28">#REF!</definedName>
    <definedName name="GPH_80" localSheetId="29">#REF!</definedName>
    <definedName name="GPH_80" localSheetId="12">#REF!</definedName>
    <definedName name="GPH_80" localSheetId="43">#REF!</definedName>
    <definedName name="GPH_80" localSheetId="42">#REF!</definedName>
    <definedName name="GPH_80" localSheetId="27">#REF!</definedName>
    <definedName name="GPH_80" localSheetId="45">#REF!</definedName>
    <definedName name="GPH_80">#REF!</definedName>
    <definedName name="GPL_100" localSheetId="30">#REF!</definedName>
    <definedName name="GPL_100" localSheetId="25">#REF!</definedName>
    <definedName name="GPL_100" localSheetId="28">#REF!</definedName>
    <definedName name="GPL_100" localSheetId="29">#REF!</definedName>
    <definedName name="GPL_100" localSheetId="12">#REF!</definedName>
    <definedName name="GPL_100" localSheetId="43">#REF!</definedName>
    <definedName name="GPL_100" localSheetId="42">#REF!</definedName>
    <definedName name="GPL_100" localSheetId="27">#REF!</definedName>
    <definedName name="GPL_100" localSheetId="45">#REF!</definedName>
    <definedName name="GPL_100">#REF!</definedName>
    <definedName name="GPL_125" localSheetId="30">#REF!</definedName>
    <definedName name="GPL_125" localSheetId="25">#REF!</definedName>
    <definedName name="GPL_125" localSheetId="28">#REF!</definedName>
    <definedName name="GPL_125" localSheetId="29">#REF!</definedName>
    <definedName name="GPL_125" localSheetId="12">#REF!</definedName>
    <definedName name="GPL_125" localSheetId="43">#REF!</definedName>
    <definedName name="GPL_125" localSheetId="42">#REF!</definedName>
    <definedName name="GPL_125" localSheetId="27">#REF!</definedName>
    <definedName name="GPL_125" localSheetId="45">#REF!</definedName>
    <definedName name="GPL_125">#REF!</definedName>
    <definedName name="GPL_15" localSheetId="30">#REF!</definedName>
    <definedName name="GPL_15" localSheetId="25">#REF!</definedName>
    <definedName name="GPL_15" localSheetId="28">#REF!</definedName>
    <definedName name="GPL_15" localSheetId="29">#REF!</definedName>
    <definedName name="GPL_15" localSheetId="12">#REF!</definedName>
    <definedName name="GPL_15" localSheetId="43">#REF!</definedName>
    <definedName name="GPL_15" localSheetId="42">#REF!</definedName>
    <definedName name="GPL_15" localSheetId="27">#REF!</definedName>
    <definedName name="GPL_15" localSheetId="45">#REF!</definedName>
    <definedName name="GPL_15">#REF!</definedName>
    <definedName name="GPL_150" localSheetId="30">#REF!</definedName>
    <definedName name="GPL_150" localSheetId="25">#REF!</definedName>
    <definedName name="GPL_150" localSheetId="28">#REF!</definedName>
    <definedName name="GPL_150" localSheetId="29">#REF!</definedName>
    <definedName name="GPL_150" localSheetId="12">#REF!</definedName>
    <definedName name="GPL_150" localSheetId="43">#REF!</definedName>
    <definedName name="GPL_150" localSheetId="42">#REF!</definedName>
    <definedName name="GPL_150" localSheetId="27">#REF!</definedName>
    <definedName name="GPL_150" localSheetId="45">#REF!</definedName>
    <definedName name="GPL_150">#REF!</definedName>
    <definedName name="GPL_20" localSheetId="30">#REF!</definedName>
    <definedName name="GPL_20" localSheetId="25">#REF!</definedName>
    <definedName name="GPL_20" localSheetId="28">#REF!</definedName>
    <definedName name="GPL_20" localSheetId="29">#REF!</definedName>
    <definedName name="GPL_20" localSheetId="12">#REF!</definedName>
    <definedName name="GPL_20" localSheetId="43">#REF!</definedName>
    <definedName name="GPL_20" localSheetId="42">#REF!</definedName>
    <definedName name="GPL_20" localSheetId="27">#REF!</definedName>
    <definedName name="GPL_20" localSheetId="45">#REF!</definedName>
    <definedName name="GPL_20">#REF!</definedName>
    <definedName name="GPL_25" localSheetId="30">#REF!</definedName>
    <definedName name="GPL_25" localSheetId="25">#REF!</definedName>
    <definedName name="GPL_25" localSheetId="28">#REF!</definedName>
    <definedName name="GPL_25" localSheetId="29">#REF!</definedName>
    <definedName name="GPL_25" localSheetId="12">#REF!</definedName>
    <definedName name="GPL_25" localSheetId="43">#REF!</definedName>
    <definedName name="GPL_25" localSheetId="42">#REF!</definedName>
    <definedName name="GPL_25" localSheetId="27">#REF!</definedName>
    <definedName name="GPL_25" localSheetId="45">#REF!</definedName>
    <definedName name="GPL_25">#REF!</definedName>
    <definedName name="GPL_32" localSheetId="30">#REF!</definedName>
    <definedName name="GPL_32" localSheetId="25">#REF!</definedName>
    <definedName name="GPL_32" localSheetId="28">#REF!</definedName>
    <definedName name="GPL_32" localSheetId="29">#REF!</definedName>
    <definedName name="GPL_32" localSheetId="12">#REF!</definedName>
    <definedName name="GPL_32" localSheetId="43">#REF!</definedName>
    <definedName name="GPL_32" localSheetId="42">#REF!</definedName>
    <definedName name="GPL_32" localSheetId="27">#REF!</definedName>
    <definedName name="GPL_32" localSheetId="45">#REF!</definedName>
    <definedName name="GPL_32">#REF!</definedName>
    <definedName name="GPL_40" localSheetId="30">#REF!</definedName>
    <definedName name="GPL_40" localSheetId="25">#REF!</definedName>
    <definedName name="GPL_40" localSheetId="28">#REF!</definedName>
    <definedName name="GPL_40" localSheetId="29">#REF!</definedName>
    <definedName name="GPL_40" localSheetId="12">#REF!</definedName>
    <definedName name="GPL_40" localSheetId="43">#REF!</definedName>
    <definedName name="GPL_40" localSheetId="42">#REF!</definedName>
    <definedName name="GPL_40" localSheetId="27">#REF!</definedName>
    <definedName name="GPL_40" localSheetId="45">#REF!</definedName>
    <definedName name="GPL_40">#REF!</definedName>
    <definedName name="GPL_50" localSheetId="30">#REF!</definedName>
    <definedName name="GPL_50" localSheetId="25">#REF!</definedName>
    <definedName name="GPL_50" localSheetId="28">#REF!</definedName>
    <definedName name="GPL_50" localSheetId="29">#REF!</definedName>
    <definedName name="GPL_50" localSheetId="12">#REF!</definedName>
    <definedName name="GPL_50" localSheetId="43">#REF!</definedName>
    <definedName name="GPL_50" localSheetId="42">#REF!</definedName>
    <definedName name="GPL_50" localSheetId="27">#REF!</definedName>
    <definedName name="GPL_50" localSheetId="45">#REF!</definedName>
    <definedName name="GPL_50">#REF!</definedName>
    <definedName name="GPL_65" localSheetId="30">#REF!</definedName>
    <definedName name="GPL_65" localSheetId="25">#REF!</definedName>
    <definedName name="GPL_65" localSheetId="28">#REF!</definedName>
    <definedName name="GPL_65" localSheetId="29">#REF!</definedName>
    <definedName name="GPL_65" localSheetId="12">#REF!</definedName>
    <definedName name="GPL_65" localSheetId="43">#REF!</definedName>
    <definedName name="GPL_65" localSheetId="42">#REF!</definedName>
    <definedName name="GPL_65" localSheetId="27">#REF!</definedName>
    <definedName name="GPL_65" localSheetId="45">#REF!</definedName>
    <definedName name="GPL_65">#REF!</definedName>
    <definedName name="GPL_80" localSheetId="30">#REF!</definedName>
    <definedName name="GPL_80" localSheetId="25">#REF!</definedName>
    <definedName name="GPL_80" localSheetId="28">#REF!</definedName>
    <definedName name="GPL_80" localSheetId="29">#REF!</definedName>
    <definedName name="GPL_80" localSheetId="12">#REF!</definedName>
    <definedName name="GPL_80" localSheetId="43">#REF!</definedName>
    <definedName name="GPL_80" localSheetId="42">#REF!</definedName>
    <definedName name="GPL_80" localSheetId="27">#REF!</definedName>
    <definedName name="GPL_80" localSheetId="45">#REF!</definedName>
    <definedName name="GPL_80">#REF!</definedName>
    <definedName name="GPM_100" localSheetId="30">#REF!</definedName>
    <definedName name="GPM_100" localSheetId="25">#REF!</definedName>
    <definedName name="GPM_100" localSheetId="28">#REF!</definedName>
    <definedName name="GPM_100" localSheetId="29">#REF!</definedName>
    <definedName name="GPM_100" localSheetId="12">#REF!</definedName>
    <definedName name="GPM_100" localSheetId="43">#REF!</definedName>
    <definedName name="GPM_100" localSheetId="42">#REF!</definedName>
    <definedName name="GPM_100" localSheetId="27">#REF!</definedName>
    <definedName name="GPM_100" localSheetId="45">#REF!</definedName>
    <definedName name="GPM_100">#REF!</definedName>
    <definedName name="GPM_125" localSheetId="30">#REF!</definedName>
    <definedName name="GPM_125" localSheetId="25">#REF!</definedName>
    <definedName name="GPM_125" localSheetId="28">#REF!</definedName>
    <definedName name="GPM_125" localSheetId="29">#REF!</definedName>
    <definedName name="GPM_125" localSheetId="12">#REF!</definedName>
    <definedName name="GPM_125" localSheetId="43">#REF!</definedName>
    <definedName name="GPM_125" localSheetId="42">#REF!</definedName>
    <definedName name="GPM_125" localSheetId="27">#REF!</definedName>
    <definedName name="GPM_125" localSheetId="45">#REF!</definedName>
    <definedName name="GPM_125">#REF!</definedName>
    <definedName name="GPM_15" localSheetId="30">#REF!</definedName>
    <definedName name="GPM_15" localSheetId="25">#REF!</definedName>
    <definedName name="GPM_15" localSheetId="28">#REF!</definedName>
    <definedName name="GPM_15" localSheetId="29">#REF!</definedName>
    <definedName name="GPM_15" localSheetId="12">#REF!</definedName>
    <definedName name="GPM_15" localSheetId="43">#REF!</definedName>
    <definedName name="GPM_15" localSheetId="42">#REF!</definedName>
    <definedName name="GPM_15" localSheetId="27">#REF!</definedName>
    <definedName name="GPM_15" localSheetId="45">#REF!</definedName>
    <definedName name="GPM_15">#REF!</definedName>
    <definedName name="GPM_150" localSheetId="30">#REF!</definedName>
    <definedName name="GPM_150" localSheetId="25">#REF!</definedName>
    <definedName name="GPM_150" localSheetId="28">#REF!</definedName>
    <definedName name="GPM_150" localSheetId="29">#REF!</definedName>
    <definedName name="GPM_150" localSheetId="12">#REF!</definedName>
    <definedName name="GPM_150" localSheetId="43">#REF!</definedName>
    <definedName name="GPM_150" localSheetId="42">#REF!</definedName>
    <definedName name="GPM_150" localSheetId="27">#REF!</definedName>
    <definedName name="GPM_150" localSheetId="45">#REF!</definedName>
    <definedName name="GPM_150">#REF!</definedName>
    <definedName name="GPM_20" localSheetId="30">#REF!</definedName>
    <definedName name="GPM_20" localSheetId="25">#REF!</definedName>
    <definedName name="GPM_20" localSheetId="28">#REF!</definedName>
    <definedName name="GPM_20" localSheetId="29">#REF!</definedName>
    <definedName name="GPM_20" localSheetId="12">#REF!</definedName>
    <definedName name="GPM_20" localSheetId="43">#REF!</definedName>
    <definedName name="GPM_20" localSheetId="42">#REF!</definedName>
    <definedName name="GPM_20" localSheetId="27">#REF!</definedName>
    <definedName name="GPM_20" localSheetId="45">#REF!</definedName>
    <definedName name="GPM_20">#REF!</definedName>
    <definedName name="GPM_200" localSheetId="30">#REF!</definedName>
    <definedName name="GPM_200" localSheetId="25">#REF!</definedName>
    <definedName name="GPM_200" localSheetId="28">#REF!</definedName>
    <definedName name="GPM_200" localSheetId="29">#REF!</definedName>
    <definedName name="GPM_200" localSheetId="12">#REF!</definedName>
    <definedName name="GPM_200" localSheetId="43">#REF!</definedName>
    <definedName name="GPM_200" localSheetId="42">#REF!</definedName>
    <definedName name="GPM_200" localSheetId="27">#REF!</definedName>
    <definedName name="GPM_200" localSheetId="45">#REF!</definedName>
    <definedName name="GPM_200">#REF!</definedName>
    <definedName name="GPM_25" localSheetId="30">#REF!</definedName>
    <definedName name="GPM_25" localSheetId="25">#REF!</definedName>
    <definedName name="GPM_25" localSheetId="28">#REF!</definedName>
    <definedName name="GPM_25" localSheetId="29">#REF!</definedName>
    <definedName name="GPM_25" localSheetId="12">#REF!</definedName>
    <definedName name="GPM_25" localSheetId="43">#REF!</definedName>
    <definedName name="GPM_25" localSheetId="42">#REF!</definedName>
    <definedName name="GPM_25" localSheetId="27">#REF!</definedName>
    <definedName name="GPM_25" localSheetId="45">#REF!</definedName>
    <definedName name="GPM_25">#REF!</definedName>
    <definedName name="GPM_32" localSheetId="30">#REF!</definedName>
    <definedName name="GPM_32" localSheetId="25">#REF!</definedName>
    <definedName name="GPM_32" localSheetId="28">#REF!</definedName>
    <definedName name="GPM_32" localSheetId="29">#REF!</definedName>
    <definedName name="GPM_32" localSheetId="12">#REF!</definedName>
    <definedName name="GPM_32" localSheetId="43">#REF!</definedName>
    <definedName name="GPM_32" localSheetId="42">#REF!</definedName>
    <definedName name="GPM_32" localSheetId="27">#REF!</definedName>
    <definedName name="GPM_32" localSheetId="45">#REF!</definedName>
    <definedName name="GPM_32">#REF!</definedName>
    <definedName name="GPM_40" localSheetId="30">#REF!</definedName>
    <definedName name="GPM_40" localSheetId="25">#REF!</definedName>
    <definedName name="GPM_40" localSheetId="28">#REF!</definedName>
    <definedName name="GPM_40" localSheetId="29">#REF!</definedName>
    <definedName name="GPM_40" localSheetId="12">#REF!</definedName>
    <definedName name="GPM_40" localSheetId="43">#REF!</definedName>
    <definedName name="GPM_40" localSheetId="42">#REF!</definedName>
    <definedName name="GPM_40" localSheetId="27">#REF!</definedName>
    <definedName name="GPM_40" localSheetId="45">#REF!</definedName>
    <definedName name="GPM_40">#REF!</definedName>
    <definedName name="GPM_50" localSheetId="30">#REF!</definedName>
    <definedName name="GPM_50" localSheetId="25">#REF!</definedName>
    <definedName name="GPM_50" localSheetId="28">#REF!</definedName>
    <definedName name="GPM_50" localSheetId="29">#REF!</definedName>
    <definedName name="GPM_50" localSheetId="12">#REF!</definedName>
    <definedName name="GPM_50" localSheetId="43">#REF!</definedName>
    <definedName name="GPM_50" localSheetId="42">#REF!</definedName>
    <definedName name="GPM_50" localSheetId="27">#REF!</definedName>
    <definedName name="GPM_50" localSheetId="45">#REF!</definedName>
    <definedName name="GPM_50">#REF!</definedName>
    <definedName name="GPM_65" localSheetId="30">#REF!</definedName>
    <definedName name="GPM_65" localSheetId="25">#REF!</definedName>
    <definedName name="GPM_65" localSheetId="28">#REF!</definedName>
    <definedName name="GPM_65" localSheetId="29">#REF!</definedName>
    <definedName name="GPM_65" localSheetId="12">#REF!</definedName>
    <definedName name="GPM_65" localSheetId="43">#REF!</definedName>
    <definedName name="GPM_65" localSheetId="42">#REF!</definedName>
    <definedName name="GPM_65" localSheetId="27">#REF!</definedName>
    <definedName name="GPM_65" localSheetId="45">#REF!</definedName>
    <definedName name="GPM_65">#REF!</definedName>
    <definedName name="GPM_80" localSheetId="30">#REF!</definedName>
    <definedName name="GPM_80" localSheetId="25">#REF!</definedName>
    <definedName name="GPM_80" localSheetId="28">#REF!</definedName>
    <definedName name="GPM_80" localSheetId="29">#REF!</definedName>
    <definedName name="GPM_80" localSheetId="12">#REF!</definedName>
    <definedName name="GPM_80" localSheetId="43">#REF!</definedName>
    <definedName name="GPM_80" localSheetId="42">#REF!</definedName>
    <definedName name="GPM_80" localSheetId="27">#REF!</definedName>
    <definedName name="GPM_80" localSheetId="45">#REF!</definedName>
    <definedName name="GPM_80">#REF!</definedName>
    <definedName name="gpw">[8]DRates!$J$30</definedName>
    <definedName name="GR_100x32" localSheetId="30">#REF!</definedName>
    <definedName name="GR_100x32" localSheetId="25">#REF!</definedName>
    <definedName name="GR_100x32" localSheetId="28">#REF!</definedName>
    <definedName name="GR_100x32" localSheetId="29">#REF!</definedName>
    <definedName name="GR_100x32" localSheetId="12">#REF!</definedName>
    <definedName name="GR_100x32" localSheetId="43">#REF!</definedName>
    <definedName name="GR_100x32" localSheetId="42">#REF!</definedName>
    <definedName name="GR_100x32" localSheetId="27">#REF!</definedName>
    <definedName name="GR_100x32" localSheetId="45">#REF!</definedName>
    <definedName name="GR_100x32">#REF!</definedName>
    <definedName name="GR_100x40" localSheetId="30">#REF!</definedName>
    <definedName name="GR_100x40" localSheetId="25">#REF!</definedName>
    <definedName name="GR_100x40" localSheetId="28">#REF!</definedName>
    <definedName name="GR_100x40" localSheetId="29">#REF!</definedName>
    <definedName name="GR_100x40" localSheetId="12">#REF!</definedName>
    <definedName name="GR_100x40" localSheetId="43">#REF!</definedName>
    <definedName name="GR_100x40" localSheetId="42">#REF!</definedName>
    <definedName name="GR_100x40" localSheetId="27">#REF!</definedName>
    <definedName name="GR_100x40" localSheetId="45">#REF!</definedName>
    <definedName name="GR_100x40">#REF!</definedName>
    <definedName name="GR_100x50" localSheetId="30">#REF!</definedName>
    <definedName name="GR_100x50" localSheetId="25">#REF!</definedName>
    <definedName name="GR_100x50" localSheetId="28">#REF!</definedName>
    <definedName name="GR_100x50" localSheetId="29">#REF!</definedName>
    <definedName name="GR_100x50" localSheetId="12">#REF!</definedName>
    <definedName name="GR_100x50" localSheetId="43">#REF!</definedName>
    <definedName name="GR_100x50" localSheetId="42">#REF!</definedName>
    <definedName name="GR_100x50" localSheetId="27">#REF!</definedName>
    <definedName name="GR_100x50" localSheetId="45">#REF!</definedName>
    <definedName name="GR_100x50">#REF!</definedName>
    <definedName name="GR_100x65" localSheetId="30">#REF!</definedName>
    <definedName name="GR_100x65" localSheetId="25">#REF!</definedName>
    <definedName name="GR_100x65" localSheetId="28">#REF!</definedName>
    <definedName name="GR_100x65" localSheetId="29">#REF!</definedName>
    <definedName name="GR_100x65" localSheetId="12">#REF!</definedName>
    <definedName name="GR_100x65" localSheetId="43">#REF!</definedName>
    <definedName name="GR_100x65" localSheetId="42">#REF!</definedName>
    <definedName name="GR_100x65" localSheetId="27">#REF!</definedName>
    <definedName name="GR_100x65" localSheetId="45">#REF!</definedName>
    <definedName name="GR_100x65">#REF!</definedName>
    <definedName name="GR_100x80" localSheetId="30">#REF!</definedName>
    <definedName name="GR_100x80" localSheetId="25">#REF!</definedName>
    <definedName name="GR_100x80" localSheetId="28">#REF!</definedName>
    <definedName name="GR_100x80" localSheetId="29">#REF!</definedName>
    <definedName name="GR_100x80" localSheetId="12">#REF!</definedName>
    <definedName name="GR_100x80" localSheetId="43">#REF!</definedName>
    <definedName name="GR_100x80" localSheetId="42">#REF!</definedName>
    <definedName name="GR_100x80" localSheetId="27">#REF!</definedName>
    <definedName name="GR_100x80" localSheetId="45">#REF!</definedName>
    <definedName name="GR_100x80">#REF!</definedName>
    <definedName name="GR_125x100" localSheetId="30">#REF!</definedName>
    <definedName name="GR_125x100" localSheetId="25">#REF!</definedName>
    <definedName name="GR_125x100" localSheetId="28">#REF!</definedName>
    <definedName name="GR_125x100" localSheetId="29">#REF!</definedName>
    <definedName name="GR_125x100" localSheetId="12">#REF!</definedName>
    <definedName name="GR_125x100" localSheetId="43">#REF!</definedName>
    <definedName name="GR_125x100" localSheetId="42">#REF!</definedName>
    <definedName name="GR_125x100" localSheetId="27">#REF!</definedName>
    <definedName name="GR_125x100" localSheetId="45">#REF!</definedName>
    <definedName name="GR_125x100">#REF!</definedName>
    <definedName name="GR_150x125" localSheetId="30">#REF!</definedName>
    <definedName name="GR_150x125" localSheetId="25">#REF!</definedName>
    <definedName name="GR_150x125" localSheetId="28">#REF!</definedName>
    <definedName name="GR_150x125" localSheetId="29">#REF!</definedName>
    <definedName name="GR_150x125" localSheetId="12">#REF!</definedName>
    <definedName name="GR_150x125" localSheetId="43">#REF!</definedName>
    <definedName name="GR_150x125" localSheetId="42">#REF!</definedName>
    <definedName name="GR_150x125" localSheetId="27">#REF!</definedName>
    <definedName name="GR_150x125" localSheetId="45">#REF!</definedName>
    <definedName name="GR_150x125">#REF!</definedName>
    <definedName name="GR_32x20" localSheetId="30">#REF!</definedName>
    <definedName name="GR_32x20" localSheetId="25">#REF!</definedName>
    <definedName name="GR_32x20" localSheetId="28">#REF!</definedName>
    <definedName name="GR_32x20" localSheetId="29">#REF!</definedName>
    <definedName name="GR_32x20" localSheetId="12">#REF!</definedName>
    <definedName name="GR_32x20" localSheetId="43">#REF!</definedName>
    <definedName name="GR_32x20" localSheetId="42">#REF!</definedName>
    <definedName name="GR_32x20" localSheetId="27">#REF!</definedName>
    <definedName name="GR_32x20" localSheetId="45">#REF!</definedName>
    <definedName name="GR_32x20">#REF!</definedName>
    <definedName name="GR_32x25" localSheetId="30">#REF!</definedName>
    <definedName name="GR_32x25" localSheetId="25">#REF!</definedName>
    <definedName name="GR_32x25" localSheetId="28">#REF!</definedName>
    <definedName name="GR_32x25" localSheetId="29">#REF!</definedName>
    <definedName name="GR_32x25" localSheetId="12">#REF!</definedName>
    <definedName name="GR_32x25" localSheetId="43">#REF!</definedName>
    <definedName name="GR_32x25" localSheetId="42">#REF!</definedName>
    <definedName name="GR_32x25" localSheetId="27">#REF!</definedName>
    <definedName name="GR_32x25" localSheetId="45">#REF!</definedName>
    <definedName name="GR_32x25">#REF!</definedName>
    <definedName name="GR_40x15" localSheetId="30">#REF!</definedName>
    <definedName name="GR_40x15" localSheetId="25">#REF!</definedName>
    <definedName name="GR_40x15" localSheetId="28">#REF!</definedName>
    <definedName name="GR_40x15" localSheetId="29">#REF!</definedName>
    <definedName name="GR_40x15" localSheetId="12">#REF!</definedName>
    <definedName name="GR_40x15" localSheetId="43">#REF!</definedName>
    <definedName name="GR_40x15" localSheetId="42">#REF!</definedName>
    <definedName name="GR_40x15" localSheetId="27">#REF!</definedName>
    <definedName name="GR_40x15" localSheetId="45">#REF!</definedName>
    <definedName name="GR_40x15">#REF!</definedName>
    <definedName name="GR_40x25" localSheetId="30">#REF!</definedName>
    <definedName name="GR_40x25" localSheetId="25">#REF!</definedName>
    <definedName name="GR_40x25" localSheetId="28">#REF!</definedName>
    <definedName name="GR_40x25" localSheetId="29">#REF!</definedName>
    <definedName name="GR_40x25" localSheetId="12">#REF!</definedName>
    <definedName name="GR_40x25" localSheetId="43">#REF!</definedName>
    <definedName name="GR_40x25" localSheetId="42">#REF!</definedName>
    <definedName name="GR_40x25" localSheetId="27">#REF!</definedName>
    <definedName name="GR_40x25" localSheetId="45">#REF!</definedName>
    <definedName name="GR_40x25">#REF!</definedName>
    <definedName name="GR_40x32" localSheetId="30">#REF!</definedName>
    <definedName name="GR_40x32" localSheetId="25">#REF!</definedName>
    <definedName name="GR_40x32" localSheetId="28">#REF!</definedName>
    <definedName name="GR_40x32" localSheetId="29">#REF!</definedName>
    <definedName name="GR_40x32" localSheetId="12">#REF!</definedName>
    <definedName name="GR_40x32" localSheetId="43">#REF!</definedName>
    <definedName name="GR_40x32" localSheetId="42">#REF!</definedName>
    <definedName name="GR_40x32" localSheetId="27">#REF!</definedName>
    <definedName name="GR_40x32" localSheetId="45">#REF!</definedName>
    <definedName name="GR_40x32">#REF!</definedName>
    <definedName name="GR_50x32" localSheetId="30">#REF!</definedName>
    <definedName name="GR_50x32" localSheetId="25">#REF!</definedName>
    <definedName name="GR_50x32" localSheetId="28">#REF!</definedName>
    <definedName name="GR_50x32" localSheetId="29">#REF!</definedName>
    <definedName name="GR_50x32" localSheetId="12">#REF!</definedName>
    <definedName name="GR_50x32" localSheetId="43">#REF!</definedName>
    <definedName name="GR_50x32" localSheetId="42">#REF!</definedName>
    <definedName name="GR_50x32" localSheetId="27">#REF!</definedName>
    <definedName name="GR_50x32" localSheetId="45">#REF!</definedName>
    <definedName name="GR_50x32">#REF!</definedName>
    <definedName name="GR_50x40" localSheetId="30">#REF!</definedName>
    <definedName name="GR_50x40" localSheetId="25">#REF!</definedName>
    <definedName name="GR_50x40" localSheetId="28">#REF!</definedName>
    <definedName name="GR_50x40" localSheetId="29">#REF!</definedName>
    <definedName name="GR_50x40" localSheetId="12">#REF!</definedName>
    <definedName name="GR_50x40" localSheetId="43">#REF!</definedName>
    <definedName name="GR_50x40" localSheetId="42">#REF!</definedName>
    <definedName name="GR_50x40" localSheetId="27">#REF!</definedName>
    <definedName name="GR_50x40" localSheetId="45">#REF!</definedName>
    <definedName name="GR_50x40">#REF!</definedName>
    <definedName name="GR_65x40" localSheetId="30">#REF!</definedName>
    <definedName name="GR_65x40" localSheetId="25">#REF!</definedName>
    <definedName name="GR_65x40" localSheetId="28">#REF!</definedName>
    <definedName name="GR_65x40" localSheetId="29">#REF!</definedName>
    <definedName name="GR_65x40" localSheetId="12">#REF!</definedName>
    <definedName name="GR_65x40" localSheetId="43">#REF!</definedName>
    <definedName name="GR_65x40" localSheetId="42">#REF!</definedName>
    <definedName name="GR_65x40" localSheetId="27">#REF!</definedName>
    <definedName name="GR_65x40" localSheetId="45">#REF!</definedName>
    <definedName name="GR_65x40">#REF!</definedName>
    <definedName name="GR_65x50" localSheetId="30">#REF!</definedName>
    <definedName name="GR_65x50" localSheetId="25">#REF!</definedName>
    <definedName name="GR_65x50" localSheetId="28">#REF!</definedName>
    <definedName name="GR_65x50" localSheetId="29">#REF!</definedName>
    <definedName name="GR_65x50" localSheetId="12">#REF!</definedName>
    <definedName name="GR_65x50" localSheetId="43">#REF!</definedName>
    <definedName name="GR_65x50" localSheetId="42">#REF!</definedName>
    <definedName name="GR_65x50" localSheetId="27">#REF!</definedName>
    <definedName name="GR_65x50" localSheetId="45">#REF!</definedName>
    <definedName name="GR_65x50">#REF!</definedName>
    <definedName name="GR_80x32" localSheetId="30">#REF!</definedName>
    <definedName name="GR_80x32" localSheetId="25">#REF!</definedName>
    <definedName name="GR_80x32" localSheetId="28">#REF!</definedName>
    <definedName name="GR_80x32" localSheetId="29">#REF!</definedName>
    <definedName name="GR_80x32" localSheetId="12">#REF!</definedName>
    <definedName name="GR_80x32" localSheetId="43">#REF!</definedName>
    <definedName name="GR_80x32" localSheetId="42">#REF!</definedName>
    <definedName name="GR_80x32" localSheetId="27">#REF!</definedName>
    <definedName name="GR_80x32" localSheetId="45">#REF!</definedName>
    <definedName name="GR_80x32">#REF!</definedName>
    <definedName name="GR_80x40" localSheetId="30">#REF!</definedName>
    <definedName name="GR_80x40" localSheetId="25">#REF!</definedName>
    <definedName name="GR_80x40" localSheetId="28">#REF!</definedName>
    <definedName name="GR_80x40" localSheetId="29">#REF!</definedName>
    <definedName name="GR_80x40" localSheetId="12">#REF!</definedName>
    <definedName name="GR_80x40" localSheetId="43">#REF!</definedName>
    <definedName name="GR_80x40" localSheetId="42">#REF!</definedName>
    <definedName name="GR_80x40" localSheetId="27">#REF!</definedName>
    <definedName name="GR_80x40" localSheetId="45">#REF!</definedName>
    <definedName name="GR_80x40">#REF!</definedName>
    <definedName name="GR_80x50" localSheetId="30">#REF!</definedName>
    <definedName name="GR_80x50" localSheetId="25">#REF!</definedName>
    <definedName name="GR_80x50" localSheetId="28">#REF!</definedName>
    <definedName name="GR_80x50" localSheetId="29">#REF!</definedName>
    <definedName name="GR_80x50" localSheetId="12">#REF!</definedName>
    <definedName name="GR_80x50" localSheetId="43">#REF!</definedName>
    <definedName name="GR_80x50" localSheetId="42">#REF!</definedName>
    <definedName name="GR_80x50" localSheetId="27">#REF!</definedName>
    <definedName name="GR_80x50" localSheetId="45">#REF!</definedName>
    <definedName name="GR_80x50">#REF!</definedName>
    <definedName name="GR_80x65" localSheetId="30">#REF!</definedName>
    <definedName name="GR_80x65" localSheetId="25">#REF!</definedName>
    <definedName name="GR_80x65" localSheetId="28">#REF!</definedName>
    <definedName name="GR_80x65" localSheetId="29">#REF!</definedName>
    <definedName name="GR_80x65" localSheetId="12">#REF!</definedName>
    <definedName name="GR_80x65" localSheetId="43">#REF!</definedName>
    <definedName name="GR_80x65" localSheetId="42">#REF!</definedName>
    <definedName name="GR_80x65" localSheetId="27">#REF!</definedName>
    <definedName name="GR_80x65" localSheetId="45">#REF!</definedName>
    <definedName name="GR_80x65">#REF!</definedName>
    <definedName name="Gra">[5]DR!$D$23</definedName>
    <definedName name="grav">[8]MatCol!$K$78</definedName>
    <definedName name="gravel">[37]DR!$D$13</definedName>
    <definedName name="Gravel_5_20_cum_M">[38]Transport_Cost_F!$D$41</definedName>
    <definedName name="Gravel_5_70_cum_M">[23]Transport_Cost_F!$D$40</definedName>
    <definedName name="GreenMULCH_M">[23]Transport_Cost_F!$D$70</definedName>
    <definedName name="grill" localSheetId="30">#REF!</definedName>
    <definedName name="grill" localSheetId="25">#REF!</definedName>
    <definedName name="grill" localSheetId="28">#REF!</definedName>
    <definedName name="grill" localSheetId="29">#REF!</definedName>
    <definedName name="grill" localSheetId="12">#REF!</definedName>
    <definedName name="grill" localSheetId="43">#REF!</definedName>
    <definedName name="grill" localSheetId="42">#REF!</definedName>
    <definedName name="grill" localSheetId="27">#REF!</definedName>
    <definedName name="grill" localSheetId="45">#REF!</definedName>
    <definedName name="grill">#REF!</definedName>
    <definedName name="GS_100" localSheetId="30">#REF!</definedName>
    <definedName name="GS_100" localSheetId="25">#REF!</definedName>
    <definedName name="GS_100" localSheetId="28">#REF!</definedName>
    <definedName name="GS_100" localSheetId="29">#REF!</definedName>
    <definedName name="GS_100" localSheetId="12">#REF!</definedName>
    <definedName name="GS_100" localSheetId="43">#REF!</definedName>
    <definedName name="GS_100" localSheetId="42">#REF!</definedName>
    <definedName name="GS_100" localSheetId="27">#REF!</definedName>
    <definedName name="GS_100" localSheetId="45">#REF!</definedName>
    <definedName name="GS_100">#REF!</definedName>
    <definedName name="GS_125" localSheetId="30">#REF!</definedName>
    <definedName name="GS_125" localSheetId="25">#REF!</definedName>
    <definedName name="GS_125" localSheetId="28">#REF!</definedName>
    <definedName name="GS_125" localSheetId="29">#REF!</definedName>
    <definedName name="GS_125" localSheetId="12">#REF!</definedName>
    <definedName name="GS_125" localSheetId="43">#REF!</definedName>
    <definedName name="GS_125" localSheetId="42">#REF!</definedName>
    <definedName name="GS_125" localSheetId="27">#REF!</definedName>
    <definedName name="GS_125" localSheetId="45">#REF!</definedName>
    <definedName name="GS_125">#REF!</definedName>
    <definedName name="GS_15" localSheetId="30">#REF!</definedName>
    <definedName name="GS_15" localSheetId="25">#REF!</definedName>
    <definedName name="GS_15" localSheetId="28">#REF!</definedName>
    <definedName name="GS_15" localSheetId="29">#REF!</definedName>
    <definedName name="GS_15" localSheetId="12">#REF!</definedName>
    <definedName name="GS_15" localSheetId="43">#REF!</definedName>
    <definedName name="GS_15" localSheetId="42">#REF!</definedName>
    <definedName name="GS_15" localSheetId="27">#REF!</definedName>
    <definedName name="GS_15" localSheetId="45">#REF!</definedName>
    <definedName name="GS_15">#REF!</definedName>
    <definedName name="GS_150" localSheetId="30">#REF!</definedName>
    <definedName name="GS_150" localSheetId="25">#REF!</definedName>
    <definedName name="GS_150" localSheetId="28">#REF!</definedName>
    <definedName name="GS_150" localSheetId="29">#REF!</definedName>
    <definedName name="GS_150" localSheetId="12">#REF!</definedName>
    <definedName name="GS_150" localSheetId="43">#REF!</definedName>
    <definedName name="GS_150" localSheetId="42">#REF!</definedName>
    <definedName name="GS_150" localSheetId="27">#REF!</definedName>
    <definedName name="GS_150" localSheetId="45">#REF!</definedName>
    <definedName name="GS_150">#REF!</definedName>
    <definedName name="GS_20" localSheetId="30">#REF!</definedName>
    <definedName name="GS_20" localSheetId="25">#REF!</definedName>
    <definedName name="GS_20" localSheetId="28">#REF!</definedName>
    <definedName name="GS_20" localSheetId="29">#REF!</definedName>
    <definedName name="GS_20" localSheetId="12">#REF!</definedName>
    <definedName name="GS_20" localSheetId="43">#REF!</definedName>
    <definedName name="GS_20" localSheetId="42">#REF!</definedName>
    <definedName name="GS_20" localSheetId="27">#REF!</definedName>
    <definedName name="GS_20" localSheetId="45">#REF!</definedName>
    <definedName name="GS_20">#REF!</definedName>
    <definedName name="GS_25" localSheetId="30">#REF!</definedName>
    <definedName name="GS_25" localSheetId="25">#REF!</definedName>
    <definedName name="GS_25" localSheetId="28">#REF!</definedName>
    <definedName name="GS_25" localSheetId="29">#REF!</definedName>
    <definedName name="GS_25" localSheetId="12">#REF!</definedName>
    <definedName name="GS_25" localSheetId="43">#REF!</definedName>
    <definedName name="GS_25" localSheetId="42">#REF!</definedName>
    <definedName name="GS_25" localSheetId="27">#REF!</definedName>
    <definedName name="GS_25" localSheetId="45">#REF!</definedName>
    <definedName name="GS_25">#REF!</definedName>
    <definedName name="GS_32" localSheetId="30">#REF!</definedName>
    <definedName name="GS_32" localSheetId="25">#REF!</definedName>
    <definedName name="GS_32" localSheetId="28">#REF!</definedName>
    <definedName name="GS_32" localSheetId="29">#REF!</definedName>
    <definedName name="GS_32" localSheetId="12">#REF!</definedName>
    <definedName name="GS_32" localSheetId="43">#REF!</definedName>
    <definedName name="GS_32" localSheetId="42">#REF!</definedName>
    <definedName name="GS_32" localSheetId="27">#REF!</definedName>
    <definedName name="GS_32" localSheetId="45">#REF!</definedName>
    <definedName name="GS_32">#REF!</definedName>
    <definedName name="GS_40" localSheetId="30">#REF!</definedName>
    <definedName name="GS_40" localSheetId="25">#REF!</definedName>
    <definedName name="GS_40" localSheetId="28">#REF!</definedName>
    <definedName name="GS_40" localSheetId="29">#REF!</definedName>
    <definedName name="GS_40" localSheetId="12">#REF!</definedName>
    <definedName name="GS_40" localSheetId="43">#REF!</definedName>
    <definedName name="GS_40" localSheetId="42">#REF!</definedName>
    <definedName name="GS_40" localSheetId="27">#REF!</definedName>
    <definedName name="GS_40" localSheetId="45">#REF!</definedName>
    <definedName name="GS_40">#REF!</definedName>
    <definedName name="GS_50" localSheetId="30">#REF!</definedName>
    <definedName name="GS_50" localSheetId="25">#REF!</definedName>
    <definedName name="GS_50" localSheetId="28">#REF!</definedName>
    <definedName name="GS_50" localSheetId="29">#REF!</definedName>
    <definedName name="GS_50" localSheetId="12">#REF!</definedName>
    <definedName name="GS_50" localSheetId="43">#REF!</definedName>
    <definedName name="GS_50" localSheetId="42">#REF!</definedName>
    <definedName name="GS_50" localSheetId="27">#REF!</definedName>
    <definedName name="GS_50" localSheetId="45">#REF!</definedName>
    <definedName name="GS_50">#REF!</definedName>
    <definedName name="GS_65" localSheetId="30">#REF!</definedName>
    <definedName name="GS_65" localSheetId="25">#REF!</definedName>
    <definedName name="GS_65" localSheetId="28">#REF!</definedName>
    <definedName name="GS_65" localSheetId="29">#REF!</definedName>
    <definedName name="GS_65" localSheetId="12">#REF!</definedName>
    <definedName name="GS_65" localSheetId="43">#REF!</definedName>
    <definedName name="GS_65" localSheetId="42">#REF!</definedName>
    <definedName name="GS_65" localSheetId="27">#REF!</definedName>
    <definedName name="GS_65" localSheetId="45">#REF!</definedName>
    <definedName name="GS_65">#REF!</definedName>
    <definedName name="GS_80" localSheetId="30">#REF!</definedName>
    <definedName name="GS_80" localSheetId="25">#REF!</definedName>
    <definedName name="GS_80" localSheetId="28">#REF!</definedName>
    <definedName name="GS_80" localSheetId="29">#REF!</definedName>
    <definedName name="GS_80" localSheetId="12">#REF!</definedName>
    <definedName name="GS_80" localSheetId="43">#REF!</definedName>
    <definedName name="GS_80" localSheetId="42">#REF!</definedName>
    <definedName name="GS_80" localSheetId="27">#REF!</definedName>
    <definedName name="GS_80" localSheetId="45">#REF!</definedName>
    <definedName name="GS_80">#REF!</definedName>
    <definedName name="GSt_100" localSheetId="30">#REF!</definedName>
    <definedName name="GSt_100" localSheetId="25">#REF!</definedName>
    <definedName name="GSt_100" localSheetId="28">#REF!</definedName>
    <definedName name="GSt_100" localSheetId="29">#REF!</definedName>
    <definedName name="GSt_100" localSheetId="12">#REF!</definedName>
    <definedName name="GSt_100" localSheetId="43">#REF!</definedName>
    <definedName name="GSt_100" localSheetId="42">#REF!</definedName>
    <definedName name="GSt_100" localSheetId="27">#REF!</definedName>
    <definedName name="GSt_100" localSheetId="45">#REF!</definedName>
    <definedName name="GSt_100">#REF!</definedName>
    <definedName name="GSt_125" localSheetId="30">#REF!</definedName>
    <definedName name="GSt_125" localSheetId="25">#REF!</definedName>
    <definedName name="GSt_125" localSheetId="28">#REF!</definedName>
    <definedName name="GSt_125" localSheetId="29">#REF!</definedName>
    <definedName name="GSt_125" localSheetId="12">#REF!</definedName>
    <definedName name="GSt_125" localSheetId="43">#REF!</definedName>
    <definedName name="GSt_125" localSheetId="42">#REF!</definedName>
    <definedName name="GSt_125" localSheetId="27">#REF!</definedName>
    <definedName name="GSt_125" localSheetId="45">#REF!</definedName>
    <definedName name="GSt_125">#REF!</definedName>
    <definedName name="GSt_150" localSheetId="30">#REF!</definedName>
    <definedName name="GSt_150" localSheetId="25">#REF!</definedName>
    <definedName name="GSt_150" localSheetId="28">#REF!</definedName>
    <definedName name="GSt_150" localSheetId="29">#REF!</definedName>
    <definedName name="GSt_150" localSheetId="12">#REF!</definedName>
    <definedName name="GSt_150" localSheetId="43">#REF!</definedName>
    <definedName name="GSt_150" localSheetId="42">#REF!</definedName>
    <definedName name="GSt_150" localSheetId="27">#REF!</definedName>
    <definedName name="GSt_150" localSheetId="45">#REF!</definedName>
    <definedName name="GSt_150">#REF!</definedName>
    <definedName name="GSt_32" localSheetId="30">#REF!</definedName>
    <definedName name="GSt_32" localSheetId="25">#REF!</definedName>
    <definedName name="GSt_32" localSheetId="28">#REF!</definedName>
    <definedName name="GSt_32" localSheetId="29">#REF!</definedName>
    <definedName name="GSt_32" localSheetId="12">#REF!</definedName>
    <definedName name="GSt_32" localSheetId="43">#REF!</definedName>
    <definedName name="GSt_32" localSheetId="42">#REF!</definedName>
    <definedName name="GSt_32" localSheetId="27">#REF!</definedName>
    <definedName name="GSt_32" localSheetId="45">#REF!</definedName>
    <definedName name="GSt_32">#REF!</definedName>
    <definedName name="GSt_40" localSheetId="30">#REF!</definedName>
    <definedName name="GSt_40" localSheetId="25">#REF!</definedName>
    <definedName name="GSt_40" localSheetId="28">#REF!</definedName>
    <definedName name="GSt_40" localSheetId="29">#REF!</definedName>
    <definedName name="GSt_40" localSheetId="12">#REF!</definedName>
    <definedName name="GSt_40" localSheetId="43">#REF!</definedName>
    <definedName name="GSt_40" localSheetId="42">#REF!</definedName>
    <definedName name="GSt_40" localSheetId="27">#REF!</definedName>
    <definedName name="GSt_40" localSheetId="45">#REF!</definedName>
    <definedName name="GSt_40">#REF!</definedName>
    <definedName name="GSt_50" localSheetId="30">#REF!</definedName>
    <definedName name="GSt_50" localSheetId="25">#REF!</definedName>
    <definedName name="GSt_50" localSheetId="28">#REF!</definedName>
    <definedName name="GSt_50" localSheetId="29">#REF!</definedName>
    <definedName name="GSt_50" localSheetId="12">#REF!</definedName>
    <definedName name="GSt_50" localSheetId="43">#REF!</definedName>
    <definedName name="GSt_50" localSheetId="42">#REF!</definedName>
    <definedName name="GSt_50" localSheetId="27">#REF!</definedName>
    <definedName name="GSt_50" localSheetId="45">#REF!</definedName>
    <definedName name="GSt_50">#REF!</definedName>
    <definedName name="GSt_65" localSheetId="30">#REF!</definedName>
    <definedName name="GSt_65" localSheetId="25">#REF!</definedName>
    <definedName name="GSt_65" localSheetId="28">#REF!</definedName>
    <definedName name="GSt_65" localSheetId="29">#REF!</definedName>
    <definedName name="GSt_65" localSheetId="12">#REF!</definedName>
    <definedName name="GSt_65" localSheetId="43">#REF!</definedName>
    <definedName name="GSt_65" localSheetId="42">#REF!</definedName>
    <definedName name="GSt_65" localSheetId="27">#REF!</definedName>
    <definedName name="GSt_65" localSheetId="45">#REF!</definedName>
    <definedName name="GSt_65">#REF!</definedName>
    <definedName name="GSt_80" localSheetId="30">#REF!</definedName>
    <definedName name="GSt_80" localSheetId="25">#REF!</definedName>
    <definedName name="GSt_80" localSheetId="28">#REF!</definedName>
    <definedName name="GSt_80" localSheetId="29">#REF!</definedName>
    <definedName name="GSt_80" localSheetId="12">#REF!</definedName>
    <definedName name="GSt_80" localSheetId="43">#REF!</definedName>
    <definedName name="GSt_80" localSheetId="42">#REF!</definedName>
    <definedName name="GSt_80" localSheetId="27">#REF!</definedName>
    <definedName name="GSt_80" localSheetId="45">#REF!</definedName>
    <definedName name="GSt_80">#REF!</definedName>
    <definedName name="GTAP" localSheetId="30">#REF!</definedName>
    <definedName name="GTAP" localSheetId="25">#REF!</definedName>
    <definedName name="GTAP" localSheetId="28">#REF!</definedName>
    <definedName name="GTAP" localSheetId="29">#REF!</definedName>
    <definedName name="GTAP" localSheetId="12">#REF!</definedName>
    <definedName name="GTAP" localSheetId="43">#REF!</definedName>
    <definedName name="GTAP" localSheetId="42">#REF!</definedName>
    <definedName name="GTAP" localSheetId="27">#REF!</definedName>
    <definedName name="GTAP" localSheetId="45">#REF!</definedName>
    <definedName name="GTAP">#REF!</definedName>
    <definedName name="GTile">'[39]M-RATE'!$J$87</definedName>
    <definedName name="GU_100" localSheetId="30">#REF!</definedName>
    <definedName name="GU_100" localSheetId="25">#REF!</definedName>
    <definedName name="GU_100" localSheetId="28">#REF!</definedName>
    <definedName name="GU_100" localSheetId="29">#REF!</definedName>
    <definedName name="GU_100" localSheetId="12">#REF!</definedName>
    <definedName name="GU_100" localSheetId="43">#REF!</definedName>
    <definedName name="GU_100" localSheetId="42">#REF!</definedName>
    <definedName name="GU_100" localSheetId="27">#REF!</definedName>
    <definedName name="GU_100" localSheetId="45">#REF!</definedName>
    <definedName name="GU_100">#REF!</definedName>
    <definedName name="GU_125" localSheetId="30">#REF!</definedName>
    <definedName name="GU_125" localSheetId="25">#REF!</definedName>
    <definedName name="GU_125" localSheetId="28">#REF!</definedName>
    <definedName name="GU_125" localSheetId="29">#REF!</definedName>
    <definedName name="GU_125" localSheetId="12">#REF!</definedName>
    <definedName name="GU_125" localSheetId="43">#REF!</definedName>
    <definedName name="GU_125" localSheetId="42">#REF!</definedName>
    <definedName name="GU_125" localSheetId="27">#REF!</definedName>
    <definedName name="GU_125" localSheetId="45">#REF!</definedName>
    <definedName name="GU_125">#REF!</definedName>
    <definedName name="GU_15" localSheetId="30">#REF!</definedName>
    <definedName name="GU_15" localSheetId="25">#REF!</definedName>
    <definedName name="GU_15" localSheetId="28">#REF!</definedName>
    <definedName name="GU_15" localSheetId="29">#REF!</definedName>
    <definedName name="GU_15" localSheetId="12">#REF!</definedName>
    <definedName name="GU_15" localSheetId="43">#REF!</definedName>
    <definedName name="GU_15" localSheetId="42">#REF!</definedName>
    <definedName name="GU_15" localSheetId="27">#REF!</definedName>
    <definedName name="GU_15" localSheetId="45">#REF!</definedName>
    <definedName name="GU_15">#REF!</definedName>
    <definedName name="GU_150" localSheetId="30">#REF!</definedName>
    <definedName name="GU_150" localSheetId="25">#REF!</definedName>
    <definedName name="GU_150" localSheetId="28">#REF!</definedName>
    <definedName name="GU_150" localSheetId="29">#REF!</definedName>
    <definedName name="GU_150" localSheetId="12">#REF!</definedName>
    <definedName name="GU_150" localSheetId="43">#REF!</definedName>
    <definedName name="GU_150" localSheetId="42">#REF!</definedName>
    <definedName name="GU_150" localSheetId="27">#REF!</definedName>
    <definedName name="GU_150" localSheetId="45">#REF!</definedName>
    <definedName name="GU_150">#REF!</definedName>
    <definedName name="GU_20" localSheetId="30">#REF!</definedName>
    <definedName name="GU_20" localSheetId="25">#REF!</definedName>
    <definedName name="GU_20" localSheetId="28">#REF!</definedName>
    <definedName name="GU_20" localSheetId="29">#REF!</definedName>
    <definedName name="GU_20" localSheetId="12">#REF!</definedName>
    <definedName name="GU_20" localSheetId="43">#REF!</definedName>
    <definedName name="GU_20" localSheetId="42">#REF!</definedName>
    <definedName name="GU_20" localSheetId="27">#REF!</definedName>
    <definedName name="GU_20" localSheetId="45">#REF!</definedName>
    <definedName name="GU_20">#REF!</definedName>
    <definedName name="GU_25" localSheetId="30">#REF!</definedName>
    <definedName name="GU_25" localSheetId="25">#REF!</definedName>
    <definedName name="GU_25" localSheetId="28">#REF!</definedName>
    <definedName name="GU_25" localSheetId="29">#REF!</definedName>
    <definedName name="GU_25" localSheetId="12">#REF!</definedName>
    <definedName name="GU_25" localSheetId="43">#REF!</definedName>
    <definedName name="GU_25" localSheetId="42">#REF!</definedName>
    <definedName name="GU_25" localSheetId="27">#REF!</definedName>
    <definedName name="GU_25" localSheetId="45">#REF!</definedName>
    <definedName name="GU_25">#REF!</definedName>
    <definedName name="GU_32" localSheetId="30">#REF!</definedName>
    <definedName name="GU_32" localSheetId="25">#REF!</definedName>
    <definedName name="GU_32" localSheetId="28">#REF!</definedName>
    <definedName name="GU_32" localSheetId="29">#REF!</definedName>
    <definedName name="GU_32" localSheetId="12">#REF!</definedName>
    <definedName name="GU_32" localSheetId="43">#REF!</definedName>
    <definedName name="GU_32" localSheetId="42">#REF!</definedName>
    <definedName name="GU_32" localSheetId="27">#REF!</definedName>
    <definedName name="GU_32" localSheetId="45">#REF!</definedName>
    <definedName name="GU_32">#REF!</definedName>
    <definedName name="GU_40" localSheetId="30">#REF!</definedName>
    <definedName name="GU_40" localSheetId="25">#REF!</definedName>
    <definedName name="GU_40" localSheetId="28">#REF!</definedName>
    <definedName name="GU_40" localSheetId="29">#REF!</definedName>
    <definedName name="GU_40" localSheetId="12">#REF!</definedName>
    <definedName name="GU_40" localSheetId="43">#REF!</definedName>
    <definedName name="GU_40" localSheetId="42">#REF!</definedName>
    <definedName name="GU_40" localSheetId="27">#REF!</definedName>
    <definedName name="GU_40" localSheetId="45">#REF!</definedName>
    <definedName name="GU_40">#REF!</definedName>
    <definedName name="GU_50" localSheetId="30">#REF!</definedName>
    <definedName name="GU_50" localSheetId="25">#REF!</definedName>
    <definedName name="GU_50" localSheetId="28">#REF!</definedName>
    <definedName name="GU_50" localSheetId="29">#REF!</definedName>
    <definedName name="GU_50" localSheetId="12">#REF!</definedName>
    <definedName name="GU_50" localSheetId="43">#REF!</definedName>
    <definedName name="GU_50" localSheetId="42">#REF!</definedName>
    <definedName name="GU_50" localSheetId="27">#REF!</definedName>
    <definedName name="GU_50" localSheetId="45">#REF!</definedName>
    <definedName name="GU_50">#REF!</definedName>
    <definedName name="GU_65" localSheetId="30">#REF!</definedName>
    <definedName name="GU_65" localSheetId="25">#REF!</definedName>
    <definedName name="GU_65" localSheetId="28">#REF!</definedName>
    <definedName name="GU_65" localSheetId="29">#REF!</definedName>
    <definedName name="GU_65" localSheetId="12">#REF!</definedName>
    <definedName name="GU_65" localSheetId="43">#REF!</definedName>
    <definedName name="GU_65" localSheetId="42">#REF!</definedName>
    <definedName name="GU_65" localSheetId="27">#REF!</definedName>
    <definedName name="GU_65" localSheetId="45">#REF!</definedName>
    <definedName name="GU_65">#REF!</definedName>
    <definedName name="GU_80" localSheetId="30">#REF!</definedName>
    <definedName name="GU_80" localSheetId="25">#REF!</definedName>
    <definedName name="GU_80" localSheetId="28">#REF!</definedName>
    <definedName name="GU_80" localSheetId="29">#REF!</definedName>
    <definedName name="GU_80" localSheetId="12">#REF!</definedName>
    <definedName name="GU_80" localSheetId="43">#REF!</definedName>
    <definedName name="GU_80" localSheetId="42">#REF!</definedName>
    <definedName name="GU_80" localSheetId="27">#REF!</definedName>
    <definedName name="GU_80" localSheetId="45">#REF!</definedName>
    <definedName name="GU_80">#REF!</definedName>
    <definedName name="GUT_100x15" localSheetId="30">#REF!</definedName>
    <definedName name="GUT_100x15" localSheetId="25">#REF!</definedName>
    <definedName name="GUT_100x15" localSheetId="28">#REF!</definedName>
    <definedName name="GUT_100x15" localSheetId="29">#REF!</definedName>
    <definedName name="GUT_100x15" localSheetId="12">#REF!</definedName>
    <definedName name="GUT_100x15" localSheetId="43">#REF!</definedName>
    <definedName name="GUT_100x15" localSheetId="42">#REF!</definedName>
    <definedName name="GUT_100x15" localSheetId="27">#REF!</definedName>
    <definedName name="GUT_100x15" localSheetId="45">#REF!</definedName>
    <definedName name="GUT_100x15">#REF!</definedName>
    <definedName name="GUT_100x20" localSheetId="30">#REF!</definedName>
    <definedName name="GUT_100x20" localSheetId="25">#REF!</definedName>
    <definedName name="GUT_100x20" localSheetId="28">#REF!</definedName>
    <definedName name="GUT_100x20" localSheetId="29">#REF!</definedName>
    <definedName name="GUT_100x20" localSheetId="12">#REF!</definedName>
    <definedName name="GUT_100x20" localSheetId="43">#REF!</definedName>
    <definedName name="GUT_100x20" localSheetId="42">#REF!</definedName>
    <definedName name="GUT_100x20" localSheetId="27">#REF!</definedName>
    <definedName name="GUT_100x20" localSheetId="45">#REF!</definedName>
    <definedName name="GUT_100x20">#REF!</definedName>
    <definedName name="GUT_100x25" localSheetId="30">#REF!</definedName>
    <definedName name="GUT_100x25" localSheetId="25">#REF!</definedName>
    <definedName name="GUT_100x25" localSheetId="28">#REF!</definedName>
    <definedName name="GUT_100x25" localSheetId="29">#REF!</definedName>
    <definedName name="GUT_100x25" localSheetId="12">#REF!</definedName>
    <definedName name="GUT_100x25" localSheetId="43">#REF!</definedName>
    <definedName name="GUT_100x25" localSheetId="42">#REF!</definedName>
    <definedName name="GUT_100x25" localSheetId="27">#REF!</definedName>
    <definedName name="GUT_100x25" localSheetId="45">#REF!</definedName>
    <definedName name="GUT_100x25">#REF!</definedName>
    <definedName name="GUT_125x15" localSheetId="30">#REF!</definedName>
    <definedName name="GUT_125x15" localSheetId="25">#REF!</definedName>
    <definedName name="GUT_125x15" localSheetId="28">#REF!</definedName>
    <definedName name="GUT_125x15" localSheetId="29">#REF!</definedName>
    <definedName name="GUT_125x15" localSheetId="12">#REF!</definedName>
    <definedName name="GUT_125x15" localSheetId="43">#REF!</definedName>
    <definedName name="GUT_125x15" localSheetId="42">#REF!</definedName>
    <definedName name="GUT_125x15" localSheetId="27">#REF!</definedName>
    <definedName name="GUT_125x15" localSheetId="45">#REF!</definedName>
    <definedName name="GUT_125x15">#REF!</definedName>
    <definedName name="GUT_125x20" localSheetId="30">#REF!</definedName>
    <definedName name="GUT_125x20" localSheetId="25">#REF!</definedName>
    <definedName name="GUT_125x20" localSheetId="28">#REF!</definedName>
    <definedName name="GUT_125x20" localSheetId="29">#REF!</definedName>
    <definedName name="GUT_125x20" localSheetId="12">#REF!</definedName>
    <definedName name="GUT_125x20" localSheetId="43">#REF!</definedName>
    <definedName name="GUT_125x20" localSheetId="42">#REF!</definedName>
    <definedName name="GUT_125x20" localSheetId="27">#REF!</definedName>
    <definedName name="GUT_125x20" localSheetId="45">#REF!</definedName>
    <definedName name="GUT_125x20">#REF!</definedName>
    <definedName name="GUT_125x80" localSheetId="30">#REF!</definedName>
    <definedName name="GUT_125x80" localSheetId="25">#REF!</definedName>
    <definedName name="GUT_125x80" localSheetId="28">#REF!</definedName>
    <definedName name="GUT_125x80" localSheetId="29">#REF!</definedName>
    <definedName name="GUT_125x80" localSheetId="12">#REF!</definedName>
    <definedName name="GUT_125x80" localSheetId="43">#REF!</definedName>
    <definedName name="GUT_125x80" localSheetId="42">#REF!</definedName>
    <definedName name="GUT_125x80" localSheetId="27">#REF!</definedName>
    <definedName name="GUT_125x80" localSheetId="45">#REF!</definedName>
    <definedName name="GUT_125x80">#REF!</definedName>
    <definedName name="GUT_150x15" localSheetId="30">#REF!</definedName>
    <definedName name="GUT_150x15" localSheetId="25">#REF!</definedName>
    <definedName name="GUT_150x15" localSheetId="28">#REF!</definedName>
    <definedName name="GUT_150x15" localSheetId="29">#REF!</definedName>
    <definedName name="GUT_150x15" localSheetId="12">#REF!</definedName>
    <definedName name="GUT_150x15" localSheetId="43">#REF!</definedName>
    <definedName name="GUT_150x15" localSheetId="42">#REF!</definedName>
    <definedName name="GUT_150x15" localSheetId="27">#REF!</definedName>
    <definedName name="GUT_150x15" localSheetId="45">#REF!</definedName>
    <definedName name="GUT_150x15">#REF!</definedName>
    <definedName name="GUT_20x15" localSheetId="30">#REF!</definedName>
    <definedName name="GUT_20x15" localSheetId="25">#REF!</definedName>
    <definedName name="GUT_20x15" localSheetId="28">#REF!</definedName>
    <definedName name="GUT_20x15" localSheetId="29">#REF!</definedName>
    <definedName name="GUT_20x15" localSheetId="12">#REF!</definedName>
    <definedName name="GUT_20x15" localSheetId="43">#REF!</definedName>
    <definedName name="GUT_20x15" localSheetId="42">#REF!</definedName>
    <definedName name="GUT_20x15" localSheetId="27">#REF!</definedName>
    <definedName name="GUT_20x15" localSheetId="45">#REF!</definedName>
    <definedName name="GUT_20x15">#REF!</definedName>
    <definedName name="GUT_25x15" localSheetId="30">#REF!</definedName>
    <definedName name="GUT_25x15" localSheetId="25">#REF!</definedName>
    <definedName name="GUT_25x15" localSheetId="28">#REF!</definedName>
    <definedName name="GUT_25x15" localSheetId="29">#REF!</definedName>
    <definedName name="GUT_25x15" localSheetId="12">#REF!</definedName>
    <definedName name="GUT_25x15" localSheetId="43">#REF!</definedName>
    <definedName name="GUT_25x15" localSheetId="42">#REF!</definedName>
    <definedName name="GUT_25x15" localSheetId="27">#REF!</definedName>
    <definedName name="GUT_25x15" localSheetId="45">#REF!</definedName>
    <definedName name="GUT_25x15">#REF!</definedName>
    <definedName name="GUT_32x15" localSheetId="30">#REF!</definedName>
    <definedName name="GUT_32x15" localSheetId="25">#REF!</definedName>
    <definedName name="GUT_32x15" localSheetId="28">#REF!</definedName>
    <definedName name="GUT_32x15" localSheetId="29">#REF!</definedName>
    <definedName name="GUT_32x15" localSheetId="12">#REF!</definedName>
    <definedName name="GUT_32x15" localSheetId="43">#REF!</definedName>
    <definedName name="GUT_32x15" localSheetId="42">#REF!</definedName>
    <definedName name="GUT_32x15" localSheetId="27">#REF!</definedName>
    <definedName name="GUT_32x15" localSheetId="45">#REF!</definedName>
    <definedName name="GUT_32x15">#REF!</definedName>
    <definedName name="GUT_32x25" localSheetId="30">#REF!</definedName>
    <definedName name="GUT_32x25" localSheetId="25">#REF!</definedName>
    <definedName name="GUT_32x25" localSheetId="28">#REF!</definedName>
    <definedName name="GUT_32x25" localSheetId="29">#REF!</definedName>
    <definedName name="GUT_32x25" localSheetId="12">#REF!</definedName>
    <definedName name="GUT_32x25" localSheetId="43">#REF!</definedName>
    <definedName name="GUT_32x25" localSheetId="42">#REF!</definedName>
    <definedName name="GUT_32x25" localSheetId="27">#REF!</definedName>
    <definedName name="GUT_32x25" localSheetId="45">#REF!</definedName>
    <definedName name="GUT_32x25">#REF!</definedName>
    <definedName name="GUT_40x15" localSheetId="30">#REF!</definedName>
    <definedName name="GUT_40x15" localSheetId="25">#REF!</definedName>
    <definedName name="GUT_40x15" localSheetId="28">#REF!</definedName>
    <definedName name="GUT_40x15" localSheetId="29">#REF!</definedName>
    <definedName name="GUT_40x15" localSheetId="12">#REF!</definedName>
    <definedName name="GUT_40x15" localSheetId="43">#REF!</definedName>
    <definedName name="GUT_40x15" localSheetId="42">#REF!</definedName>
    <definedName name="GUT_40x15" localSheetId="27">#REF!</definedName>
    <definedName name="GUT_40x15" localSheetId="45">#REF!</definedName>
    <definedName name="GUT_40x15">#REF!</definedName>
    <definedName name="GUT_40x32" localSheetId="30">#REF!</definedName>
    <definedName name="GUT_40x32" localSheetId="25">#REF!</definedName>
    <definedName name="GUT_40x32" localSheetId="28">#REF!</definedName>
    <definedName name="GUT_40x32" localSheetId="29">#REF!</definedName>
    <definedName name="GUT_40x32" localSheetId="12">#REF!</definedName>
    <definedName name="GUT_40x32" localSheetId="43">#REF!</definedName>
    <definedName name="GUT_40x32" localSheetId="42">#REF!</definedName>
    <definedName name="GUT_40x32" localSheetId="27">#REF!</definedName>
    <definedName name="GUT_40x32" localSheetId="45">#REF!</definedName>
    <definedName name="GUT_40x32">#REF!</definedName>
    <definedName name="GUT_50x15" localSheetId="30">#REF!</definedName>
    <definedName name="GUT_50x15" localSheetId="25">#REF!</definedName>
    <definedName name="GUT_50x15" localSheetId="28">#REF!</definedName>
    <definedName name="GUT_50x15" localSheetId="29">#REF!</definedName>
    <definedName name="GUT_50x15" localSheetId="12">#REF!</definedName>
    <definedName name="GUT_50x15" localSheetId="43">#REF!</definedName>
    <definedName name="GUT_50x15" localSheetId="42">#REF!</definedName>
    <definedName name="GUT_50x15" localSheetId="27">#REF!</definedName>
    <definedName name="GUT_50x15" localSheetId="45">#REF!</definedName>
    <definedName name="GUT_50x15">#REF!</definedName>
    <definedName name="GUT_50x20" localSheetId="30">#REF!</definedName>
    <definedName name="GUT_50x20" localSheetId="25">#REF!</definedName>
    <definedName name="GUT_50x20" localSheetId="28">#REF!</definedName>
    <definedName name="GUT_50x20" localSheetId="29">#REF!</definedName>
    <definedName name="GUT_50x20" localSheetId="12">#REF!</definedName>
    <definedName name="GUT_50x20" localSheetId="43">#REF!</definedName>
    <definedName name="GUT_50x20" localSheetId="42">#REF!</definedName>
    <definedName name="GUT_50x20" localSheetId="27">#REF!</definedName>
    <definedName name="GUT_50x20" localSheetId="45">#REF!</definedName>
    <definedName name="GUT_50x20">#REF!</definedName>
    <definedName name="GUT_50x25" localSheetId="30">#REF!</definedName>
    <definedName name="GUT_50x25" localSheetId="25">#REF!</definedName>
    <definedName name="GUT_50x25" localSheetId="28">#REF!</definedName>
    <definedName name="GUT_50x25" localSheetId="29">#REF!</definedName>
    <definedName name="GUT_50x25" localSheetId="12">#REF!</definedName>
    <definedName name="GUT_50x25" localSheetId="43">#REF!</definedName>
    <definedName name="GUT_50x25" localSheetId="42">#REF!</definedName>
    <definedName name="GUT_50x25" localSheetId="27">#REF!</definedName>
    <definedName name="GUT_50x25" localSheetId="45">#REF!</definedName>
    <definedName name="GUT_50x25">#REF!</definedName>
    <definedName name="GUT_65x15" localSheetId="30">#REF!</definedName>
    <definedName name="GUT_65x15" localSheetId="25">#REF!</definedName>
    <definedName name="GUT_65x15" localSheetId="28">#REF!</definedName>
    <definedName name="GUT_65x15" localSheetId="29">#REF!</definedName>
    <definedName name="GUT_65x15" localSheetId="12">#REF!</definedName>
    <definedName name="GUT_65x15" localSheetId="43">#REF!</definedName>
    <definedName name="GUT_65x15" localSheetId="42">#REF!</definedName>
    <definedName name="GUT_65x15" localSheetId="27">#REF!</definedName>
    <definedName name="GUT_65x15" localSheetId="45">#REF!</definedName>
    <definedName name="GUT_65x15">#REF!</definedName>
    <definedName name="GUT_80x20" localSheetId="30">#REF!</definedName>
    <definedName name="GUT_80x20" localSheetId="25">#REF!</definedName>
    <definedName name="GUT_80x20" localSheetId="28">#REF!</definedName>
    <definedName name="GUT_80x20" localSheetId="29">#REF!</definedName>
    <definedName name="GUT_80x20" localSheetId="12">#REF!</definedName>
    <definedName name="GUT_80x20" localSheetId="43">#REF!</definedName>
    <definedName name="GUT_80x20" localSheetId="42">#REF!</definedName>
    <definedName name="GUT_80x20" localSheetId="27">#REF!</definedName>
    <definedName name="GUT_80x20" localSheetId="45">#REF!</definedName>
    <definedName name="GUT_80x20">#REF!</definedName>
    <definedName name="GV_1" localSheetId="30">#REF!</definedName>
    <definedName name="GV_1" localSheetId="25">#REF!</definedName>
    <definedName name="GV_1" localSheetId="28">#REF!</definedName>
    <definedName name="GV_1" localSheetId="29">#REF!</definedName>
    <definedName name="GV_1" localSheetId="12">#REF!</definedName>
    <definedName name="GV_1" localSheetId="43">#REF!</definedName>
    <definedName name="GV_1" localSheetId="42">#REF!</definedName>
    <definedName name="GV_1" localSheetId="27">#REF!</definedName>
    <definedName name="GV_1" localSheetId="45">#REF!</definedName>
    <definedName name="GV_1">#REF!</definedName>
    <definedName name="GV_100" localSheetId="30">#REF!</definedName>
    <definedName name="GV_100" localSheetId="25">#REF!</definedName>
    <definedName name="GV_100" localSheetId="28">#REF!</definedName>
    <definedName name="GV_100" localSheetId="29">#REF!</definedName>
    <definedName name="GV_100" localSheetId="12">#REF!</definedName>
    <definedName name="GV_100" localSheetId="43">#REF!</definedName>
    <definedName name="GV_100" localSheetId="42">#REF!</definedName>
    <definedName name="GV_100" localSheetId="27">#REF!</definedName>
    <definedName name="GV_100" localSheetId="45">#REF!</definedName>
    <definedName name="GV_100">#REF!</definedName>
    <definedName name="GV_125" localSheetId="30">#REF!</definedName>
    <definedName name="GV_125" localSheetId="25">#REF!</definedName>
    <definedName name="GV_125" localSheetId="28">#REF!</definedName>
    <definedName name="GV_125" localSheetId="29">#REF!</definedName>
    <definedName name="GV_125" localSheetId="12">#REF!</definedName>
    <definedName name="GV_125" localSheetId="43">#REF!</definedName>
    <definedName name="GV_125" localSheetId="42">#REF!</definedName>
    <definedName name="GV_125" localSheetId="27">#REF!</definedName>
    <definedName name="GV_125" localSheetId="45">#REF!</definedName>
    <definedName name="GV_125">#REF!</definedName>
    <definedName name="GV_15" localSheetId="30">#REF!</definedName>
    <definedName name="GV_15" localSheetId="25">#REF!</definedName>
    <definedName name="GV_15" localSheetId="28">#REF!</definedName>
    <definedName name="GV_15" localSheetId="29">#REF!</definedName>
    <definedName name="GV_15" localSheetId="12">#REF!</definedName>
    <definedName name="GV_15" localSheetId="43">#REF!</definedName>
    <definedName name="GV_15" localSheetId="42">#REF!</definedName>
    <definedName name="GV_15" localSheetId="27">#REF!</definedName>
    <definedName name="GV_15" localSheetId="45">#REF!</definedName>
    <definedName name="GV_15">#REF!</definedName>
    <definedName name="GV_2" localSheetId="30">#REF!</definedName>
    <definedName name="GV_2" localSheetId="25">#REF!</definedName>
    <definedName name="GV_2" localSheetId="28">#REF!</definedName>
    <definedName name="GV_2" localSheetId="29">#REF!</definedName>
    <definedName name="GV_2" localSheetId="12">#REF!</definedName>
    <definedName name="GV_2" localSheetId="43">#REF!</definedName>
    <definedName name="GV_2" localSheetId="42">#REF!</definedName>
    <definedName name="GV_2" localSheetId="27">#REF!</definedName>
    <definedName name="GV_2" localSheetId="45">#REF!</definedName>
    <definedName name="GV_2">#REF!</definedName>
    <definedName name="GV_20" localSheetId="30">#REF!</definedName>
    <definedName name="GV_20" localSheetId="25">#REF!</definedName>
    <definedName name="GV_20" localSheetId="28">#REF!</definedName>
    <definedName name="GV_20" localSheetId="29">#REF!</definedName>
    <definedName name="GV_20" localSheetId="12">#REF!</definedName>
    <definedName name="GV_20" localSheetId="43">#REF!</definedName>
    <definedName name="GV_20" localSheetId="42">#REF!</definedName>
    <definedName name="GV_20" localSheetId="27">#REF!</definedName>
    <definedName name="GV_20" localSheetId="45">#REF!</definedName>
    <definedName name="GV_20">#REF!</definedName>
    <definedName name="GV_25" localSheetId="30">#REF!</definedName>
    <definedName name="GV_25" localSheetId="25">#REF!</definedName>
    <definedName name="GV_25" localSheetId="28">#REF!</definedName>
    <definedName name="GV_25" localSheetId="29">#REF!</definedName>
    <definedName name="GV_25" localSheetId="12">#REF!</definedName>
    <definedName name="GV_25" localSheetId="43">#REF!</definedName>
    <definedName name="GV_25" localSheetId="42">#REF!</definedName>
    <definedName name="GV_25" localSheetId="27">#REF!</definedName>
    <definedName name="GV_25" localSheetId="45">#REF!</definedName>
    <definedName name="GV_25">#REF!</definedName>
    <definedName name="GV_3" localSheetId="30">#REF!</definedName>
    <definedName name="GV_3" localSheetId="25">#REF!</definedName>
    <definedName name="GV_3" localSheetId="28">#REF!</definedName>
    <definedName name="GV_3" localSheetId="29">#REF!</definedName>
    <definedName name="GV_3" localSheetId="12">#REF!</definedName>
    <definedName name="GV_3" localSheetId="43">#REF!</definedName>
    <definedName name="GV_3" localSheetId="42">#REF!</definedName>
    <definedName name="GV_3" localSheetId="27">#REF!</definedName>
    <definedName name="GV_3" localSheetId="45">#REF!</definedName>
    <definedName name="GV_3">#REF!</definedName>
    <definedName name="GV_32" localSheetId="30">#REF!</definedName>
    <definedName name="GV_32" localSheetId="25">#REF!</definedName>
    <definedName name="GV_32" localSheetId="28">#REF!</definedName>
    <definedName name="GV_32" localSheetId="29">#REF!</definedName>
    <definedName name="GV_32" localSheetId="12">#REF!</definedName>
    <definedName name="GV_32" localSheetId="43">#REF!</definedName>
    <definedName name="GV_32" localSheetId="42">#REF!</definedName>
    <definedName name="GV_32" localSheetId="27">#REF!</definedName>
    <definedName name="GV_32" localSheetId="45">#REF!</definedName>
    <definedName name="GV_32">#REF!</definedName>
    <definedName name="GV_4" localSheetId="30">#REF!</definedName>
    <definedName name="GV_4" localSheetId="25">#REF!</definedName>
    <definedName name="GV_4" localSheetId="28">#REF!</definedName>
    <definedName name="GV_4" localSheetId="29">#REF!</definedName>
    <definedName name="GV_4" localSheetId="12">#REF!</definedName>
    <definedName name="GV_4" localSheetId="43">#REF!</definedName>
    <definedName name="GV_4" localSheetId="42">#REF!</definedName>
    <definedName name="GV_4" localSheetId="27">#REF!</definedName>
    <definedName name="GV_4" localSheetId="45">#REF!</definedName>
    <definedName name="GV_4">#REF!</definedName>
    <definedName name="GV_40" localSheetId="30">#REF!</definedName>
    <definedName name="GV_40" localSheetId="25">#REF!</definedName>
    <definedName name="GV_40" localSheetId="28">#REF!</definedName>
    <definedName name="GV_40" localSheetId="29">#REF!</definedName>
    <definedName name="GV_40" localSheetId="12">#REF!</definedName>
    <definedName name="GV_40" localSheetId="43">#REF!</definedName>
    <definedName name="GV_40" localSheetId="42">#REF!</definedName>
    <definedName name="GV_40" localSheetId="27">#REF!</definedName>
    <definedName name="GV_40" localSheetId="45">#REF!</definedName>
    <definedName name="GV_40">#REF!</definedName>
    <definedName name="GV_5" localSheetId="30">#REF!</definedName>
    <definedName name="GV_5" localSheetId="25">#REF!</definedName>
    <definedName name="GV_5" localSheetId="28">#REF!</definedName>
    <definedName name="GV_5" localSheetId="29">#REF!</definedName>
    <definedName name="GV_5" localSheetId="12">#REF!</definedName>
    <definedName name="GV_5" localSheetId="43">#REF!</definedName>
    <definedName name="GV_5" localSheetId="42">#REF!</definedName>
    <definedName name="GV_5" localSheetId="27">#REF!</definedName>
    <definedName name="GV_5" localSheetId="45">#REF!</definedName>
    <definedName name="GV_5">#REF!</definedName>
    <definedName name="GV_50" localSheetId="30">#REF!</definedName>
    <definedName name="GV_50" localSheetId="25">#REF!</definedName>
    <definedName name="GV_50" localSheetId="28">#REF!</definedName>
    <definedName name="GV_50" localSheetId="29">#REF!</definedName>
    <definedName name="GV_50" localSheetId="12">#REF!</definedName>
    <definedName name="GV_50" localSheetId="43">#REF!</definedName>
    <definedName name="GV_50" localSheetId="42">#REF!</definedName>
    <definedName name="GV_50" localSheetId="27">#REF!</definedName>
    <definedName name="GV_50" localSheetId="45">#REF!</definedName>
    <definedName name="GV_50">#REF!</definedName>
    <definedName name="GV_6" localSheetId="30">#REF!</definedName>
    <definedName name="GV_6" localSheetId="25">#REF!</definedName>
    <definedName name="GV_6" localSheetId="28">#REF!</definedName>
    <definedName name="GV_6" localSheetId="29">#REF!</definedName>
    <definedName name="GV_6" localSheetId="12">#REF!</definedName>
    <definedName name="GV_6" localSheetId="43">#REF!</definedName>
    <definedName name="GV_6" localSheetId="42">#REF!</definedName>
    <definedName name="GV_6" localSheetId="27">#REF!</definedName>
    <definedName name="GV_6" localSheetId="45">#REF!</definedName>
    <definedName name="GV_6">#REF!</definedName>
    <definedName name="GV_65" localSheetId="30">#REF!</definedName>
    <definedName name="GV_65" localSheetId="25">#REF!</definedName>
    <definedName name="GV_65" localSheetId="28">#REF!</definedName>
    <definedName name="GV_65" localSheetId="29">#REF!</definedName>
    <definedName name="GV_65" localSheetId="12">#REF!</definedName>
    <definedName name="GV_65" localSheetId="43">#REF!</definedName>
    <definedName name="GV_65" localSheetId="42">#REF!</definedName>
    <definedName name="GV_65" localSheetId="27">#REF!</definedName>
    <definedName name="GV_65" localSheetId="45">#REF!</definedName>
    <definedName name="GV_65">#REF!</definedName>
    <definedName name="GV_7" localSheetId="30">#REF!</definedName>
    <definedName name="GV_7" localSheetId="25">#REF!</definedName>
    <definedName name="GV_7" localSheetId="28">#REF!</definedName>
    <definedName name="GV_7" localSheetId="29">#REF!</definedName>
    <definedName name="GV_7" localSheetId="12">#REF!</definedName>
    <definedName name="GV_7" localSheetId="43">#REF!</definedName>
    <definedName name="GV_7" localSheetId="42">#REF!</definedName>
    <definedName name="GV_7" localSheetId="27">#REF!</definedName>
    <definedName name="GV_7" localSheetId="45">#REF!</definedName>
    <definedName name="GV_7">#REF!</definedName>
    <definedName name="GV_8" localSheetId="30">#REF!</definedName>
    <definedName name="GV_8" localSheetId="25">#REF!</definedName>
    <definedName name="GV_8" localSheetId="28">#REF!</definedName>
    <definedName name="GV_8" localSheetId="29">#REF!</definedName>
    <definedName name="GV_8" localSheetId="12">#REF!</definedName>
    <definedName name="GV_8" localSheetId="43">#REF!</definedName>
    <definedName name="GV_8" localSheetId="42">#REF!</definedName>
    <definedName name="GV_8" localSheetId="27">#REF!</definedName>
    <definedName name="GV_8" localSheetId="45">#REF!</definedName>
    <definedName name="GV_8">#REF!</definedName>
    <definedName name="GV_80" localSheetId="30">#REF!</definedName>
    <definedName name="GV_80" localSheetId="25">#REF!</definedName>
    <definedName name="GV_80" localSheetId="28">#REF!</definedName>
    <definedName name="GV_80" localSheetId="29">#REF!</definedName>
    <definedName name="GV_80" localSheetId="12">#REF!</definedName>
    <definedName name="GV_80" localSheetId="43">#REF!</definedName>
    <definedName name="GV_80" localSheetId="42">#REF!</definedName>
    <definedName name="GV_80" localSheetId="27">#REF!</definedName>
    <definedName name="GV_80" localSheetId="45">#REF!</definedName>
    <definedName name="GV_80">#REF!</definedName>
    <definedName name="GVB_100" localSheetId="30">#REF!</definedName>
    <definedName name="GVB_100" localSheetId="25">#REF!</definedName>
    <definedName name="GVB_100" localSheetId="28">#REF!</definedName>
    <definedName name="GVB_100" localSheetId="29">#REF!</definedName>
    <definedName name="GVB_100" localSheetId="12">#REF!</definedName>
    <definedName name="GVB_100" localSheetId="43">#REF!</definedName>
    <definedName name="GVB_100" localSheetId="42">#REF!</definedName>
    <definedName name="GVB_100" localSheetId="27">#REF!</definedName>
    <definedName name="GVB_100" localSheetId="45">#REF!</definedName>
    <definedName name="GVB_100">#REF!</definedName>
    <definedName name="GVB_125" localSheetId="30">#REF!</definedName>
    <definedName name="GVB_125" localSheetId="25">#REF!</definedName>
    <definedName name="GVB_125" localSheetId="28">#REF!</definedName>
    <definedName name="GVB_125" localSheetId="29">#REF!</definedName>
    <definedName name="GVB_125" localSheetId="12">#REF!</definedName>
    <definedName name="GVB_125" localSheetId="43">#REF!</definedName>
    <definedName name="GVB_125" localSheetId="42">#REF!</definedName>
    <definedName name="GVB_125" localSheetId="27">#REF!</definedName>
    <definedName name="GVB_125" localSheetId="45">#REF!</definedName>
    <definedName name="GVB_125">#REF!</definedName>
    <definedName name="GVB_50" localSheetId="30">#REF!</definedName>
    <definedName name="GVB_50" localSheetId="25">#REF!</definedName>
    <definedName name="GVB_50" localSheetId="28">#REF!</definedName>
    <definedName name="GVB_50" localSheetId="29">#REF!</definedName>
    <definedName name="GVB_50" localSheetId="12">#REF!</definedName>
    <definedName name="GVB_50" localSheetId="43">#REF!</definedName>
    <definedName name="GVB_50" localSheetId="42">#REF!</definedName>
    <definedName name="GVB_50" localSheetId="27">#REF!</definedName>
    <definedName name="GVB_50" localSheetId="45">#REF!</definedName>
    <definedName name="GVB_50">#REF!</definedName>
    <definedName name="GVB_65" localSheetId="30">#REF!</definedName>
    <definedName name="GVB_65" localSheetId="25">#REF!</definedName>
    <definedName name="GVB_65" localSheetId="28">#REF!</definedName>
    <definedName name="GVB_65" localSheetId="29">#REF!</definedName>
    <definedName name="GVB_65" localSheetId="12">#REF!</definedName>
    <definedName name="GVB_65" localSheetId="43">#REF!</definedName>
    <definedName name="GVB_65" localSheetId="42">#REF!</definedName>
    <definedName name="GVB_65" localSheetId="27">#REF!</definedName>
    <definedName name="GVB_65" localSheetId="45">#REF!</definedName>
    <definedName name="GVB_65">#REF!</definedName>
    <definedName name="GVB_80" localSheetId="30">#REF!</definedName>
    <definedName name="GVB_80" localSheetId="25">#REF!</definedName>
    <definedName name="GVB_80" localSheetId="28">#REF!</definedName>
    <definedName name="GVB_80" localSheetId="29">#REF!</definedName>
    <definedName name="GVB_80" localSheetId="12">#REF!</definedName>
    <definedName name="GVB_80" localSheetId="43">#REF!</definedName>
    <definedName name="GVB_80" localSheetId="42">#REF!</definedName>
    <definedName name="GVB_80" localSheetId="27">#REF!</definedName>
    <definedName name="GVB_80" localSheetId="45">#REF!</definedName>
    <definedName name="GVB_80">#REF!</definedName>
    <definedName name="handlbrass">[4]Sheet1!$D$41</definedName>
    <definedName name="hari">[24]Ta403!$J$8</definedName>
    <definedName name="HB_2010" localSheetId="30">#REF!</definedName>
    <definedName name="HB_2010" localSheetId="25">#REF!</definedName>
    <definedName name="HB_2010" localSheetId="28">#REF!</definedName>
    <definedName name="HB_2010" localSheetId="29">#REF!</definedName>
    <definedName name="HB_2010" localSheetId="12">#REF!</definedName>
    <definedName name="HB_2010" localSheetId="43">#REF!</definedName>
    <definedName name="HB_2010" localSheetId="42">#REF!</definedName>
    <definedName name="HB_2010" localSheetId="27">#REF!</definedName>
    <definedName name="HB_2010" localSheetId="45">#REF!</definedName>
    <definedName name="HB_2010">#REF!</definedName>
    <definedName name="HB_90d32" localSheetId="30">#REF!</definedName>
    <definedName name="HB_90d32" localSheetId="25">#REF!</definedName>
    <definedName name="HB_90d32" localSheetId="28">#REF!</definedName>
    <definedName name="HB_90d32" localSheetId="29">#REF!</definedName>
    <definedName name="HB_90d32" localSheetId="12">#REF!</definedName>
    <definedName name="HB_90d32" localSheetId="43">#REF!</definedName>
    <definedName name="HB_90d32" localSheetId="42">#REF!</definedName>
    <definedName name="HB_90d32" localSheetId="27">#REF!</definedName>
    <definedName name="HB_90d32" localSheetId="45">#REF!</definedName>
    <definedName name="HB_90d32">#REF!</definedName>
    <definedName name="HB_90d40" localSheetId="30">#REF!</definedName>
    <definedName name="HB_90d40" localSheetId="25">#REF!</definedName>
    <definedName name="HB_90d40" localSheetId="28">#REF!</definedName>
    <definedName name="HB_90d40" localSheetId="29">#REF!</definedName>
    <definedName name="HB_90d40" localSheetId="12">#REF!</definedName>
    <definedName name="HB_90d40" localSheetId="43">#REF!</definedName>
    <definedName name="HB_90d40" localSheetId="42">#REF!</definedName>
    <definedName name="HB_90d40" localSheetId="27">#REF!</definedName>
    <definedName name="HB_90d40" localSheetId="45">#REF!</definedName>
    <definedName name="HB_90d40">#REF!</definedName>
    <definedName name="HC_3206" localSheetId="30">#REF!</definedName>
    <definedName name="HC_3206" localSheetId="25">#REF!</definedName>
    <definedName name="HC_3206" localSheetId="28">#REF!</definedName>
    <definedName name="HC_3206" localSheetId="29">#REF!</definedName>
    <definedName name="HC_3206" localSheetId="12">#REF!</definedName>
    <definedName name="HC_3206" localSheetId="43">#REF!</definedName>
    <definedName name="HC_3206" localSheetId="42">#REF!</definedName>
    <definedName name="HC_3206" localSheetId="27">#REF!</definedName>
    <definedName name="HC_3206" localSheetId="45">#REF!</definedName>
    <definedName name="HC_3206">#REF!</definedName>
    <definedName name="HCIO" localSheetId="30">#REF!</definedName>
    <definedName name="HCIO" localSheetId="25">#REF!</definedName>
    <definedName name="HCIO" localSheetId="28">#REF!</definedName>
    <definedName name="HCIO" localSheetId="29">#REF!</definedName>
    <definedName name="HCIO" localSheetId="12">#REF!</definedName>
    <definedName name="HCIO" localSheetId="43">#REF!</definedName>
    <definedName name="HCIO" localSheetId="42">#REF!</definedName>
    <definedName name="HCIO" localSheetId="27">#REF!</definedName>
    <definedName name="HCIO" localSheetId="45">#REF!</definedName>
    <definedName name="HCIO">#REF!</definedName>
    <definedName name="HCO" localSheetId="30">#REF!</definedName>
    <definedName name="HCO" localSheetId="25">#REF!</definedName>
    <definedName name="HCO" localSheetId="28">#REF!</definedName>
    <definedName name="HCO" localSheetId="29">#REF!</definedName>
    <definedName name="HCO" localSheetId="12">#REF!</definedName>
    <definedName name="HCO" localSheetId="43">#REF!</definedName>
    <definedName name="HCO" localSheetId="42">#REF!</definedName>
    <definedName name="HCO" localSheetId="27">#REF!</definedName>
    <definedName name="HCO" localSheetId="45">#REF!</definedName>
    <definedName name="HCO">#REF!</definedName>
    <definedName name="HCr_11004" localSheetId="30">#REF!</definedName>
    <definedName name="HCr_11004" localSheetId="25">#REF!</definedName>
    <definedName name="HCr_11004" localSheetId="28">#REF!</definedName>
    <definedName name="HCr_11004" localSheetId="29">#REF!</definedName>
    <definedName name="HCr_11004" localSheetId="12">#REF!</definedName>
    <definedName name="HCr_11004" localSheetId="43">#REF!</definedName>
    <definedName name="HCr_11004" localSheetId="42">#REF!</definedName>
    <definedName name="HCr_11004" localSheetId="27">#REF!</definedName>
    <definedName name="HCr_11004" localSheetId="45">#REF!</definedName>
    <definedName name="HCr_11004">#REF!</definedName>
    <definedName name="HCr_11006" localSheetId="30">#REF!</definedName>
    <definedName name="HCr_11006" localSheetId="25">#REF!</definedName>
    <definedName name="HCr_11006" localSheetId="28">#REF!</definedName>
    <definedName name="HCr_11006" localSheetId="29">#REF!</definedName>
    <definedName name="HCr_11006" localSheetId="12">#REF!</definedName>
    <definedName name="HCr_11006" localSheetId="43">#REF!</definedName>
    <definedName name="HCr_11006" localSheetId="42">#REF!</definedName>
    <definedName name="HCr_11006" localSheetId="27">#REF!</definedName>
    <definedName name="HCr_11006" localSheetId="45">#REF!</definedName>
    <definedName name="HCr_11006">#REF!</definedName>
    <definedName name="HCr_11010" localSheetId="30">#REF!</definedName>
    <definedName name="HCr_11010" localSheetId="25">#REF!</definedName>
    <definedName name="HCr_11010" localSheetId="28">#REF!</definedName>
    <definedName name="HCr_11010" localSheetId="29">#REF!</definedName>
    <definedName name="HCr_11010" localSheetId="12">#REF!</definedName>
    <definedName name="HCr_11010" localSheetId="43">#REF!</definedName>
    <definedName name="HCr_11010" localSheetId="42">#REF!</definedName>
    <definedName name="HCr_11010" localSheetId="27">#REF!</definedName>
    <definedName name="HCr_11010" localSheetId="45">#REF!</definedName>
    <definedName name="HCr_11010">#REF!</definedName>
    <definedName name="HCr_12504" localSheetId="30">#REF!</definedName>
    <definedName name="HCr_12504" localSheetId="25">#REF!</definedName>
    <definedName name="HCr_12504" localSheetId="28">#REF!</definedName>
    <definedName name="HCr_12504" localSheetId="29">#REF!</definedName>
    <definedName name="HCr_12504" localSheetId="12">#REF!</definedName>
    <definedName name="HCr_12504" localSheetId="43">#REF!</definedName>
    <definedName name="HCr_12504" localSheetId="42">#REF!</definedName>
    <definedName name="HCr_12504" localSheetId="27">#REF!</definedName>
    <definedName name="HCr_12504" localSheetId="45">#REF!</definedName>
    <definedName name="HCr_12504">#REF!</definedName>
    <definedName name="HCr_12506" localSheetId="30">#REF!</definedName>
    <definedName name="HCr_12506" localSheetId="25">#REF!</definedName>
    <definedName name="HCr_12506" localSheetId="28">#REF!</definedName>
    <definedName name="HCr_12506" localSheetId="29">#REF!</definedName>
    <definedName name="HCr_12506" localSheetId="12">#REF!</definedName>
    <definedName name="HCr_12506" localSheetId="43">#REF!</definedName>
    <definedName name="HCr_12506" localSheetId="42">#REF!</definedName>
    <definedName name="HCr_12506" localSheetId="27">#REF!</definedName>
    <definedName name="HCr_12506" localSheetId="45">#REF!</definedName>
    <definedName name="HCr_12506">#REF!</definedName>
    <definedName name="HCr_12510" localSheetId="30">#REF!</definedName>
    <definedName name="HCr_12510" localSheetId="25">#REF!</definedName>
    <definedName name="HCr_12510" localSheetId="28">#REF!</definedName>
    <definedName name="HCr_12510" localSheetId="29">#REF!</definedName>
    <definedName name="HCr_12510" localSheetId="12">#REF!</definedName>
    <definedName name="HCr_12510" localSheetId="43">#REF!</definedName>
    <definedName name="HCr_12510" localSheetId="42">#REF!</definedName>
    <definedName name="HCr_12510" localSheetId="27">#REF!</definedName>
    <definedName name="HCr_12510" localSheetId="45">#REF!</definedName>
    <definedName name="HCr_12510">#REF!</definedName>
    <definedName name="HCr_14004" localSheetId="30">#REF!</definedName>
    <definedName name="HCr_14004" localSheetId="25">#REF!</definedName>
    <definedName name="HCr_14004" localSheetId="28">#REF!</definedName>
    <definedName name="HCr_14004" localSheetId="29">#REF!</definedName>
    <definedName name="HCr_14004" localSheetId="12">#REF!</definedName>
    <definedName name="HCr_14004" localSheetId="43">#REF!</definedName>
    <definedName name="HCr_14004" localSheetId="42">#REF!</definedName>
    <definedName name="HCr_14004" localSheetId="27">#REF!</definedName>
    <definedName name="HCr_14004" localSheetId="45">#REF!</definedName>
    <definedName name="HCr_14004">#REF!</definedName>
    <definedName name="HCr_14006" localSheetId="30">#REF!</definedName>
    <definedName name="HCr_14006" localSheetId="25">#REF!</definedName>
    <definedName name="HCr_14006" localSheetId="28">#REF!</definedName>
    <definedName name="HCr_14006" localSheetId="29">#REF!</definedName>
    <definedName name="HCr_14006" localSheetId="12">#REF!</definedName>
    <definedName name="HCr_14006" localSheetId="43">#REF!</definedName>
    <definedName name="HCr_14006" localSheetId="42">#REF!</definedName>
    <definedName name="HCr_14006" localSheetId="27">#REF!</definedName>
    <definedName name="HCr_14006" localSheetId="45">#REF!</definedName>
    <definedName name="HCr_14006">#REF!</definedName>
    <definedName name="HCr_14010" localSheetId="30">#REF!</definedName>
    <definedName name="HCr_14010" localSheetId="25">#REF!</definedName>
    <definedName name="HCr_14010" localSheetId="28">#REF!</definedName>
    <definedName name="HCr_14010" localSheetId="29">#REF!</definedName>
    <definedName name="HCr_14010" localSheetId="12">#REF!</definedName>
    <definedName name="HCr_14010" localSheetId="43">#REF!</definedName>
    <definedName name="HCr_14010" localSheetId="42">#REF!</definedName>
    <definedName name="HCr_14010" localSheetId="27">#REF!</definedName>
    <definedName name="HCr_14010" localSheetId="45">#REF!</definedName>
    <definedName name="HCr_14010">#REF!</definedName>
    <definedName name="HCr_16004" localSheetId="30">#REF!</definedName>
    <definedName name="HCr_16004" localSheetId="25">#REF!</definedName>
    <definedName name="HCr_16004" localSheetId="28">#REF!</definedName>
    <definedName name="HCr_16004" localSheetId="29">#REF!</definedName>
    <definedName name="HCr_16004" localSheetId="12">#REF!</definedName>
    <definedName name="HCr_16004" localSheetId="43">#REF!</definedName>
    <definedName name="HCr_16004" localSheetId="42">#REF!</definedName>
    <definedName name="HCr_16004" localSheetId="27">#REF!</definedName>
    <definedName name="HCr_16004" localSheetId="45">#REF!</definedName>
    <definedName name="HCr_16004">#REF!</definedName>
    <definedName name="HCr_16006" localSheetId="30">#REF!</definedName>
    <definedName name="HCr_16006" localSheetId="25">#REF!</definedName>
    <definedName name="HCr_16006" localSheetId="28">#REF!</definedName>
    <definedName name="HCr_16006" localSheetId="29">#REF!</definedName>
    <definedName name="HCr_16006" localSheetId="12">#REF!</definedName>
    <definedName name="HCr_16006" localSheetId="43">#REF!</definedName>
    <definedName name="HCr_16006" localSheetId="42">#REF!</definedName>
    <definedName name="HCr_16006" localSheetId="27">#REF!</definedName>
    <definedName name="HCr_16006" localSheetId="45">#REF!</definedName>
    <definedName name="HCr_16006">#REF!</definedName>
    <definedName name="HCr_16010" localSheetId="30">#REF!</definedName>
    <definedName name="HCr_16010" localSheetId="25">#REF!</definedName>
    <definedName name="HCr_16010" localSheetId="28">#REF!</definedName>
    <definedName name="HCr_16010" localSheetId="29">#REF!</definedName>
    <definedName name="HCr_16010" localSheetId="12">#REF!</definedName>
    <definedName name="HCr_16010" localSheetId="43">#REF!</definedName>
    <definedName name="HCr_16010" localSheetId="42">#REF!</definedName>
    <definedName name="HCr_16010" localSheetId="27">#REF!</definedName>
    <definedName name="HCr_16010" localSheetId="45">#REF!</definedName>
    <definedName name="HCr_16010">#REF!</definedName>
    <definedName name="HCr_18004" localSheetId="30">#REF!</definedName>
    <definedName name="HCr_18004" localSheetId="25">#REF!</definedName>
    <definedName name="HCr_18004" localSheetId="28">#REF!</definedName>
    <definedName name="HCr_18004" localSheetId="29">#REF!</definedName>
    <definedName name="HCr_18004" localSheetId="12">#REF!</definedName>
    <definedName name="HCr_18004" localSheetId="43">#REF!</definedName>
    <definedName name="HCr_18004" localSheetId="42">#REF!</definedName>
    <definedName name="HCr_18004" localSheetId="27">#REF!</definedName>
    <definedName name="HCr_18004" localSheetId="45">#REF!</definedName>
    <definedName name="HCr_18004">#REF!</definedName>
    <definedName name="HCr_18010" localSheetId="30">#REF!</definedName>
    <definedName name="HCr_18010" localSheetId="25">#REF!</definedName>
    <definedName name="HCr_18010" localSheetId="28">#REF!</definedName>
    <definedName name="HCr_18010" localSheetId="29">#REF!</definedName>
    <definedName name="HCr_18010" localSheetId="12">#REF!</definedName>
    <definedName name="HCr_18010" localSheetId="43">#REF!</definedName>
    <definedName name="HCr_18010" localSheetId="42">#REF!</definedName>
    <definedName name="HCr_18010" localSheetId="27">#REF!</definedName>
    <definedName name="HCr_18010" localSheetId="45">#REF!</definedName>
    <definedName name="HCr_18010">#REF!</definedName>
    <definedName name="HCr_20004" localSheetId="30">#REF!</definedName>
    <definedName name="HCr_20004" localSheetId="25">#REF!</definedName>
    <definedName name="HCr_20004" localSheetId="28">#REF!</definedName>
    <definedName name="HCr_20004" localSheetId="29">#REF!</definedName>
    <definedName name="HCr_20004" localSheetId="12">#REF!</definedName>
    <definedName name="HCr_20004" localSheetId="43">#REF!</definedName>
    <definedName name="HCr_20004" localSheetId="42">#REF!</definedName>
    <definedName name="HCr_20004" localSheetId="27">#REF!</definedName>
    <definedName name="HCr_20004" localSheetId="45">#REF!</definedName>
    <definedName name="HCr_20004">#REF!</definedName>
    <definedName name="HCr_20010" localSheetId="30">#REF!</definedName>
    <definedName name="HCr_20010" localSheetId="25">#REF!</definedName>
    <definedName name="HCr_20010" localSheetId="28">#REF!</definedName>
    <definedName name="HCr_20010" localSheetId="29">#REF!</definedName>
    <definedName name="HCr_20010" localSheetId="12">#REF!</definedName>
    <definedName name="HCr_20010" localSheetId="43">#REF!</definedName>
    <definedName name="HCr_20010" localSheetId="42">#REF!</definedName>
    <definedName name="HCr_20010" localSheetId="27">#REF!</definedName>
    <definedName name="HCr_20010" localSheetId="45">#REF!</definedName>
    <definedName name="HCr_20010">#REF!</definedName>
    <definedName name="HCr_2010" localSheetId="30">#REF!</definedName>
    <definedName name="HCr_2010" localSheetId="25">#REF!</definedName>
    <definedName name="HCr_2010" localSheetId="28">#REF!</definedName>
    <definedName name="HCr_2010" localSheetId="29">#REF!</definedName>
    <definedName name="HCr_2010" localSheetId="12">#REF!</definedName>
    <definedName name="HCr_2010" localSheetId="43">#REF!</definedName>
    <definedName name="HCr_2010" localSheetId="42">#REF!</definedName>
    <definedName name="HCr_2010" localSheetId="27">#REF!</definedName>
    <definedName name="HCr_2010" localSheetId="45">#REF!</definedName>
    <definedName name="HCr_2010">#REF!</definedName>
    <definedName name="HCr_22510" localSheetId="30">#REF!</definedName>
    <definedName name="HCr_22510" localSheetId="25">#REF!</definedName>
    <definedName name="HCr_22510" localSheetId="28">#REF!</definedName>
    <definedName name="HCr_22510" localSheetId="29">#REF!</definedName>
    <definedName name="HCr_22510" localSheetId="12">#REF!</definedName>
    <definedName name="HCr_22510" localSheetId="43">#REF!</definedName>
    <definedName name="HCr_22510" localSheetId="42">#REF!</definedName>
    <definedName name="HCr_22510" localSheetId="27">#REF!</definedName>
    <definedName name="HCr_22510" localSheetId="45">#REF!</definedName>
    <definedName name="HCr_22510">#REF!</definedName>
    <definedName name="HCr_25010" localSheetId="30">#REF!</definedName>
    <definedName name="HCr_25010" localSheetId="25">#REF!</definedName>
    <definedName name="HCr_25010" localSheetId="28">#REF!</definedName>
    <definedName name="HCr_25010" localSheetId="29">#REF!</definedName>
    <definedName name="HCr_25010" localSheetId="12">#REF!</definedName>
    <definedName name="HCr_25010" localSheetId="43">#REF!</definedName>
    <definedName name="HCr_25010" localSheetId="42">#REF!</definedName>
    <definedName name="HCr_25010" localSheetId="27">#REF!</definedName>
    <definedName name="HCr_25010" localSheetId="45">#REF!</definedName>
    <definedName name="HCr_25010">#REF!</definedName>
    <definedName name="HCr_2510" localSheetId="30">#REF!</definedName>
    <definedName name="HCr_2510" localSheetId="25">#REF!</definedName>
    <definedName name="HCr_2510" localSheetId="28">#REF!</definedName>
    <definedName name="HCr_2510" localSheetId="29">#REF!</definedName>
    <definedName name="HCr_2510" localSheetId="12">#REF!</definedName>
    <definedName name="HCr_2510" localSheetId="43">#REF!</definedName>
    <definedName name="HCr_2510" localSheetId="42">#REF!</definedName>
    <definedName name="HCr_2510" localSheetId="27">#REF!</definedName>
    <definedName name="HCr_2510" localSheetId="45">#REF!</definedName>
    <definedName name="HCr_2510">#REF!</definedName>
    <definedName name="HCr_3206" localSheetId="30">#REF!</definedName>
    <definedName name="HCr_3206" localSheetId="25">#REF!</definedName>
    <definedName name="HCr_3206" localSheetId="28">#REF!</definedName>
    <definedName name="HCr_3206" localSheetId="29">#REF!</definedName>
    <definedName name="HCr_3206" localSheetId="12">#REF!</definedName>
    <definedName name="HCr_3206" localSheetId="43">#REF!</definedName>
    <definedName name="HCr_3206" localSheetId="42">#REF!</definedName>
    <definedName name="HCr_3206" localSheetId="27">#REF!</definedName>
    <definedName name="HCr_3206" localSheetId="45">#REF!</definedName>
    <definedName name="HCr_3206">#REF!</definedName>
    <definedName name="HCr_3210" localSheetId="30">#REF!</definedName>
    <definedName name="HCr_3210" localSheetId="25">#REF!</definedName>
    <definedName name="HCr_3210" localSheetId="28">#REF!</definedName>
    <definedName name="HCr_3210" localSheetId="29">#REF!</definedName>
    <definedName name="HCr_3210" localSheetId="12">#REF!</definedName>
    <definedName name="HCr_3210" localSheetId="43">#REF!</definedName>
    <definedName name="HCr_3210" localSheetId="42">#REF!</definedName>
    <definedName name="HCr_3210" localSheetId="27">#REF!</definedName>
    <definedName name="HCr_3210" localSheetId="45">#REF!</definedName>
    <definedName name="HCr_3210">#REF!</definedName>
    <definedName name="HCr_4004" localSheetId="30">#REF!</definedName>
    <definedName name="HCr_4004" localSheetId="25">#REF!</definedName>
    <definedName name="HCr_4004" localSheetId="28">#REF!</definedName>
    <definedName name="HCr_4004" localSheetId="29">#REF!</definedName>
    <definedName name="HCr_4004" localSheetId="12">#REF!</definedName>
    <definedName name="HCr_4004" localSheetId="43">#REF!</definedName>
    <definedName name="HCr_4004" localSheetId="42">#REF!</definedName>
    <definedName name="HCr_4004" localSheetId="27">#REF!</definedName>
    <definedName name="HCr_4004" localSheetId="45">#REF!</definedName>
    <definedName name="HCr_4004">#REF!</definedName>
    <definedName name="HCr_4006" localSheetId="30">#REF!</definedName>
    <definedName name="HCr_4006" localSheetId="25">#REF!</definedName>
    <definedName name="HCr_4006" localSheetId="28">#REF!</definedName>
    <definedName name="HCr_4006" localSheetId="29">#REF!</definedName>
    <definedName name="HCr_4006" localSheetId="12">#REF!</definedName>
    <definedName name="HCr_4006" localSheetId="43">#REF!</definedName>
    <definedName name="HCr_4006" localSheetId="42">#REF!</definedName>
    <definedName name="HCr_4006" localSheetId="27">#REF!</definedName>
    <definedName name="HCr_4006" localSheetId="45">#REF!</definedName>
    <definedName name="HCr_4006">#REF!</definedName>
    <definedName name="HCr_4010" localSheetId="30">#REF!</definedName>
    <definedName name="HCr_4010" localSheetId="25">#REF!</definedName>
    <definedName name="HCr_4010" localSheetId="28">#REF!</definedName>
    <definedName name="HCr_4010" localSheetId="29">#REF!</definedName>
    <definedName name="HCr_4010" localSheetId="12">#REF!</definedName>
    <definedName name="HCr_4010" localSheetId="43">#REF!</definedName>
    <definedName name="HCr_4010" localSheetId="42">#REF!</definedName>
    <definedName name="HCr_4010" localSheetId="27">#REF!</definedName>
    <definedName name="HCr_4010" localSheetId="45">#REF!</definedName>
    <definedName name="HCr_4010">#REF!</definedName>
    <definedName name="HCr_5004" localSheetId="30">#REF!</definedName>
    <definedName name="HCr_5004" localSheetId="25">#REF!</definedName>
    <definedName name="HCr_5004" localSheetId="28">#REF!</definedName>
    <definedName name="HCr_5004" localSheetId="29">#REF!</definedName>
    <definedName name="HCr_5004" localSheetId="12">#REF!</definedName>
    <definedName name="HCr_5004" localSheetId="43">#REF!</definedName>
    <definedName name="HCr_5004" localSheetId="42">#REF!</definedName>
    <definedName name="HCr_5004" localSheetId="27">#REF!</definedName>
    <definedName name="HCr_5004" localSheetId="45">#REF!</definedName>
    <definedName name="HCr_5004">#REF!</definedName>
    <definedName name="HCr_5006" localSheetId="30">#REF!</definedName>
    <definedName name="HCr_5006" localSheetId="25">#REF!</definedName>
    <definedName name="HCr_5006" localSheetId="28">#REF!</definedName>
    <definedName name="HCr_5006" localSheetId="29">#REF!</definedName>
    <definedName name="HCr_5006" localSheetId="12">#REF!</definedName>
    <definedName name="HCr_5006" localSheetId="43">#REF!</definedName>
    <definedName name="HCr_5006" localSheetId="42">#REF!</definedName>
    <definedName name="HCr_5006" localSheetId="27">#REF!</definedName>
    <definedName name="HCr_5006" localSheetId="45">#REF!</definedName>
    <definedName name="HCr_5006">#REF!</definedName>
    <definedName name="HCr_5010" localSheetId="30">#REF!</definedName>
    <definedName name="HCr_5010" localSheetId="25">#REF!</definedName>
    <definedName name="HCr_5010" localSheetId="28">#REF!</definedName>
    <definedName name="HCr_5010" localSheetId="29">#REF!</definedName>
    <definedName name="HCr_5010" localSheetId="12">#REF!</definedName>
    <definedName name="HCr_5010" localSheetId="43">#REF!</definedName>
    <definedName name="HCr_5010" localSheetId="42">#REF!</definedName>
    <definedName name="HCr_5010" localSheetId="27">#REF!</definedName>
    <definedName name="HCr_5010" localSheetId="45">#REF!</definedName>
    <definedName name="HCr_5010">#REF!</definedName>
    <definedName name="HCr_6304" localSheetId="30">#REF!</definedName>
    <definedName name="HCr_6304" localSheetId="25">#REF!</definedName>
    <definedName name="HCr_6304" localSheetId="28">#REF!</definedName>
    <definedName name="HCr_6304" localSheetId="29">#REF!</definedName>
    <definedName name="HCr_6304" localSheetId="12">#REF!</definedName>
    <definedName name="HCr_6304" localSheetId="43">#REF!</definedName>
    <definedName name="HCr_6304" localSheetId="42">#REF!</definedName>
    <definedName name="HCr_6304" localSheetId="27">#REF!</definedName>
    <definedName name="HCr_6304" localSheetId="45">#REF!</definedName>
    <definedName name="HCr_6304">#REF!</definedName>
    <definedName name="HCr_6306" localSheetId="30">#REF!</definedName>
    <definedName name="HCr_6306" localSheetId="25">#REF!</definedName>
    <definedName name="HCr_6306" localSheetId="28">#REF!</definedName>
    <definedName name="HCr_6306" localSheetId="29">#REF!</definedName>
    <definedName name="HCr_6306" localSheetId="12">#REF!</definedName>
    <definedName name="HCr_6306" localSheetId="43">#REF!</definedName>
    <definedName name="HCr_6306" localSheetId="42">#REF!</definedName>
    <definedName name="HCr_6306" localSheetId="27">#REF!</definedName>
    <definedName name="HCr_6306" localSheetId="45">#REF!</definedName>
    <definedName name="HCr_6306">#REF!</definedName>
    <definedName name="HCr_6310" localSheetId="30">#REF!</definedName>
    <definedName name="HCr_6310" localSheetId="25">#REF!</definedName>
    <definedName name="HCr_6310" localSheetId="28">#REF!</definedName>
    <definedName name="HCr_6310" localSheetId="29">#REF!</definedName>
    <definedName name="HCr_6310" localSheetId="12">#REF!</definedName>
    <definedName name="HCr_6310" localSheetId="43">#REF!</definedName>
    <definedName name="HCr_6310" localSheetId="42">#REF!</definedName>
    <definedName name="HCr_6310" localSheetId="27">#REF!</definedName>
    <definedName name="HCr_6310" localSheetId="45">#REF!</definedName>
    <definedName name="HCr_6310">#REF!</definedName>
    <definedName name="HCr_7504" localSheetId="30">#REF!</definedName>
    <definedName name="HCr_7504" localSheetId="25">#REF!</definedName>
    <definedName name="HCr_7504" localSheetId="28">#REF!</definedName>
    <definedName name="HCr_7504" localSheetId="29">#REF!</definedName>
    <definedName name="HCr_7504" localSheetId="12">#REF!</definedName>
    <definedName name="HCr_7504" localSheetId="43">#REF!</definedName>
    <definedName name="HCr_7504" localSheetId="42">#REF!</definedName>
    <definedName name="HCr_7504" localSheetId="27">#REF!</definedName>
    <definedName name="HCr_7504" localSheetId="45">#REF!</definedName>
    <definedName name="HCr_7504">#REF!</definedName>
    <definedName name="HCr_7506" localSheetId="30">#REF!</definedName>
    <definedName name="HCr_7506" localSheetId="25">#REF!</definedName>
    <definedName name="HCr_7506" localSheetId="28">#REF!</definedName>
    <definedName name="HCr_7506" localSheetId="29">#REF!</definedName>
    <definedName name="HCr_7506" localSheetId="12">#REF!</definedName>
    <definedName name="HCr_7506" localSheetId="43">#REF!</definedName>
    <definedName name="HCr_7506" localSheetId="42">#REF!</definedName>
    <definedName name="HCr_7506" localSheetId="27">#REF!</definedName>
    <definedName name="HCr_7506" localSheetId="45">#REF!</definedName>
    <definedName name="HCr_7506">#REF!</definedName>
    <definedName name="HCr_7510" localSheetId="30">#REF!</definedName>
    <definedName name="HCr_7510" localSheetId="25">#REF!</definedName>
    <definedName name="HCr_7510" localSheetId="28">#REF!</definedName>
    <definedName name="HCr_7510" localSheetId="29">#REF!</definedName>
    <definedName name="HCr_7510" localSheetId="12">#REF!</definedName>
    <definedName name="HCr_7510" localSheetId="43">#REF!</definedName>
    <definedName name="HCr_7510" localSheetId="42">#REF!</definedName>
    <definedName name="HCr_7510" localSheetId="27">#REF!</definedName>
    <definedName name="HCr_7510" localSheetId="45">#REF!</definedName>
    <definedName name="HCr_7510">#REF!</definedName>
    <definedName name="HCr_9004" localSheetId="30">#REF!</definedName>
    <definedName name="HCr_9004" localSheetId="25">#REF!</definedName>
    <definedName name="HCr_9004" localSheetId="28">#REF!</definedName>
    <definedName name="HCr_9004" localSheetId="29">#REF!</definedName>
    <definedName name="HCr_9004" localSheetId="12">#REF!</definedName>
    <definedName name="HCr_9004" localSheetId="43">#REF!</definedName>
    <definedName name="HCr_9004" localSheetId="42">#REF!</definedName>
    <definedName name="HCr_9004" localSheetId="27">#REF!</definedName>
    <definedName name="HCr_9004" localSheetId="45">#REF!</definedName>
    <definedName name="HCr_9004">#REF!</definedName>
    <definedName name="HCr_9006" localSheetId="30">#REF!</definedName>
    <definedName name="HCr_9006" localSheetId="25">#REF!</definedName>
    <definedName name="HCr_9006" localSheetId="28">#REF!</definedName>
    <definedName name="HCr_9006" localSheetId="29">#REF!</definedName>
    <definedName name="HCr_9006" localSheetId="12">#REF!</definedName>
    <definedName name="HCr_9006" localSheetId="43">#REF!</definedName>
    <definedName name="HCr_9006" localSheetId="42">#REF!</definedName>
    <definedName name="HCr_9006" localSheetId="27">#REF!</definedName>
    <definedName name="HCr_9006" localSheetId="45">#REF!</definedName>
    <definedName name="HCr_9006">#REF!</definedName>
    <definedName name="HCr_9010" localSheetId="30">#REF!</definedName>
    <definedName name="HCr_9010" localSheetId="25">#REF!</definedName>
    <definedName name="HCr_9010" localSheetId="28">#REF!</definedName>
    <definedName name="HCr_9010" localSheetId="29">#REF!</definedName>
    <definedName name="HCr_9010" localSheetId="12">#REF!</definedName>
    <definedName name="HCr_9010" localSheetId="43">#REF!</definedName>
    <definedName name="HCr_9010" localSheetId="42">#REF!</definedName>
    <definedName name="HCr_9010" localSheetId="27">#REF!</definedName>
    <definedName name="HCr_9010" localSheetId="45">#REF!</definedName>
    <definedName name="HCr_9010">#REF!</definedName>
    <definedName name="HDP_Pipes">[40]F_Piperate!$B$6:$J$67</definedName>
    <definedName name="HDPE">[5]DR!$D$39</definedName>
    <definedName name="HE_0" localSheetId="30">#REF!</definedName>
    <definedName name="HE_0" localSheetId="25">#REF!</definedName>
    <definedName name="HE_0" localSheetId="28">#REF!</definedName>
    <definedName name="HE_0" localSheetId="29">#REF!</definedName>
    <definedName name="HE_0" localSheetId="12">#REF!</definedName>
    <definedName name="HE_0" localSheetId="43">#REF!</definedName>
    <definedName name="HE_0" localSheetId="42">#REF!</definedName>
    <definedName name="HE_0" localSheetId="27">#REF!</definedName>
    <definedName name="HE_0" localSheetId="45">#REF!</definedName>
    <definedName name="HE_0">#REF!</definedName>
    <definedName name="HE_1" localSheetId="30">#REF!</definedName>
    <definedName name="HE_1" localSheetId="25">#REF!</definedName>
    <definedName name="HE_1" localSheetId="28">#REF!</definedName>
    <definedName name="HE_1" localSheetId="29">#REF!</definedName>
    <definedName name="HE_1" localSheetId="12">#REF!</definedName>
    <definedName name="HE_1" localSheetId="43">#REF!</definedName>
    <definedName name="HE_1" localSheetId="42">#REF!</definedName>
    <definedName name="HE_1" localSheetId="27">#REF!</definedName>
    <definedName name="HE_1" localSheetId="45">#REF!</definedName>
    <definedName name="HE_1">#REF!</definedName>
    <definedName name="HE_11004" localSheetId="30">#REF!</definedName>
    <definedName name="HE_11004" localSheetId="25">#REF!</definedName>
    <definedName name="HE_11004" localSheetId="28">#REF!</definedName>
    <definedName name="HE_11004" localSheetId="29">#REF!</definedName>
    <definedName name="HE_11004" localSheetId="12">#REF!</definedName>
    <definedName name="HE_11004" localSheetId="43">#REF!</definedName>
    <definedName name="HE_11004" localSheetId="42">#REF!</definedName>
    <definedName name="HE_11004" localSheetId="27">#REF!</definedName>
    <definedName name="HE_11004" localSheetId="45">#REF!</definedName>
    <definedName name="HE_11004">#REF!</definedName>
    <definedName name="HE_11006" localSheetId="30">#REF!</definedName>
    <definedName name="HE_11006" localSheetId="25">#REF!</definedName>
    <definedName name="HE_11006" localSheetId="28">#REF!</definedName>
    <definedName name="HE_11006" localSheetId="29">#REF!</definedName>
    <definedName name="HE_11006" localSheetId="12">#REF!</definedName>
    <definedName name="HE_11006" localSheetId="43">#REF!</definedName>
    <definedName name="HE_11006" localSheetId="42">#REF!</definedName>
    <definedName name="HE_11006" localSheetId="27">#REF!</definedName>
    <definedName name="HE_11006" localSheetId="45">#REF!</definedName>
    <definedName name="HE_11006">#REF!</definedName>
    <definedName name="HE_11010" localSheetId="30">#REF!</definedName>
    <definedName name="HE_11010" localSheetId="25">#REF!</definedName>
    <definedName name="HE_11010" localSheetId="28">#REF!</definedName>
    <definedName name="HE_11010" localSheetId="29">#REF!</definedName>
    <definedName name="HE_11010" localSheetId="12">#REF!</definedName>
    <definedName name="HE_11010" localSheetId="43">#REF!</definedName>
    <definedName name="HE_11010" localSheetId="42">#REF!</definedName>
    <definedName name="HE_11010" localSheetId="27">#REF!</definedName>
    <definedName name="HE_11010" localSheetId="45">#REF!</definedName>
    <definedName name="HE_11010">#REF!</definedName>
    <definedName name="HE_12504" localSheetId="30">#REF!</definedName>
    <definedName name="HE_12504" localSheetId="25">#REF!</definedName>
    <definedName name="HE_12504" localSheetId="28">#REF!</definedName>
    <definedName name="HE_12504" localSheetId="29">#REF!</definedName>
    <definedName name="HE_12504" localSheetId="12">#REF!</definedName>
    <definedName name="HE_12504" localSheetId="43">#REF!</definedName>
    <definedName name="HE_12504" localSheetId="42">#REF!</definedName>
    <definedName name="HE_12504" localSheetId="27">#REF!</definedName>
    <definedName name="HE_12504" localSheetId="45">#REF!</definedName>
    <definedName name="HE_12504">#REF!</definedName>
    <definedName name="HE_12506" localSheetId="30">#REF!</definedName>
    <definedName name="HE_12506" localSheetId="25">#REF!</definedName>
    <definedName name="HE_12506" localSheetId="28">#REF!</definedName>
    <definedName name="HE_12506" localSheetId="29">#REF!</definedName>
    <definedName name="HE_12506" localSheetId="12">#REF!</definedName>
    <definedName name="HE_12506" localSheetId="43">#REF!</definedName>
    <definedName name="HE_12506" localSheetId="42">#REF!</definedName>
    <definedName name="HE_12506" localSheetId="27">#REF!</definedName>
    <definedName name="HE_12506" localSheetId="45">#REF!</definedName>
    <definedName name="HE_12506">#REF!</definedName>
    <definedName name="HE_12510" localSheetId="30">#REF!</definedName>
    <definedName name="HE_12510" localSheetId="25">#REF!</definedName>
    <definedName name="HE_12510" localSheetId="28">#REF!</definedName>
    <definedName name="HE_12510" localSheetId="29">#REF!</definedName>
    <definedName name="HE_12510" localSheetId="12">#REF!</definedName>
    <definedName name="HE_12510" localSheetId="43">#REF!</definedName>
    <definedName name="HE_12510" localSheetId="42">#REF!</definedName>
    <definedName name="HE_12510" localSheetId="27">#REF!</definedName>
    <definedName name="HE_12510" localSheetId="45">#REF!</definedName>
    <definedName name="HE_12510">#REF!</definedName>
    <definedName name="HE_14004" localSheetId="30">#REF!</definedName>
    <definedName name="HE_14004" localSheetId="25">#REF!</definedName>
    <definedName name="HE_14004" localSheetId="28">#REF!</definedName>
    <definedName name="HE_14004" localSheetId="29">#REF!</definedName>
    <definedName name="HE_14004" localSheetId="12">#REF!</definedName>
    <definedName name="HE_14004" localSheetId="43">#REF!</definedName>
    <definedName name="HE_14004" localSheetId="42">#REF!</definedName>
    <definedName name="HE_14004" localSheetId="27">#REF!</definedName>
    <definedName name="HE_14004" localSheetId="45">#REF!</definedName>
    <definedName name="HE_14004">#REF!</definedName>
    <definedName name="HE_14006" localSheetId="30">#REF!</definedName>
    <definedName name="HE_14006" localSheetId="25">#REF!</definedName>
    <definedName name="HE_14006" localSheetId="28">#REF!</definedName>
    <definedName name="HE_14006" localSheetId="29">#REF!</definedName>
    <definedName name="HE_14006" localSheetId="12">#REF!</definedName>
    <definedName name="HE_14006" localSheetId="43">#REF!</definedName>
    <definedName name="HE_14006" localSheetId="42">#REF!</definedName>
    <definedName name="HE_14006" localSheetId="27">#REF!</definedName>
    <definedName name="HE_14006" localSheetId="45">#REF!</definedName>
    <definedName name="HE_14006">#REF!</definedName>
    <definedName name="HE_14010" localSheetId="30">#REF!</definedName>
    <definedName name="HE_14010" localSheetId="25">#REF!</definedName>
    <definedName name="HE_14010" localSheetId="28">#REF!</definedName>
    <definedName name="HE_14010" localSheetId="29">#REF!</definedName>
    <definedName name="HE_14010" localSheetId="12">#REF!</definedName>
    <definedName name="HE_14010" localSheetId="43">#REF!</definedName>
    <definedName name="HE_14010" localSheetId="42">#REF!</definedName>
    <definedName name="HE_14010" localSheetId="27">#REF!</definedName>
    <definedName name="HE_14010" localSheetId="45">#REF!</definedName>
    <definedName name="HE_14010">#REF!</definedName>
    <definedName name="HE_16004" localSheetId="30">#REF!</definedName>
    <definedName name="HE_16004" localSheetId="25">#REF!</definedName>
    <definedName name="HE_16004" localSheetId="28">#REF!</definedName>
    <definedName name="HE_16004" localSheetId="29">#REF!</definedName>
    <definedName name="HE_16004" localSheetId="12">#REF!</definedName>
    <definedName name="HE_16004" localSheetId="43">#REF!</definedName>
    <definedName name="HE_16004" localSheetId="42">#REF!</definedName>
    <definedName name="HE_16004" localSheetId="27">#REF!</definedName>
    <definedName name="HE_16004" localSheetId="45">#REF!</definedName>
    <definedName name="HE_16004">#REF!</definedName>
    <definedName name="HE_16006" localSheetId="30">#REF!</definedName>
    <definedName name="HE_16006" localSheetId="25">#REF!</definedName>
    <definedName name="HE_16006" localSheetId="28">#REF!</definedName>
    <definedName name="HE_16006" localSheetId="29">#REF!</definedName>
    <definedName name="HE_16006" localSheetId="12">#REF!</definedName>
    <definedName name="HE_16006" localSheetId="43">#REF!</definedName>
    <definedName name="HE_16006" localSheetId="42">#REF!</definedName>
    <definedName name="HE_16006" localSheetId="27">#REF!</definedName>
    <definedName name="HE_16006" localSheetId="45">#REF!</definedName>
    <definedName name="HE_16006">#REF!</definedName>
    <definedName name="HE_16010" localSheetId="30">#REF!</definedName>
    <definedName name="HE_16010" localSheetId="25">#REF!</definedName>
    <definedName name="HE_16010" localSheetId="28">#REF!</definedName>
    <definedName name="HE_16010" localSheetId="29">#REF!</definedName>
    <definedName name="HE_16010" localSheetId="12">#REF!</definedName>
    <definedName name="HE_16010" localSheetId="43">#REF!</definedName>
    <definedName name="HE_16010" localSheetId="42">#REF!</definedName>
    <definedName name="HE_16010" localSheetId="27">#REF!</definedName>
    <definedName name="HE_16010" localSheetId="45">#REF!</definedName>
    <definedName name="HE_16010">#REF!</definedName>
    <definedName name="HE_18004" localSheetId="30">#REF!</definedName>
    <definedName name="HE_18004" localSheetId="25">#REF!</definedName>
    <definedName name="HE_18004" localSheetId="28">#REF!</definedName>
    <definedName name="HE_18004" localSheetId="29">#REF!</definedName>
    <definedName name="HE_18004" localSheetId="12">#REF!</definedName>
    <definedName name="HE_18004" localSheetId="43">#REF!</definedName>
    <definedName name="HE_18004" localSheetId="42">#REF!</definedName>
    <definedName name="HE_18004" localSheetId="27">#REF!</definedName>
    <definedName name="HE_18004" localSheetId="45">#REF!</definedName>
    <definedName name="HE_18004">#REF!</definedName>
    <definedName name="HE_18006" localSheetId="30">#REF!</definedName>
    <definedName name="HE_18006" localSheetId="25">#REF!</definedName>
    <definedName name="HE_18006" localSheetId="28">#REF!</definedName>
    <definedName name="HE_18006" localSheetId="29">#REF!</definedName>
    <definedName name="HE_18006" localSheetId="12">#REF!</definedName>
    <definedName name="HE_18006" localSheetId="43">#REF!</definedName>
    <definedName name="HE_18006" localSheetId="42">#REF!</definedName>
    <definedName name="HE_18006" localSheetId="27">#REF!</definedName>
    <definedName name="HE_18006" localSheetId="45">#REF!</definedName>
    <definedName name="HE_18006">#REF!</definedName>
    <definedName name="HE_18010" localSheetId="30">#REF!</definedName>
    <definedName name="HE_18010" localSheetId="25">#REF!</definedName>
    <definedName name="HE_18010" localSheetId="28">#REF!</definedName>
    <definedName name="HE_18010" localSheetId="29">#REF!</definedName>
    <definedName name="HE_18010" localSheetId="12">#REF!</definedName>
    <definedName name="HE_18010" localSheetId="43">#REF!</definedName>
    <definedName name="HE_18010" localSheetId="42">#REF!</definedName>
    <definedName name="HE_18010" localSheetId="27">#REF!</definedName>
    <definedName name="HE_18010" localSheetId="45">#REF!</definedName>
    <definedName name="HE_18010">#REF!</definedName>
    <definedName name="HE_2" localSheetId="30">#REF!</definedName>
    <definedName name="HE_2" localSheetId="25">#REF!</definedName>
    <definedName name="HE_2" localSheetId="28">#REF!</definedName>
    <definedName name="HE_2" localSheetId="29">#REF!</definedName>
    <definedName name="HE_2" localSheetId="12">#REF!</definedName>
    <definedName name="HE_2" localSheetId="43">#REF!</definedName>
    <definedName name="HE_2" localSheetId="42">#REF!</definedName>
    <definedName name="HE_2" localSheetId="27">#REF!</definedName>
    <definedName name="HE_2" localSheetId="45">#REF!</definedName>
    <definedName name="HE_2">#REF!</definedName>
    <definedName name="HE_20004" localSheetId="30">#REF!</definedName>
    <definedName name="HE_20004" localSheetId="25">#REF!</definedName>
    <definedName name="HE_20004" localSheetId="28">#REF!</definedName>
    <definedName name="HE_20004" localSheetId="29">#REF!</definedName>
    <definedName name="HE_20004" localSheetId="12">#REF!</definedName>
    <definedName name="HE_20004" localSheetId="43">#REF!</definedName>
    <definedName name="HE_20004" localSheetId="42">#REF!</definedName>
    <definedName name="HE_20004" localSheetId="27">#REF!</definedName>
    <definedName name="HE_20004" localSheetId="45">#REF!</definedName>
    <definedName name="HE_20004">#REF!</definedName>
    <definedName name="HE_20006" localSheetId="30">#REF!</definedName>
    <definedName name="HE_20006" localSheetId="25">#REF!</definedName>
    <definedName name="HE_20006" localSheetId="28">#REF!</definedName>
    <definedName name="HE_20006" localSheetId="29">#REF!</definedName>
    <definedName name="HE_20006" localSheetId="12">#REF!</definedName>
    <definedName name="HE_20006" localSheetId="43">#REF!</definedName>
    <definedName name="HE_20006" localSheetId="42">#REF!</definedName>
    <definedName name="HE_20006" localSheetId="27">#REF!</definedName>
    <definedName name="HE_20006" localSheetId="45">#REF!</definedName>
    <definedName name="HE_20006">#REF!</definedName>
    <definedName name="HE_20010" localSheetId="30">#REF!</definedName>
    <definedName name="HE_20010" localSheetId="25">#REF!</definedName>
    <definedName name="HE_20010" localSheetId="28">#REF!</definedName>
    <definedName name="HE_20010" localSheetId="29">#REF!</definedName>
    <definedName name="HE_20010" localSheetId="12">#REF!</definedName>
    <definedName name="HE_20010" localSheetId="43">#REF!</definedName>
    <definedName name="HE_20010" localSheetId="42">#REF!</definedName>
    <definedName name="HE_20010" localSheetId="27">#REF!</definedName>
    <definedName name="HE_20010" localSheetId="45">#REF!</definedName>
    <definedName name="HE_20010">#REF!</definedName>
    <definedName name="HE_22504" localSheetId="30">#REF!</definedName>
    <definedName name="HE_22504" localSheetId="25">#REF!</definedName>
    <definedName name="HE_22504" localSheetId="28">#REF!</definedName>
    <definedName name="HE_22504" localSheetId="29">#REF!</definedName>
    <definedName name="HE_22504" localSheetId="12">#REF!</definedName>
    <definedName name="HE_22504" localSheetId="43">#REF!</definedName>
    <definedName name="HE_22504" localSheetId="42">#REF!</definedName>
    <definedName name="HE_22504" localSheetId="27">#REF!</definedName>
    <definedName name="HE_22504" localSheetId="45">#REF!</definedName>
    <definedName name="HE_22504">#REF!</definedName>
    <definedName name="HE_22506" localSheetId="30">#REF!</definedName>
    <definedName name="HE_22506" localSheetId="25">#REF!</definedName>
    <definedName name="HE_22506" localSheetId="28">#REF!</definedName>
    <definedName name="HE_22506" localSheetId="29">#REF!</definedName>
    <definedName name="HE_22506" localSheetId="12">#REF!</definedName>
    <definedName name="HE_22506" localSheetId="43">#REF!</definedName>
    <definedName name="HE_22506" localSheetId="42">#REF!</definedName>
    <definedName name="HE_22506" localSheetId="27">#REF!</definedName>
    <definedName name="HE_22506" localSheetId="45">#REF!</definedName>
    <definedName name="HE_22506">#REF!</definedName>
    <definedName name="HE_22510" localSheetId="30">#REF!</definedName>
    <definedName name="HE_22510" localSheetId="25">#REF!</definedName>
    <definedName name="HE_22510" localSheetId="28">#REF!</definedName>
    <definedName name="HE_22510" localSheetId="29">#REF!</definedName>
    <definedName name="HE_22510" localSheetId="12">#REF!</definedName>
    <definedName name="HE_22510" localSheetId="43">#REF!</definedName>
    <definedName name="HE_22510" localSheetId="42">#REF!</definedName>
    <definedName name="HE_22510" localSheetId="27">#REF!</definedName>
    <definedName name="HE_22510" localSheetId="45">#REF!</definedName>
    <definedName name="HE_22510">#REF!</definedName>
    <definedName name="HE_25004" localSheetId="30">#REF!</definedName>
    <definedName name="HE_25004" localSheetId="25">#REF!</definedName>
    <definedName name="HE_25004" localSheetId="28">#REF!</definedName>
    <definedName name="HE_25004" localSheetId="29">#REF!</definedName>
    <definedName name="HE_25004" localSheetId="12">#REF!</definedName>
    <definedName name="HE_25004" localSheetId="43">#REF!</definedName>
    <definedName name="HE_25004" localSheetId="42">#REF!</definedName>
    <definedName name="HE_25004" localSheetId="27">#REF!</definedName>
    <definedName name="HE_25004" localSheetId="45">#REF!</definedName>
    <definedName name="HE_25004">#REF!</definedName>
    <definedName name="HE_25006" localSheetId="30">#REF!</definedName>
    <definedName name="HE_25006" localSheetId="25">#REF!</definedName>
    <definedName name="HE_25006" localSheetId="28">#REF!</definedName>
    <definedName name="HE_25006" localSheetId="29">#REF!</definedName>
    <definedName name="HE_25006" localSheetId="12">#REF!</definedName>
    <definedName name="HE_25006" localSheetId="43">#REF!</definedName>
    <definedName name="HE_25006" localSheetId="42">#REF!</definedName>
    <definedName name="HE_25006" localSheetId="27">#REF!</definedName>
    <definedName name="HE_25006" localSheetId="45">#REF!</definedName>
    <definedName name="HE_25006">#REF!</definedName>
    <definedName name="HE_25010" localSheetId="30">#REF!</definedName>
    <definedName name="HE_25010" localSheetId="25">#REF!</definedName>
    <definedName name="HE_25010" localSheetId="28">#REF!</definedName>
    <definedName name="HE_25010" localSheetId="29">#REF!</definedName>
    <definedName name="HE_25010" localSheetId="12">#REF!</definedName>
    <definedName name="HE_25010" localSheetId="43">#REF!</definedName>
    <definedName name="HE_25010" localSheetId="42">#REF!</definedName>
    <definedName name="HE_25010" localSheetId="27">#REF!</definedName>
    <definedName name="HE_25010" localSheetId="45">#REF!</definedName>
    <definedName name="HE_25010">#REF!</definedName>
    <definedName name="HE_28010" localSheetId="30">#REF!</definedName>
    <definedName name="HE_28010" localSheetId="25">#REF!</definedName>
    <definedName name="HE_28010" localSheetId="28">#REF!</definedName>
    <definedName name="HE_28010" localSheetId="29">#REF!</definedName>
    <definedName name="HE_28010" localSheetId="12">#REF!</definedName>
    <definedName name="HE_28010" localSheetId="43">#REF!</definedName>
    <definedName name="HE_28010" localSheetId="42">#REF!</definedName>
    <definedName name="HE_28010" localSheetId="27">#REF!</definedName>
    <definedName name="HE_28010" localSheetId="45">#REF!</definedName>
    <definedName name="HE_28010">#REF!</definedName>
    <definedName name="HE_3" localSheetId="30">#REF!</definedName>
    <definedName name="HE_3" localSheetId="25">#REF!</definedName>
    <definedName name="HE_3" localSheetId="28">#REF!</definedName>
    <definedName name="HE_3" localSheetId="29">#REF!</definedName>
    <definedName name="HE_3" localSheetId="12">#REF!</definedName>
    <definedName name="HE_3" localSheetId="43">#REF!</definedName>
    <definedName name="HE_3" localSheetId="42">#REF!</definedName>
    <definedName name="HE_3" localSheetId="27">#REF!</definedName>
    <definedName name="HE_3" localSheetId="45">#REF!</definedName>
    <definedName name="HE_3">#REF!</definedName>
    <definedName name="HE_31510" localSheetId="30">#REF!</definedName>
    <definedName name="HE_31510" localSheetId="25">#REF!</definedName>
    <definedName name="HE_31510" localSheetId="28">#REF!</definedName>
    <definedName name="HE_31510" localSheetId="29">#REF!</definedName>
    <definedName name="HE_31510" localSheetId="12">#REF!</definedName>
    <definedName name="HE_31510" localSheetId="43">#REF!</definedName>
    <definedName name="HE_31510" localSheetId="42">#REF!</definedName>
    <definedName name="HE_31510" localSheetId="27">#REF!</definedName>
    <definedName name="HE_31510" localSheetId="45">#REF!</definedName>
    <definedName name="HE_31510">#REF!</definedName>
    <definedName name="HE_3206" localSheetId="30">#REF!</definedName>
    <definedName name="HE_3206" localSheetId="25">#REF!</definedName>
    <definedName name="HE_3206" localSheetId="28">#REF!</definedName>
    <definedName name="HE_3206" localSheetId="29">#REF!</definedName>
    <definedName name="HE_3206" localSheetId="12">#REF!</definedName>
    <definedName name="HE_3206" localSheetId="43">#REF!</definedName>
    <definedName name="HE_3206" localSheetId="42">#REF!</definedName>
    <definedName name="HE_3206" localSheetId="27">#REF!</definedName>
    <definedName name="HE_3206" localSheetId="45">#REF!</definedName>
    <definedName name="HE_3206">#REF!</definedName>
    <definedName name="HE_3210" localSheetId="30">#REF!</definedName>
    <definedName name="HE_3210" localSheetId="25">#REF!</definedName>
    <definedName name="HE_3210" localSheetId="28">#REF!</definedName>
    <definedName name="HE_3210" localSheetId="29">#REF!</definedName>
    <definedName name="HE_3210" localSheetId="12">#REF!</definedName>
    <definedName name="HE_3210" localSheetId="43">#REF!</definedName>
    <definedName name="HE_3210" localSheetId="42">#REF!</definedName>
    <definedName name="HE_3210" localSheetId="27">#REF!</definedName>
    <definedName name="HE_3210" localSheetId="45">#REF!</definedName>
    <definedName name="HE_3210">#REF!</definedName>
    <definedName name="HE_4" localSheetId="30">#REF!</definedName>
    <definedName name="HE_4" localSheetId="25">#REF!</definedName>
    <definedName name="HE_4" localSheetId="28">#REF!</definedName>
    <definedName name="HE_4" localSheetId="29">#REF!</definedName>
    <definedName name="HE_4" localSheetId="12">#REF!</definedName>
    <definedName name="HE_4" localSheetId="43">#REF!</definedName>
    <definedName name="HE_4" localSheetId="42">#REF!</definedName>
    <definedName name="HE_4" localSheetId="27">#REF!</definedName>
    <definedName name="HE_4" localSheetId="45">#REF!</definedName>
    <definedName name="HE_4">#REF!</definedName>
    <definedName name="HE_4004" localSheetId="30">#REF!</definedName>
    <definedName name="HE_4004" localSheetId="25">#REF!</definedName>
    <definedName name="HE_4004" localSheetId="28">#REF!</definedName>
    <definedName name="HE_4004" localSheetId="29">#REF!</definedName>
    <definedName name="HE_4004" localSheetId="12">#REF!</definedName>
    <definedName name="HE_4004" localSheetId="43">#REF!</definedName>
    <definedName name="HE_4004" localSheetId="42">#REF!</definedName>
    <definedName name="HE_4004" localSheetId="27">#REF!</definedName>
    <definedName name="HE_4004" localSheetId="45">#REF!</definedName>
    <definedName name="HE_4004">#REF!</definedName>
    <definedName name="HE_4006" localSheetId="30">#REF!</definedName>
    <definedName name="HE_4006" localSheetId="25">#REF!</definedName>
    <definedName name="HE_4006" localSheetId="28">#REF!</definedName>
    <definedName name="HE_4006" localSheetId="29">#REF!</definedName>
    <definedName name="HE_4006" localSheetId="12">#REF!</definedName>
    <definedName name="HE_4006" localSheetId="43">#REF!</definedName>
    <definedName name="HE_4006" localSheetId="42">#REF!</definedName>
    <definedName name="HE_4006" localSheetId="27">#REF!</definedName>
    <definedName name="HE_4006" localSheetId="45">#REF!</definedName>
    <definedName name="HE_4006">#REF!</definedName>
    <definedName name="HE_4010" localSheetId="30">#REF!</definedName>
    <definedName name="HE_4010" localSheetId="25">#REF!</definedName>
    <definedName name="HE_4010" localSheetId="28">#REF!</definedName>
    <definedName name="HE_4010" localSheetId="29">#REF!</definedName>
    <definedName name="HE_4010" localSheetId="12">#REF!</definedName>
    <definedName name="HE_4010" localSheetId="43">#REF!</definedName>
    <definedName name="HE_4010" localSheetId="42">#REF!</definedName>
    <definedName name="HE_4010" localSheetId="27">#REF!</definedName>
    <definedName name="HE_4010" localSheetId="45">#REF!</definedName>
    <definedName name="HE_4010">#REF!</definedName>
    <definedName name="HE_5" localSheetId="30">#REF!</definedName>
    <definedName name="HE_5" localSheetId="25">#REF!</definedName>
    <definedName name="HE_5" localSheetId="28">#REF!</definedName>
    <definedName name="HE_5" localSheetId="29">#REF!</definedName>
    <definedName name="HE_5" localSheetId="12">#REF!</definedName>
    <definedName name="HE_5" localSheetId="43">#REF!</definedName>
    <definedName name="HE_5" localSheetId="42">#REF!</definedName>
    <definedName name="HE_5" localSheetId="27">#REF!</definedName>
    <definedName name="HE_5" localSheetId="45">#REF!</definedName>
    <definedName name="HE_5">#REF!</definedName>
    <definedName name="HE_5004" localSheetId="30">#REF!</definedName>
    <definedName name="HE_5004" localSheetId="25">#REF!</definedName>
    <definedName name="HE_5004" localSheetId="28">#REF!</definedName>
    <definedName name="HE_5004" localSheetId="29">#REF!</definedName>
    <definedName name="HE_5004" localSheetId="12">#REF!</definedName>
    <definedName name="HE_5004" localSheetId="43">#REF!</definedName>
    <definedName name="HE_5004" localSheetId="42">#REF!</definedName>
    <definedName name="HE_5004" localSheetId="27">#REF!</definedName>
    <definedName name="HE_5004" localSheetId="45">#REF!</definedName>
    <definedName name="HE_5004">#REF!</definedName>
    <definedName name="HE_5006" localSheetId="30">#REF!</definedName>
    <definedName name="HE_5006" localSheetId="25">#REF!</definedName>
    <definedName name="HE_5006" localSheetId="28">#REF!</definedName>
    <definedName name="HE_5006" localSheetId="29">#REF!</definedName>
    <definedName name="HE_5006" localSheetId="12">#REF!</definedName>
    <definedName name="HE_5006" localSheetId="43">#REF!</definedName>
    <definedName name="HE_5006" localSheetId="42">#REF!</definedName>
    <definedName name="HE_5006" localSheetId="27">#REF!</definedName>
    <definedName name="HE_5006" localSheetId="45">#REF!</definedName>
    <definedName name="HE_5006">#REF!</definedName>
    <definedName name="HE_5010" localSheetId="30">#REF!</definedName>
    <definedName name="HE_5010" localSheetId="25">#REF!</definedName>
    <definedName name="HE_5010" localSheetId="28">#REF!</definedName>
    <definedName name="HE_5010" localSheetId="29">#REF!</definedName>
    <definedName name="HE_5010" localSheetId="12">#REF!</definedName>
    <definedName name="HE_5010" localSheetId="43">#REF!</definedName>
    <definedName name="HE_5010" localSheetId="42">#REF!</definedName>
    <definedName name="HE_5010" localSheetId="27">#REF!</definedName>
    <definedName name="HE_5010" localSheetId="45">#REF!</definedName>
    <definedName name="HE_5010">#REF!</definedName>
    <definedName name="HE_6" localSheetId="30">#REF!</definedName>
    <definedName name="HE_6" localSheetId="25">#REF!</definedName>
    <definedName name="HE_6" localSheetId="28">#REF!</definedName>
    <definedName name="HE_6" localSheetId="29">#REF!</definedName>
    <definedName name="HE_6" localSheetId="12">#REF!</definedName>
    <definedName name="HE_6" localSheetId="43">#REF!</definedName>
    <definedName name="HE_6" localSheetId="42">#REF!</definedName>
    <definedName name="HE_6" localSheetId="27">#REF!</definedName>
    <definedName name="HE_6" localSheetId="45">#REF!</definedName>
    <definedName name="HE_6">#REF!</definedName>
    <definedName name="HE_6304" localSheetId="30">#REF!</definedName>
    <definedName name="HE_6304" localSheetId="25">#REF!</definedName>
    <definedName name="HE_6304" localSheetId="28">#REF!</definedName>
    <definedName name="HE_6304" localSheetId="29">#REF!</definedName>
    <definedName name="HE_6304" localSheetId="12">#REF!</definedName>
    <definedName name="HE_6304" localSheetId="43">#REF!</definedName>
    <definedName name="HE_6304" localSheetId="42">#REF!</definedName>
    <definedName name="HE_6304" localSheetId="27">#REF!</definedName>
    <definedName name="HE_6304" localSheetId="45">#REF!</definedName>
    <definedName name="HE_6304">#REF!</definedName>
    <definedName name="HE_6306" localSheetId="30">#REF!</definedName>
    <definedName name="HE_6306" localSheetId="25">#REF!</definedName>
    <definedName name="HE_6306" localSheetId="28">#REF!</definedName>
    <definedName name="HE_6306" localSheetId="29">#REF!</definedName>
    <definedName name="HE_6306" localSheetId="12">#REF!</definedName>
    <definedName name="HE_6306" localSheetId="43">#REF!</definedName>
    <definedName name="HE_6306" localSheetId="42">#REF!</definedName>
    <definedName name="HE_6306" localSheetId="27">#REF!</definedName>
    <definedName name="HE_6306" localSheetId="45">#REF!</definedName>
    <definedName name="HE_6306">#REF!</definedName>
    <definedName name="HE_6310" localSheetId="30">#REF!</definedName>
    <definedName name="HE_6310" localSheetId="25">#REF!</definedName>
    <definedName name="HE_6310" localSheetId="28">#REF!</definedName>
    <definedName name="HE_6310" localSheetId="29">#REF!</definedName>
    <definedName name="HE_6310" localSheetId="12">#REF!</definedName>
    <definedName name="HE_6310" localSheetId="43">#REF!</definedName>
    <definedName name="HE_6310" localSheetId="42">#REF!</definedName>
    <definedName name="HE_6310" localSheetId="27">#REF!</definedName>
    <definedName name="HE_6310" localSheetId="45">#REF!</definedName>
    <definedName name="HE_6310">#REF!</definedName>
    <definedName name="HE_7504" localSheetId="30">#REF!</definedName>
    <definedName name="HE_7504" localSheetId="25">#REF!</definedName>
    <definedName name="HE_7504" localSheetId="28">#REF!</definedName>
    <definedName name="HE_7504" localSheetId="29">#REF!</definedName>
    <definedName name="HE_7504" localSheetId="12">#REF!</definedName>
    <definedName name="HE_7504" localSheetId="43">#REF!</definedName>
    <definedName name="HE_7504" localSheetId="42">#REF!</definedName>
    <definedName name="HE_7504" localSheetId="27">#REF!</definedName>
    <definedName name="HE_7504" localSheetId="45">#REF!</definedName>
    <definedName name="HE_7504">#REF!</definedName>
    <definedName name="HE_7506" localSheetId="30">#REF!</definedName>
    <definedName name="HE_7506" localSheetId="25">#REF!</definedName>
    <definedName name="HE_7506" localSheetId="28">#REF!</definedName>
    <definedName name="HE_7506" localSheetId="29">#REF!</definedName>
    <definedName name="HE_7506" localSheetId="12">#REF!</definedName>
    <definedName name="HE_7506" localSheetId="43">#REF!</definedName>
    <definedName name="HE_7506" localSheetId="42">#REF!</definedName>
    <definedName name="HE_7506" localSheetId="27">#REF!</definedName>
    <definedName name="HE_7506" localSheetId="45">#REF!</definedName>
    <definedName name="HE_7506">#REF!</definedName>
    <definedName name="HE_7510" localSheetId="30">#REF!</definedName>
    <definedName name="HE_7510" localSheetId="25">#REF!</definedName>
    <definedName name="HE_7510" localSheetId="28">#REF!</definedName>
    <definedName name="HE_7510" localSheetId="29">#REF!</definedName>
    <definedName name="HE_7510" localSheetId="12">#REF!</definedName>
    <definedName name="HE_7510" localSheetId="43">#REF!</definedName>
    <definedName name="HE_7510" localSheetId="42">#REF!</definedName>
    <definedName name="HE_7510" localSheetId="27">#REF!</definedName>
    <definedName name="HE_7510" localSheetId="45">#REF!</definedName>
    <definedName name="HE_7510">#REF!</definedName>
    <definedName name="HE_9004" localSheetId="30">#REF!</definedName>
    <definedName name="HE_9004" localSheetId="25">#REF!</definedName>
    <definedName name="HE_9004" localSheetId="28">#REF!</definedName>
    <definedName name="HE_9004" localSheetId="29">#REF!</definedName>
    <definedName name="HE_9004" localSheetId="12">#REF!</definedName>
    <definedName name="HE_9004" localSheetId="43">#REF!</definedName>
    <definedName name="HE_9004" localSheetId="42">#REF!</definedName>
    <definedName name="HE_9004" localSheetId="27">#REF!</definedName>
    <definedName name="HE_9004" localSheetId="45">#REF!</definedName>
    <definedName name="HE_9004">#REF!</definedName>
    <definedName name="HE_9006" localSheetId="30">#REF!</definedName>
    <definedName name="HE_9006" localSheetId="25">#REF!</definedName>
    <definedName name="HE_9006" localSheetId="28">#REF!</definedName>
    <definedName name="HE_9006" localSheetId="29">#REF!</definedName>
    <definedName name="HE_9006" localSheetId="12">#REF!</definedName>
    <definedName name="HE_9006" localSheetId="43">#REF!</definedName>
    <definedName name="HE_9006" localSheetId="42">#REF!</definedName>
    <definedName name="HE_9006" localSheetId="27">#REF!</definedName>
    <definedName name="HE_9006" localSheetId="45">#REF!</definedName>
    <definedName name="HE_9006">#REF!</definedName>
    <definedName name="HE_9010" localSheetId="30">#REF!</definedName>
    <definedName name="HE_9010" localSheetId="25">#REF!</definedName>
    <definedName name="HE_9010" localSheetId="28">#REF!</definedName>
    <definedName name="HE_9010" localSheetId="29">#REF!</definedName>
    <definedName name="HE_9010" localSheetId="12">#REF!</definedName>
    <definedName name="HE_9010" localSheetId="43">#REF!</definedName>
    <definedName name="HE_9010" localSheetId="42">#REF!</definedName>
    <definedName name="HE_9010" localSheetId="27">#REF!</definedName>
    <definedName name="HE_9010" localSheetId="45">#REF!</definedName>
    <definedName name="HE_9010">#REF!</definedName>
    <definedName name="HEC_125" localSheetId="30">#REF!</definedName>
    <definedName name="HEC_125" localSheetId="25">#REF!</definedName>
    <definedName name="HEC_125" localSheetId="28">#REF!</definedName>
    <definedName name="HEC_125" localSheetId="29">#REF!</definedName>
    <definedName name="HEC_125" localSheetId="12">#REF!</definedName>
    <definedName name="HEC_125" localSheetId="43">#REF!</definedName>
    <definedName name="HEC_125" localSheetId="42">#REF!</definedName>
    <definedName name="HEC_125" localSheetId="27">#REF!</definedName>
    <definedName name="HEC_125" localSheetId="45">#REF!</definedName>
    <definedName name="HEC_125">#REF!</definedName>
    <definedName name="HEC_200" localSheetId="30">#REF!</definedName>
    <definedName name="HEC_200" localSheetId="25">#REF!</definedName>
    <definedName name="HEC_200" localSheetId="28">#REF!</definedName>
    <definedName name="HEC_200" localSheetId="29">#REF!</definedName>
    <definedName name="HEC_200" localSheetId="12">#REF!</definedName>
    <definedName name="HEC_200" localSheetId="43">#REF!</definedName>
    <definedName name="HEC_200" localSheetId="42">#REF!</definedName>
    <definedName name="HEC_200" localSheetId="27">#REF!</definedName>
    <definedName name="HEC_200" localSheetId="45">#REF!</definedName>
    <definedName name="HEC_200">#REF!</definedName>
    <definedName name="HEC_5" localSheetId="30">#REF!</definedName>
    <definedName name="HEC_5" localSheetId="25">#REF!</definedName>
    <definedName name="HEC_5" localSheetId="28">#REF!</definedName>
    <definedName name="HEC_5" localSheetId="29">#REF!</definedName>
    <definedName name="HEC_5" localSheetId="12">#REF!</definedName>
    <definedName name="HEC_5" localSheetId="43">#REF!</definedName>
    <definedName name="HEC_5" localSheetId="42">#REF!</definedName>
    <definedName name="HEC_5" localSheetId="27">#REF!</definedName>
    <definedName name="HEC_5" localSheetId="45">#REF!</definedName>
    <definedName name="HEC_5">#REF!</definedName>
    <definedName name="HEC_6" localSheetId="30">#REF!</definedName>
    <definedName name="HEC_6" localSheetId="25">#REF!</definedName>
    <definedName name="HEC_6" localSheetId="28">#REF!</definedName>
    <definedName name="HEC_6" localSheetId="29">#REF!</definedName>
    <definedName name="HEC_6" localSheetId="12">#REF!</definedName>
    <definedName name="HEC_6" localSheetId="43">#REF!</definedName>
    <definedName name="HEC_6" localSheetId="42">#REF!</definedName>
    <definedName name="HEC_6" localSheetId="27">#REF!</definedName>
    <definedName name="HEC_6" localSheetId="45">#REF!</definedName>
    <definedName name="HEC_6">#REF!</definedName>
    <definedName name="HEC_7" localSheetId="30">#REF!</definedName>
    <definedName name="HEC_7" localSheetId="25">#REF!</definedName>
    <definedName name="HEC_7" localSheetId="28">#REF!</definedName>
    <definedName name="HEC_7" localSheetId="29">#REF!</definedName>
    <definedName name="HEC_7" localSheetId="12">#REF!</definedName>
    <definedName name="HEC_7" localSheetId="43">#REF!</definedName>
    <definedName name="HEC_7" localSheetId="42">#REF!</definedName>
    <definedName name="HEC_7" localSheetId="27">#REF!</definedName>
    <definedName name="HEC_7" localSheetId="45">#REF!</definedName>
    <definedName name="HEC_7">#REF!</definedName>
    <definedName name="HEC_8" localSheetId="30">#REF!</definedName>
    <definedName name="HEC_8" localSheetId="25">#REF!</definedName>
    <definedName name="HEC_8" localSheetId="28">#REF!</definedName>
    <definedName name="HEC_8" localSheetId="29">#REF!</definedName>
    <definedName name="HEC_8" localSheetId="12">#REF!</definedName>
    <definedName name="HEC_8" localSheetId="43">#REF!</definedName>
    <definedName name="HEC_8" localSheetId="42">#REF!</definedName>
    <definedName name="HEC_8" localSheetId="27">#REF!</definedName>
    <definedName name="HEC_8" localSheetId="45">#REF!</definedName>
    <definedName name="HEC_8">#REF!</definedName>
    <definedName name="HEC_9" localSheetId="30">#REF!</definedName>
    <definedName name="HEC_9" localSheetId="25">#REF!</definedName>
    <definedName name="HEC_9" localSheetId="28">#REF!</definedName>
    <definedName name="HEC_9" localSheetId="29">#REF!</definedName>
    <definedName name="HEC_9" localSheetId="12">#REF!</definedName>
    <definedName name="HEC_9" localSheetId="43">#REF!</definedName>
    <definedName name="HEC_9" localSheetId="42">#REF!</definedName>
    <definedName name="HEC_9" localSheetId="27">#REF!</definedName>
    <definedName name="HEC_9" localSheetId="45">#REF!</definedName>
    <definedName name="HEC_9">#REF!</definedName>
    <definedName name="Helper">'[22]District Rates'!$E$7</definedName>
    <definedName name="HET_11004" localSheetId="30">#REF!</definedName>
    <definedName name="HET_11004" localSheetId="25">#REF!</definedName>
    <definedName name="HET_11004" localSheetId="28">#REF!</definedName>
    <definedName name="HET_11004" localSheetId="29">#REF!</definedName>
    <definedName name="HET_11004" localSheetId="12">#REF!</definedName>
    <definedName name="HET_11004" localSheetId="43">#REF!</definedName>
    <definedName name="HET_11004" localSheetId="42">#REF!</definedName>
    <definedName name="HET_11004" localSheetId="27">#REF!</definedName>
    <definedName name="HET_11004" localSheetId="45">#REF!</definedName>
    <definedName name="HET_11004">#REF!</definedName>
    <definedName name="HET_11006" localSheetId="30">#REF!</definedName>
    <definedName name="HET_11006" localSheetId="25">#REF!</definedName>
    <definedName name="HET_11006" localSheetId="28">#REF!</definedName>
    <definedName name="HET_11006" localSheetId="29">#REF!</definedName>
    <definedName name="HET_11006" localSheetId="12">#REF!</definedName>
    <definedName name="HET_11006" localSheetId="43">#REF!</definedName>
    <definedName name="HET_11006" localSheetId="42">#REF!</definedName>
    <definedName name="HET_11006" localSheetId="27">#REF!</definedName>
    <definedName name="HET_11006" localSheetId="45">#REF!</definedName>
    <definedName name="HET_11006">#REF!</definedName>
    <definedName name="HET_11010" localSheetId="30">#REF!</definedName>
    <definedName name="HET_11010" localSheetId="25">#REF!</definedName>
    <definedName name="HET_11010" localSheetId="28">#REF!</definedName>
    <definedName name="HET_11010" localSheetId="29">#REF!</definedName>
    <definedName name="HET_11010" localSheetId="12">#REF!</definedName>
    <definedName name="HET_11010" localSheetId="43">#REF!</definedName>
    <definedName name="HET_11010" localSheetId="42">#REF!</definedName>
    <definedName name="HET_11010" localSheetId="27">#REF!</definedName>
    <definedName name="HET_11010" localSheetId="45">#REF!</definedName>
    <definedName name="HET_11010">#REF!</definedName>
    <definedName name="HET_125" localSheetId="30">#REF!</definedName>
    <definedName name="HET_125" localSheetId="25">#REF!</definedName>
    <definedName name="HET_125" localSheetId="28">#REF!</definedName>
    <definedName name="HET_125" localSheetId="29">#REF!</definedName>
    <definedName name="HET_125" localSheetId="12">#REF!</definedName>
    <definedName name="HET_125" localSheetId="43">#REF!</definedName>
    <definedName name="HET_125" localSheetId="42">#REF!</definedName>
    <definedName name="HET_125" localSheetId="27">#REF!</definedName>
    <definedName name="HET_125" localSheetId="45">#REF!</definedName>
    <definedName name="HET_125">#REF!</definedName>
    <definedName name="HET_12504" localSheetId="30">#REF!</definedName>
    <definedName name="HET_12504" localSheetId="25">#REF!</definedName>
    <definedName name="HET_12504" localSheetId="28">#REF!</definedName>
    <definedName name="HET_12504" localSheetId="29">#REF!</definedName>
    <definedName name="HET_12504" localSheetId="12">#REF!</definedName>
    <definedName name="HET_12504" localSheetId="43">#REF!</definedName>
    <definedName name="HET_12504" localSheetId="42">#REF!</definedName>
    <definedName name="HET_12504" localSheetId="27">#REF!</definedName>
    <definedName name="HET_12504" localSheetId="45">#REF!</definedName>
    <definedName name="HET_12504">#REF!</definedName>
    <definedName name="HET_12506" localSheetId="30">#REF!</definedName>
    <definedName name="HET_12506" localSheetId="25">#REF!</definedName>
    <definedName name="HET_12506" localSheetId="28">#REF!</definedName>
    <definedName name="HET_12506" localSheetId="29">#REF!</definedName>
    <definedName name="HET_12506" localSheetId="12">#REF!</definedName>
    <definedName name="HET_12506" localSheetId="43">#REF!</definedName>
    <definedName name="HET_12506" localSheetId="42">#REF!</definedName>
    <definedName name="HET_12506" localSheetId="27">#REF!</definedName>
    <definedName name="HET_12506" localSheetId="45">#REF!</definedName>
    <definedName name="HET_12506">#REF!</definedName>
    <definedName name="HET_12510" localSheetId="30">#REF!</definedName>
    <definedName name="HET_12510" localSheetId="25">#REF!</definedName>
    <definedName name="HET_12510" localSheetId="28">#REF!</definedName>
    <definedName name="HET_12510" localSheetId="29">#REF!</definedName>
    <definedName name="HET_12510" localSheetId="12">#REF!</definedName>
    <definedName name="HET_12510" localSheetId="43">#REF!</definedName>
    <definedName name="HET_12510" localSheetId="42">#REF!</definedName>
    <definedName name="HET_12510" localSheetId="27">#REF!</definedName>
    <definedName name="HET_12510" localSheetId="45">#REF!</definedName>
    <definedName name="HET_12510">#REF!</definedName>
    <definedName name="HET_14004" localSheetId="30">#REF!</definedName>
    <definedName name="HET_14004" localSheetId="25">#REF!</definedName>
    <definedName name="HET_14004" localSheetId="28">#REF!</definedName>
    <definedName name="HET_14004" localSheetId="29">#REF!</definedName>
    <definedName name="HET_14004" localSheetId="12">#REF!</definedName>
    <definedName name="HET_14004" localSheetId="43">#REF!</definedName>
    <definedName name="HET_14004" localSheetId="42">#REF!</definedName>
    <definedName name="HET_14004" localSheetId="27">#REF!</definedName>
    <definedName name="HET_14004" localSheetId="45">#REF!</definedName>
    <definedName name="HET_14004">#REF!</definedName>
    <definedName name="HET_14006" localSheetId="30">#REF!</definedName>
    <definedName name="HET_14006" localSheetId="25">#REF!</definedName>
    <definedName name="HET_14006" localSheetId="28">#REF!</definedName>
    <definedName name="HET_14006" localSheetId="29">#REF!</definedName>
    <definedName name="HET_14006" localSheetId="12">#REF!</definedName>
    <definedName name="HET_14006" localSheetId="43">#REF!</definedName>
    <definedName name="HET_14006" localSheetId="42">#REF!</definedName>
    <definedName name="HET_14006" localSheetId="27">#REF!</definedName>
    <definedName name="HET_14006" localSheetId="45">#REF!</definedName>
    <definedName name="HET_14006">#REF!</definedName>
    <definedName name="HET_14010" localSheetId="30">#REF!</definedName>
    <definedName name="HET_14010" localSheetId="25">#REF!</definedName>
    <definedName name="HET_14010" localSheetId="28">#REF!</definedName>
    <definedName name="HET_14010" localSheetId="29">#REF!</definedName>
    <definedName name="HET_14010" localSheetId="12">#REF!</definedName>
    <definedName name="HET_14010" localSheetId="43">#REF!</definedName>
    <definedName name="HET_14010" localSheetId="42">#REF!</definedName>
    <definedName name="HET_14010" localSheetId="27">#REF!</definedName>
    <definedName name="HET_14010" localSheetId="45">#REF!</definedName>
    <definedName name="HET_14010">#REF!</definedName>
    <definedName name="HET_16004" localSheetId="30">#REF!</definedName>
    <definedName name="HET_16004" localSheetId="25">#REF!</definedName>
    <definedName name="HET_16004" localSheetId="28">#REF!</definedName>
    <definedName name="HET_16004" localSheetId="29">#REF!</definedName>
    <definedName name="HET_16004" localSheetId="12">#REF!</definedName>
    <definedName name="HET_16004" localSheetId="43">#REF!</definedName>
    <definedName name="HET_16004" localSheetId="42">#REF!</definedName>
    <definedName name="HET_16004" localSheetId="27">#REF!</definedName>
    <definedName name="HET_16004" localSheetId="45">#REF!</definedName>
    <definedName name="HET_16004">#REF!</definedName>
    <definedName name="HET_16006" localSheetId="30">#REF!</definedName>
    <definedName name="HET_16006" localSheetId="25">#REF!</definedName>
    <definedName name="HET_16006" localSheetId="28">#REF!</definedName>
    <definedName name="HET_16006" localSheetId="29">#REF!</definedName>
    <definedName name="HET_16006" localSheetId="12">#REF!</definedName>
    <definedName name="HET_16006" localSheetId="43">#REF!</definedName>
    <definedName name="HET_16006" localSheetId="42">#REF!</definedName>
    <definedName name="HET_16006" localSheetId="27">#REF!</definedName>
    <definedName name="HET_16006" localSheetId="45">#REF!</definedName>
    <definedName name="HET_16006">#REF!</definedName>
    <definedName name="HET_16010" localSheetId="30">#REF!</definedName>
    <definedName name="HET_16010" localSheetId="25">#REF!</definedName>
    <definedName name="HET_16010" localSheetId="28">#REF!</definedName>
    <definedName name="HET_16010" localSheetId="29">#REF!</definedName>
    <definedName name="HET_16010" localSheetId="12">#REF!</definedName>
    <definedName name="HET_16010" localSheetId="43">#REF!</definedName>
    <definedName name="HET_16010" localSheetId="42">#REF!</definedName>
    <definedName name="HET_16010" localSheetId="27">#REF!</definedName>
    <definedName name="HET_16010" localSheetId="45">#REF!</definedName>
    <definedName name="HET_16010">#REF!</definedName>
    <definedName name="HET_1610" localSheetId="30">#REF!</definedName>
    <definedName name="HET_1610" localSheetId="25">#REF!</definedName>
    <definedName name="HET_1610" localSheetId="28">#REF!</definedName>
    <definedName name="HET_1610" localSheetId="29">#REF!</definedName>
    <definedName name="HET_1610" localSheetId="12">#REF!</definedName>
    <definedName name="HET_1610" localSheetId="43">#REF!</definedName>
    <definedName name="HET_1610" localSheetId="42">#REF!</definedName>
    <definedName name="HET_1610" localSheetId="27">#REF!</definedName>
    <definedName name="HET_1610" localSheetId="45">#REF!</definedName>
    <definedName name="HET_1610">#REF!</definedName>
    <definedName name="HET_18004" localSheetId="30">#REF!</definedName>
    <definedName name="HET_18004" localSheetId="25">#REF!</definedName>
    <definedName name="HET_18004" localSheetId="28">#REF!</definedName>
    <definedName name="HET_18004" localSheetId="29">#REF!</definedName>
    <definedName name="HET_18004" localSheetId="12">#REF!</definedName>
    <definedName name="HET_18004" localSheetId="43">#REF!</definedName>
    <definedName name="HET_18004" localSheetId="42">#REF!</definedName>
    <definedName name="HET_18004" localSheetId="27">#REF!</definedName>
    <definedName name="HET_18004" localSheetId="45">#REF!</definedName>
    <definedName name="HET_18004">#REF!</definedName>
    <definedName name="HET_18006" localSheetId="30">#REF!</definedName>
    <definedName name="HET_18006" localSheetId="25">#REF!</definedName>
    <definedName name="HET_18006" localSheetId="28">#REF!</definedName>
    <definedName name="HET_18006" localSheetId="29">#REF!</definedName>
    <definedName name="HET_18006" localSheetId="12">#REF!</definedName>
    <definedName name="HET_18006" localSheetId="43">#REF!</definedName>
    <definedName name="HET_18006" localSheetId="42">#REF!</definedName>
    <definedName name="HET_18006" localSheetId="27">#REF!</definedName>
    <definedName name="HET_18006" localSheetId="45">#REF!</definedName>
    <definedName name="HET_18006">#REF!</definedName>
    <definedName name="HET_18010" localSheetId="30">#REF!</definedName>
    <definedName name="HET_18010" localSheetId="25">#REF!</definedName>
    <definedName name="HET_18010" localSheetId="28">#REF!</definedName>
    <definedName name="HET_18010" localSheetId="29">#REF!</definedName>
    <definedName name="HET_18010" localSheetId="12">#REF!</definedName>
    <definedName name="HET_18010" localSheetId="43">#REF!</definedName>
    <definedName name="HET_18010" localSheetId="42">#REF!</definedName>
    <definedName name="HET_18010" localSheetId="27">#REF!</definedName>
    <definedName name="HET_18010" localSheetId="45">#REF!</definedName>
    <definedName name="HET_18010">#REF!</definedName>
    <definedName name="HET_20004" localSheetId="30">#REF!</definedName>
    <definedName name="HET_20004" localSheetId="25">#REF!</definedName>
    <definedName name="HET_20004" localSheetId="28">#REF!</definedName>
    <definedName name="HET_20004" localSheetId="29">#REF!</definedName>
    <definedName name="HET_20004" localSheetId="12">#REF!</definedName>
    <definedName name="HET_20004" localSheetId="43">#REF!</definedName>
    <definedName name="HET_20004" localSheetId="42">#REF!</definedName>
    <definedName name="HET_20004" localSheetId="27">#REF!</definedName>
    <definedName name="HET_20004" localSheetId="45">#REF!</definedName>
    <definedName name="HET_20004">#REF!</definedName>
    <definedName name="HET_20006" localSheetId="30">#REF!</definedName>
    <definedName name="HET_20006" localSheetId="25">#REF!</definedName>
    <definedName name="HET_20006" localSheetId="28">#REF!</definedName>
    <definedName name="HET_20006" localSheetId="29">#REF!</definedName>
    <definedName name="HET_20006" localSheetId="12">#REF!</definedName>
    <definedName name="HET_20006" localSheetId="43">#REF!</definedName>
    <definedName name="HET_20006" localSheetId="42">#REF!</definedName>
    <definedName name="HET_20006" localSheetId="27">#REF!</definedName>
    <definedName name="HET_20006" localSheetId="45">#REF!</definedName>
    <definedName name="HET_20006">#REF!</definedName>
    <definedName name="HET_20010" localSheetId="30">#REF!</definedName>
    <definedName name="HET_20010" localSheetId="25">#REF!</definedName>
    <definedName name="HET_20010" localSheetId="28">#REF!</definedName>
    <definedName name="HET_20010" localSheetId="29">#REF!</definedName>
    <definedName name="HET_20010" localSheetId="12">#REF!</definedName>
    <definedName name="HET_20010" localSheetId="43">#REF!</definedName>
    <definedName name="HET_20010" localSheetId="42">#REF!</definedName>
    <definedName name="HET_20010" localSheetId="27">#REF!</definedName>
    <definedName name="HET_20010" localSheetId="45">#REF!</definedName>
    <definedName name="HET_20010">#REF!</definedName>
    <definedName name="HET_2010" localSheetId="30">#REF!</definedName>
    <definedName name="HET_2010" localSheetId="25">#REF!</definedName>
    <definedName name="HET_2010" localSheetId="28">#REF!</definedName>
    <definedName name="HET_2010" localSheetId="29">#REF!</definedName>
    <definedName name="HET_2010" localSheetId="12">#REF!</definedName>
    <definedName name="HET_2010" localSheetId="43">#REF!</definedName>
    <definedName name="HET_2010" localSheetId="42">#REF!</definedName>
    <definedName name="HET_2010" localSheetId="27">#REF!</definedName>
    <definedName name="HET_2010" localSheetId="45">#REF!</definedName>
    <definedName name="HET_2010">#REF!</definedName>
    <definedName name="HET_22504" localSheetId="30">#REF!</definedName>
    <definedName name="HET_22504" localSheetId="25">#REF!</definedName>
    <definedName name="HET_22504" localSheetId="28">#REF!</definedName>
    <definedName name="HET_22504" localSheetId="29">#REF!</definedName>
    <definedName name="HET_22504" localSheetId="12">#REF!</definedName>
    <definedName name="HET_22504" localSheetId="43">#REF!</definedName>
    <definedName name="HET_22504" localSheetId="42">#REF!</definedName>
    <definedName name="HET_22504" localSheetId="27">#REF!</definedName>
    <definedName name="HET_22504" localSheetId="45">#REF!</definedName>
    <definedName name="HET_22504">#REF!</definedName>
    <definedName name="HET_22506" localSheetId="30">#REF!</definedName>
    <definedName name="HET_22506" localSheetId="25">#REF!</definedName>
    <definedName name="HET_22506" localSheetId="28">#REF!</definedName>
    <definedName name="HET_22506" localSheetId="29">#REF!</definedName>
    <definedName name="HET_22506" localSheetId="12">#REF!</definedName>
    <definedName name="HET_22506" localSheetId="43">#REF!</definedName>
    <definedName name="HET_22506" localSheetId="42">#REF!</definedName>
    <definedName name="HET_22506" localSheetId="27">#REF!</definedName>
    <definedName name="HET_22506" localSheetId="45">#REF!</definedName>
    <definedName name="HET_22506">#REF!</definedName>
    <definedName name="HET_22510" localSheetId="30">#REF!</definedName>
    <definedName name="HET_22510" localSheetId="25">#REF!</definedName>
    <definedName name="HET_22510" localSheetId="28">#REF!</definedName>
    <definedName name="HET_22510" localSheetId="29">#REF!</definedName>
    <definedName name="HET_22510" localSheetId="12">#REF!</definedName>
    <definedName name="HET_22510" localSheetId="43">#REF!</definedName>
    <definedName name="HET_22510" localSheetId="42">#REF!</definedName>
    <definedName name="HET_22510" localSheetId="27">#REF!</definedName>
    <definedName name="HET_22510" localSheetId="45">#REF!</definedName>
    <definedName name="HET_22510">#REF!</definedName>
    <definedName name="HET_25004" localSheetId="30">#REF!</definedName>
    <definedName name="HET_25004" localSheetId="25">#REF!</definedName>
    <definedName name="HET_25004" localSheetId="28">#REF!</definedName>
    <definedName name="HET_25004" localSheetId="29">#REF!</definedName>
    <definedName name="HET_25004" localSheetId="12">#REF!</definedName>
    <definedName name="HET_25004" localSheetId="43">#REF!</definedName>
    <definedName name="HET_25004" localSheetId="42">#REF!</definedName>
    <definedName name="HET_25004" localSheetId="27">#REF!</definedName>
    <definedName name="HET_25004" localSheetId="45">#REF!</definedName>
    <definedName name="HET_25004">#REF!</definedName>
    <definedName name="HET_25006" localSheetId="30">#REF!</definedName>
    <definedName name="HET_25006" localSheetId="25">#REF!</definedName>
    <definedName name="HET_25006" localSheetId="28">#REF!</definedName>
    <definedName name="HET_25006" localSheetId="29">#REF!</definedName>
    <definedName name="HET_25006" localSheetId="12">#REF!</definedName>
    <definedName name="HET_25006" localSheetId="43">#REF!</definedName>
    <definedName name="HET_25006" localSheetId="42">#REF!</definedName>
    <definedName name="HET_25006" localSheetId="27">#REF!</definedName>
    <definedName name="HET_25006" localSheetId="45">#REF!</definedName>
    <definedName name="HET_25006">#REF!</definedName>
    <definedName name="HET_25010" localSheetId="30">#REF!</definedName>
    <definedName name="HET_25010" localSheetId="25">#REF!</definedName>
    <definedName name="HET_25010" localSheetId="28">#REF!</definedName>
    <definedName name="HET_25010" localSheetId="29">#REF!</definedName>
    <definedName name="HET_25010" localSheetId="12">#REF!</definedName>
    <definedName name="HET_25010" localSheetId="43">#REF!</definedName>
    <definedName name="HET_25010" localSheetId="42">#REF!</definedName>
    <definedName name="HET_25010" localSheetId="27">#REF!</definedName>
    <definedName name="HET_25010" localSheetId="45">#REF!</definedName>
    <definedName name="HET_25010">#REF!</definedName>
    <definedName name="HET_2510" localSheetId="30">#REF!</definedName>
    <definedName name="HET_2510" localSheetId="25">#REF!</definedName>
    <definedName name="HET_2510" localSheetId="28">#REF!</definedName>
    <definedName name="HET_2510" localSheetId="29">#REF!</definedName>
    <definedName name="HET_2510" localSheetId="12">#REF!</definedName>
    <definedName name="HET_2510" localSheetId="43">#REF!</definedName>
    <definedName name="HET_2510" localSheetId="42">#REF!</definedName>
    <definedName name="HET_2510" localSheetId="27">#REF!</definedName>
    <definedName name="HET_2510" localSheetId="45">#REF!</definedName>
    <definedName name="HET_2510">#REF!</definedName>
    <definedName name="HET_3206" localSheetId="30">#REF!</definedName>
    <definedName name="HET_3206" localSheetId="25">#REF!</definedName>
    <definedName name="HET_3206" localSheetId="28">#REF!</definedName>
    <definedName name="HET_3206" localSheetId="29">#REF!</definedName>
    <definedName name="HET_3206" localSheetId="12">#REF!</definedName>
    <definedName name="HET_3206" localSheetId="43">#REF!</definedName>
    <definedName name="HET_3206" localSheetId="42">#REF!</definedName>
    <definedName name="HET_3206" localSheetId="27">#REF!</definedName>
    <definedName name="HET_3206" localSheetId="45">#REF!</definedName>
    <definedName name="HET_3206">#REF!</definedName>
    <definedName name="HET_3210" localSheetId="30">#REF!</definedName>
    <definedName name="HET_3210" localSheetId="25">#REF!</definedName>
    <definedName name="HET_3210" localSheetId="28">#REF!</definedName>
    <definedName name="HET_3210" localSheetId="29">#REF!</definedName>
    <definedName name="HET_3210" localSheetId="12">#REF!</definedName>
    <definedName name="HET_3210" localSheetId="43">#REF!</definedName>
    <definedName name="HET_3210" localSheetId="42">#REF!</definedName>
    <definedName name="HET_3210" localSheetId="27">#REF!</definedName>
    <definedName name="HET_3210" localSheetId="45">#REF!</definedName>
    <definedName name="HET_3210">#REF!</definedName>
    <definedName name="HET_4004" localSheetId="30">#REF!</definedName>
    <definedName name="HET_4004" localSheetId="25">#REF!</definedName>
    <definedName name="HET_4004" localSheetId="28">#REF!</definedName>
    <definedName name="HET_4004" localSheetId="29">#REF!</definedName>
    <definedName name="HET_4004" localSheetId="12">#REF!</definedName>
    <definedName name="HET_4004" localSheetId="43">#REF!</definedName>
    <definedName name="HET_4004" localSheetId="42">#REF!</definedName>
    <definedName name="HET_4004" localSheetId="27">#REF!</definedName>
    <definedName name="HET_4004" localSheetId="45">#REF!</definedName>
    <definedName name="HET_4004">#REF!</definedName>
    <definedName name="HET_4006" localSheetId="30">#REF!</definedName>
    <definedName name="HET_4006" localSheetId="25">#REF!</definedName>
    <definedName name="HET_4006" localSheetId="28">#REF!</definedName>
    <definedName name="HET_4006" localSheetId="29">#REF!</definedName>
    <definedName name="HET_4006" localSheetId="12">#REF!</definedName>
    <definedName name="HET_4006" localSheetId="43">#REF!</definedName>
    <definedName name="HET_4006" localSheetId="42">#REF!</definedName>
    <definedName name="HET_4006" localSheetId="27">#REF!</definedName>
    <definedName name="HET_4006" localSheetId="45">#REF!</definedName>
    <definedName name="HET_4006">#REF!</definedName>
    <definedName name="HET_4010" localSheetId="30">#REF!</definedName>
    <definedName name="HET_4010" localSheetId="25">#REF!</definedName>
    <definedName name="HET_4010" localSheetId="28">#REF!</definedName>
    <definedName name="HET_4010" localSheetId="29">#REF!</definedName>
    <definedName name="HET_4010" localSheetId="12">#REF!</definedName>
    <definedName name="HET_4010" localSheetId="43">#REF!</definedName>
    <definedName name="HET_4010" localSheetId="42">#REF!</definedName>
    <definedName name="HET_4010" localSheetId="27">#REF!</definedName>
    <definedName name="HET_4010" localSheetId="45">#REF!</definedName>
    <definedName name="HET_4010">#REF!</definedName>
    <definedName name="HET_5004" localSheetId="30">#REF!</definedName>
    <definedName name="HET_5004" localSheetId="25">#REF!</definedName>
    <definedName name="HET_5004" localSheetId="28">#REF!</definedName>
    <definedName name="HET_5004" localSheetId="29">#REF!</definedName>
    <definedName name="HET_5004" localSheetId="12">#REF!</definedName>
    <definedName name="HET_5004" localSheetId="43">#REF!</definedName>
    <definedName name="HET_5004" localSheetId="42">#REF!</definedName>
    <definedName name="HET_5004" localSheetId="27">#REF!</definedName>
    <definedName name="HET_5004" localSheetId="45">#REF!</definedName>
    <definedName name="HET_5004">#REF!</definedName>
    <definedName name="HET_5006" localSheetId="30">#REF!</definedName>
    <definedName name="HET_5006" localSheetId="25">#REF!</definedName>
    <definedName name="HET_5006" localSheetId="28">#REF!</definedName>
    <definedName name="HET_5006" localSheetId="29">#REF!</definedName>
    <definedName name="HET_5006" localSheetId="12">#REF!</definedName>
    <definedName name="HET_5006" localSheetId="43">#REF!</definedName>
    <definedName name="HET_5006" localSheetId="42">#REF!</definedName>
    <definedName name="HET_5006" localSheetId="27">#REF!</definedName>
    <definedName name="HET_5006" localSheetId="45">#REF!</definedName>
    <definedName name="HET_5006">#REF!</definedName>
    <definedName name="HET_5010" localSheetId="30">#REF!</definedName>
    <definedName name="HET_5010" localSheetId="25">#REF!</definedName>
    <definedName name="HET_5010" localSheetId="28">#REF!</definedName>
    <definedName name="HET_5010" localSheetId="29">#REF!</definedName>
    <definedName name="HET_5010" localSheetId="12">#REF!</definedName>
    <definedName name="HET_5010" localSheetId="43">#REF!</definedName>
    <definedName name="HET_5010" localSheetId="42">#REF!</definedName>
    <definedName name="HET_5010" localSheetId="27">#REF!</definedName>
    <definedName name="HET_5010" localSheetId="45">#REF!</definedName>
    <definedName name="HET_5010">#REF!</definedName>
    <definedName name="HET_6304" localSheetId="30">#REF!</definedName>
    <definedName name="HET_6304" localSheetId="25">#REF!</definedName>
    <definedName name="HET_6304" localSheetId="28">#REF!</definedName>
    <definedName name="HET_6304" localSheetId="29">#REF!</definedName>
    <definedName name="HET_6304" localSheetId="12">#REF!</definedName>
    <definedName name="HET_6304" localSheetId="43">#REF!</definedName>
    <definedName name="HET_6304" localSheetId="42">#REF!</definedName>
    <definedName name="HET_6304" localSheetId="27">#REF!</definedName>
    <definedName name="HET_6304" localSheetId="45">#REF!</definedName>
    <definedName name="HET_6304">#REF!</definedName>
    <definedName name="HET_6306" localSheetId="30">#REF!</definedName>
    <definedName name="HET_6306" localSheetId="25">#REF!</definedName>
    <definedName name="HET_6306" localSheetId="28">#REF!</definedName>
    <definedName name="HET_6306" localSheetId="29">#REF!</definedName>
    <definedName name="HET_6306" localSheetId="12">#REF!</definedName>
    <definedName name="HET_6306" localSheetId="43">#REF!</definedName>
    <definedName name="HET_6306" localSheetId="42">#REF!</definedName>
    <definedName name="HET_6306" localSheetId="27">#REF!</definedName>
    <definedName name="HET_6306" localSheetId="45">#REF!</definedName>
    <definedName name="HET_6306">#REF!</definedName>
    <definedName name="HET_6310" localSheetId="30">#REF!</definedName>
    <definedName name="HET_6310" localSheetId="25">#REF!</definedName>
    <definedName name="HET_6310" localSheetId="28">#REF!</definedName>
    <definedName name="HET_6310" localSheetId="29">#REF!</definedName>
    <definedName name="HET_6310" localSheetId="12">#REF!</definedName>
    <definedName name="HET_6310" localSheetId="43">#REF!</definedName>
    <definedName name="HET_6310" localSheetId="42">#REF!</definedName>
    <definedName name="HET_6310" localSheetId="27">#REF!</definedName>
    <definedName name="HET_6310" localSheetId="45">#REF!</definedName>
    <definedName name="HET_6310">#REF!</definedName>
    <definedName name="HET_7504" localSheetId="30">#REF!</definedName>
    <definedName name="HET_7504" localSheetId="25">#REF!</definedName>
    <definedName name="HET_7504" localSheetId="28">#REF!</definedName>
    <definedName name="HET_7504" localSheetId="29">#REF!</definedName>
    <definedName name="HET_7504" localSheetId="12">#REF!</definedName>
    <definedName name="HET_7504" localSheetId="43">#REF!</definedName>
    <definedName name="HET_7504" localSheetId="42">#REF!</definedName>
    <definedName name="HET_7504" localSheetId="27">#REF!</definedName>
    <definedName name="HET_7504" localSheetId="45">#REF!</definedName>
    <definedName name="HET_7504">#REF!</definedName>
    <definedName name="HET_7506" localSheetId="30">#REF!</definedName>
    <definedName name="HET_7506" localSheetId="25">#REF!</definedName>
    <definedName name="HET_7506" localSheetId="28">#REF!</definedName>
    <definedName name="HET_7506" localSheetId="29">#REF!</definedName>
    <definedName name="HET_7506" localSheetId="12">#REF!</definedName>
    <definedName name="HET_7506" localSheetId="43">#REF!</definedName>
    <definedName name="HET_7506" localSheetId="42">#REF!</definedName>
    <definedName name="HET_7506" localSheetId="27">#REF!</definedName>
    <definedName name="HET_7506" localSheetId="45">#REF!</definedName>
    <definedName name="HET_7506">#REF!</definedName>
    <definedName name="HET_7510" localSheetId="30">#REF!</definedName>
    <definedName name="HET_7510" localSheetId="25">#REF!</definedName>
    <definedName name="HET_7510" localSheetId="28">#REF!</definedName>
    <definedName name="HET_7510" localSheetId="29">#REF!</definedName>
    <definedName name="HET_7510" localSheetId="12">#REF!</definedName>
    <definedName name="HET_7510" localSheetId="43">#REF!</definedName>
    <definedName name="HET_7510" localSheetId="42">#REF!</definedName>
    <definedName name="HET_7510" localSheetId="27">#REF!</definedName>
    <definedName name="HET_7510" localSheetId="45">#REF!</definedName>
    <definedName name="HET_7510">#REF!</definedName>
    <definedName name="HET_9004" localSheetId="30">#REF!</definedName>
    <definedName name="HET_9004" localSheetId="25">#REF!</definedName>
    <definedName name="HET_9004" localSheetId="28">#REF!</definedName>
    <definedName name="HET_9004" localSheetId="29">#REF!</definedName>
    <definedName name="HET_9004" localSheetId="12">#REF!</definedName>
    <definedName name="HET_9004" localSheetId="43">#REF!</definedName>
    <definedName name="HET_9004" localSheetId="42">#REF!</definedName>
    <definedName name="HET_9004" localSheetId="27">#REF!</definedName>
    <definedName name="HET_9004" localSheetId="45">#REF!</definedName>
    <definedName name="HET_9004">#REF!</definedName>
    <definedName name="HET_9006" localSheetId="30">#REF!</definedName>
    <definedName name="HET_9006" localSheetId="25">#REF!</definedName>
    <definedName name="HET_9006" localSheetId="28">#REF!</definedName>
    <definedName name="HET_9006" localSheetId="29">#REF!</definedName>
    <definedName name="HET_9006" localSheetId="12">#REF!</definedName>
    <definedName name="HET_9006" localSheetId="43">#REF!</definedName>
    <definedName name="HET_9006" localSheetId="42">#REF!</definedName>
    <definedName name="HET_9006" localSheetId="27">#REF!</definedName>
    <definedName name="HET_9006" localSheetId="45">#REF!</definedName>
    <definedName name="HET_9006">#REF!</definedName>
    <definedName name="HET_9010" localSheetId="30">#REF!</definedName>
    <definedName name="HET_9010" localSheetId="25">#REF!</definedName>
    <definedName name="HET_9010" localSheetId="28">#REF!</definedName>
    <definedName name="HET_9010" localSheetId="29">#REF!</definedName>
    <definedName name="HET_9010" localSheetId="12">#REF!</definedName>
    <definedName name="HET_9010" localSheetId="43">#REF!</definedName>
    <definedName name="HET_9010" localSheetId="42">#REF!</definedName>
    <definedName name="HET_9010" localSheetId="27">#REF!</definedName>
    <definedName name="HET_9010" localSheetId="45">#REF!</definedName>
    <definedName name="HET_9010">#REF!</definedName>
    <definedName name="HF_2010" localSheetId="30">#REF!</definedName>
    <definedName name="HF_2010" localSheetId="25">#REF!</definedName>
    <definedName name="HF_2010" localSheetId="28">#REF!</definedName>
    <definedName name="HF_2010" localSheetId="29">#REF!</definedName>
    <definedName name="HF_2010" localSheetId="12">#REF!</definedName>
    <definedName name="HF_2010" localSheetId="43">#REF!</definedName>
    <definedName name="HF_2010" localSheetId="42">#REF!</definedName>
    <definedName name="HF_2010" localSheetId="27">#REF!</definedName>
    <definedName name="HF_2010" localSheetId="45">#REF!</definedName>
    <definedName name="HF_2010">#REF!</definedName>
    <definedName name="hgfvh">[19]Rates!$D$26</definedName>
    <definedName name="hhg">[30]Ta301!$K$7</definedName>
    <definedName name="hlfast">[4]Sheet1!$D$34</definedName>
    <definedName name="HLJ_11002" localSheetId="30">#REF!</definedName>
    <definedName name="HLJ_11002" localSheetId="25">#REF!</definedName>
    <definedName name="HLJ_11002" localSheetId="28">#REF!</definedName>
    <definedName name="HLJ_11002" localSheetId="29">#REF!</definedName>
    <definedName name="HLJ_11002" localSheetId="12">#REF!</definedName>
    <definedName name="HLJ_11002" localSheetId="43">#REF!</definedName>
    <definedName name="HLJ_11002" localSheetId="42">#REF!</definedName>
    <definedName name="HLJ_11002" localSheetId="27">#REF!</definedName>
    <definedName name="HLJ_11002" localSheetId="45">#REF!</definedName>
    <definedName name="HLJ_11002">#REF!</definedName>
    <definedName name="HLJ_11004" localSheetId="30">#REF!</definedName>
    <definedName name="HLJ_11004" localSheetId="25">#REF!</definedName>
    <definedName name="HLJ_11004" localSheetId="28">#REF!</definedName>
    <definedName name="HLJ_11004" localSheetId="29">#REF!</definedName>
    <definedName name="HLJ_11004" localSheetId="12">#REF!</definedName>
    <definedName name="HLJ_11004" localSheetId="43">#REF!</definedName>
    <definedName name="HLJ_11004" localSheetId="42">#REF!</definedName>
    <definedName name="HLJ_11004" localSheetId="27">#REF!</definedName>
    <definedName name="HLJ_11004" localSheetId="45">#REF!</definedName>
    <definedName name="HLJ_11004">#REF!</definedName>
    <definedName name="HLJ_11006" localSheetId="30">#REF!</definedName>
    <definedName name="HLJ_11006" localSheetId="25">#REF!</definedName>
    <definedName name="HLJ_11006" localSheetId="28">#REF!</definedName>
    <definedName name="HLJ_11006" localSheetId="29">#REF!</definedName>
    <definedName name="HLJ_11006" localSheetId="12">#REF!</definedName>
    <definedName name="HLJ_11006" localSheetId="43">#REF!</definedName>
    <definedName name="HLJ_11006" localSheetId="42">#REF!</definedName>
    <definedName name="HLJ_11006" localSheetId="27">#REF!</definedName>
    <definedName name="HLJ_11006" localSheetId="45">#REF!</definedName>
    <definedName name="HLJ_11006">#REF!</definedName>
    <definedName name="HLJ_11010" localSheetId="30">#REF!</definedName>
    <definedName name="HLJ_11010" localSheetId="25">#REF!</definedName>
    <definedName name="HLJ_11010" localSheetId="28">#REF!</definedName>
    <definedName name="HLJ_11010" localSheetId="29">#REF!</definedName>
    <definedName name="HLJ_11010" localSheetId="12">#REF!</definedName>
    <definedName name="HLJ_11010" localSheetId="43">#REF!</definedName>
    <definedName name="HLJ_11010" localSheetId="42">#REF!</definedName>
    <definedName name="HLJ_11010" localSheetId="27">#REF!</definedName>
    <definedName name="HLJ_11010" localSheetId="45">#REF!</definedName>
    <definedName name="HLJ_11010">#REF!</definedName>
    <definedName name="HLJ_11025" localSheetId="30">#REF!</definedName>
    <definedName name="HLJ_11025" localSheetId="25">#REF!</definedName>
    <definedName name="HLJ_11025" localSheetId="28">#REF!</definedName>
    <definedName name="HLJ_11025" localSheetId="29">#REF!</definedName>
    <definedName name="HLJ_11025" localSheetId="12">#REF!</definedName>
    <definedName name="HLJ_11025" localSheetId="43">#REF!</definedName>
    <definedName name="HLJ_11025" localSheetId="42">#REF!</definedName>
    <definedName name="HLJ_11025" localSheetId="27">#REF!</definedName>
    <definedName name="HLJ_11025" localSheetId="45">#REF!</definedName>
    <definedName name="HLJ_11025">#REF!</definedName>
    <definedName name="HLJ_12502" localSheetId="30">#REF!</definedName>
    <definedName name="HLJ_12502" localSheetId="25">#REF!</definedName>
    <definedName name="HLJ_12502" localSheetId="28">#REF!</definedName>
    <definedName name="HLJ_12502" localSheetId="29">#REF!</definedName>
    <definedName name="HLJ_12502" localSheetId="12">#REF!</definedName>
    <definedName name="HLJ_12502" localSheetId="43">#REF!</definedName>
    <definedName name="HLJ_12502" localSheetId="42">#REF!</definedName>
    <definedName name="HLJ_12502" localSheetId="27">#REF!</definedName>
    <definedName name="HLJ_12502" localSheetId="45">#REF!</definedName>
    <definedName name="HLJ_12502">#REF!</definedName>
    <definedName name="HLJ_12504" localSheetId="30">#REF!</definedName>
    <definedName name="HLJ_12504" localSheetId="25">#REF!</definedName>
    <definedName name="HLJ_12504" localSheetId="28">#REF!</definedName>
    <definedName name="HLJ_12504" localSheetId="29">#REF!</definedName>
    <definedName name="HLJ_12504" localSheetId="12">#REF!</definedName>
    <definedName name="HLJ_12504" localSheetId="43">#REF!</definedName>
    <definedName name="HLJ_12504" localSheetId="42">#REF!</definedName>
    <definedName name="HLJ_12504" localSheetId="27">#REF!</definedName>
    <definedName name="HLJ_12504" localSheetId="45">#REF!</definedName>
    <definedName name="HLJ_12504">#REF!</definedName>
    <definedName name="HLJ_12506" localSheetId="30">#REF!</definedName>
    <definedName name="HLJ_12506" localSheetId="25">#REF!</definedName>
    <definedName name="HLJ_12506" localSheetId="28">#REF!</definedName>
    <definedName name="HLJ_12506" localSheetId="29">#REF!</definedName>
    <definedName name="HLJ_12506" localSheetId="12">#REF!</definedName>
    <definedName name="HLJ_12506" localSheetId="43">#REF!</definedName>
    <definedName name="HLJ_12506" localSheetId="42">#REF!</definedName>
    <definedName name="HLJ_12506" localSheetId="27">#REF!</definedName>
    <definedName name="HLJ_12506" localSheetId="45">#REF!</definedName>
    <definedName name="HLJ_12506">#REF!</definedName>
    <definedName name="HLJ_12510" localSheetId="30">#REF!</definedName>
    <definedName name="HLJ_12510" localSheetId="25">#REF!</definedName>
    <definedName name="HLJ_12510" localSheetId="28">#REF!</definedName>
    <definedName name="HLJ_12510" localSheetId="29">#REF!</definedName>
    <definedName name="HLJ_12510" localSheetId="12">#REF!</definedName>
    <definedName name="HLJ_12510" localSheetId="43">#REF!</definedName>
    <definedName name="HLJ_12510" localSheetId="42">#REF!</definedName>
    <definedName name="HLJ_12510" localSheetId="27">#REF!</definedName>
    <definedName name="HLJ_12510" localSheetId="45">#REF!</definedName>
    <definedName name="HLJ_12510">#REF!</definedName>
    <definedName name="HLJ_12525" localSheetId="30">#REF!</definedName>
    <definedName name="HLJ_12525" localSheetId="25">#REF!</definedName>
    <definedName name="HLJ_12525" localSheetId="28">#REF!</definedName>
    <definedName name="HLJ_12525" localSheetId="29">#REF!</definedName>
    <definedName name="HLJ_12525" localSheetId="12">#REF!</definedName>
    <definedName name="HLJ_12525" localSheetId="43">#REF!</definedName>
    <definedName name="HLJ_12525" localSheetId="42">#REF!</definedName>
    <definedName name="HLJ_12525" localSheetId="27">#REF!</definedName>
    <definedName name="HLJ_12525" localSheetId="45">#REF!</definedName>
    <definedName name="HLJ_12525">#REF!</definedName>
    <definedName name="HLJ_14002" localSheetId="30">#REF!</definedName>
    <definedName name="HLJ_14002" localSheetId="25">#REF!</definedName>
    <definedName name="HLJ_14002" localSheetId="28">#REF!</definedName>
    <definedName name="HLJ_14002" localSheetId="29">#REF!</definedName>
    <definedName name="HLJ_14002" localSheetId="12">#REF!</definedName>
    <definedName name="HLJ_14002" localSheetId="43">#REF!</definedName>
    <definedName name="HLJ_14002" localSheetId="42">#REF!</definedName>
    <definedName name="HLJ_14002" localSheetId="27">#REF!</definedName>
    <definedName name="HLJ_14002" localSheetId="45">#REF!</definedName>
    <definedName name="HLJ_14002">#REF!</definedName>
    <definedName name="HLJ_14004" localSheetId="30">#REF!</definedName>
    <definedName name="HLJ_14004" localSheetId="25">#REF!</definedName>
    <definedName name="HLJ_14004" localSheetId="28">#REF!</definedName>
    <definedName name="HLJ_14004" localSheetId="29">#REF!</definedName>
    <definedName name="HLJ_14004" localSheetId="12">#REF!</definedName>
    <definedName name="HLJ_14004" localSheetId="43">#REF!</definedName>
    <definedName name="HLJ_14004" localSheetId="42">#REF!</definedName>
    <definedName name="HLJ_14004" localSheetId="27">#REF!</definedName>
    <definedName name="HLJ_14004" localSheetId="45">#REF!</definedName>
    <definedName name="HLJ_14004">#REF!</definedName>
    <definedName name="HLJ_14006" localSheetId="30">#REF!</definedName>
    <definedName name="HLJ_14006" localSheetId="25">#REF!</definedName>
    <definedName name="HLJ_14006" localSheetId="28">#REF!</definedName>
    <definedName name="HLJ_14006" localSheetId="29">#REF!</definedName>
    <definedName name="HLJ_14006" localSheetId="12">#REF!</definedName>
    <definedName name="HLJ_14006" localSheetId="43">#REF!</definedName>
    <definedName name="HLJ_14006" localSheetId="42">#REF!</definedName>
    <definedName name="HLJ_14006" localSheetId="27">#REF!</definedName>
    <definedName name="HLJ_14006" localSheetId="45">#REF!</definedName>
    <definedName name="HLJ_14006">#REF!</definedName>
    <definedName name="HLJ_14010" localSheetId="30">#REF!</definedName>
    <definedName name="HLJ_14010" localSheetId="25">#REF!</definedName>
    <definedName name="HLJ_14010" localSheetId="28">#REF!</definedName>
    <definedName name="HLJ_14010" localSheetId="29">#REF!</definedName>
    <definedName name="HLJ_14010" localSheetId="12">#REF!</definedName>
    <definedName name="HLJ_14010" localSheetId="43">#REF!</definedName>
    <definedName name="HLJ_14010" localSheetId="42">#REF!</definedName>
    <definedName name="HLJ_14010" localSheetId="27">#REF!</definedName>
    <definedName name="HLJ_14010" localSheetId="45">#REF!</definedName>
    <definedName name="HLJ_14010">#REF!</definedName>
    <definedName name="HLJ_14025" localSheetId="30">#REF!</definedName>
    <definedName name="HLJ_14025" localSheetId="25">#REF!</definedName>
    <definedName name="HLJ_14025" localSheetId="28">#REF!</definedName>
    <definedName name="HLJ_14025" localSheetId="29">#REF!</definedName>
    <definedName name="HLJ_14025" localSheetId="12">#REF!</definedName>
    <definedName name="HLJ_14025" localSheetId="43">#REF!</definedName>
    <definedName name="HLJ_14025" localSheetId="42">#REF!</definedName>
    <definedName name="HLJ_14025" localSheetId="27">#REF!</definedName>
    <definedName name="HLJ_14025" localSheetId="45">#REF!</definedName>
    <definedName name="HLJ_14025">#REF!</definedName>
    <definedName name="HLJ_16002" localSheetId="30">#REF!</definedName>
    <definedName name="HLJ_16002" localSheetId="25">#REF!</definedName>
    <definedName name="HLJ_16002" localSheetId="28">#REF!</definedName>
    <definedName name="HLJ_16002" localSheetId="29">#REF!</definedName>
    <definedName name="HLJ_16002" localSheetId="12">#REF!</definedName>
    <definedName name="HLJ_16002" localSheetId="43">#REF!</definedName>
    <definedName name="HLJ_16002" localSheetId="42">#REF!</definedName>
    <definedName name="HLJ_16002" localSheetId="27">#REF!</definedName>
    <definedName name="HLJ_16002" localSheetId="45">#REF!</definedName>
    <definedName name="HLJ_16002">#REF!</definedName>
    <definedName name="HLJ_16004" localSheetId="30">#REF!</definedName>
    <definedName name="HLJ_16004" localSheetId="25">#REF!</definedName>
    <definedName name="HLJ_16004" localSheetId="28">#REF!</definedName>
    <definedName name="HLJ_16004" localSheetId="29">#REF!</definedName>
    <definedName name="HLJ_16004" localSheetId="12">#REF!</definedName>
    <definedName name="HLJ_16004" localSheetId="43">#REF!</definedName>
    <definedName name="HLJ_16004" localSheetId="42">#REF!</definedName>
    <definedName name="HLJ_16004" localSheetId="27">#REF!</definedName>
    <definedName name="HLJ_16004" localSheetId="45">#REF!</definedName>
    <definedName name="HLJ_16004">#REF!</definedName>
    <definedName name="HLJ_16006" localSheetId="30">#REF!</definedName>
    <definedName name="HLJ_16006" localSheetId="25">#REF!</definedName>
    <definedName name="HLJ_16006" localSheetId="28">#REF!</definedName>
    <definedName name="HLJ_16006" localSheetId="29">#REF!</definedName>
    <definedName name="HLJ_16006" localSheetId="12">#REF!</definedName>
    <definedName name="HLJ_16006" localSheetId="43">#REF!</definedName>
    <definedName name="HLJ_16006" localSheetId="42">#REF!</definedName>
    <definedName name="HLJ_16006" localSheetId="27">#REF!</definedName>
    <definedName name="HLJ_16006" localSheetId="45">#REF!</definedName>
    <definedName name="HLJ_16006">#REF!</definedName>
    <definedName name="HLJ_16010" localSheetId="30">#REF!</definedName>
    <definedName name="HLJ_16010" localSheetId="25">#REF!</definedName>
    <definedName name="HLJ_16010" localSheetId="28">#REF!</definedName>
    <definedName name="HLJ_16010" localSheetId="29">#REF!</definedName>
    <definedName name="HLJ_16010" localSheetId="12">#REF!</definedName>
    <definedName name="HLJ_16010" localSheetId="43">#REF!</definedName>
    <definedName name="HLJ_16010" localSheetId="42">#REF!</definedName>
    <definedName name="HLJ_16010" localSheetId="27">#REF!</definedName>
    <definedName name="HLJ_16010" localSheetId="45">#REF!</definedName>
    <definedName name="HLJ_16010">#REF!</definedName>
    <definedName name="HLJ_16025" localSheetId="30">#REF!</definedName>
    <definedName name="HLJ_16025" localSheetId="25">#REF!</definedName>
    <definedName name="HLJ_16025" localSheetId="28">#REF!</definedName>
    <definedName name="HLJ_16025" localSheetId="29">#REF!</definedName>
    <definedName name="HLJ_16025" localSheetId="12">#REF!</definedName>
    <definedName name="HLJ_16025" localSheetId="43">#REF!</definedName>
    <definedName name="HLJ_16025" localSheetId="42">#REF!</definedName>
    <definedName name="HLJ_16025" localSheetId="27">#REF!</definedName>
    <definedName name="HLJ_16025" localSheetId="45">#REF!</definedName>
    <definedName name="HLJ_16025">#REF!</definedName>
    <definedName name="HLJ_1610" localSheetId="30">#REF!</definedName>
    <definedName name="HLJ_1610" localSheetId="25">#REF!</definedName>
    <definedName name="HLJ_1610" localSheetId="28">#REF!</definedName>
    <definedName name="HLJ_1610" localSheetId="29">#REF!</definedName>
    <definedName name="HLJ_1610" localSheetId="12">#REF!</definedName>
    <definedName name="HLJ_1610" localSheetId="43">#REF!</definedName>
    <definedName name="HLJ_1610" localSheetId="42">#REF!</definedName>
    <definedName name="HLJ_1610" localSheetId="27">#REF!</definedName>
    <definedName name="HLJ_1610" localSheetId="45">#REF!</definedName>
    <definedName name="HLJ_1610">#REF!</definedName>
    <definedName name="HLJ_18002" localSheetId="30">#REF!</definedName>
    <definedName name="HLJ_18002" localSheetId="25">#REF!</definedName>
    <definedName name="HLJ_18002" localSheetId="28">#REF!</definedName>
    <definedName name="HLJ_18002" localSheetId="29">#REF!</definedName>
    <definedName name="HLJ_18002" localSheetId="12">#REF!</definedName>
    <definedName name="HLJ_18002" localSheetId="43">#REF!</definedName>
    <definedName name="HLJ_18002" localSheetId="42">#REF!</definedName>
    <definedName name="HLJ_18002" localSheetId="27">#REF!</definedName>
    <definedName name="HLJ_18002" localSheetId="45">#REF!</definedName>
    <definedName name="HLJ_18002">#REF!</definedName>
    <definedName name="HLJ_18004" localSheetId="30">#REF!</definedName>
    <definedName name="HLJ_18004" localSheetId="25">#REF!</definedName>
    <definedName name="HLJ_18004" localSheetId="28">#REF!</definedName>
    <definedName name="HLJ_18004" localSheetId="29">#REF!</definedName>
    <definedName name="HLJ_18004" localSheetId="12">#REF!</definedName>
    <definedName name="HLJ_18004" localSheetId="43">#REF!</definedName>
    <definedName name="HLJ_18004" localSheetId="42">#REF!</definedName>
    <definedName name="HLJ_18004" localSheetId="27">#REF!</definedName>
    <definedName name="HLJ_18004" localSheetId="45">#REF!</definedName>
    <definedName name="HLJ_18004">#REF!</definedName>
    <definedName name="HLJ_18006" localSheetId="30">#REF!</definedName>
    <definedName name="HLJ_18006" localSheetId="25">#REF!</definedName>
    <definedName name="HLJ_18006" localSheetId="28">#REF!</definedName>
    <definedName name="HLJ_18006" localSheetId="29">#REF!</definedName>
    <definedName name="HLJ_18006" localSheetId="12">#REF!</definedName>
    <definedName name="HLJ_18006" localSheetId="43">#REF!</definedName>
    <definedName name="HLJ_18006" localSheetId="42">#REF!</definedName>
    <definedName name="HLJ_18006" localSheetId="27">#REF!</definedName>
    <definedName name="HLJ_18006" localSheetId="45">#REF!</definedName>
    <definedName name="HLJ_18006">#REF!</definedName>
    <definedName name="HLJ_18010" localSheetId="30">#REF!</definedName>
    <definedName name="HLJ_18010" localSheetId="25">#REF!</definedName>
    <definedName name="HLJ_18010" localSheetId="28">#REF!</definedName>
    <definedName name="HLJ_18010" localSheetId="29">#REF!</definedName>
    <definedName name="HLJ_18010" localSheetId="12">#REF!</definedName>
    <definedName name="HLJ_18010" localSheetId="43">#REF!</definedName>
    <definedName name="HLJ_18010" localSheetId="42">#REF!</definedName>
    <definedName name="HLJ_18010" localSheetId="27">#REF!</definedName>
    <definedName name="HLJ_18010" localSheetId="45">#REF!</definedName>
    <definedName name="HLJ_18010">#REF!</definedName>
    <definedName name="HLJ_18025" localSheetId="30">#REF!</definedName>
    <definedName name="HLJ_18025" localSheetId="25">#REF!</definedName>
    <definedName name="HLJ_18025" localSheetId="28">#REF!</definedName>
    <definedName name="HLJ_18025" localSheetId="29">#REF!</definedName>
    <definedName name="HLJ_18025" localSheetId="12">#REF!</definedName>
    <definedName name="HLJ_18025" localSheetId="43">#REF!</definedName>
    <definedName name="HLJ_18025" localSheetId="42">#REF!</definedName>
    <definedName name="HLJ_18025" localSheetId="27">#REF!</definedName>
    <definedName name="HLJ_18025" localSheetId="45">#REF!</definedName>
    <definedName name="HLJ_18025">#REF!</definedName>
    <definedName name="HLJ_20002" localSheetId="30">#REF!</definedName>
    <definedName name="HLJ_20002" localSheetId="25">#REF!</definedName>
    <definedName name="HLJ_20002" localSheetId="28">#REF!</definedName>
    <definedName name="HLJ_20002" localSheetId="29">#REF!</definedName>
    <definedName name="HLJ_20002" localSheetId="12">#REF!</definedName>
    <definedName name="HLJ_20002" localSheetId="43">#REF!</definedName>
    <definedName name="HLJ_20002" localSheetId="42">#REF!</definedName>
    <definedName name="HLJ_20002" localSheetId="27">#REF!</definedName>
    <definedName name="HLJ_20002" localSheetId="45">#REF!</definedName>
    <definedName name="HLJ_20002">#REF!</definedName>
    <definedName name="HLJ_20004" localSheetId="30">#REF!</definedName>
    <definedName name="HLJ_20004" localSheetId="25">#REF!</definedName>
    <definedName name="HLJ_20004" localSheetId="28">#REF!</definedName>
    <definedName name="HLJ_20004" localSheetId="29">#REF!</definedName>
    <definedName name="HLJ_20004" localSheetId="12">#REF!</definedName>
    <definedName name="HLJ_20004" localSheetId="43">#REF!</definedName>
    <definedName name="HLJ_20004" localSheetId="42">#REF!</definedName>
    <definedName name="HLJ_20004" localSheetId="27">#REF!</definedName>
    <definedName name="HLJ_20004" localSheetId="45">#REF!</definedName>
    <definedName name="HLJ_20004">#REF!</definedName>
    <definedName name="HLJ_20006" localSheetId="30">#REF!</definedName>
    <definedName name="HLJ_20006" localSheetId="25">#REF!</definedName>
    <definedName name="HLJ_20006" localSheetId="28">#REF!</definedName>
    <definedName name="HLJ_20006" localSheetId="29">#REF!</definedName>
    <definedName name="HLJ_20006" localSheetId="12">#REF!</definedName>
    <definedName name="HLJ_20006" localSheetId="43">#REF!</definedName>
    <definedName name="HLJ_20006" localSheetId="42">#REF!</definedName>
    <definedName name="HLJ_20006" localSheetId="27">#REF!</definedName>
    <definedName name="HLJ_20006" localSheetId="45">#REF!</definedName>
    <definedName name="HLJ_20006">#REF!</definedName>
    <definedName name="HLJ_20010" localSheetId="30">#REF!</definedName>
    <definedName name="HLJ_20010" localSheetId="25">#REF!</definedName>
    <definedName name="HLJ_20010" localSheetId="28">#REF!</definedName>
    <definedName name="HLJ_20010" localSheetId="29">#REF!</definedName>
    <definedName name="HLJ_20010" localSheetId="12">#REF!</definedName>
    <definedName name="HLJ_20010" localSheetId="43">#REF!</definedName>
    <definedName name="HLJ_20010" localSheetId="42">#REF!</definedName>
    <definedName name="HLJ_20010" localSheetId="27">#REF!</definedName>
    <definedName name="HLJ_20010" localSheetId="45">#REF!</definedName>
    <definedName name="HLJ_20010">#REF!</definedName>
    <definedName name="HLJ_20025" localSheetId="30">#REF!</definedName>
    <definedName name="HLJ_20025" localSheetId="25">#REF!</definedName>
    <definedName name="HLJ_20025" localSheetId="28">#REF!</definedName>
    <definedName name="HLJ_20025" localSheetId="29">#REF!</definedName>
    <definedName name="HLJ_20025" localSheetId="12">#REF!</definedName>
    <definedName name="HLJ_20025" localSheetId="43">#REF!</definedName>
    <definedName name="HLJ_20025" localSheetId="42">#REF!</definedName>
    <definedName name="HLJ_20025" localSheetId="27">#REF!</definedName>
    <definedName name="HLJ_20025" localSheetId="45">#REF!</definedName>
    <definedName name="HLJ_20025">#REF!</definedName>
    <definedName name="HLJ_2010" localSheetId="30">#REF!</definedName>
    <definedName name="HLJ_2010" localSheetId="25">#REF!</definedName>
    <definedName name="HLJ_2010" localSheetId="28">#REF!</definedName>
    <definedName name="HLJ_2010" localSheetId="29">#REF!</definedName>
    <definedName name="HLJ_2010" localSheetId="12">#REF!</definedName>
    <definedName name="HLJ_2010" localSheetId="43">#REF!</definedName>
    <definedName name="HLJ_2010" localSheetId="42">#REF!</definedName>
    <definedName name="HLJ_2010" localSheetId="27">#REF!</definedName>
    <definedName name="HLJ_2010" localSheetId="45">#REF!</definedName>
    <definedName name="HLJ_2010">#REF!</definedName>
    <definedName name="HLJ_22502" localSheetId="30">#REF!</definedName>
    <definedName name="HLJ_22502" localSheetId="25">#REF!</definedName>
    <definedName name="HLJ_22502" localSheetId="28">#REF!</definedName>
    <definedName name="HLJ_22502" localSheetId="29">#REF!</definedName>
    <definedName name="HLJ_22502" localSheetId="12">#REF!</definedName>
    <definedName name="HLJ_22502" localSheetId="43">#REF!</definedName>
    <definedName name="HLJ_22502" localSheetId="42">#REF!</definedName>
    <definedName name="HLJ_22502" localSheetId="27">#REF!</definedName>
    <definedName name="HLJ_22502" localSheetId="45">#REF!</definedName>
    <definedName name="HLJ_22502">#REF!</definedName>
    <definedName name="HLJ_22504" localSheetId="30">#REF!</definedName>
    <definedName name="HLJ_22504" localSheetId="25">#REF!</definedName>
    <definedName name="HLJ_22504" localSheetId="28">#REF!</definedName>
    <definedName name="HLJ_22504" localSheetId="29">#REF!</definedName>
    <definedName name="HLJ_22504" localSheetId="12">#REF!</definedName>
    <definedName name="HLJ_22504" localSheetId="43">#REF!</definedName>
    <definedName name="HLJ_22504" localSheetId="42">#REF!</definedName>
    <definedName name="HLJ_22504" localSheetId="27">#REF!</definedName>
    <definedName name="HLJ_22504" localSheetId="45">#REF!</definedName>
    <definedName name="HLJ_22504">#REF!</definedName>
    <definedName name="HLJ_22506" localSheetId="30">#REF!</definedName>
    <definedName name="HLJ_22506" localSheetId="25">#REF!</definedName>
    <definedName name="HLJ_22506" localSheetId="28">#REF!</definedName>
    <definedName name="HLJ_22506" localSheetId="29">#REF!</definedName>
    <definedName name="HLJ_22506" localSheetId="12">#REF!</definedName>
    <definedName name="HLJ_22506" localSheetId="43">#REF!</definedName>
    <definedName name="HLJ_22506" localSheetId="42">#REF!</definedName>
    <definedName name="HLJ_22506" localSheetId="27">#REF!</definedName>
    <definedName name="HLJ_22506" localSheetId="45">#REF!</definedName>
    <definedName name="HLJ_22506">#REF!</definedName>
    <definedName name="HLJ_22510" localSheetId="30">#REF!</definedName>
    <definedName name="HLJ_22510" localSheetId="25">#REF!</definedName>
    <definedName name="HLJ_22510" localSheetId="28">#REF!</definedName>
    <definedName name="HLJ_22510" localSheetId="29">#REF!</definedName>
    <definedName name="HLJ_22510" localSheetId="12">#REF!</definedName>
    <definedName name="HLJ_22510" localSheetId="43">#REF!</definedName>
    <definedName name="HLJ_22510" localSheetId="42">#REF!</definedName>
    <definedName name="HLJ_22510" localSheetId="27">#REF!</definedName>
    <definedName name="HLJ_22510" localSheetId="45">#REF!</definedName>
    <definedName name="HLJ_22510">#REF!</definedName>
    <definedName name="HLJ_22525" localSheetId="30">#REF!</definedName>
    <definedName name="HLJ_22525" localSheetId="25">#REF!</definedName>
    <definedName name="HLJ_22525" localSheetId="28">#REF!</definedName>
    <definedName name="HLJ_22525" localSheetId="29">#REF!</definedName>
    <definedName name="HLJ_22525" localSheetId="12">#REF!</definedName>
    <definedName name="HLJ_22525" localSheetId="43">#REF!</definedName>
    <definedName name="HLJ_22525" localSheetId="42">#REF!</definedName>
    <definedName name="HLJ_22525" localSheetId="27">#REF!</definedName>
    <definedName name="HLJ_22525" localSheetId="45">#REF!</definedName>
    <definedName name="HLJ_22525">#REF!</definedName>
    <definedName name="HLJ_25002" localSheetId="30">#REF!</definedName>
    <definedName name="HLJ_25002" localSheetId="25">#REF!</definedName>
    <definedName name="HLJ_25002" localSheetId="28">#REF!</definedName>
    <definedName name="HLJ_25002" localSheetId="29">#REF!</definedName>
    <definedName name="HLJ_25002" localSheetId="12">#REF!</definedName>
    <definedName name="HLJ_25002" localSheetId="43">#REF!</definedName>
    <definedName name="HLJ_25002" localSheetId="42">#REF!</definedName>
    <definedName name="HLJ_25002" localSheetId="27">#REF!</definedName>
    <definedName name="HLJ_25002" localSheetId="45">#REF!</definedName>
    <definedName name="HLJ_25002">#REF!</definedName>
    <definedName name="HLJ_25004" localSheetId="30">#REF!</definedName>
    <definedName name="HLJ_25004" localSheetId="25">#REF!</definedName>
    <definedName name="HLJ_25004" localSheetId="28">#REF!</definedName>
    <definedName name="HLJ_25004" localSheetId="29">#REF!</definedName>
    <definedName name="HLJ_25004" localSheetId="12">#REF!</definedName>
    <definedName name="HLJ_25004" localSheetId="43">#REF!</definedName>
    <definedName name="HLJ_25004" localSheetId="42">#REF!</definedName>
    <definedName name="HLJ_25004" localSheetId="27">#REF!</definedName>
    <definedName name="HLJ_25004" localSheetId="45">#REF!</definedName>
    <definedName name="HLJ_25004">#REF!</definedName>
    <definedName name="HLJ_25006" localSheetId="30">#REF!</definedName>
    <definedName name="HLJ_25006" localSheetId="25">#REF!</definedName>
    <definedName name="HLJ_25006" localSheetId="28">#REF!</definedName>
    <definedName name="HLJ_25006" localSheetId="29">#REF!</definedName>
    <definedName name="HLJ_25006" localSheetId="12">#REF!</definedName>
    <definedName name="HLJ_25006" localSheetId="43">#REF!</definedName>
    <definedName name="HLJ_25006" localSheetId="42">#REF!</definedName>
    <definedName name="HLJ_25006" localSheetId="27">#REF!</definedName>
    <definedName name="HLJ_25006" localSheetId="45">#REF!</definedName>
    <definedName name="HLJ_25006">#REF!</definedName>
    <definedName name="HLJ_25010" localSheetId="30">#REF!</definedName>
    <definedName name="HLJ_25010" localSheetId="25">#REF!</definedName>
    <definedName name="HLJ_25010" localSheetId="28">#REF!</definedName>
    <definedName name="HLJ_25010" localSheetId="29">#REF!</definedName>
    <definedName name="HLJ_25010" localSheetId="12">#REF!</definedName>
    <definedName name="HLJ_25010" localSheetId="43">#REF!</definedName>
    <definedName name="HLJ_25010" localSheetId="42">#REF!</definedName>
    <definedName name="HLJ_25010" localSheetId="27">#REF!</definedName>
    <definedName name="HLJ_25010" localSheetId="45">#REF!</definedName>
    <definedName name="HLJ_25010">#REF!</definedName>
    <definedName name="HLJ_25025" localSheetId="30">#REF!</definedName>
    <definedName name="HLJ_25025" localSheetId="25">#REF!</definedName>
    <definedName name="HLJ_25025" localSheetId="28">#REF!</definedName>
    <definedName name="HLJ_25025" localSheetId="29">#REF!</definedName>
    <definedName name="HLJ_25025" localSheetId="12">#REF!</definedName>
    <definedName name="HLJ_25025" localSheetId="43">#REF!</definedName>
    <definedName name="HLJ_25025" localSheetId="42">#REF!</definedName>
    <definedName name="HLJ_25025" localSheetId="27">#REF!</definedName>
    <definedName name="HLJ_25025" localSheetId="45">#REF!</definedName>
    <definedName name="HLJ_25025">#REF!</definedName>
    <definedName name="HLJ_2510" localSheetId="30">#REF!</definedName>
    <definedName name="HLJ_2510" localSheetId="25">#REF!</definedName>
    <definedName name="HLJ_2510" localSheetId="28">#REF!</definedName>
    <definedName name="HLJ_2510" localSheetId="29">#REF!</definedName>
    <definedName name="HLJ_2510" localSheetId="12">#REF!</definedName>
    <definedName name="HLJ_2510" localSheetId="43">#REF!</definedName>
    <definedName name="HLJ_2510" localSheetId="42">#REF!</definedName>
    <definedName name="HLJ_2510" localSheetId="27">#REF!</definedName>
    <definedName name="HLJ_2510" localSheetId="45">#REF!</definedName>
    <definedName name="HLJ_2510">#REF!</definedName>
    <definedName name="HLJ_28002" localSheetId="30">#REF!</definedName>
    <definedName name="HLJ_28002" localSheetId="25">#REF!</definedName>
    <definedName name="HLJ_28002" localSheetId="28">#REF!</definedName>
    <definedName name="HLJ_28002" localSheetId="29">#REF!</definedName>
    <definedName name="HLJ_28002" localSheetId="12">#REF!</definedName>
    <definedName name="HLJ_28002" localSheetId="43">#REF!</definedName>
    <definedName name="HLJ_28002" localSheetId="42">#REF!</definedName>
    <definedName name="HLJ_28002" localSheetId="27">#REF!</definedName>
    <definedName name="HLJ_28002" localSheetId="45">#REF!</definedName>
    <definedName name="HLJ_28002">#REF!</definedName>
    <definedName name="HLJ_28004" localSheetId="30">#REF!</definedName>
    <definedName name="HLJ_28004" localSheetId="25">#REF!</definedName>
    <definedName name="HLJ_28004" localSheetId="28">#REF!</definedName>
    <definedName name="HLJ_28004" localSheetId="29">#REF!</definedName>
    <definedName name="HLJ_28004" localSheetId="12">#REF!</definedName>
    <definedName name="HLJ_28004" localSheetId="43">#REF!</definedName>
    <definedName name="HLJ_28004" localSheetId="42">#REF!</definedName>
    <definedName name="HLJ_28004" localSheetId="27">#REF!</definedName>
    <definedName name="HLJ_28004" localSheetId="45">#REF!</definedName>
    <definedName name="HLJ_28004">#REF!</definedName>
    <definedName name="HLJ_28006" localSheetId="30">#REF!</definedName>
    <definedName name="HLJ_28006" localSheetId="25">#REF!</definedName>
    <definedName name="HLJ_28006" localSheetId="28">#REF!</definedName>
    <definedName name="HLJ_28006" localSheetId="29">#REF!</definedName>
    <definedName name="HLJ_28006" localSheetId="12">#REF!</definedName>
    <definedName name="HLJ_28006" localSheetId="43">#REF!</definedName>
    <definedName name="HLJ_28006" localSheetId="42">#REF!</definedName>
    <definedName name="HLJ_28006" localSheetId="27">#REF!</definedName>
    <definedName name="HLJ_28006" localSheetId="45">#REF!</definedName>
    <definedName name="HLJ_28006">#REF!</definedName>
    <definedName name="HLJ_28010" localSheetId="30">#REF!</definedName>
    <definedName name="HLJ_28010" localSheetId="25">#REF!</definedName>
    <definedName name="HLJ_28010" localSheetId="28">#REF!</definedName>
    <definedName name="HLJ_28010" localSheetId="29">#REF!</definedName>
    <definedName name="HLJ_28010" localSheetId="12">#REF!</definedName>
    <definedName name="HLJ_28010" localSheetId="43">#REF!</definedName>
    <definedName name="HLJ_28010" localSheetId="42">#REF!</definedName>
    <definedName name="HLJ_28010" localSheetId="27">#REF!</definedName>
    <definedName name="HLJ_28010" localSheetId="45">#REF!</definedName>
    <definedName name="HLJ_28010">#REF!</definedName>
    <definedName name="HLJ_28025" localSheetId="30">#REF!</definedName>
    <definedName name="HLJ_28025" localSheetId="25">#REF!</definedName>
    <definedName name="HLJ_28025" localSheetId="28">#REF!</definedName>
    <definedName name="HLJ_28025" localSheetId="29">#REF!</definedName>
    <definedName name="HLJ_28025" localSheetId="12">#REF!</definedName>
    <definedName name="HLJ_28025" localSheetId="43">#REF!</definedName>
    <definedName name="HLJ_28025" localSheetId="42">#REF!</definedName>
    <definedName name="HLJ_28025" localSheetId="27">#REF!</definedName>
    <definedName name="HLJ_28025" localSheetId="45">#REF!</definedName>
    <definedName name="HLJ_28025">#REF!</definedName>
    <definedName name="HLJ_31504" localSheetId="30">#REF!</definedName>
    <definedName name="HLJ_31504" localSheetId="25">#REF!</definedName>
    <definedName name="HLJ_31504" localSheetId="28">#REF!</definedName>
    <definedName name="HLJ_31504" localSheetId="29">#REF!</definedName>
    <definedName name="HLJ_31504" localSheetId="12">#REF!</definedName>
    <definedName name="HLJ_31504" localSheetId="43">#REF!</definedName>
    <definedName name="HLJ_31504" localSheetId="42">#REF!</definedName>
    <definedName name="HLJ_31504" localSheetId="27">#REF!</definedName>
    <definedName name="HLJ_31504" localSheetId="45">#REF!</definedName>
    <definedName name="HLJ_31504">#REF!</definedName>
    <definedName name="HLJ_31506" localSheetId="30">#REF!</definedName>
    <definedName name="HLJ_31506" localSheetId="25">#REF!</definedName>
    <definedName name="HLJ_31506" localSheetId="28">#REF!</definedName>
    <definedName name="HLJ_31506" localSheetId="29">#REF!</definedName>
    <definedName name="HLJ_31506" localSheetId="12">#REF!</definedName>
    <definedName name="HLJ_31506" localSheetId="43">#REF!</definedName>
    <definedName name="HLJ_31506" localSheetId="42">#REF!</definedName>
    <definedName name="HLJ_31506" localSheetId="27">#REF!</definedName>
    <definedName name="HLJ_31506" localSheetId="45">#REF!</definedName>
    <definedName name="HLJ_31506">#REF!</definedName>
    <definedName name="HLJ_31510" localSheetId="30">#REF!</definedName>
    <definedName name="HLJ_31510" localSheetId="25">#REF!</definedName>
    <definedName name="HLJ_31510" localSheetId="28">#REF!</definedName>
    <definedName name="HLJ_31510" localSheetId="29">#REF!</definedName>
    <definedName name="HLJ_31510" localSheetId="12">#REF!</definedName>
    <definedName name="HLJ_31510" localSheetId="43">#REF!</definedName>
    <definedName name="HLJ_31510" localSheetId="42">#REF!</definedName>
    <definedName name="HLJ_31510" localSheetId="27">#REF!</definedName>
    <definedName name="HLJ_31510" localSheetId="45">#REF!</definedName>
    <definedName name="HLJ_31510">#REF!</definedName>
    <definedName name="HLJ_31525" localSheetId="30">#REF!</definedName>
    <definedName name="HLJ_31525" localSheetId="25">#REF!</definedName>
    <definedName name="HLJ_31525" localSheetId="28">#REF!</definedName>
    <definedName name="HLJ_31525" localSheetId="29">#REF!</definedName>
    <definedName name="HLJ_31525" localSheetId="12">#REF!</definedName>
    <definedName name="HLJ_31525" localSheetId="43">#REF!</definedName>
    <definedName name="HLJ_31525" localSheetId="42">#REF!</definedName>
    <definedName name="HLJ_31525" localSheetId="27">#REF!</definedName>
    <definedName name="HLJ_31525" localSheetId="45">#REF!</definedName>
    <definedName name="HLJ_31525">#REF!</definedName>
    <definedName name="HLJ_3206" localSheetId="30">#REF!</definedName>
    <definedName name="HLJ_3206" localSheetId="25">#REF!</definedName>
    <definedName name="HLJ_3206" localSheetId="28">#REF!</definedName>
    <definedName name="HLJ_3206" localSheetId="29">#REF!</definedName>
    <definedName name="HLJ_3206" localSheetId="12">#REF!</definedName>
    <definedName name="HLJ_3206" localSheetId="43">#REF!</definedName>
    <definedName name="HLJ_3206" localSheetId="42">#REF!</definedName>
    <definedName name="HLJ_3206" localSheetId="27">#REF!</definedName>
    <definedName name="HLJ_3206" localSheetId="45">#REF!</definedName>
    <definedName name="HLJ_3206">#REF!</definedName>
    <definedName name="HLJ_3210" localSheetId="30">#REF!</definedName>
    <definedName name="HLJ_3210" localSheetId="25">#REF!</definedName>
    <definedName name="HLJ_3210" localSheetId="28">#REF!</definedName>
    <definedName name="HLJ_3210" localSheetId="29">#REF!</definedName>
    <definedName name="HLJ_3210" localSheetId="12">#REF!</definedName>
    <definedName name="HLJ_3210" localSheetId="43">#REF!</definedName>
    <definedName name="HLJ_3210" localSheetId="42">#REF!</definedName>
    <definedName name="HLJ_3210" localSheetId="27">#REF!</definedName>
    <definedName name="HLJ_3210" localSheetId="45">#REF!</definedName>
    <definedName name="HLJ_3210">#REF!</definedName>
    <definedName name="HLJ_35504" localSheetId="30">#REF!</definedName>
    <definedName name="HLJ_35504" localSheetId="25">#REF!</definedName>
    <definedName name="HLJ_35504" localSheetId="28">#REF!</definedName>
    <definedName name="HLJ_35504" localSheetId="29">#REF!</definedName>
    <definedName name="HLJ_35504" localSheetId="12">#REF!</definedName>
    <definedName name="HLJ_35504" localSheetId="43">#REF!</definedName>
    <definedName name="HLJ_35504" localSheetId="42">#REF!</definedName>
    <definedName name="HLJ_35504" localSheetId="27">#REF!</definedName>
    <definedName name="HLJ_35504" localSheetId="45">#REF!</definedName>
    <definedName name="HLJ_35504">#REF!</definedName>
    <definedName name="HLJ_35506" localSheetId="30">#REF!</definedName>
    <definedName name="HLJ_35506" localSheetId="25">#REF!</definedName>
    <definedName name="HLJ_35506" localSheetId="28">#REF!</definedName>
    <definedName name="HLJ_35506" localSheetId="29">#REF!</definedName>
    <definedName name="HLJ_35506" localSheetId="12">#REF!</definedName>
    <definedName name="HLJ_35506" localSheetId="43">#REF!</definedName>
    <definedName name="HLJ_35506" localSheetId="42">#REF!</definedName>
    <definedName name="HLJ_35506" localSheetId="27">#REF!</definedName>
    <definedName name="HLJ_35506" localSheetId="45">#REF!</definedName>
    <definedName name="HLJ_35506">#REF!</definedName>
    <definedName name="HLJ_35510" localSheetId="30">#REF!</definedName>
    <definedName name="HLJ_35510" localSheetId="25">#REF!</definedName>
    <definedName name="HLJ_35510" localSheetId="28">#REF!</definedName>
    <definedName name="HLJ_35510" localSheetId="29">#REF!</definedName>
    <definedName name="HLJ_35510" localSheetId="12">#REF!</definedName>
    <definedName name="HLJ_35510" localSheetId="43">#REF!</definedName>
    <definedName name="HLJ_35510" localSheetId="42">#REF!</definedName>
    <definedName name="HLJ_35510" localSheetId="27">#REF!</definedName>
    <definedName name="HLJ_35510" localSheetId="45">#REF!</definedName>
    <definedName name="HLJ_35510">#REF!</definedName>
    <definedName name="HLJ_35525" localSheetId="30">#REF!</definedName>
    <definedName name="HLJ_35525" localSheetId="25">#REF!</definedName>
    <definedName name="HLJ_35525" localSheetId="28">#REF!</definedName>
    <definedName name="HLJ_35525" localSheetId="29">#REF!</definedName>
    <definedName name="HLJ_35525" localSheetId="12">#REF!</definedName>
    <definedName name="HLJ_35525" localSheetId="43">#REF!</definedName>
    <definedName name="HLJ_35525" localSheetId="42">#REF!</definedName>
    <definedName name="HLJ_35525" localSheetId="27">#REF!</definedName>
    <definedName name="HLJ_35525" localSheetId="45">#REF!</definedName>
    <definedName name="HLJ_35525">#REF!</definedName>
    <definedName name="HLJ_40004" localSheetId="30">#REF!</definedName>
    <definedName name="HLJ_40004" localSheetId="25">#REF!</definedName>
    <definedName name="HLJ_40004" localSheetId="28">#REF!</definedName>
    <definedName name="HLJ_40004" localSheetId="29">#REF!</definedName>
    <definedName name="HLJ_40004" localSheetId="12">#REF!</definedName>
    <definedName name="HLJ_40004" localSheetId="43">#REF!</definedName>
    <definedName name="HLJ_40004" localSheetId="42">#REF!</definedName>
    <definedName name="HLJ_40004" localSheetId="27">#REF!</definedName>
    <definedName name="HLJ_40004" localSheetId="45">#REF!</definedName>
    <definedName name="HLJ_40004">#REF!</definedName>
    <definedName name="HLJ_40006" localSheetId="30">#REF!</definedName>
    <definedName name="HLJ_40006" localSheetId="25">#REF!</definedName>
    <definedName name="HLJ_40006" localSheetId="28">#REF!</definedName>
    <definedName name="HLJ_40006" localSheetId="29">#REF!</definedName>
    <definedName name="HLJ_40006" localSheetId="12">#REF!</definedName>
    <definedName name="HLJ_40006" localSheetId="43">#REF!</definedName>
    <definedName name="HLJ_40006" localSheetId="42">#REF!</definedName>
    <definedName name="HLJ_40006" localSheetId="27">#REF!</definedName>
    <definedName name="HLJ_40006" localSheetId="45">#REF!</definedName>
    <definedName name="HLJ_40006">#REF!</definedName>
    <definedName name="HLJ_40010" localSheetId="30">#REF!</definedName>
    <definedName name="HLJ_40010" localSheetId="25">#REF!</definedName>
    <definedName name="HLJ_40010" localSheetId="28">#REF!</definedName>
    <definedName name="HLJ_40010" localSheetId="29">#REF!</definedName>
    <definedName name="HLJ_40010" localSheetId="12">#REF!</definedName>
    <definedName name="HLJ_40010" localSheetId="43">#REF!</definedName>
    <definedName name="HLJ_40010" localSheetId="42">#REF!</definedName>
    <definedName name="HLJ_40010" localSheetId="27">#REF!</definedName>
    <definedName name="HLJ_40010" localSheetId="45">#REF!</definedName>
    <definedName name="HLJ_40010">#REF!</definedName>
    <definedName name="HLJ_40025" localSheetId="30">#REF!</definedName>
    <definedName name="HLJ_40025" localSheetId="25">#REF!</definedName>
    <definedName name="HLJ_40025" localSheetId="28">#REF!</definedName>
    <definedName name="HLJ_40025" localSheetId="29">#REF!</definedName>
    <definedName name="HLJ_40025" localSheetId="12">#REF!</definedName>
    <definedName name="HLJ_40025" localSheetId="43">#REF!</definedName>
    <definedName name="HLJ_40025" localSheetId="42">#REF!</definedName>
    <definedName name="HLJ_40025" localSheetId="27">#REF!</definedName>
    <definedName name="HLJ_40025" localSheetId="45">#REF!</definedName>
    <definedName name="HLJ_40025">#REF!</definedName>
    <definedName name="HLJ_4004" localSheetId="30">#REF!</definedName>
    <definedName name="HLJ_4004" localSheetId="25">#REF!</definedName>
    <definedName name="HLJ_4004" localSheetId="28">#REF!</definedName>
    <definedName name="HLJ_4004" localSheetId="29">#REF!</definedName>
    <definedName name="HLJ_4004" localSheetId="12">#REF!</definedName>
    <definedName name="HLJ_4004" localSheetId="43">#REF!</definedName>
    <definedName name="HLJ_4004" localSheetId="42">#REF!</definedName>
    <definedName name="HLJ_4004" localSheetId="27">#REF!</definedName>
    <definedName name="HLJ_4004" localSheetId="45">#REF!</definedName>
    <definedName name="HLJ_4004">#REF!</definedName>
    <definedName name="HLJ_4006" localSheetId="30">#REF!</definedName>
    <definedName name="HLJ_4006" localSheetId="25">#REF!</definedName>
    <definedName name="HLJ_4006" localSheetId="28">#REF!</definedName>
    <definedName name="HLJ_4006" localSheetId="29">#REF!</definedName>
    <definedName name="HLJ_4006" localSheetId="12">#REF!</definedName>
    <definedName name="HLJ_4006" localSheetId="43">#REF!</definedName>
    <definedName name="HLJ_4006" localSheetId="42">#REF!</definedName>
    <definedName name="HLJ_4006" localSheetId="27">#REF!</definedName>
    <definedName name="HLJ_4006" localSheetId="45">#REF!</definedName>
    <definedName name="HLJ_4006">#REF!</definedName>
    <definedName name="HLJ_4010" localSheetId="30">#REF!</definedName>
    <definedName name="HLJ_4010" localSheetId="25">#REF!</definedName>
    <definedName name="HLJ_4010" localSheetId="28">#REF!</definedName>
    <definedName name="HLJ_4010" localSheetId="29">#REF!</definedName>
    <definedName name="HLJ_4010" localSheetId="12">#REF!</definedName>
    <definedName name="HLJ_4010" localSheetId="43">#REF!</definedName>
    <definedName name="HLJ_4010" localSheetId="42">#REF!</definedName>
    <definedName name="HLJ_4010" localSheetId="27">#REF!</definedName>
    <definedName name="HLJ_4010" localSheetId="45">#REF!</definedName>
    <definedName name="HLJ_4010">#REF!</definedName>
    <definedName name="HLJ_5004" localSheetId="30">#REF!</definedName>
    <definedName name="HLJ_5004" localSheetId="25">#REF!</definedName>
    <definedName name="HLJ_5004" localSheetId="28">#REF!</definedName>
    <definedName name="HLJ_5004" localSheetId="29">#REF!</definedName>
    <definedName name="HLJ_5004" localSheetId="12">#REF!</definedName>
    <definedName name="HLJ_5004" localSheetId="43">#REF!</definedName>
    <definedName name="HLJ_5004" localSheetId="42">#REF!</definedName>
    <definedName name="HLJ_5004" localSheetId="27">#REF!</definedName>
    <definedName name="HLJ_5004" localSheetId="45">#REF!</definedName>
    <definedName name="HLJ_5004">#REF!</definedName>
    <definedName name="HLJ_5006" localSheetId="30">#REF!</definedName>
    <definedName name="HLJ_5006" localSheetId="25">#REF!</definedName>
    <definedName name="HLJ_5006" localSheetId="28">#REF!</definedName>
    <definedName name="HLJ_5006" localSheetId="29">#REF!</definedName>
    <definedName name="HLJ_5006" localSheetId="12">#REF!</definedName>
    <definedName name="HLJ_5006" localSheetId="43">#REF!</definedName>
    <definedName name="HLJ_5006" localSheetId="42">#REF!</definedName>
    <definedName name="HLJ_5006" localSheetId="27">#REF!</definedName>
    <definedName name="HLJ_5006" localSheetId="45">#REF!</definedName>
    <definedName name="HLJ_5006">#REF!</definedName>
    <definedName name="HLJ_5010" localSheetId="30">#REF!</definedName>
    <definedName name="HLJ_5010" localSheetId="25">#REF!</definedName>
    <definedName name="HLJ_5010" localSheetId="28">#REF!</definedName>
    <definedName name="HLJ_5010" localSheetId="29">#REF!</definedName>
    <definedName name="HLJ_5010" localSheetId="12">#REF!</definedName>
    <definedName name="HLJ_5010" localSheetId="43">#REF!</definedName>
    <definedName name="HLJ_5010" localSheetId="42">#REF!</definedName>
    <definedName name="HLJ_5010" localSheetId="27">#REF!</definedName>
    <definedName name="HLJ_5010" localSheetId="45">#REF!</definedName>
    <definedName name="HLJ_5010">#REF!</definedName>
    <definedName name="HLJ_6304" localSheetId="30">#REF!</definedName>
    <definedName name="HLJ_6304" localSheetId="25">#REF!</definedName>
    <definedName name="HLJ_6304" localSheetId="28">#REF!</definedName>
    <definedName name="HLJ_6304" localSheetId="29">#REF!</definedName>
    <definedName name="HLJ_6304" localSheetId="12">#REF!</definedName>
    <definedName name="HLJ_6304" localSheetId="43">#REF!</definedName>
    <definedName name="HLJ_6304" localSheetId="42">#REF!</definedName>
    <definedName name="HLJ_6304" localSheetId="27">#REF!</definedName>
    <definedName name="HLJ_6304" localSheetId="45">#REF!</definedName>
    <definedName name="HLJ_6304">#REF!</definedName>
    <definedName name="HLJ_6306" localSheetId="30">#REF!</definedName>
    <definedName name="HLJ_6306" localSheetId="25">#REF!</definedName>
    <definedName name="HLJ_6306" localSheetId="28">#REF!</definedName>
    <definedName name="HLJ_6306" localSheetId="29">#REF!</definedName>
    <definedName name="HLJ_6306" localSheetId="12">#REF!</definedName>
    <definedName name="HLJ_6306" localSheetId="43">#REF!</definedName>
    <definedName name="HLJ_6306" localSheetId="42">#REF!</definedName>
    <definedName name="HLJ_6306" localSheetId="27">#REF!</definedName>
    <definedName name="HLJ_6306" localSheetId="45">#REF!</definedName>
    <definedName name="HLJ_6306">#REF!</definedName>
    <definedName name="HLJ_6310" localSheetId="30">#REF!</definedName>
    <definedName name="HLJ_6310" localSheetId="25">#REF!</definedName>
    <definedName name="HLJ_6310" localSheetId="28">#REF!</definedName>
    <definedName name="HLJ_6310" localSheetId="29">#REF!</definedName>
    <definedName name="HLJ_6310" localSheetId="12">#REF!</definedName>
    <definedName name="HLJ_6310" localSheetId="43">#REF!</definedName>
    <definedName name="HLJ_6310" localSheetId="42">#REF!</definedName>
    <definedName name="HLJ_6310" localSheetId="27">#REF!</definedName>
    <definedName name="HLJ_6310" localSheetId="45">#REF!</definedName>
    <definedName name="HLJ_6310">#REF!</definedName>
    <definedName name="HLJ_6325" localSheetId="30">#REF!</definedName>
    <definedName name="HLJ_6325" localSheetId="25">#REF!</definedName>
    <definedName name="HLJ_6325" localSheetId="28">#REF!</definedName>
    <definedName name="HLJ_6325" localSheetId="29">#REF!</definedName>
    <definedName name="HLJ_6325" localSheetId="12">#REF!</definedName>
    <definedName name="HLJ_6325" localSheetId="43">#REF!</definedName>
    <definedName name="HLJ_6325" localSheetId="42">#REF!</definedName>
    <definedName name="HLJ_6325" localSheetId="27">#REF!</definedName>
    <definedName name="HLJ_6325" localSheetId="45">#REF!</definedName>
    <definedName name="HLJ_6325">#REF!</definedName>
    <definedName name="HLJ_7502" localSheetId="30">#REF!</definedName>
    <definedName name="HLJ_7502" localSheetId="25">#REF!</definedName>
    <definedName name="HLJ_7502" localSheetId="28">#REF!</definedName>
    <definedName name="HLJ_7502" localSheetId="29">#REF!</definedName>
    <definedName name="HLJ_7502" localSheetId="12">#REF!</definedName>
    <definedName name="HLJ_7502" localSheetId="43">#REF!</definedName>
    <definedName name="HLJ_7502" localSheetId="42">#REF!</definedName>
    <definedName name="HLJ_7502" localSheetId="27">#REF!</definedName>
    <definedName name="HLJ_7502" localSheetId="45">#REF!</definedName>
    <definedName name="HLJ_7502">#REF!</definedName>
    <definedName name="HLJ_7504" localSheetId="30">#REF!</definedName>
    <definedName name="HLJ_7504" localSheetId="25">#REF!</definedName>
    <definedName name="HLJ_7504" localSheetId="28">#REF!</definedName>
    <definedName name="HLJ_7504" localSheetId="29">#REF!</definedName>
    <definedName name="HLJ_7504" localSheetId="12">#REF!</definedName>
    <definedName name="HLJ_7504" localSheetId="43">#REF!</definedName>
    <definedName name="HLJ_7504" localSheetId="42">#REF!</definedName>
    <definedName name="HLJ_7504" localSheetId="27">#REF!</definedName>
    <definedName name="HLJ_7504" localSheetId="45">#REF!</definedName>
    <definedName name="HLJ_7504">#REF!</definedName>
    <definedName name="HLJ_7506" localSheetId="30">#REF!</definedName>
    <definedName name="HLJ_7506" localSheetId="25">#REF!</definedName>
    <definedName name="HLJ_7506" localSheetId="28">#REF!</definedName>
    <definedName name="HLJ_7506" localSheetId="29">#REF!</definedName>
    <definedName name="HLJ_7506" localSheetId="12">#REF!</definedName>
    <definedName name="HLJ_7506" localSheetId="43">#REF!</definedName>
    <definedName name="HLJ_7506" localSheetId="42">#REF!</definedName>
    <definedName name="HLJ_7506" localSheetId="27">#REF!</definedName>
    <definedName name="HLJ_7506" localSheetId="45">#REF!</definedName>
    <definedName name="HLJ_7506">#REF!</definedName>
    <definedName name="HLJ_7510" localSheetId="30">#REF!</definedName>
    <definedName name="HLJ_7510" localSheetId="25">#REF!</definedName>
    <definedName name="HLJ_7510" localSheetId="28">#REF!</definedName>
    <definedName name="HLJ_7510" localSheetId="29">#REF!</definedName>
    <definedName name="HLJ_7510" localSheetId="12">#REF!</definedName>
    <definedName name="HLJ_7510" localSheetId="43">#REF!</definedName>
    <definedName name="HLJ_7510" localSheetId="42">#REF!</definedName>
    <definedName name="HLJ_7510" localSheetId="27">#REF!</definedName>
    <definedName name="HLJ_7510" localSheetId="45">#REF!</definedName>
    <definedName name="HLJ_7510">#REF!</definedName>
    <definedName name="HLJ_7525" localSheetId="30">#REF!</definedName>
    <definedName name="HLJ_7525" localSheetId="25">#REF!</definedName>
    <definedName name="HLJ_7525" localSheetId="28">#REF!</definedName>
    <definedName name="HLJ_7525" localSheetId="29">#REF!</definedName>
    <definedName name="HLJ_7525" localSheetId="12">#REF!</definedName>
    <definedName name="HLJ_7525" localSheetId="43">#REF!</definedName>
    <definedName name="HLJ_7525" localSheetId="42">#REF!</definedName>
    <definedName name="HLJ_7525" localSheetId="27">#REF!</definedName>
    <definedName name="HLJ_7525" localSheetId="45">#REF!</definedName>
    <definedName name="HLJ_7525">#REF!</definedName>
    <definedName name="HLJ_9002" localSheetId="30">#REF!</definedName>
    <definedName name="HLJ_9002" localSheetId="25">#REF!</definedName>
    <definedName name="HLJ_9002" localSheetId="28">#REF!</definedName>
    <definedName name="HLJ_9002" localSheetId="29">#REF!</definedName>
    <definedName name="HLJ_9002" localSheetId="12">#REF!</definedName>
    <definedName name="HLJ_9002" localSheetId="43">#REF!</definedName>
    <definedName name="HLJ_9002" localSheetId="42">#REF!</definedName>
    <definedName name="HLJ_9002" localSheetId="27">#REF!</definedName>
    <definedName name="HLJ_9002" localSheetId="45">#REF!</definedName>
    <definedName name="HLJ_9002">#REF!</definedName>
    <definedName name="HLJ_9004" localSheetId="30">#REF!</definedName>
    <definedName name="HLJ_9004" localSheetId="25">#REF!</definedName>
    <definedName name="HLJ_9004" localSheetId="28">#REF!</definedName>
    <definedName name="HLJ_9004" localSheetId="29">#REF!</definedName>
    <definedName name="HLJ_9004" localSheetId="12">#REF!</definedName>
    <definedName name="HLJ_9004" localSheetId="43">#REF!</definedName>
    <definedName name="HLJ_9004" localSheetId="42">#REF!</definedName>
    <definedName name="HLJ_9004" localSheetId="27">#REF!</definedName>
    <definedName name="HLJ_9004" localSheetId="45">#REF!</definedName>
    <definedName name="HLJ_9004">#REF!</definedName>
    <definedName name="HLJ_9006" localSheetId="30">#REF!</definedName>
    <definedName name="HLJ_9006" localSheetId="25">#REF!</definedName>
    <definedName name="HLJ_9006" localSheetId="28">#REF!</definedName>
    <definedName name="HLJ_9006" localSheetId="29">#REF!</definedName>
    <definedName name="HLJ_9006" localSheetId="12">#REF!</definedName>
    <definedName name="HLJ_9006" localSheetId="43">#REF!</definedName>
    <definedName name="HLJ_9006" localSheetId="42">#REF!</definedName>
    <definedName name="HLJ_9006" localSheetId="27">#REF!</definedName>
    <definedName name="HLJ_9006" localSheetId="45">#REF!</definedName>
    <definedName name="HLJ_9006">#REF!</definedName>
    <definedName name="HLJ_9010" localSheetId="30">#REF!</definedName>
    <definedName name="HLJ_9010" localSheetId="25">#REF!</definedName>
    <definedName name="HLJ_9010" localSheetId="28">#REF!</definedName>
    <definedName name="HLJ_9010" localSheetId="29">#REF!</definedName>
    <definedName name="HLJ_9010" localSheetId="12">#REF!</definedName>
    <definedName name="HLJ_9010" localSheetId="43">#REF!</definedName>
    <definedName name="HLJ_9010" localSheetId="42">#REF!</definedName>
    <definedName name="HLJ_9010" localSheetId="27">#REF!</definedName>
    <definedName name="HLJ_9010" localSheetId="45">#REF!</definedName>
    <definedName name="HLJ_9010">#REF!</definedName>
    <definedName name="HLJ_9025" localSheetId="30">#REF!</definedName>
    <definedName name="HLJ_9025" localSheetId="25">#REF!</definedName>
    <definedName name="HLJ_9025" localSheetId="28">#REF!</definedName>
    <definedName name="HLJ_9025" localSheetId="29">#REF!</definedName>
    <definedName name="HLJ_9025" localSheetId="12">#REF!</definedName>
    <definedName name="HLJ_9025" localSheetId="43">#REF!</definedName>
    <definedName name="HLJ_9025" localSheetId="42">#REF!</definedName>
    <definedName name="HLJ_9025" localSheetId="27">#REF!</definedName>
    <definedName name="HLJ_9025" localSheetId="45">#REF!</definedName>
    <definedName name="HLJ_9025">#REF!</definedName>
    <definedName name="hng">[4]Sheet1!$D$35</definedName>
    <definedName name="holpass">'[14]update Rate'!$E$58</definedName>
    <definedName name="HP_11004" localSheetId="30">#REF!</definedName>
    <definedName name="HP_11004" localSheetId="25">#REF!</definedName>
    <definedName name="HP_11004" localSheetId="28">#REF!</definedName>
    <definedName name="HP_11004" localSheetId="29">#REF!</definedName>
    <definedName name="HP_11004" localSheetId="12">#REF!</definedName>
    <definedName name="HP_11004" localSheetId="43">#REF!</definedName>
    <definedName name="HP_11004" localSheetId="42">#REF!</definedName>
    <definedName name="HP_11004" localSheetId="27">#REF!</definedName>
    <definedName name="HP_11004" localSheetId="45">#REF!</definedName>
    <definedName name="HP_11004">#REF!</definedName>
    <definedName name="HP_11006" localSheetId="30">#REF!</definedName>
    <definedName name="HP_11006" localSheetId="25">#REF!</definedName>
    <definedName name="HP_11006" localSheetId="28">#REF!</definedName>
    <definedName name="HP_11006" localSheetId="29">#REF!</definedName>
    <definedName name="HP_11006" localSheetId="12">#REF!</definedName>
    <definedName name="HP_11006" localSheetId="43">#REF!</definedName>
    <definedName name="HP_11006" localSheetId="42">#REF!</definedName>
    <definedName name="HP_11006" localSheetId="27">#REF!</definedName>
    <definedName name="HP_11006" localSheetId="45">#REF!</definedName>
    <definedName name="HP_11006">#REF!</definedName>
    <definedName name="HP_11010" localSheetId="30">#REF!</definedName>
    <definedName name="HP_11010" localSheetId="25">#REF!</definedName>
    <definedName name="HP_11010" localSheetId="28">#REF!</definedName>
    <definedName name="HP_11010" localSheetId="29">#REF!</definedName>
    <definedName name="HP_11010" localSheetId="12">#REF!</definedName>
    <definedName name="HP_11010" localSheetId="43">#REF!</definedName>
    <definedName name="HP_11010" localSheetId="42">#REF!</definedName>
    <definedName name="HP_11010" localSheetId="27">#REF!</definedName>
    <definedName name="HP_11010" localSheetId="45">#REF!</definedName>
    <definedName name="HP_11010">#REF!</definedName>
    <definedName name="HP_11025" localSheetId="30">#REF!</definedName>
    <definedName name="HP_11025" localSheetId="25">#REF!</definedName>
    <definedName name="HP_11025" localSheetId="28">#REF!</definedName>
    <definedName name="HP_11025" localSheetId="29">#REF!</definedName>
    <definedName name="HP_11025" localSheetId="12">#REF!</definedName>
    <definedName name="HP_11025" localSheetId="43">#REF!</definedName>
    <definedName name="HP_11025" localSheetId="42">#REF!</definedName>
    <definedName name="HP_11025" localSheetId="27">#REF!</definedName>
    <definedName name="HP_11025" localSheetId="45">#REF!</definedName>
    <definedName name="HP_11025">#REF!</definedName>
    <definedName name="HP_12504" localSheetId="30">#REF!</definedName>
    <definedName name="HP_12504" localSheetId="25">#REF!</definedName>
    <definedName name="HP_12504" localSheetId="28">#REF!</definedName>
    <definedName name="HP_12504" localSheetId="29">#REF!</definedName>
    <definedName name="HP_12504" localSheetId="12">#REF!</definedName>
    <definedName name="HP_12504" localSheetId="43">#REF!</definedName>
    <definedName name="HP_12504" localSheetId="42">#REF!</definedName>
    <definedName name="HP_12504" localSheetId="27">#REF!</definedName>
    <definedName name="HP_12504" localSheetId="45">#REF!</definedName>
    <definedName name="HP_12504">#REF!</definedName>
    <definedName name="HP_12506" localSheetId="30">#REF!</definedName>
    <definedName name="HP_12506" localSheetId="25">#REF!</definedName>
    <definedName name="HP_12506" localSheetId="28">#REF!</definedName>
    <definedName name="HP_12506" localSheetId="29">#REF!</definedName>
    <definedName name="HP_12506" localSheetId="12">#REF!</definedName>
    <definedName name="HP_12506" localSheetId="43">#REF!</definedName>
    <definedName name="HP_12506" localSheetId="42">#REF!</definedName>
    <definedName name="HP_12506" localSheetId="27">#REF!</definedName>
    <definedName name="HP_12506" localSheetId="45">#REF!</definedName>
    <definedName name="HP_12506">#REF!</definedName>
    <definedName name="HP_12510" localSheetId="30">#REF!</definedName>
    <definedName name="HP_12510" localSheetId="25">#REF!</definedName>
    <definedName name="HP_12510" localSheetId="28">#REF!</definedName>
    <definedName name="HP_12510" localSheetId="29">#REF!</definedName>
    <definedName name="HP_12510" localSheetId="12">#REF!</definedName>
    <definedName name="HP_12510" localSheetId="43">#REF!</definedName>
    <definedName name="HP_12510" localSheetId="42">#REF!</definedName>
    <definedName name="HP_12510" localSheetId="27">#REF!</definedName>
    <definedName name="HP_12510" localSheetId="45">#REF!</definedName>
    <definedName name="HP_12510">#REF!</definedName>
    <definedName name="HP_12525" localSheetId="30">#REF!</definedName>
    <definedName name="HP_12525" localSheetId="25">#REF!</definedName>
    <definedName name="HP_12525" localSheetId="28">#REF!</definedName>
    <definedName name="HP_12525" localSheetId="29">#REF!</definedName>
    <definedName name="HP_12525" localSheetId="12">#REF!</definedName>
    <definedName name="HP_12525" localSheetId="43">#REF!</definedName>
    <definedName name="HP_12525" localSheetId="42">#REF!</definedName>
    <definedName name="HP_12525" localSheetId="27">#REF!</definedName>
    <definedName name="HP_12525" localSheetId="45">#REF!</definedName>
    <definedName name="HP_12525">#REF!</definedName>
    <definedName name="HP_14004" localSheetId="30">#REF!</definedName>
    <definedName name="HP_14004" localSheetId="25">#REF!</definedName>
    <definedName name="HP_14004" localSheetId="28">#REF!</definedName>
    <definedName name="HP_14004" localSheetId="29">#REF!</definedName>
    <definedName name="HP_14004" localSheetId="12">#REF!</definedName>
    <definedName name="HP_14004" localSheetId="43">#REF!</definedName>
    <definedName name="HP_14004" localSheetId="42">#REF!</definedName>
    <definedName name="HP_14004" localSheetId="27">#REF!</definedName>
    <definedName name="HP_14004" localSheetId="45">#REF!</definedName>
    <definedName name="HP_14004">#REF!</definedName>
    <definedName name="HP_14006" localSheetId="30">#REF!</definedName>
    <definedName name="HP_14006" localSheetId="25">#REF!</definedName>
    <definedName name="HP_14006" localSheetId="28">#REF!</definedName>
    <definedName name="HP_14006" localSheetId="29">#REF!</definedName>
    <definedName name="HP_14006" localSheetId="12">#REF!</definedName>
    <definedName name="HP_14006" localSheetId="43">#REF!</definedName>
    <definedName name="HP_14006" localSheetId="42">#REF!</definedName>
    <definedName name="HP_14006" localSheetId="27">#REF!</definedName>
    <definedName name="HP_14006" localSheetId="45">#REF!</definedName>
    <definedName name="HP_14006">#REF!</definedName>
    <definedName name="HP_14010" localSheetId="30">#REF!</definedName>
    <definedName name="HP_14010" localSheetId="25">#REF!</definedName>
    <definedName name="HP_14010" localSheetId="28">#REF!</definedName>
    <definedName name="HP_14010" localSheetId="29">#REF!</definedName>
    <definedName name="HP_14010" localSheetId="12">#REF!</definedName>
    <definedName name="HP_14010" localSheetId="43">#REF!</definedName>
    <definedName name="HP_14010" localSheetId="42">#REF!</definedName>
    <definedName name="HP_14010" localSheetId="27">#REF!</definedName>
    <definedName name="HP_14010" localSheetId="45">#REF!</definedName>
    <definedName name="HP_14010">#REF!</definedName>
    <definedName name="HP_14025" localSheetId="30">#REF!</definedName>
    <definedName name="HP_14025" localSheetId="25">#REF!</definedName>
    <definedName name="HP_14025" localSheetId="28">#REF!</definedName>
    <definedName name="HP_14025" localSheetId="29">#REF!</definedName>
    <definedName name="HP_14025" localSheetId="12">#REF!</definedName>
    <definedName name="HP_14025" localSheetId="43">#REF!</definedName>
    <definedName name="HP_14025" localSheetId="42">#REF!</definedName>
    <definedName name="HP_14025" localSheetId="27">#REF!</definedName>
    <definedName name="HP_14025" localSheetId="45">#REF!</definedName>
    <definedName name="HP_14025">#REF!</definedName>
    <definedName name="HP_16004" localSheetId="30">#REF!</definedName>
    <definedName name="HP_16004" localSheetId="25">#REF!</definedName>
    <definedName name="HP_16004" localSheetId="28">#REF!</definedName>
    <definedName name="HP_16004" localSheetId="29">#REF!</definedName>
    <definedName name="HP_16004" localSheetId="12">#REF!</definedName>
    <definedName name="HP_16004" localSheetId="43">#REF!</definedName>
    <definedName name="HP_16004" localSheetId="42">#REF!</definedName>
    <definedName name="HP_16004" localSheetId="27">#REF!</definedName>
    <definedName name="HP_16004" localSheetId="45">#REF!</definedName>
    <definedName name="HP_16004">#REF!</definedName>
    <definedName name="HP_16006" localSheetId="30">#REF!</definedName>
    <definedName name="HP_16006" localSheetId="25">#REF!</definedName>
    <definedName name="HP_16006" localSheetId="28">#REF!</definedName>
    <definedName name="HP_16006" localSheetId="29">#REF!</definedName>
    <definedName name="HP_16006" localSheetId="12">#REF!</definedName>
    <definedName name="HP_16006" localSheetId="43">#REF!</definedName>
    <definedName name="HP_16006" localSheetId="42">#REF!</definedName>
    <definedName name="HP_16006" localSheetId="27">#REF!</definedName>
    <definedName name="HP_16006" localSheetId="45">#REF!</definedName>
    <definedName name="HP_16006">#REF!</definedName>
    <definedName name="HP_16010" localSheetId="30">#REF!</definedName>
    <definedName name="HP_16010" localSheetId="25">#REF!</definedName>
    <definedName name="HP_16010" localSheetId="28">#REF!</definedName>
    <definedName name="HP_16010" localSheetId="29">#REF!</definedName>
    <definedName name="HP_16010" localSheetId="12">#REF!</definedName>
    <definedName name="HP_16010" localSheetId="43">#REF!</definedName>
    <definedName name="HP_16010" localSheetId="42">#REF!</definedName>
    <definedName name="HP_16010" localSheetId="27">#REF!</definedName>
    <definedName name="HP_16010" localSheetId="45">#REF!</definedName>
    <definedName name="HP_16010">#REF!</definedName>
    <definedName name="HP_16025" localSheetId="30">#REF!</definedName>
    <definedName name="HP_16025" localSheetId="25">#REF!</definedName>
    <definedName name="HP_16025" localSheetId="28">#REF!</definedName>
    <definedName name="HP_16025" localSheetId="29">#REF!</definedName>
    <definedName name="HP_16025" localSheetId="12">#REF!</definedName>
    <definedName name="HP_16025" localSheetId="43">#REF!</definedName>
    <definedName name="HP_16025" localSheetId="42">#REF!</definedName>
    <definedName name="HP_16025" localSheetId="27">#REF!</definedName>
    <definedName name="HP_16025" localSheetId="45">#REF!</definedName>
    <definedName name="HP_16025">#REF!</definedName>
    <definedName name="HP_1610" localSheetId="30">#REF!</definedName>
    <definedName name="HP_1610" localSheetId="25">#REF!</definedName>
    <definedName name="HP_1610" localSheetId="28">#REF!</definedName>
    <definedName name="HP_1610" localSheetId="29">#REF!</definedName>
    <definedName name="HP_1610" localSheetId="12">#REF!</definedName>
    <definedName name="HP_1610" localSheetId="43">#REF!</definedName>
    <definedName name="HP_1610" localSheetId="42">#REF!</definedName>
    <definedName name="HP_1610" localSheetId="27">#REF!</definedName>
    <definedName name="HP_1610" localSheetId="45">#REF!</definedName>
    <definedName name="HP_1610">#REF!</definedName>
    <definedName name="HP_18004" localSheetId="30">#REF!</definedName>
    <definedName name="HP_18004" localSheetId="25">#REF!</definedName>
    <definedName name="HP_18004" localSheetId="28">#REF!</definedName>
    <definedName name="HP_18004" localSheetId="29">#REF!</definedName>
    <definedName name="HP_18004" localSheetId="12">#REF!</definedName>
    <definedName name="HP_18004" localSheetId="43">#REF!</definedName>
    <definedName name="HP_18004" localSheetId="42">#REF!</definedName>
    <definedName name="HP_18004" localSheetId="27">#REF!</definedName>
    <definedName name="HP_18004" localSheetId="45">#REF!</definedName>
    <definedName name="HP_18004">#REF!</definedName>
    <definedName name="HP_18006" localSheetId="30">#REF!</definedName>
    <definedName name="HP_18006" localSheetId="25">#REF!</definedName>
    <definedName name="HP_18006" localSheetId="28">#REF!</definedName>
    <definedName name="HP_18006" localSheetId="29">#REF!</definedName>
    <definedName name="HP_18006" localSheetId="12">#REF!</definedName>
    <definedName name="HP_18006" localSheetId="43">#REF!</definedName>
    <definedName name="HP_18006" localSheetId="42">#REF!</definedName>
    <definedName name="HP_18006" localSheetId="27">#REF!</definedName>
    <definedName name="HP_18006" localSheetId="45">#REF!</definedName>
    <definedName name="HP_18006">#REF!</definedName>
    <definedName name="HP_18010" localSheetId="30">#REF!</definedName>
    <definedName name="HP_18010" localSheetId="25">#REF!</definedName>
    <definedName name="HP_18010" localSheetId="28">#REF!</definedName>
    <definedName name="HP_18010" localSheetId="29">#REF!</definedName>
    <definedName name="HP_18010" localSheetId="12">#REF!</definedName>
    <definedName name="HP_18010" localSheetId="43">#REF!</definedName>
    <definedName name="HP_18010" localSheetId="42">#REF!</definedName>
    <definedName name="HP_18010" localSheetId="27">#REF!</definedName>
    <definedName name="HP_18010" localSheetId="45">#REF!</definedName>
    <definedName name="HP_18010">#REF!</definedName>
    <definedName name="HP_18025" localSheetId="30">#REF!</definedName>
    <definedName name="HP_18025" localSheetId="25">#REF!</definedName>
    <definedName name="HP_18025" localSheetId="28">#REF!</definedName>
    <definedName name="HP_18025" localSheetId="29">#REF!</definedName>
    <definedName name="HP_18025" localSheetId="12">#REF!</definedName>
    <definedName name="HP_18025" localSheetId="43">#REF!</definedName>
    <definedName name="HP_18025" localSheetId="42">#REF!</definedName>
    <definedName name="HP_18025" localSheetId="27">#REF!</definedName>
    <definedName name="HP_18025" localSheetId="45">#REF!</definedName>
    <definedName name="HP_18025">#REF!</definedName>
    <definedName name="HP_20004" localSheetId="30">#REF!</definedName>
    <definedName name="HP_20004" localSheetId="25">#REF!</definedName>
    <definedName name="HP_20004" localSheetId="28">#REF!</definedName>
    <definedName name="HP_20004" localSheetId="29">#REF!</definedName>
    <definedName name="HP_20004" localSheetId="12">#REF!</definedName>
    <definedName name="HP_20004" localSheetId="43">#REF!</definedName>
    <definedName name="HP_20004" localSheetId="42">#REF!</definedName>
    <definedName name="HP_20004" localSheetId="27">#REF!</definedName>
    <definedName name="HP_20004" localSheetId="45">#REF!</definedName>
    <definedName name="HP_20004">#REF!</definedName>
    <definedName name="HP_20006" localSheetId="30">#REF!</definedName>
    <definedName name="HP_20006" localSheetId="25">#REF!</definedName>
    <definedName name="HP_20006" localSheetId="28">#REF!</definedName>
    <definedName name="HP_20006" localSheetId="29">#REF!</definedName>
    <definedName name="HP_20006" localSheetId="12">#REF!</definedName>
    <definedName name="HP_20006" localSheetId="43">#REF!</definedName>
    <definedName name="HP_20006" localSheetId="42">#REF!</definedName>
    <definedName name="HP_20006" localSheetId="27">#REF!</definedName>
    <definedName name="HP_20006" localSheetId="45">#REF!</definedName>
    <definedName name="HP_20006">#REF!</definedName>
    <definedName name="HP_20010" localSheetId="30">#REF!</definedName>
    <definedName name="HP_20010" localSheetId="25">#REF!</definedName>
    <definedName name="HP_20010" localSheetId="28">#REF!</definedName>
    <definedName name="HP_20010" localSheetId="29">#REF!</definedName>
    <definedName name="HP_20010" localSheetId="12">#REF!</definedName>
    <definedName name="HP_20010" localSheetId="43">#REF!</definedName>
    <definedName name="HP_20010" localSheetId="42">#REF!</definedName>
    <definedName name="HP_20010" localSheetId="27">#REF!</definedName>
    <definedName name="HP_20010" localSheetId="45">#REF!</definedName>
    <definedName name="HP_20010">#REF!</definedName>
    <definedName name="HP_20025" localSheetId="30">#REF!</definedName>
    <definedName name="HP_20025" localSheetId="25">#REF!</definedName>
    <definedName name="HP_20025" localSheetId="28">#REF!</definedName>
    <definedName name="HP_20025" localSheetId="29">#REF!</definedName>
    <definedName name="HP_20025" localSheetId="12">#REF!</definedName>
    <definedName name="HP_20025" localSheetId="43">#REF!</definedName>
    <definedName name="HP_20025" localSheetId="42">#REF!</definedName>
    <definedName name="HP_20025" localSheetId="27">#REF!</definedName>
    <definedName name="HP_20025" localSheetId="45">#REF!</definedName>
    <definedName name="HP_20025">#REF!</definedName>
    <definedName name="HP_2010" localSheetId="30">#REF!</definedName>
    <definedName name="HP_2010" localSheetId="25">#REF!</definedName>
    <definedName name="HP_2010" localSheetId="28">#REF!</definedName>
    <definedName name="HP_2010" localSheetId="29">#REF!</definedName>
    <definedName name="HP_2010" localSheetId="12">#REF!</definedName>
    <definedName name="HP_2010" localSheetId="43">#REF!</definedName>
    <definedName name="HP_2010" localSheetId="42">#REF!</definedName>
    <definedName name="HP_2010" localSheetId="27">#REF!</definedName>
    <definedName name="HP_2010" localSheetId="45">#REF!</definedName>
    <definedName name="HP_2010">#REF!</definedName>
    <definedName name="HP_22504" localSheetId="30">#REF!</definedName>
    <definedName name="HP_22504" localSheetId="25">#REF!</definedName>
    <definedName name="HP_22504" localSheetId="28">#REF!</definedName>
    <definedName name="HP_22504" localSheetId="29">#REF!</definedName>
    <definedName name="HP_22504" localSheetId="12">#REF!</definedName>
    <definedName name="HP_22504" localSheetId="43">#REF!</definedName>
    <definedName name="HP_22504" localSheetId="42">#REF!</definedName>
    <definedName name="HP_22504" localSheetId="27">#REF!</definedName>
    <definedName name="HP_22504" localSheetId="45">#REF!</definedName>
    <definedName name="HP_22504">#REF!</definedName>
    <definedName name="HP_22506" localSheetId="30">#REF!</definedName>
    <definedName name="HP_22506" localSheetId="25">#REF!</definedName>
    <definedName name="HP_22506" localSheetId="28">#REF!</definedName>
    <definedName name="HP_22506" localSheetId="29">#REF!</definedName>
    <definedName name="HP_22506" localSheetId="12">#REF!</definedName>
    <definedName name="HP_22506" localSheetId="43">#REF!</definedName>
    <definedName name="HP_22506" localSheetId="42">#REF!</definedName>
    <definedName name="HP_22506" localSheetId="27">#REF!</definedName>
    <definedName name="HP_22506" localSheetId="45">#REF!</definedName>
    <definedName name="HP_22506">#REF!</definedName>
    <definedName name="HP_22510" localSheetId="30">#REF!</definedName>
    <definedName name="HP_22510" localSheetId="25">#REF!</definedName>
    <definedName name="HP_22510" localSheetId="28">#REF!</definedName>
    <definedName name="HP_22510" localSheetId="29">#REF!</definedName>
    <definedName name="HP_22510" localSheetId="12">#REF!</definedName>
    <definedName name="HP_22510" localSheetId="43">#REF!</definedName>
    <definedName name="HP_22510" localSheetId="42">#REF!</definedName>
    <definedName name="HP_22510" localSheetId="27">#REF!</definedName>
    <definedName name="HP_22510" localSheetId="45">#REF!</definedName>
    <definedName name="HP_22510">#REF!</definedName>
    <definedName name="HP_22525" localSheetId="30">#REF!</definedName>
    <definedName name="HP_22525" localSheetId="25">#REF!</definedName>
    <definedName name="HP_22525" localSheetId="28">#REF!</definedName>
    <definedName name="HP_22525" localSheetId="29">#REF!</definedName>
    <definedName name="HP_22525" localSheetId="12">#REF!</definedName>
    <definedName name="HP_22525" localSheetId="43">#REF!</definedName>
    <definedName name="HP_22525" localSheetId="42">#REF!</definedName>
    <definedName name="HP_22525" localSheetId="27">#REF!</definedName>
    <definedName name="HP_22525" localSheetId="45">#REF!</definedName>
    <definedName name="HP_22525">#REF!</definedName>
    <definedName name="HP_25004" localSheetId="30">#REF!</definedName>
    <definedName name="HP_25004" localSheetId="25">#REF!</definedName>
    <definedName name="HP_25004" localSheetId="28">#REF!</definedName>
    <definedName name="HP_25004" localSheetId="29">#REF!</definedName>
    <definedName name="HP_25004" localSheetId="12">#REF!</definedName>
    <definedName name="HP_25004" localSheetId="43">#REF!</definedName>
    <definedName name="HP_25004" localSheetId="42">#REF!</definedName>
    <definedName name="HP_25004" localSheetId="27">#REF!</definedName>
    <definedName name="HP_25004" localSheetId="45">#REF!</definedName>
    <definedName name="HP_25004">#REF!</definedName>
    <definedName name="HP_25006" localSheetId="30">#REF!</definedName>
    <definedName name="HP_25006" localSheetId="25">#REF!</definedName>
    <definedName name="HP_25006" localSheetId="28">#REF!</definedName>
    <definedName name="HP_25006" localSheetId="29">#REF!</definedName>
    <definedName name="HP_25006" localSheetId="12">#REF!</definedName>
    <definedName name="HP_25006" localSheetId="43">#REF!</definedName>
    <definedName name="HP_25006" localSheetId="42">#REF!</definedName>
    <definedName name="HP_25006" localSheetId="27">#REF!</definedName>
    <definedName name="HP_25006" localSheetId="45">#REF!</definedName>
    <definedName name="HP_25006">#REF!</definedName>
    <definedName name="HP_25010" localSheetId="30">#REF!</definedName>
    <definedName name="HP_25010" localSheetId="25">#REF!</definedName>
    <definedName name="HP_25010" localSheetId="28">#REF!</definedName>
    <definedName name="HP_25010" localSheetId="29">#REF!</definedName>
    <definedName name="HP_25010" localSheetId="12">#REF!</definedName>
    <definedName name="HP_25010" localSheetId="43">#REF!</definedName>
    <definedName name="HP_25010" localSheetId="42">#REF!</definedName>
    <definedName name="HP_25010" localSheetId="27">#REF!</definedName>
    <definedName name="HP_25010" localSheetId="45">#REF!</definedName>
    <definedName name="HP_25010">#REF!</definedName>
    <definedName name="HP_25025" localSheetId="30">#REF!</definedName>
    <definedName name="HP_25025" localSheetId="25">#REF!</definedName>
    <definedName name="HP_25025" localSheetId="28">#REF!</definedName>
    <definedName name="HP_25025" localSheetId="29">#REF!</definedName>
    <definedName name="HP_25025" localSheetId="12">#REF!</definedName>
    <definedName name="HP_25025" localSheetId="43">#REF!</definedName>
    <definedName name="HP_25025" localSheetId="42">#REF!</definedName>
    <definedName name="HP_25025" localSheetId="27">#REF!</definedName>
    <definedName name="HP_25025" localSheetId="45">#REF!</definedName>
    <definedName name="HP_25025">#REF!</definedName>
    <definedName name="HP_2510" localSheetId="30">#REF!</definedName>
    <definedName name="HP_2510" localSheetId="25">#REF!</definedName>
    <definedName name="HP_2510" localSheetId="28">#REF!</definedName>
    <definedName name="HP_2510" localSheetId="29">#REF!</definedName>
    <definedName name="HP_2510" localSheetId="12">#REF!</definedName>
    <definedName name="HP_2510" localSheetId="43">#REF!</definedName>
    <definedName name="HP_2510" localSheetId="42">#REF!</definedName>
    <definedName name="HP_2510" localSheetId="27">#REF!</definedName>
    <definedName name="HP_2510" localSheetId="45">#REF!</definedName>
    <definedName name="HP_2510">#REF!</definedName>
    <definedName name="HP_28004" localSheetId="30">#REF!</definedName>
    <definedName name="HP_28004" localSheetId="25">#REF!</definedName>
    <definedName name="HP_28004" localSheetId="28">#REF!</definedName>
    <definedName name="HP_28004" localSheetId="29">#REF!</definedName>
    <definedName name="HP_28004" localSheetId="12">#REF!</definedName>
    <definedName name="HP_28004" localSheetId="43">#REF!</definedName>
    <definedName name="HP_28004" localSheetId="42">#REF!</definedName>
    <definedName name="HP_28004" localSheetId="27">#REF!</definedName>
    <definedName name="HP_28004" localSheetId="45">#REF!</definedName>
    <definedName name="HP_28004">#REF!</definedName>
    <definedName name="HP_28006" localSheetId="30">#REF!</definedName>
    <definedName name="HP_28006" localSheetId="25">#REF!</definedName>
    <definedName name="HP_28006" localSheetId="28">#REF!</definedName>
    <definedName name="HP_28006" localSheetId="29">#REF!</definedName>
    <definedName name="HP_28006" localSheetId="12">#REF!</definedName>
    <definedName name="HP_28006" localSheetId="43">#REF!</definedName>
    <definedName name="HP_28006" localSheetId="42">#REF!</definedName>
    <definedName name="HP_28006" localSheetId="27">#REF!</definedName>
    <definedName name="HP_28006" localSheetId="45">#REF!</definedName>
    <definedName name="HP_28006">#REF!</definedName>
    <definedName name="HP_28010" localSheetId="30">#REF!</definedName>
    <definedName name="HP_28010" localSheetId="25">#REF!</definedName>
    <definedName name="HP_28010" localSheetId="28">#REF!</definedName>
    <definedName name="HP_28010" localSheetId="29">#REF!</definedName>
    <definedName name="HP_28010" localSheetId="12">#REF!</definedName>
    <definedName name="HP_28010" localSheetId="43">#REF!</definedName>
    <definedName name="HP_28010" localSheetId="42">#REF!</definedName>
    <definedName name="HP_28010" localSheetId="27">#REF!</definedName>
    <definedName name="HP_28010" localSheetId="45">#REF!</definedName>
    <definedName name="HP_28010">#REF!</definedName>
    <definedName name="HP_28025" localSheetId="30">#REF!</definedName>
    <definedName name="HP_28025" localSheetId="25">#REF!</definedName>
    <definedName name="HP_28025" localSheetId="28">#REF!</definedName>
    <definedName name="HP_28025" localSheetId="29">#REF!</definedName>
    <definedName name="HP_28025" localSheetId="12">#REF!</definedName>
    <definedName name="HP_28025" localSheetId="43">#REF!</definedName>
    <definedName name="HP_28025" localSheetId="42">#REF!</definedName>
    <definedName name="HP_28025" localSheetId="27">#REF!</definedName>
    <definedName name="HP_28025" localSheetId="45">#REF!</definedName>
    <definedName name="HP_28025">#REF!</definedName>
    <definedName name="HP_31504" localSheetId="30">#REF!</definedName>
    <definedName name="HP_31504" localSheetId="25">#REF!</definedName>
    <definedName name="HP_31504" localSheetId="28">#REF!</definedName>
    <definedName name="HP_31504" localSheetId="29">#REF!</definedName>
    <definedName name="HP_31504" localSheetId="12">#REF!</definedName>
    <definedName name="HP_31504" localSheetId="43">#REF!</definedName>
    <definedName name="HP_31504" localSheetId="42">#REF!</definedName>
    <definedName name="HP_31504" localSheetId="27">#REF!</definedName>
    <definedName name="HP_31504" localSheetId="45">#REF!</definedName>
    <definedName name="HP_31504">#REF!</definedName>
    <definedName name="HP_31506" localSheetId="30">#REF!</definedName>
    <definedName name="HP_31506" localSheetId="25">#REF!</definedName>
    <definedName name="HP_31506" localSheetId="28">#REF!</definedName>
    <definedName name="HP_31506" localSheetId="29">#REF!</definedName>
    <definedName name="HP_31506" localSheetId="12">#REF!</definedName>
    <definedName name="HP_31506" localSheetId="43">#REF!</definedName>
    <definedName name="HP_31506" localSheetId="42">#REF!</definedName>
    <definedName name="HP_31506" localSheetId="27">#REF!</definedName>
    <definedName name="HP_31506" localSheetId="45">#REF!</definedName>
    <definedName name="HP_31506">#REF!</definedName>
    <definedName name="HP_31510" localSheetId="30">#REF!</definedName>
    <definedName name="HP_31510" localSheetId="25">#REF!</definedName>
    <definedName name="HP_31510" localSheetId="28">#REF!</definedName>
    <definedName name="HP_31510" localSheetId="29">#REF!</definedName>
    <definedName name="HP_31510" localSheetId="12">#REF!</definedName>
    <definedName name="HP_31510" localSheetId="43">#REF!</definedName>
    <definedName name="HP_31510" localSheetId="42">#REF!</definedName>
    <definedName name="HP_31510" localSheetId="27">#REF!</definedName>
    <definedName name="HP_31510" localSheetId="45">#REF!</definedName>
    <definedName name="HP_31510">#REF!</definedName>
    <definedName name="HP_31525" localSheetId="30">#REF!</definedName>
    <definedName name="HP_31525" localSheetId="25">#REF!</definedName>
    <definedName name="HP_31525" localSheetId="28">#REF!</definedName>
    <definedName name="HP_31525" localSheetId="29">#REF!</definedName>
    <definedName name="HP_31525" localSheetId="12">#REF!</definedName>
    <definedName name="HP_31525" localSheetId="43">#REF!</definedName>
    <definedName name="HP_31525" localSheetId="42">#REF!</definedName>
    <definedName name="HP_31525" localSheetId="27">#REF!</definedName>
    <definedName name="HP_31525" localSheetId="45">#REF!</definedName>
    <definedName name="HP_31525">#REF!</definedName>
    <definedName name="HP_3206" localSheetId="30">#REF!</definedName>
    <definedName name="HP_3206" localSheetId="25">#REF!</definedName>
    <definedName name="HP_3206" localSheetId="28">#REF!</definedName>
    <definedName name="HP_3206" localSheetId="29">#REF!</definedName>
    <definedName name="HP_3206" localSheetId="12">#REF!</definedName>
    <definedName name="HP_3206" localSheetId="43">#REF!</definedName>
    <definedName name="HP_3206" localSheetId="42">#REF!</definedName>
    <definedName name="HP_3206" localSheetId="27">#REF!</definedName>
    <definedName name="HP_3206" localSheetId="45">#REF!</definedName>
    <definedName name="HP_3206">#REF!</definedName>
    <definedName name="HP_3210" localSheetId="30">#REF!</definedName>
    <definedName name="HP_3210" localSheetId="25">#REF!</definedName>
    <definedName name="HP_3210" localSheetId="28">#REF!</definedName>
    <definedName name="HP_3210" localSheetId="29">#REF!</definedName>
    <definedName name="HP_3210" localSheetId="12">#REF!</definedName>
    <definedName name="HP_3210" localSheetId="43">#REF!</definedName>
    <definedName name="HP_3210" localSheetId="42">#REF!</definedName>
    <definedName name="HP_3210" localSheetId="27">#REF!</definedName>
    <definedName name="HP_3210" localSheetId="45">#REF!</definedName>
    <definedName name="HP_3210">#REF!</definedName>
    <definedName name="HP_35504" localSheetId="30">#REF!</definedName>
    <definedName name="HP_35504" localSheetId="25">#REF!</definedName>
    <definedName name="HP_35504" localSheetId="28">#REF!</definedName>
    <definedName name="HP_35504" localSheetId="29">#REF!</definedName>
    <definedName name="HP_35504" localSheetId="12">#REF!</definedName>
    <definedName name="HP_35504" localSheetId="43">#REF!</definedName>
    <definedName name="HP_35504" localSheetId="42">#REF!</definedName>
    <definedName name="HP_35504" localSheetId="27">#REF!</definedName>
    <definedName name="HP_35504" localSheetId="45">#REF!</definedName>
    <definedName name="HP_35504">#REF!</definedName>
    <definedName name="HP_35506" localSheetId="30">#REF!</definedName>
    <definedName name="HP_35506" localSheetId="25">#REF!</definedName>
    <definedName name="HP_35506" localSheetId="28">#REF!</definedName>
    <definedName name="HP_35506" localSheetId="29">#REF!</definedName>
    <definedName name="HP_35506" localSheetId="12">#REF!</definedName>
    <definedName name="HP_35506" localSheetId="43">#REF!</definedName>
    <definedName name="HP_35506" localSheetId="42">#REF!</definedName>
    <definedName name="HP_35506" localSheetId="27">#REF!</definedName>
    <definedName name="HP_35506" localSheetId="45">#REF!</definedName>
    <definedName name="HP_35506">#REF!</definedName>
    <definedName name="HP_35510" localSheetId="30">#REF!</definedName>
    <definedName name="HP_35510" localSheetId="25">#REF!</definedName>
    <definedName name="HP_35510" localSheetId="28">#REF!</definedName>
    <definedName name="HP_35510" localSheetId="29">#REF!</definedName>
    <definedName name="HP_35510" localSheetId="12">#REF!</definedName>
    <definedName name="HP_35510" localSheetId="43">#REF!</definedName>
    <definedName name="HP_35510" localSheetId="42">#REF!</definedName>
    <definedName name="HP_35510" localSheetId="27">#REF!</definedName>
    <definedName name="HP_35510" localSheetId="45">#REF!</definedName>
    <definedName name="HP_35510">#REF!</definedName>
    <definedName name="HP_35525" localSheetId="30">#REF!</definedName>
    <definedName name="HP_35525" localSheetId="25">#REF!</definedName>
    <definedName name="HP_35525" localSheetId="28">#REF!</definedName>
    <definedName name="HP_35525" localSheetId="29">#REF!</definedName>
    <definedName name="HP_35525" localSheetId="12">#REF!</definedName>
    <definedName name="HP_35525" localSheetId="43">#REF!</definedName>
    <definedName name="HP_35525" localSheetId="42">#REF!</definedName>
    <definedName name="HP_35525" localSheetId="27">#REF!</definedName>
    <definedName name="HP_35525" localSheetId="45">#REF!</definedName>
    <definedName name="HP_35525">#REF!</definedName>
    <definedName name="HP_40004" localSheetId="30">#REF!</definedName>
    <definedName name="HP_40004" localSheetId="25">#REF!</definedName>
    <definedName name="HP_40004" localSheetId="28">#REF!</definedName>
    <definedName name="HP_40004" localSheetId="29">#REF!</definedName>
    <definedName name="HP_40004" localSheetId="12">#REF!</definedName>
    <definedName name="HP_40004" localSheetId="43">#REF!</definedName>
    <definedName name="HP_40004" localSheetId="42">#REF!</definedName>
    <definedName name="HP_40004" localSheetId="27">#REF!</definedName>
    <definedName name="HP_40004" localSheetId="45">#REF!</definedName>
    <definedName name="HP_40004">#REF!</definedName>
    <definedName name="HP_40006" localSheetId="30">#REF!</definedName>
    <definedName name="HP_40006" localSheetId="25">#REF!</definedName>
    <definedName name="HP_40006" localSheetId="28">#REF!</definedName>
    <definedName name="HP_40006" localSheetId="29">#REF!</definedName>
    <definedName name="HP_40006" localSheetId="12">#REF!</definedName>
    <definedName name="HP_40006" localSheetId="43">#REF!</definedName>
    <definedName name="HP_40006" localSheetId="42">#REF!</definedName>
    <definedName name="HP_40006" localSheetId="27">#REF!</definedName>
    <definedName name="HP_40006" localSheetId="45">#REF!</definedName>
    <definedName name="HP_40006">#REF!</definedName>
    <definedName name="HP_40010" localSheetId="30">#REF!</definedName>
    <definedName name="HP_40010" localSheetId="25">#REF!</definedName>
    <definedName name="HP_40010" localSheetId="28">#REF!</definedName>
    <definedName name="HP_40010" localSheetId="29">#REF!</definedName>
    <definedName name="HP_40010" localSheetId="12">#REF!</definedName>
    <definedName name="HP_40010" localSheetId="43">#REF!</definedName>
    <definedName name="HP_40010" localSheetId="42">#REF!</definedName>
    <definedName name="HP_40010" localSheetId="27">#REF!</definedName>
    <definedName name="HP_40010" localSheetId="45">#REF!</definedName>
    <definedName name="HP_40010">#REF!</definedName>
    <definedName name="HP_40025" localSheetId="30">#REF!</definedName>
    <definedName name="HP_40025" localSheetId="25">#REF!</definedName>
    <definedName name="HP_40025" localSheetId="28">#REF!</definedName>
    <definedName name="HP_40025" localSheetId="29">#REF!</definedName>
    <definedName name="HP_40025" localSheetId="12">#REF!</definedName>
    <definedName name="HP_40025" localSheetId="43">#REF!</definedName>
    <definedName name="HP_40025" localSheetId="42">#REF!</definedName>
    <definedName name="HP_40025" localSheetId="27">#REF!</definedName>
    <definedName name="HP_40025" localSheetId="45">#REF!</definedName>
    <definedName name="HP_40025">#REF!</definedName>
    <definedName name="HP_4004" localSheetId="30">#REF!</definedName>
    <definedName name="HP_4004" localSheetId="25">#REF!</definedName>
    <definedName name="HP_4004" localSheetId="28">#REF!</definedName>
    <definedName name="HP_4004" localSheetId="29">#REF!</definedName>
    <definedName name="HP_4004" localSheetId="12">#REF!</definedName>
    <definedName name="HP_4004" localSheetId="43">#REF!</definedName>
    <definedName name="HP_4004" localSheetId="42">#REF!</definedName>
    <definedName name="HP_4004" localSheetId="27">#REF!</definedName>
    <definedName name="HP_4004" localSheetId="45">#REF!</definedName>
    <definedName name="HP_4004">#REF!</definedName>
    <definedName name="HP_4006" localSheetId="30">#REF!</definedName>
    <definedName name="HP_4006" localSheetId="25">#REF!</definedName>
    <definedName name="HP_4006" localSheetId="28">#REF!</definedName>
    <definedName name="HP_4006" localSheetId="29">#REF!</definedName>
    <definedName name="HP_4006" localSheetId="12">#REF!</definedName>
    <definedName name="HP_4006" localSheetId="43">#REF!</definedName>
    <definedName name="HP_4006" localSheetId="42">#REF!</definedName>
    <definedName name="HP_4006" localSheetId="27">#REF!</definedName>
    <definedName name="HP_4006" localSheetId="45">#REF!</definedName>
    <definedName name="HP_4006">#REF!</definedName>
    <definedName name="HP_4010" localSheetId="30">#REF!</definedName>
    <definedName name="HP_4010" localSheetId="25">#REF!</definedName>
    <definedName name="HP_4010" localSheetId="28">#REF!</definedName>
    <definedName name="HP_4010" localSheetId="29">#REF!</definedName>
    <definedName name="HP_4010" localSheetId="12">#REF!</definedName>
    <definedName name="HP_4010" localSheetId="43">#REF!</definedName>
    <definedName name="HP_4010" localSheetId="42">#REF!</definedName>
    <definedName name="HP_4010" localSheetId="27">#REF!</definedName>
    <definedName name="HP_4010" localSheetId="45">#REF!</definedName>
    <definedName name="HP_4010">#REF!</definedName>
    <definedName name="HP_5004" localSheetId="30">#REF!</definedName>
    <definedName name="HP_5004" localSheetId="25">#REF!</definedName>
    <definedName name="HP_5004" localSheetId="28">#REF!</definedName>
    <definedName name="HP_5004" localSheetId="29">#REF!</definedName>
    <definedName name="HP_5004" localSheetId="12">#REF!</definedName>
    <definedName name="HP_5004" localSheetId="43">#REF!</definedName>
    <definedName name="HP_5004" localSheetId="42">#REF!</definedName>
    <definedName name="HP_5004" localSheetId="27">#REF!</definedName>
    <definedName name="HP_5004" localSheetId="45">#REF!</definedName>
    <definedName name="HP_5004">#REF!</definedName>
    <definedName name="HP_5006" localSheetId="30">#REF!</definedName>
    <definedName name="HP_5006" localSheetId="25">#REF!</definedName>
    <definedName name="HP_5006" localSheetId="28">#REF!</definedName>
    <definedName name="HP_5006" localSheetId="29">#REF!</definedName>
    <definedName name="HP_5006" localSheetId="12">#REF!</definedName>
    <definedName name="HP_5006" localSheetId="43">#REF!</definedName>
    <definedName name="HP_5006" localSheetId="42">#REF!</definedName>
    <definedName name="HP_5006" localSheetId="27">#REF!</definedName>
    <definedName name="HP_5006" localSheetId="45">#REF!</definedName>
    <definedName name="HP_5006">#REF!</definedName>
    <definedName name="HP_5010" localSheetId="30">#REF!</definedName>
    <definedName name="HP_5010" localSheetId="25">#REF!</definedName>
    <definedName name="HP_5010" localSheetId="28">#REF!</definedName>
    <definedName name="HP_5010" localSheetId="29">#REF!</definedName>
    <definedName name="HP_5010" localSheetId="12">#REF!</definedName>
    <definedName name="HP_5010" localSheetId="43">#REF!</definedName>
    <definedName name="HP_5010" localSheetId="42">#REF!</definedName>
    <definedName name="HP_5010" localSheetId="27">#REF!</definedName>
    <definedName name="HP_5010" localSheetId="45">#REF!</definedName>
    <definedName name="HP_5010">#REF!</definedName>
    <definedName name="hp_600">[5]DR!$D$41</definedName>
    <definedName name="HP_6304" localSheetId="30">#REF!</definedName>
    <definedName name="HP_6304" localSheetId="25">#REF!</definedName>
    <definedName name="HP_6304" localSheetId="28">#REF!</definedName>
    <definedName name="HP_6304" localSheetId="29">#REF!</definedName>
    <definedName name="HP_6304" localSheetId="12">#REF!</definedName>
    <definedName name="HP_6304" localSheetId="43">#REF!</definedName>
    <definedName name="HP_6304" localSheetId="42">#REF!</definedName>
    <definedName name="HP_6304" localSheetId="27">#REF!</definedName>
    <definedName name="HP_6304" localSheetId="45">#REF!</definedName>
    <definedName name="HP_6304">#REF!</definedName>
    <definedName name="HP_6306" localSheetId="30">#REF!</definedName>
    <definedName name="HP_6306" localSheetId="25">#REF!</definedName>
    <definedName name="HP_6306" localSheetId="28">#REF!</definedName>
    <definedName name="HP_6306" localSheetId="29">#REF!</definedName>
    <definedName name="HP_6306" localSheetId="12">#REF!</definedName>
    <definedName name="HP_6306" localSheetId="43">#REF!</definedName>
    <definedName name="HP_6306" localSheetId="42">#REF!</definedName>
    <definedName name="HP_6306" localSheetId="27">#REF!</definedName>
    <definedName name="HP_6306" localSheetId="45">#REF!</definedName>
    <definedName name="HP_6306">#REF!</definedName>
    <definedName name="HP_6310" localSheetId="30">#REF!</definedName>
    <definedName name="HP_6310" localSheetId="25">#REF!</definedName>
    <definedName name="HP_6310" localSheetId="28">#REF!</definedName>
    <definedName name="HP_6310" localSheetId="29">#REF!</definedName>
    <definedName name="HP_6310" localSheetId="12">#REF!</definedName>
    <definedName name="HP_6310" localSheetId="43">#REF!</definedName>
    <definedName name="HP_6310" localSheetId="42">#REF!</definedName>
    <definedName name="HP_6310" localSheetId="27">#REF!</definedName>
    <definedName name="HP_6310" localSheetId="45">#REF!</definedName>
    <definedName name="HP_6310">#REF!</definedName>
    <definedName name="HP_6325" localSheetId="30">#REF!</definedName>
    <definedName name="HP_6325" localSheetId="25">#REF!</definedName>
    <definedName name="HP_6325" localSheetId="28">#REF!</definedName>
    <definedName name="HP_6325" localSheetId="29">#REF!</definedName>
    <definedName name="HP_6325" localSheetId="12">#REF!</definedName>
    <definedName name="HP_6325" localSheetId="43">#REF!</definedName>
    <definedName name="HP_6325" localSheetId="42">#REF!</definedName>
    <definedName name="HP_6325" localSheetId="27">#REF!</definedName>
    <definedName name="HP_6325" localSheetId="45">#REF!</definedName>
    <definedName name="HP_6325">#REF!</definedName>
    <definedName name="HP_7504" localSheetId="30">#REF!</definedName>
    <definedName name="HP_7504" localSheetId="25">#REF!</definedName>
    <definedName name="HP_7504" localSheetId="28">#REF!</definedName>
    <definedName name="HP_7504" localSheetId="29">#REF!</definedName>
    <definedName name="HP_7504" localSheetId="12">#REF!</definedName>
    <definedName name="HP_7504" localSheetId="43">#REF!</definedName>
    <definedName name="HP_7504" localSheetId="42">#REF!</definedName>
    <definedName name="HP_7504" localSheetId="27">#REF!</definedName>
    <definedName name="HP_7504" localSheetId="45">#REF!</definedName>
    <definedName name="HP_7504">#REF!</definedName>
    <definedName name="HP_7506" localSheetId="30">#REF!</definedName>
    <definedName name="HP_7506" localSheetId="25">#REF!</definedName>
    <definedName name="HP_7506" localSheetId="28">#REF!</definedName>
    <definedName name="HP_7506" localSheetId="29">#REF!</definedName>
    <definedName name="HP_7506" localSheetId="12">#REF!</definedName>
    <definedName name="HP_7506" localSheetId="43">#REF!</definedName>
    <definedName name="HP_7506" localSheetId="42">#REF!</definedName>
    <definedName name="HP_7506" localSheetId="27">#REF!</definedName>
    <definedName name="HP_7506" localSheetId="45">#REF!</definedName>
    <definedName name="HP_7506">#REF!</definedName>
    <definedName name="HP_7510" localSheetId="30">#REF!</definedName>
    <definedName name="HP_7510" localSheetId="25">#REF!</definedName>
    <definedName name="HP_7510" localSheetId="28">#REF!</definedName>
    <definedName name="HP_7510" localSheetId="29">#REF!</definedName>
    <definedName name="HP_7510" localSheetId="12">#REF!</definedName>
    <definedName name="HP_7510" localSheetId="43">#REF!</definedName>
    <definedName name="HP_7510" localSheetId="42">#REF!</definedName>
    <definedName name="HP_7510" localSheetId="27">#REF!</definedName>
    <definedName name="HP_7510" localSheetId="45">#REF!</definedName>
    <definedName name="HP_7510">#REF!</definedName>
    <definedName name="HP_7525" localSheetId="30">#REF!</definedName>
    <definedName name="HP_7525" localSheetId="25">#REF!</definedName>
    <definedName name="HP_7525" localSheetId="28">#REF!</definedName>
    <definedName name="HP_7525" localSheetId="29">#REF!</definedName>
    <definedName name="HP_7525" localSheetId="12">#REF!</definedName>
    <definedName name="HP_7525" localSheetId="43">#REF!</definedName>
    <definedName name="HP_7525" localSheetId="42">#REF!</definedName>
    <definedName name="HP_7525" localSheetId="27">#REF!</definedName>
    <definedName name="HP_7525" localSheetId="45">#REF!</definedName>
    <definedName name="HP_7525">#REF!</definedName>
    <definedName name="hp_900">[5]DR!$D$42</definedName>
    <definedName name="HP_9004" localSheetId="30">#REF!</definedName>
    <definedName name="HP_9004" localSheetId="25">#REF!</definedName>
    <definedName name="HP_9004" localSheetId="28">#REF!</definedName>
    <definedName name="HP_9004" localSheetId="29">#REF!</definedName>
    <definedName name="HP_9004" localSheetId="12">#REF!</definedName>
    <definedName name="HP_9004" localSheetId="43">#REF!</definedName>
    <definedName name="HP_9004" localSheetId="42">#REF!</definedName>
    <definedName name="HP_9004" localSheetId="27">#REF!</definedName>
    <definedName name="HP_9004" localSheetId="45">#REF!</definedName>
    <definedName name="HP_9004">#REF!</definedName>
    <definedName name="HP_9006" localSheetId="30">#REF!</definedName>
    <definedName name="HP_9006" localSheetId="25">#REF!</definedName>
    <definedName name="HP_9006" localSheetId="28">#REF!</definedName>
    <definedName name="HP_9006" localSheetId="29">#REF!</definedName>
    <definedName name="HP_9006" localSheetId="12">#REF!</definedName>
    <definedName name="HP_9006" localSheetId="43">#REF!</definedName>
    <definedName name="HP_9006" localSheetId="42">#REF!</definedName>
    <definedName name="HP_9006" localSheetId="27">#REF!</definedName>
    <definedName name="HP_9006" localSheetId="45">#REF!</definedName>
    <definedName name="HP_9006">#REF!</definedName>
    <definedName name="HP_9010" localSheetId="30">#REF!</definedName>
    <definedName name="HP_9010" localSheetId="25">#REF!</definedName>
    <definedName name="HP_9010" localSheetId="28">#REF!</definedName>
    <definedName name="HP_9010" localSheetId="29">#REF!</definedName>
    <definedName name="HP_9010" localSheetId="12">#REF!</definedName>
    <definedName name="HP_9010" localSheetId="43">#REF!</definedName>
    <definedName name="HP_9010" localSheetId="42">#REF!</definedName>
    <definedName name="HP_9010" localSheetId="27">#REF!</definedName>
    <definedName name="HP_9010" localSheetId="45">#REF!</definedName>
    <definedName name="HP_9010">#REF!</definedName>
    <definedName name="HP_9025" localSheetId="30">#REF!</definedName>
    <definedName name="HP_9025" localSheetId="25">#REF!</definedName>
    <definedName name="HP_9025" localSheetId="28">#REF!</definedName>
    <definedName name="HP_9025" localSheetId="29">#REF!</definedName>
    <definedName name="HP_9025" localSheetId="12">#REF!</definedName>
    <definedName name="HP_9025" localSheetId="43">#REF!</definedName>
    <definedName name="HP_9025" localSheetId="42">#REF!</definedName>
    <definedName name="HP_9025" localSheetId="27">#REF!</definedName>
    <definedName name="HP_9025" localSheetId="45">#REF!</definedName>
    <definedName name="HP_9025">#REF!</definedName>
    <definedName name="HPA_4" localSheetId="30">#REF!</definedName>
    <definedName name="HPA_4" localSheetId="25">#REF!</definedName>
    <definedName name="HPA_4" localSheetId="28">#REF!</definedName>
    <definedName name="HPA_4" localSheetId="29">#REF!</definedName>
    <definedName name="HPA_4" localSheetId="12">#REF!</definedName>
    <definedName name="HPA_4" localSheetId="43">#REF!</definedName>
    <definedName name="HPA_4" localSheetId="42">#REF!</definedName>
    <definedName name="HPA_4" localSheetId="27">#REF!</definedName>
    <definedName name="HPA_4" localSheetId="45">#REF!</definedName>
    <definedName name="HPA_4">#REF!</definedName>
    <definedName name="HPA_5" localSheetId="30">#REF!</definedName>
    <definedName name="HPA_5" localSheetId="25">#REF!</definedName>
    <definedName name="HPA_5" localSheetId="28">#REF!</definedName>
    <definedName name="HPA_5" localSheetId="29">#REF!</definedName>
    <definedName name="HPA_5" localSheetId="12">#REF!</definedName>
    <definedName name="HPA_5" localSheetId="43">#REF!</definedName>
    <definedName name="HPA_5" localSheetId="42">#REF!</definedName>
    <definedName name="HPA_5" localSheetId="27">#REF!</definedName>
    <definedName name="HPA_5" localSheetId="45">#REF!</definedName>
    <definedName name="HPA_5">#REF!</definedName>
    <definedName name="HPA_6" localSheetId="30">#REF!</definedName>
    <definedName name="HPA_6" localSheetId="25">#REF!</definedName>
    <definedName name="HPA_6" localSheetId="28">#REF!</definedName>
    <definedName name="HPA_6" localSheetId="29">#REF!</definedName>
    <definedName name="HPA_6" localSheetId="12">#REF!</definedName>
    <definedName name="HPA_6" localSheetId="43">#REF!</definedName>
    <definedName name="HPA_6" localSheetId="42">#REF!</definedName>
    <definedName name="HPA_6" localSheetId="27">#REF!</definedName>
    <definedName name="HPA_6" localSheetId="45">#REF!</definedName>
    <definedName name="HPA_6">#REF!</definedName>
    <definedName name="HPA_7" localSheetId="30">#REF!</definedName>
    <definedName name="HPA_7" localSheetId="25">#REF!</definedName>
    <definedName name="HPA_7" localSheetId="28">#REF!</definedName>
    <definedName name="HPA_7" localSheetId="29">#REF!</definedName>
    <definedName name="HPA_7" localSheetId="12">#REF!</definedName>
    <definedName name="HPA_7" localSheetId="43">#REF!</definedName>
    <definedName name="HPA_7" localSheetId="42">#REF!</definedName>
    <definedName name="HPA_7" localSheetId="27">#REF!</definedName>
    <definedName name="HPA_7" localSheetId="45">#REF!</definedName>
    <definedName name="HPA_7">#REF!</definedName>
    <definedName name="HPA_8" localSheetId="30">#REF!</definedName>
    <definedName name="HPA_8" localSheetId="25">#REF!</definedName>
    <definedName name="HPA_8" localSheetId="28">#REF!</definedName>
    <definedName name="HPA_8" localSheetId="29">#REF!</definedName>
    <definedName name="HPA_8" localSheetId="12">#REF!</definedName>
    <definedName name="HPA_8" localSheetId="43">#REF!</definedName>
    <definedName name="HPA_8" localSheetId="42">#REF!</definedName>
    <definedName name="HPA_8" localSheetId="27">#REF!</definedName>
    <definedName name="HPA_8" localSheetId="45">#REF!</definedName>
    <definedName name="HPA_8">#REF!</definedName>
    <definedName name="HPB_3" localSheetId="30">#REF!</definedName>
    <definedName name="HPB_3" localSheetId="25">#REF!</definedName>
    <definedName name="HPB_3" localSheetId="28">#REF!</definedName>
    <definedName name="HPB_3" localSheetId="29">#REF!</definedName>
    <definedName name="HPB_3" localSheetId="12">#REF!</definedName>
    <definedName name="HPB_3" localSheetId="43">#REF!</definedName>
    <definedName name="HPB_3" localSheetId="42">#REF!</definedName>
    <definedName name="HPB_3" localSheetId="27">#REF!</definedName>
    <definedName name="HPB_3" localSheetId="45">#REF!</definedName>
    <definedName name="HPB_3">#REF!</definedName>
    <definedName name="HPB_4" localSheetId="30">#REF!</definedName>
    <definedName name="HPB_4" localSheetId="25">#REF!</definedName>
    <definedName name="HPB_4" localSheetId="28">#REF!</definedName>
    <definedName name="HPB_4" localSheetId="29">#REF!</definedName>
    <definedName name="HPB_4" localSheetId="12">#REF!</definedName>
    <definedName name="HPB_4" localSheetId="43">#REF!</definedName>
    <definedName name="HPB_4" localSheetId="42">#REF!</definedName>
    <definedName name="HPB_4" localSheetId="27">#REF!</definedName>
    <definedName name="HPB_4" localSheetId="45">#REF!</definedName>
    <definedName name="HPB_4">#REF!</definedName>
    <definedName name="HPB_5" localSheetId="30">#REF!</definedName>
    <definedName name="HPB_5" localSheetId="25">#REF!</definedName>
    <definedName name="HPB_5" localSheetId="28">#REF!</definedName>
    <definedName name="HPB_5" localSheetId="29">#REF!</definedName>
    <definedName name="HPB_5" localSheetId="12">#REF!</definedName>
    <definedName name="HPB_5" localSheetId="43">#REF!</definedName>
    <definedName name="HPB_5" localSheetId="42">#REF!</definedName>
    <definedName name="HPB_5" localSheetId="27">#REF!</definedName>
    <definedName name="HPB_5" localSheetId="45">#REF!</definedName>
    <definedName name="HPB_5">#REF!</definedName>
    <definedName name="HPB_6" localSheetId="30">#REF!</definedName>
    <definedName name="HPB_6" localSheetId="25">#REF!</definedName>
    <definedName name="HPB_6" localSheetId="28">#REF!</definedName>
    <definedName name="HPB_6" localSheetId="29">#REF!</definedName>
    <definedName name="HPB_6" localSheetId="12">#REF!</definedName>
    <definedName name="HPB_6" localSheetId="43">#REF!</definedName>
    <definedName name="HPB_6" localSheetId="42">#REF!</definedName>
    <definedName name="HPB_6" localSheetId="27">#REF!</definedName>
    <definedName name="HPB_6" localSheetId="45">#REF!</definedName>
    <definedName name="HPB_6">#REF!</definedName>
    <definedName name="HPB_7" localSheetId="30">#REF!</definedName>
    <definedName name="HPB_7" localSheetId="25">#REF!</definedName>
    <definedName name="HPB_7" localSheetId="28">#REF!</definedName>
    <definedName name="HPB_7" localSheetId="29">#REF!</definedName>
    <definedName name="HPB_7" localSheetId="12">#REF!</definedName>
    <definedName name="HPB_7" localSheetId="43">#REF!</definedName>
    <definedName name="HPB_7" localSheetId="42">#REF!</definedName>
    <definedName name="HPB_7" localSheetId="27">#REF!</definedName>
    <definedName name="HPB_7" localSheetId="45">#REF!</definedName>
    <definedName name="HPB_7">#REF!</definedName>
    <definedName name="HPB_8" localSheetId="30">#REF!</definedName>
    <definedName name="HPB_8" localSheetId="25">#REF!</definedName>
    <definedName name="HPB_8" localSheetId="28">#REF!</definedName>
    <definedName name="HPB_8" localSheetId="29">#REF!</definedName>
    <definedName name="HPB_8" localSheetId="12">#REF!</definedName>
    <definedName name="HPB_8" localSheetId="43">#REF!</definedName>
    <definedName name="HPB_8" localSheetId="42">#REF!</definedName>
    <definedName name="HPB_8" localSheetId="27">#REF!</definedName>
    <definedName name="HPB_8" localSheetId="45">#REF!</definedName>
    <definedName name="HPB_8">#REF!</definedName>
    <definedName name="HPC_0" localSheetId="30">#REF!</definedName>
    <definedName name="HPC_0" localSheetId="25">#REF!</definedName>
    <definedName name="HPC_0" localSheetId="28">#REF!</definedName>
    <definedName name="HPC_0" localSheetId="29">#REF!</definedName>
    <definedName name="HPC_0" localSheetId="12">#REF!</definedName>
    <definedName name="HPC_0" localSheetId="43">#REF!</definedName>
    <definedName name="HPC_0" localSheetId="42">#REF!</definedName>
    <definedName name="HPC_0" localSheetId="27">#REF!</definedName>
    <definedName name="HPC_0" localSheetId="45">#REF!</definedName>
    <definedName name="HPC_0">#REF!</definedName>
    <definedName name="HPC_1" localSheetId="30">#REF!</definedName>
    <definedName name="HPC_1" localSheetId="25">#REF!</definedName>
    <definedName name="HPC_1" localSheetId="28">#REF!</definedName>
    <definedName name="HPC_1" localSheetId="29">#REF!</definedName>
    <definedName name="HPC_1" localSheetId="12">#REF!</definedName>
    <definedName name="HPC_1" localSheetId="43">#REF!</definedName>
    <definedName name="HPC_1" localSheetId="42">#REF!</definedName>
    <definedName name="HPC_1" localSheetId="27">#REF!</definedName>
    <definedName name="HPC_1" localSheetId="45">#REF!</definedName>
    <definedName name="HPC_1">#REF!</definedName>
    <definedName name="HPC_2" localSheetId="30">#REF!</definedName>
    <definedName name="HPC_2" localSheetId="25">#REF!</definedName>
    <definedName name="HPC_2" localSheetId="28">#REF!</definedName>
    <definedName name="HPC_2" localSheetId="29">#REF!</definedName>
    <definedName name="HPC_2" localSheetId="12">#REF!</definedName>
    <definedName name="HPC_2" localSheetId="43">#REF!</definedName>
    <definedName name="HPC_2" localSheetId="42">#REF!</definedName>
    <definedName name="HPC_2" localSheetId="27">#REF!</definedName>
    <definedName name="HPC_2" localSheetId="45">#REF!</definedName>
    <definedName name="HPC_2">#REF!</definedName>
    <definedName name="HPC_3" localSheetId="30">#REF!</definedName>
    <definedName name="HPC_3" localSheetId="25">#REF!</definedName>
    <definedName name="HPC_3" localSheetId="28">#REF!</definedName>
    <definedName name="HPC_3" localSheetId="29">#REF!</definedName>
    <definedName name="HPC_3" localSheetId="12">#REF!</definedName>
    <definedName name="HPC_3" localSheetId="43">#REF!</definedName>
    <definedName name="HPC_3" localSheetId="42">#REF!</definedName>
    <definedName name="HPC_3" localSheetId="27">#REF!</definedName>
    <definedName name="HPC_3" localSheetId="45">#REF!</definedName>
    <definedName name="HPC_3">#REF!</definedName>
    <definedName name="HPC_4" localSheetId="30">#REF!</definedName>
    <definedName name="HPC_4" localSheetId="25">#REF!</definedName>
    <definedName name="HPC_4" localSheetId="28">#REF!</definedName>
    <definedName name="HPC_4" localSheetId="29">#REF!</definedName>
    <definedName name="HPC_4" localSheetId="12">#REF!</definedName>
    <definedName name="HPC_4" localSheetId="43">#REF!</definedName>
    <definedName name="HPC_4" localSheetId="42">#REF!</definedName>
    <definedName name="HPC_4" localSheetId="27">#REF!</definedName>
    <definedName name="HPC_4" localSheetId="45">#REF!</definedName>
    <definedName name="HPC_4">#REF!</definedName>
    <definedName name="HPC_5" localSheetId="30">#REF!</definedName>
    <definedName name="HPC_5" localSheetId="25">#REF!</definedName>
    <definedName name="HPC_5" localSheetId="28">#REF!</definedName>
    <definedName name="HPC_5" localSheetId="29">#REF!</definedName>
    <definedName name="HPC_5" localSheetId="12">#REF!</definedName>
    <definedName name="HPC_5" localSheetId="43">#REF!</definedName>
    <definedName name="HPC_5" localSheetId="42">#REF!</definedName>
    <definedName name="HPC_5" localSheetId="27">#REF!</definedName>
    <definedName name="HPC_5" localSheetId="45">#REF!</definedName>
    <definedName name="HPC_5">#REF!</definedName>
    <definedName name="HPC_6" localSheetId="30">#REF!</definedName>
    <definedName name="HPC_6" localSheetId="25">#REF!</definedName>
    <definedName name="HPC_6" localSheetId="28">#REF!</definedName>
    <definedName name="HPC_6" localSheetId="29">#REF!</definedName>
    <definedName name="HPC_6" localSheetId="12">#REF!</definedName>
    <definedName name="HPC_6" localSheetId="43">#REF!</definedName>
    <definedName name="HPC_6" localSheetId="42">#REF!</definedName>
    <definedName name="HPC_6" localSheetId="27">#REF!</definedName>
    <definedName name="HPC_6" localSheetId="45">#REF!</definedName>
    <definedName name="HPC_6">#REF!</definedName>
    <definedName name="HPC_7" localSheetId="30">#REF!</definedName>
    <definedName name="HPC_7" localSheetId="25">#REF!</definedName>
    <definedName name="HPC_7" localSheetId="28">#REF!</definedName>
    <definedName name="HPC_7" localSheetId="29">#REF!</definedName>
    <definedName name="HPC_7" localSheetId="12">#REF!</definedName>
    <definedName name="HPC_7" localSheetId="43">#REF!</definedName>
    <definedName name="HPC_7" localSheetId="42">#REF!</definedName>
    <definedName name="HPC_7" localSheetId="27">#REF!</definedName>
    <definedName name="HPC_7" localSheetId="45">#REF!</definedName>
    <definedName name="HPC_7">#REF!</definedName>
    <definedName name="HPC_8" localSheetId="30">#REF!</definedName>
    <definedName name="HPC_8" localSheetId="25">#REF!</definedName>
    <definedName name="HPC_8" localSheetId="28">#REF!</definedName>
    <definedName name="HPC_8" localSheetId="29">#REF!</definedName>
    <definedName name="HPC_8" localSheetId="12">#REF!</definedName>
    <definedName name="HPC_8" localSheetId="43">#REF!</definedName>
    <definedName name="HPC_8" localSheetId="42">#REF!</definedName>
    <definedName name="HPC_8" localSheetId="27">#REF!</definedName>
    <definedName name="HPC_8" localSheetId="45">#REF!</definedName>
    <definedName name="HPC_8">#REF!</definedName>
    <definedName name="hpt">[24]Ta301!$I$7</definedName>
    <definedName name="HR_1" localSheetId="30">#REF!</definedName>
    <definedName name="HR_1" localSheetId="25">#REF!</definedName>
    <definedName name="HR_1" localSheetId="28">#REF!</definedName>
    <definedName name="HR_1" localSheetId="29">#REF!</definedName>
    <definedName name="HR_1" localSheetId="12">#REF!</definedName>
    <definedName name="HR_1" localSheetId="43">#REF!</definedName>
    <definedName name="HR_1" localSheetId="42">#REF!</definedName>
    <definedName name="HR_1" localSheetId="27">#REF!</definedName>
    <definedName name="HR_1" localSheetId="45">#REF!</definedName>
    <definedName name="HR_1">#REF!</definedName>
    <definedName name="HR_10" localSheetId="30">#REF!</definedName>
    <definedName name="HR_10" localSheetId="25">#REF!</definedName>
    <definedName name="HR_10" localSheetId="28">#REF!</definedName>
    <definedName name="HR_10" localSheetId="29">#REF!</definedName>
    <definedName name="HR_10" localSheetId="12">#REF!</definedName>
    <definedName name="HR_10" localSheetId="43">#REF!</definedName>
    <definedName name="HR_10" localSheetId="42">#REF!</definedName>
    <definedName name="HR_10" localSheetId="27">#REF!</definedName>
    <definedName name="HR_10" localSheetId="45">#REF!</definedName>
    <definedName name="HR_10">#REF!</definedName>
    <definedName name="HR_11" localSheetId="30">#REF!</definedName>
    <definedName name="HR_11" localSheetId="25">#REF!</definedName>
    <definedName name="HR_11" localSheetId="28">#REF!</definedName>
    <definedName name="HR_11" localSheetId="29">#REF!</definedName>
    <definedName name="HR_11" localSheetId="12">#REF!</definedName>
    <definedName name="HR_11" localSheetId="43">#REF!</definedName>
    <definedName name="HR_11" localSheetId="42">#REF!</definedName>
    <definedName name="HR_11" localSheetId="27">#REF!</definedName>
    <definedName name="HR_11" localSheetId="45">#REF!</definedName>
    <definedName name="HR_11">#REF!</definedName>
    <definedName name="HR_110x90" localSheetId="30">#REF!</definedName>
    <definedName name="HR_110x90" localSheetId="25">#REF!</definedName>
    <definedName name="HR_110x90" localSheetId="28">#REF!</definedName>
    <definedName name="HR_110x90" localSheetId="29">#REF!</definedName>
    <definedName name="HR_110x90" localSheetId="12">#REF!</definedName>
    <definedName name="HR_110x90" localSheetId="43">#REF!</definedName>
    <definedName name="HR_110x90" localSheetId="42">#REF!</definedName>
    <definedName name="HR_110x90" localSheetId="27">#REF!</definedName>
    <definedName name="HR_110x90" localSheetId="45">#REF!</definedName>
    <definedName name="HR_110x90">#REF!</definedName>
    <definedName name="HR_12" localSheetId="30">#REF!</definedName>
    <definedName name="HR_12" localSheetId="25">#REF!</definedName>
    <definedName name="HR_12" localSheetId="28">#REF!</definedName>
    <definedName name="HR_12" localSheetId="29">#REF!</definedName>
    <definedName name="HR_12" localSheetId="12">#REF!</definedName>
    <definedName name="HR_12" localSheetId="43">#REF!</definedName>
    <definedName name="HR_12" localSheetId="42">#REF!</definedName>
    <definedName name="HR_12" localSheetId="27">#REF!</definedName>
    <definedName name="HR_12" localSheetId="45">#REF!</definedName>
    <definedName name="HR_12">#REF!</definedName>
    <definedName name="HR_125x100" localSheetId="30">#REF!</definedName>
    <definedName name="HR_125x100" localSheetId="25">#REF!</definedName>
    <definedName name="HR_125x100" localSheetId="28">#REF!</definedName>
    <definedName name="HR_125x100" localSheetId="29">#REF!</definedName>
    <definedName name="HR_125x100" localSheetId="12">#REF!</definedName>
    <definedName name="HR_125x100" localSheetId="43">#REF!</definedName>
    <definedName name="HR_125x100" localSheetId="42">#REF!</definedName>
    <definedName name="HR_125x100" localSheetId="27">#REF!</definedName>
    <definedName name="HR_125x100" localSheetId="45">#REF!</definedName>
    <definedName name="HR_125x100">#REF!</definedName>
    <definedName name="HR_160x125" localSheetId="30">#REF!</definedName>
    <definedName name="HR_160x125" localSheetId="25">#REF!</definedName>
    <definedName name="HR_160x125" localSheetId="28">#REF!</definedName>
    <definedName name="HR_160x125" localSheetId="29">#REF!</definedName>
    <definedName name="HR_160x125" localSheetId="12">#REF!</definedName>
    <definedName name="HR_160x125" localSheetId="43">#REF!</definedName>
    <definedName name="HR_160x125" localSheetId="42">#REF!</definedName>
    <definedName name="HR_160x125" localSheetId="27">#REF!</definedName>
    <definedName name="HR_160x125" localSheetId="45">#REF!</definedName>
    <definedName name="HR_160x125">#REF!</definedName>
    <definedName name="HR_160x140" localSheetId="30">#REF!</definedName>
    <definedName name="HR_160x140" localSheetId="25">#REF!</definedName>
    <definedName name="HR_160x140" localSheetId="28">#REF!</definedName>
    <definedName name="HR_160x140" localSheetId="29">#REF!</definedName>
    <definedName name="HR_160x140" localSheetId="12">#REF!</definedName>
    <definedName name="HR_160x140" localSheetId="43">#REF!</definedName>
    <definedName name="HR_160x140" localSheetId="42">#REF!</definedName>
    <definedName name="HR_160x140" localSheetId="27">#REF!</definedName>
    <definedName name="HR_160x140" localSheetId="45">#REF!</definedName>
    <definedName name="HR_160x140">#REF!</definedName>
    <definedName name="HR_160x150" localSheetId="30">#REF!</definedName>
    <definedName name="HR_160x150" localSheetId="25">#REF!</definedName>
    <definedName name="HR_160x150" localSheetId="28">#REF!</definedName>
    <definedName name="HR_160x150" localSheetId="29">#REF!</definedName>
    <definedName name="HR_160x150" localSheetId="12">#REF!</definedName>
    <definedName name="HR_160x150" localSheetId="43">#REF!</definedName>
    <definedName name="HR_160x150" localSheetId="42">#REF!</definedName>
    <definedName name="HR_160x150" localSheetId="27">#REF!</definedName>
    <definedName name="HR_160x150" localSheetId="45">#REF!</definedName>
    <definedName name="HR_160x150">#REF!</definedName>
    <definedName name="HR_2" localSheetId="30">#REF!</definedName>
    <definedName name="HR_2" localSheetId="25">#REF!</definedName>
    <definedName name="HR_2" localSheetId="28">#REF!</definedName>
    <definedName name="HR_2" localSheetId="29">#REF!</definedName>
    <definedName name="HR_2" localSheetId="12">#REF!</definedName>
    <definedName name="HR_2" localSheetId="43">#REF!</definedName>
    <definedName name="HR_2" localSheetId="42">#REF!</definedName>
    <definedName name="HR_2" localSheetId="27">#REF!</definedName>
    <definedName name="HR_2" localSheetId="45">#REF!</definedName>
    <definedName name="HR_2">#REF!</definedName>
    <definedName name="HR_3" localSheetId="30">#REF!</definedName>
    <definedName name="HR_3" localSheetId="25">#REF!</definedName>
    <definedName name="HR_3" localSheetId="28">#REF!</definedName>
    <definedName name="HR_3" localSheetId="29">#REF!</definedName>
    <definedName name="HR_3" localSheetId="12">#REF!</definedName>
    <definedName name="HR_3" localSheetId="43">#REF!</definedName>
    <definedName name="HR_3" localSheetId="42">#REF!</definedName>
    <definedName name="HR_3" localSheetId="27">#REF!</definedName>
    <definedName name="HR_3" localSheetId="45">#REF!</definedName>
    <definedName name="HR_3">#REF!</definedName>
    <definedName name="HR_32x25" localSheetId="30">#REF!</definedName>
    <definedName name="HR_32x25" localSheetId="25">#REF!</definedName>
    <definedName name="HR_32x25" localSheetId="28">#REF!</definedName>
    <definedName name="HR_32x25" localSheetId="29">#REF!</definedName>
    <definedName name="HR_32x25" localSheetId="12">#REF!</definedName>
    <definedName name="HR_32x25" localSheetId="43">#REF!</definedName>
    <definedName name="HR_32x25" localSheetId="42">#REF!</definedName>
    <definedName name="HR_32x25" localSheetId="27">#REF!</definedName>
    <definedName name="HR_32x25" localSheetId="45">#REF!</definedName>
    <definedName name="HR_32x25">#REF!</definedName>
    <definedName name="HR_4" localSheetId="30">#REF!</definedName>
    <definedName name="HR_4" localSheetId="25">#REF!</definedName>
    <definedName name="HR_4" localSheetId="28">#REF!</definedName>
    <definedName name="HR_4" localSheetId="29">#REF!</definedName>
    <definedName name="HR_4" localSheetId="12">#REF!</definedName>
    <definedName name="HR_4" localSheetId="43">#REF!</definedName>
    <definedName name="HR_4" localSheetId="42">#REF!</definedName>
    <definedName name="HR_4" localSheetId="27">#REF!</definedName>
    <definedName name="HR_4" localSheetId="45">#REF!</definedName>
    <definedName name="HR_4">#REF!</definedName>
    <definedName name="HR_40x20" localSheetId="30">#REF!</definedName>
    <definedName name="HR_40x20" localSheetId="25">#REF!</definedName>
    <definedName name="HR_40x20" localSheetId="28">#REF!</definedName>
    <definedName name="HR_40x20" localSheetId="29">#REF!</definedName>
    <definedName name="HR_40x20" localSheetId="12">#REF!</definedName>
    <definedName name="HR_40x20" localSheetId="43">#REF!</definedName>
    <definedName name="HR_40x20" localSheetId="42">#REF!</definedName>
    <definedName name="HR_40x20" localSheetId="27">#REF!</definedName>
    <definedName name="HR_40x20" localSheetId="45">#REF!</definedName>
    <definedName name="HR_40x20">#REF!</definedName>
    <definedName name="HR_40x32" localSheetId="30">#REF!</definedName>
    <definedName name="HR_40x32" localSheetId="25">#REF!</definedName>
    <definedName name="HR_40x32" localSheetId="28">#REF!</definedName>
    <definedName name="HR_40x32" localSheetId="29">#REF!</definedName>
    <definedName name="HR_40x32" localSheetId="12">#REF!</definedName>
    <definedName name="HR_40x32" localSheetId="43">#REF!</definedName>
    <definedName name="HR_40x32" localSheetId="42">#REF!</definedName>
    <definedName name="HR_40x32" localSheetId="27">#REF!</definedName>
    <definedName name="HR_40x32" localSheetId="45">#REF!</definedName>
    <definedName name="HR_40x32">#REF!</definedName>
    <definedName name="HR_5" localSheetId="30">#REF!</definedName>
    <definedName name="HR_5" localSheetId="25">#REF!</definedName>
    <definedName name="HR_5" localSheetId="28">#REF!</definedName>
    <definedName name="HR_5" localSheetId="29">#REF!</definedName>
    <definedName name="HR_5" localSheetId="12">#REF!</definedName>
    <definedName name="HR_5" localSheetId="43">#REF!</definedName>
    <definedName name="HR_5" localSheetId="42">#REF!</definedName>
    <definedName name="HR_5" localSheetId="27">#REF!</definedName>
    <definedName name="HR_5" localSheetId="45">#REF!</definedName>
    <definedName name="HR_5">#REF!</definedName>
    <definedName name="HR_50x32" localSheetId="30">#REF!</definedName>
    <definedName name="HR_50x32" localSheetId="25">#REF!</definedName>
    <definedName name="HR_50x32" localSheetId="28">#REF!</definedName>
    <definedName name="HR_50x32" localSheetId="29">#REF!</definedName>
    <definedName name="HR_50x32" localSheetId="12">#REF!</definedName>
    <definedName name="HR_50x32" localSheetId="43">#REF!</definedName>
    <definedName name="HR_50x32" localSheetId="42">#REF!</definedName>
    <definedName name="HR_50x32" localSheetId="27">#REF!</definedName>
    <definedName name="HR_50x32" localSheetId="45">#REF!</definedName>
    <definedName name="HR_50x32">#REF!</definedName>
    <definedName name="HR_50x40" localSheetId="30">#REF!</definedName>
    <definedName name="HR_50x40" localSheetId="25">#REF!</definedName>
    <definedName name="HR_50x40" localSheetId="28">#REF!</definedName>
    <definedName name="HR_50x40" localSheetId="29">#REF!</definedName>
    <definedName name="HR_50x40" localSheetId="12">#REF!</definedName>
    <definedName name="HR_50x40" localSheetId="43">#REF!</definedName>
    <definedName name="HR_50x40" localSheetId="42">#REF!</definedName>
    <definedName name="HR_50x40" localSheetId="27">#REF!</definedName>
    <definedName name="HR_50x40" localSheetId="45">#REF!</definedName>
    <definedName name="HR_50x40">#REF!</definedName>
    <definedName name="HR_6" localSheetId="30">#REF!</definedName>
    <definedName name="HR_6" localSheetId="25">#REF!</definedName>
    <definedName name="HR_6" localSheetId="28">#REF!</definedName>
    <definedName name="HR_6" localSheetId="29">#REF!</definedName>
    <definedName name="HR_6" localSheetId="12">#REF!</definedName>
    <definedName name="HR_6" localSheetId="43">#REF!</definedName>
    <definedName name="HR_6" localSheetId="42">#REF!</definedName>
    <definedName name="HR_6" localSheetId="27">#REF!</definedName>
    <definedName name="HR_6" localSheetId="45">#REF!</definedName>
    <definedName name="HR_6">#REF!</definedName>
    <definedName name="HR_63x50" localSheetId="30">#REF!</definedName>
    <definedName name="HR_63x50" localSheetId="25">#REF!</definedName>
    <definedName name="HR_63x50" localSheetId="28">#REF!</definedName>
    <definedName name="HR_63x50" localSheetId="29">#REF!</definedName>
    <definedName name="HR_63x50" localSheetId="12">#REF!</definedName>
    <definedName name="HR_63x50" localSheetId="43">#REF!</definedName>
    <definedName name="HR_63x50" localSheetId="42">#REF!</definedName>
    <definedName name="HR_63x50" localSheetId="27">#REF!</definedName>
    <definedName name="HR_63x50" localSheetId="45">#REF!</definedName>
    <definedName name="HR_63x50">#REF!</definedName>
    <definedName name="HR_7" localSheetId="30">#REF!</definedName>
    <definedName name="HR_7" localSheetId="25">#REF!</definedName>
    <definedName name="HR_7" localSheetId="28">#REF!</definedName>
    <definedName name="HR_7" localSheetId="29">#REF!</definedName>
    <definedName name="HR_7" localSheetId="12">#REF!</definedName>
    <definedName name="HR_7" localSheetId="43">#REF!</definedName>
    <definedName name="HR_7" localSheetId="42">#REF!</definedName>
    <definedName name="HR_7" localSheetId="27">#REF!</definedName>
    <definedName name="HR_7" localSheetId="45">#REF!</definedName>
    <definedName name="HR_7">#REF!</definedName>
    <definedName name="HR_8" localSheetId="30">#REF!</definedName>
    <definedName name="HR_8" localSheetId="25">#REF!</definedName>
    <definedName name="HR_8" localSheetId="28">#REF!</definedName>
    <definedName name="HR_8" localSheetId="29">#REF!</definedName>
    <definedName name="HR_8" localSheetId="12">#REF!</definedName>
    <definedName name="HR_8" localSheetId="43">#REF!</definedName>
    <definedName name="HR_8" localSheetId="42">#REF!</definedName>
    <definedName name="HR_8" localSheetId="27">#REF!</definedName>
    <definedName name="HR_8" localSheetId="45">#REF!</definedName>
    <definedName name="HR_8">#REF!</definedName>
    <definedName name="HR_9" localSheetId="30">#REF!</definedName>
    <definedName name="HR_9" localSheetId="25">#REF!</definedName>
    <definedName name="HR_9" localSheetId="28">#REF!</definedName>
    <definedName name="HR_9" localSheetId="29">#REF!</definedName>
    <definedName name="HR_9" localSheetId="12">#REF!</definedName>
    <definedName name="HR_9" localSheetId="43">#REF!</definedName>
    <definedName name="HR_9" localSheetId="42">#REF!</definedName>
    <definedName name="HR_9" localSheetId="27">#REF!</definedName>
    <definedName name="HR_9" localSheetId="45">#REF!</definedName>
    <definedName name="HR_9">#REF!</definedName>
    <definedName name="HR_90x63" localSheetId="30">#REF!</definedName>
    <definedName name="HR_90x63" localSheetId="25">#REF!</definedName>
    <definedName name="HR_90x63" localSheetId="28">#REF!</definedName>
    <definedName name="HR_90x63" localSheetId="29">#REF!</definedName>
    <definedName name="HR_90x63" localSheetId="12">#REF!</definedName>
    <definedName name="HR_90x63" localSheetId="43">#REF!</definedName>
    <definedName name="HR_90x63" localSheetId="42">#REF!</definedName>
    <definedName name="HR_90x63" localSheetId="27">#REF!</definedName>
    <definedName name="HR_90x63" localSheetId="45">#REF!</definedName>
    <definedName name="HR_90x63">#REF!</definedName>
    <definedName name="HR_90x75" localSheetId="30">#REF!</definedName>
    <definedName name="HR_90x75" localSheetId="25">#REF!</definedName>
    <definedName name="HR_90x75" localSheetId="28">#REF!</definedName>
    <definedName name="HR_90x75" localSheetId="29">#REF!</definedName>
    <definedName name="HR_90x75" localSheetId="12">#REF!</definedName>
    <definedName name="HR_90x75" localSheetId="43">#REF!</definedName>
    <definedName name="HR_90x75" localSheetId="42">#REF!</definedName>
    <definedName name="HR_90x75" localSheetId="27">#REF!</definedName>
    <definedName name="HR_90x75" localSheetId="45">#REF!</definedName>
    <definedName name="HR_90x75">#REF!</definedName>
    <definedName name="HR10_110x40" localSheetId="30">#REF!</definedName>
    <definedName name="HR10_110x40" localSheetId="25">#REF!</definedName>
    <definedName name="HR10_110x40" localSheetId="28">#REF!</definedName>
    <definedName name="HR10_110x40" localSheetId="29">#REF!</definedName>
    <definedName name="HR10_110x40" localSheetId="12">#REF!</definedName>
    <definedName name="HR10_110x40" localSheetId="43">#REF!</definedName>
    <definedName name="HR10_110x40" localSheetId="42">#REF!</definedName>
    <definedName name="HR10_110x40" localSheetId="27">#REF!</definedName>
    <definedName name="HR10_110x40" localSheetId="45">#REF!</definedName>
    <definedName name="HR10_110x40">#REF!</definedName>
    <definedName name="HR10_110x50" localSheetId="30">#REF!</definedName>
    <definedName name="HR10_110x50" localSheetId="25">#REF!</definedName>
    <definedName name="HR10_110x50" localSheetId="28">#REF!</definedName>
    <definedName name="HR10_110x50" localSheetId="29">#REF!</definedName>
    <definedName name="HR10_110x50" localSheetId="12">#REF!</definedName>
    <definedName name="HR10_110x50" localSheetId="43">#REF!</definedName>
    <definedName name="HR10_110x50" localSheetId="42">#REF!</definedName>
    <definedName name="HR10_110x50" localSheetId="27">#REF!</definedName>
    <definedName name="HR10_110x50" localSheetId="45">#REF!</definedName>
    <definedName name="HR10_110x50">#REF!</definedName>
    <definedName name="HR10_110x63" localSheetId="30">#REF!</definedName>
    <definedName name="HR10_110x63" localSheetId="25">#REF!</definedName>
    <definedName name="HR10_110x63" localSheetId="28">#REF!</definedName>
    <definedName name="HR10_110x63" localSheetId="29">#REF!</definedName>
    <definedName name="HR10_110x63" localSheetId="12">#REF!</definedName>
    <definedName name="HR10_110x63" localSheetId="43">#REF!</definedName>
    <definedName name="HR10_110x63" localSheetId="42">#REF!</definedName>
    <definedName name="HR10_110x63" localSheetId="27">#REF!</definedName>
    <definedName name="HR10_110x63" localSheetId="45">#REF!</definedName>
    <definedName name="HR10_110x63">#REF!</definedName>
    <definedName name="HR10_110x75" localSheetId="30">#REF!</definedName>
    <definedName name="HR10_110x75" localSheetId="25">#REF!</definedName>
    <definedName name="HR10_110x75" localSheetId="28">#REF!</definedName>
    <definedName name="HR10_110x75" localSheetId="29">#REF!</definedName>
    <definedName name="HR10_110x75" localSheetId="12">#REF!</definedName>
    <definedName name="HR10_110x75" localSheetId="43">#REF!</definedName>
    <definedName name="HR10_110x75" localSheetId="42">#REF!</definedName>
    <definedName name="HR10_110x75" localSheetId="27">#REF!</definedName>
    <definedName name="HR10_110x75" localSheetId="45">#REF!</definedName>
    <definedName name="HR10_110x75">#REF!</definedName>
    <definedName name="HR10_125x110" localSheetId="30">#REF!</definedName>
    <definedName name="HR10_125x110" localSheetId="25">#REF!</definedName>
    <definedName name="HR10_125x110" localSheetId="28">#REF!</definedName>
    <definedName name="HR10_125x110" localSheetId="29">#REF!</definedName>
    <definedName name="HR10_125x110" localSheetId="12">#REF!</definedName>
    <definedName name="HR10_125x110" localSheetId="43">#REF!</definedName>
    <definedName name="HR10_125x110" localSheetId="42">#REF!</definedName>
    <definedName name="HR10_125x110" localSheetId="27">#REF!</definedName>
    <definedName name="HR10_125x110" localSheetId="45">#REF!</definedName>
    <definedName name="HR10_125x110">#REF!</definedName>
    <definedName name="HR10_125x63" localSheetId="30">#REF!</definedName>
    <definedName name="HR10_125x63" localSheetId="25">#REF!</definedName>
    <definedName name="HR10_125x63" localSheetId="28">#REF!</definedName>
    <definedName name="HR10_125x63" localSheetId="29">#REF!</definedName>
    <definedName name="HR10_125x63" localSheetId="12">#REF!</definedName>
    <definedName name="HR10_125x63" localSheetId="43">#REF!</definedName>
    <definedName name="HR10_125x63" localSheetId="42">#REF!</definedName>
    <definedName name="HR10_125x63" localSheetId="27">#REF!</definedName>
    <definedName name="HR10_125x63" localSheetId="45">#REF!</definedName>
    <definedName name="HR10_125x63">#REF!</definedName>
    <definedName name="HR10_125x75" localSheetId="30">#REF!</definedName>
    <definedName name="HR10_125x75" localSheetId="25">#REF!</definedName>
    <definedName name="HR10_125x75" localSheetId="28">#REF!</definedName>
    <definedName name="HR10_125x75" localSheetId="29">#REF!</definedName>
    <definedName name="HR10_125x75" localSheetId="12">#REF!</definedName>
    <definedName name="HR10_125x75" localSheetId="43">#REF!</definedName>
    <definedName name="HR10_125x75" localSheetId="42">#REF!</definedName>
    <definedName name="HR10_125x75" localSheetId="27">#REF!</definedName>
    <definedName name="HR10_125x75" localSheetId="45">#REF!</definedName>
    <definedName name="HR10_125x75">#REF!</definedName>
    <definedName name="HR10_140x110" localSheetId="30">#REF!</definedName>
    <definedName name="HR10_140x110" localSheetId="25">#REF!</definedName>
    <definedName name="HR10_140x110" localSheetId="28">#REF!</definedName>
    <definedName name="HR10_140x110" localSheetId="29">#REF!</definedName>
    <definedName name="HR10_140x110" localSheetId="12">#REF!</definedName>
    <definedName name="HR10_140x110" localSheetId="43">#REF!</definedName>
    <definedName name="HR10_140x110" localSheetId="42">#REF!</definedName>
    <definedName name="HR10_140x110" localSheetId="27">#REF!</definedName>
    <definedName name="HR10_140x110" localSheetId="45">#REF!</definedName>
    <definedName name="HR10_140x110">#REF!</definedName>
    <definedName name="HR10_140x125" localSheetId="30">#REF!</definedName>
    <definedName name="HR10_140x125" localSheetId="25">#REF!</definedName>
    <definedName name="HR10_140x125" localSheetId="28">#REF!</definedName>
    <definedName name="HR10_140x125" localSheetId="29">#REF!</definedName>
    <definedName name="HR10_140x125" localSheetId="12">#REF!</definedName>
    <definedName name="HR10_140x125" localSheetId="43">#REF!</definedName>
    <definedName name="HR10_140x125" localSheetId="42">#REF!</definedName>
    <definedName name="HR10_140x125" localSheetId="27">#REF!</definedName>
    <definedName name="HR10_140x125" localSheetId="45">#REF!</definedName>
    <definedName name="HR10_140x125">#REF!</definedName>
    <definedName name="HR10_140x75" localSheetId="30">#REF!</definedName>
    <definedName name="HR10_140x75" localSheetId="25">#REF!</definedName>
    <definedName name="HR10_140x75" localSheetId="28">#REF!</definedName>
    <definedName name="HR10_140x75" localSheetId="29">#REF!</definedName>
    <definedName name="HR10_140x75" localSheetId="12">#REF!</definedName>
    <definedName name="HR10_140x75" localSheetId="43">#REF!</definedName>
    <definedName name="HR10_140x75" localSheetId="42">#REF!</definedName>
    <definedName name="HR10_140x75" localSheetId="27">#REF!</definedName>
    <definedName name="HR10_140x75" localSheetId="45">#REF!</definedName>
    <definedName name="HR10_140x75">#REF!</definedName>
    <definedName name="HR10_140x90" localSheetId="30">#REF!</definedName>
    <definedName name="HR10_140x90" localSheetId="25">#REF!</definedName>
    <definedName name="HR10_140x90" localSheetId="28">#REF!</definedName>
    <definedName name="HR10_140x90" localSheetId="29">#REF!</definedName>
    <definedName name="HR10_140x90" localSheetId="12">#REF!</definedName>
    <definedName name="HR10_140x90" localSheetId="43">#REF!</definedName>
    <definedName name="HR10_140x90" localSheetId="42">#REF!</definedName>
    <definedName name="HR10_140x90" localSheetId="27">#REF!</definedName>
    <definedName name="HR10_140x90" localSheetId="45">#REF!</definedName>
    <definedName name="HR10_140x90">#REF!</definedName>
    <definedName name="HR10_160x110" localSheetId="30">#REF!</definedName>
    <definedName name="HR10_160x110" localSheetId="25">#REF!</definedName>
    <definedName name="HR10_160x110" localSheetId="28">#REF!</definedName>
    <definedName name="HR10_160x110" localSheetId="29">#REF!</definedName>
    <definedName name="HR10_160x110" localSheetId="12">#REF!</definedName>
    <definedName name="HR10_160x110" localSheetId="43">#REF!</definedName>
    <definedName name="HR10_160x110" localSheetId="42">#REF!</definedName>
    <definedName name="HR10_160x110" localSheetId="27">#REF!</definedName>
    <definedName name="HR10_160x110" localSheetId="45">#REF!</definedName>
    <definedName name="HR10_160x110">#REF!</definedName>
    <definedName name="HR10_160x125" localSheetId="30">#REF!</definedName>
    <definedName name="HR10_160x125" localSheetId="25">#REF!</definedName>
    <definedName name="HR10_160x125" localSheetId="28">#REF!</definedName>
    <definedName name="HR10_160x125" localSheetId="29">#REF!</definedName>
    <definedName name="HR10_160x125" localSheetId="12">#REF!</definedName>
    <definedName name="HR10_160x125" localSheetId="43">#REF!</definedName>
    <definedName name="HR10_160x125" localSheetId="42">#REF!</definedName>
    <definedName name="HR10_160x125" localSheetId="27">#REF!</definedName>
    <definedName name="HR10_160x125" localSheetId="45">#REF!</definedName>
    <definedName name="HR10_160x125">#REF!</definedName>
    <definedName name="HR10_160x140" localSheetId="30">#REF!</definedName>
    <definedName name="HR10_160x140" localSheetId="25">#REF!</definedName>
    <definedName name="HR10_160x140" localSheetId="28">#REF!</definedName>
    <definedName name="HR10_160x140" localSheetId="29">#REF!</definedName>
    <definedName name="HR10_160x140" localSheetId="12">#REF!</definedName>
    <definedName name="HR10_160x140" localSheetId="43">#REF!</definedName>
    <definedName name="HR10_160x140" localSheetId="42">#REF!</definedName>
    <definedName name="HR10_160x140" localSheetId="27">#REF!</definedName>
    <definedName name="HR10_160x140" localSheetId="45">#REF!</definedName>
    <definedName name="HR10_160x140">#REF!</definedName>
    <definedName name="HR10_160x75" localSheetId="30">#REF!</definedName>
    <definedName name="HR10_160x75" localSheetId="25">#REF!</definedName>
    <definedName name="HR10_160x75" localSheetId="28">#REF!</definedName>
    <definedName name="HR10_160x75" localSheetId="29">#REF!</definedName>
    <definedName name="HR10_160x75" localSheetId="12">#REF!</definedName>
    <definedName name="HR10_160x75" localSheetId="43">#REF!</definedName>
    <definedName name="HR10_160x75" localSheetId="42">#REF!</definedName>
    <definedName name="HR10_160x75" localSheetId="27">#REF!</definedName>
    <definedName name="HR10_160x75" localSheetId="45">#REF!</definedName>
    <definedName name="HR10_160x75">#REF!</definedName>
    <definedName name="HR10_160x90" localSheetId="30">#REF!</definedName>
    <definedName name="HR10_160x90" localSheetId="25">#REF!</definedName>
    <definedName name="HR10_160x90" localSheetId="28">#REF!</definedName>
    <definedName name="HR10_160x90" localSheetId="29">#REF!</definedName>
    <definedName name="HR10_160x90" localSheetId="12">#REF!</definedName>
    <definedName name="HR10_160x90" localSheetId="43">#REF!</definedName>
    <definedName name="HR10_160x90" localSheetId="42">#REF!</definedName>
    <definedName name="HR10_160x90" localSheetId="27">#REF!</definedName>
    <definedName name="HR10_160x90" localSheetId="45">#REF!</definedName>
    <definedName name="HR10_160x90">#REF!</definedName>
    <definedName name="HR10_180x110" localSheetId="30">#REF!</definedName>
    <definedName name="HR10_180x110" localSheetId="25">#REF!</definedName>
    <definedName name="HR10_180x110" localSheetId="28">#REF!</definedName>
    <definedName name="HR10_180x110" localSheetId="29">#REF!</definedName>
    <definedName name="HR10_180x110" localSheetId="12">#REF!</definedName>
    <definedName name="HR10_180x110" localSheetId="43">#REF!</definedName>
    <definedName name="HR10_180x110" localSheetId="42">#REF!</definedName>
    <definedName name="HR10_180x110" localSheetId="27">#REF!</definedName>
    <definedName name="HR10_180x110" localSheetId="45">#REF!</definedName>
    <definedName name="HR10_180x110">#REF!</definedName>
    <definedName name="HR10_180x125" localSheetId="30">#REF!</definedName>
    <definedName name="HR10_180x125" localSheetId="25">#REF!</definedName>
    <definedName name="HR10_180x125" localSheetId="28">#REF!</definedName>
    <definedName name="HR10_180x125" localSheetId="29">#REF!</definedName>
    <definedName name="HR10_180x125" localSheetId="12">#REF!</definedName>
    <definedName name="HR10_180x125" localSheetId="43">#REF!</definedName>
    <definedName name="HR10_180x125" localSheetId="42">#REF!</definedName>
    <definedName name="HR10_180x125" localSheetId="27">#REF!</definedName>
    <definedName name="HR10_180x125" localSheetId="45">#REF!</definedName>
    <definedName name="HR10_180x125">#REF!</definedName>
    <definedName name="HR10_180x140" localSheetId="30">#REF!</definedName>
    <definedName name="HR10_180x140" localSheetId="25">#REF!</definedName>
    <definedName name="HR10_180x140" localSheetId="28">#REF!</definedName>
    <definedName name="HR10_180x140" localSheetId="29">#REF!</definedName>
    <definedName name="HR10_180x140" localSheetId="12">#REF!</definedName>
    <definedName name="HR10_180x140" localSheetId="43">#REF!</definedName>
    <definedName name="HR10_180x140" localSheetId="42">#REF!</definedName>
    <definedName name="HR10_180x140" localSheetId="27">#REF!</definedName>
    <definedName name="HR10_180x140" localSheetId="45">#REF!</definedName>
    <definedName name="HR10_180x140">#REF!</definedName>
    <definedName name="HR10_180x160" localSheetId="30">#REF!</definedName>
    <definedName name="HR10_180x160" localSheetId="25">#REF!</definedName>
    <definedName name="HR10_180x160" localSheetId="28">#REF!</definedName>
    <definedName name="HR10_180x160" localSheetId="29">#REF!</definedName>
    <definedName name="HR10_180x160" localSheetId="12">#REF!</definedName>
    <definedName name="HR10_180x160" localSheetId="43">#REF!</definedName>
    <definedName name="HR10_180x160" localSheetId="42">#REF!</definedName>
    <definedName name="HR10_180x160" localSheetId="27">#REF!</definedName>
    <definedName name="HR10_180x160" localSheetId="45">#REF!</definedName>
    <definedName name="HR10_180x160">#REF!</definedName>
    <definedName name="HR10_180x90" localSheetId="30">#REF!</definedName>
    <definedName name="HR10_180x90" localSheetId="25">#REF!</definedName>
    <definedName name="HR10_180x90" localSheetId="28">#REF!</definedName>
    <definedName name="HR10_180x90" localSheetId="29">#REF!</definedName>
    <definedName name="HR10_180x90" localSheetId="12">#REF!</definedName>
    <definedName name="HR10_180x90" localSheetId="43">#REF!</definedName>
    <definedName name="HR10_180x90" localSheetId="42">#REF!</definedName>
    <definedName name="HR10_180x90" localSheetId="27">#REF!</definedName>
    <definedName name="HR10_180x90" localSheetId="45">#REF!</definedName>
    <definedName name="HR10_180x90">#REF!</definedName>
    <definedName name="HR10_200x110" localSheetId="30">#REF!</definedName>
    <definedName name="HR10_200x110" localSheetId="25">#REF!</definedName>
    <definedName name="HR10_200x110" localSheetId="28">#REF!</definedName>
    <definedName name="HR10_200x110" localSheetId="29">#REF!</definedName>
    <definedName name="HR10_200x110" localSheetId="12">#REF!</definedName>
    <definedName name="HR10_200x110" localSheetId="43">#REF!</definedName>
    <definedName name="HR10_200x110" localSheetId="42">#REF!</definedName>
    <definedName name="HR10_200x110" localSheetId="27">#REF!</definedName>
    <definedName name="HR10_200x110" localSheetId="45">#REF!</definedName>
    <definedName name="HR10_200x110">#REF!</definedName>
    <definedName name="HR10_200x125" localSheetId="30">#REF!</definedName>
    <definedName name="HR10_200x125" localSheetId="25">#REF!</definedName>
    <definedName name="HR10_200x125" localSheetId="28">#REF!</definedName>
    <definedName name="HR10_200x125" localSheetId="29">#REF!</definedName>
    <definedName name="HR10_200x125" localSheetId="12">#REF!</definedName>
    <definedName name="HR10_200x125" localSheetId="43">#REF!</definedName>
    <definedName name="HR10_200x125" localSheetId="42">#REF!</definedName>
    <definedName name="HR10_200x125" localSheetId="27">#REF!</definedName>
    <definedName name="HR10_200x125" localSheetId="45">#REF!</definedName>
    <definedName name="HR10_200x125">#REF!</definedName>
    <definedName name="HR10_200x140" localSheetId="30">#REF!</definedName>
    <definedName name="HR10_200x140" localSheetId="25">#REF!</definedName>
    <definedName name="HR10_200x140" localSheetId="28">#REF!</definedName>
    <definedName name="HR10_200x140" localSheetId="29">#REF!</definedName>
    <definedName name="HR10_200x140" localSheetId="12">#REF!</definedName>
    <definedName name="HR10_200x140" localSheetId="43">#REF!</definedName>
    <definedName name="HR10_200x140" localSheetId="42">#REF!</definedName>
    <definedName name="HR10_200x140" localSheetId="27">#REF!</definedName>
    <definedName name="HR10_200x140" localSheetId="45">#REF!</definedName>
    <definedName name="HR10_200x140">#REF!</definedName>
    <definedName name="HR10_200x160" localSheetId="30">#REF!</definedName>
    <definedName name="HR10_200x160" localSheetId="25">#REF!</definedName>
    <definedName name="HR10_200x160" localSheetId="28">#REF!</definedName>
    <definedName name="HR10_200x160" localSheetId="29">#REF!</definedName>
    <definedName name="HR10_200x160" localSheetId="12">#REF!</definedName>
    <definedName name="HR10_200x160" localSheetId="43">#REF!</definedName>
    <definedName name="HR10_200x160" localSheetId="42">#REF!</definedName>
    <definedName name="HR10_200x160" localSheetId="27">#REF!</definedName>
    <definedName name="HR10_200x160" localSheetId="45">#REF!</definedName>
    <definedName name="HR10_200x160">#REF!</definedName>
    <definedName name="HR10_200x180" localSheetId="30">#REF!</definedName>
    <definedName name="HR10_200x180" localSheetId="25">#REF!</definedName>
    <definedName name="HR10_200x180" localSheetId="28">#REF!</definedName>
    <definedName name="HR10_200x180" localSheetId="29">#REF!</definedName>
    <definedName name="HR10_200x180" localSheetId="12">#REF!</definedName>
    <definedName name="HR10_200x180" localSheetId="43">#REF!</definedName>
    <definedName name="HR10_200x180" localSheetId="42">#REF!</definedName>
    <definedName name="HR10_200x180" localSheetId="27">#REF!</definedName>
    <definedName name="HR10_200x180" localSheetId="45">#REF!</definedName>
    <definedName name="HR10_200x180">#REF!</definedName>
    <definedName name="HR10_20x16" localSheetId="30">#REF!</definedName>
    <definedName name="HR10_20x16" localSheetId="25">#REF!</definedName>
    <definedName name="HR10_20x16" localSheetId="28">#REF!</definedName>
    <definedName name="HR10_20x16" localSheetId="29">#REF!</definedName>
    <definedName name="HR10_20x16" localSheetId="12">#REF!</definedName>
    <definedName name="HR10_20x16" localSheetId="43">#REF!</definedName>
    <definedName name="HR10_20x16" localSheetId="42">#REF!</definedName>
    <definedName name="HR10_20x16" localSheetId="27">#REF!</definedName>
    <definedName name="HR10_20x16" localSheetId="45">#REF!</definedName>
    <definedName name="HR10_20x16">#REF!</definedName>
    <definedName name="HR10_225x140" localSheetId="30">#REF!</definedName>
    <definedName name="HR10_225x140" localSheetId="25">#REF!</definedName>
    <definedName name="HR10_225x140" localSheetId="28">#REF!</definedName>
    <definedName name="HR10_225x140" localSheetId="29">#REF!</definedName>
    <definedName name="HR10_225x140" localSheetId="12">#REF!</definedName>
    <definedName name="HR10_225x140" localSheetId="43">#REF!</definedName>
    <definedName name="HR10_225x140" localSheetId="42">#REF!</definedName>
    <definedName name="HR10_225x140" localSheetId="27">#REF!</definedName>
    <definedName name="HR10_225x140" localSheetId="45">#REF!</definedName>
    <definedName name="HR10_225x140">#REF!</definedName>
    <definedName name="HR10_225x160" localSheetId="30">#REF!</definedName>
    <definedName name="HR10_225x160" localSheetId="25">#REF!</definedName>
    <definedName name="HR10_225x160" localSheetId="28">#REF!</definedName>
    <definedName name="HR10_225x160" localSheetId="29">#REF!</definedName>
    <definedName name="HR10_225x160" localSheetId="12">#REF!</definedName>
    <definedName name="HR10_225x160" localSheetId="43">#REF!</definedName>
    <definedName name="HR10_225x160" localSheetId="42">#REF!</definedName>
    <definedName name="HR10_225x160" localSheetId="27">#REF!</definedName>
    <definedName name="HR10_225x160" localSheetId="45">#REF!</definedName>
    <definedName name="HR10_225x160">#REF!</definedName>
    <definedName name="HR10_225x180" localSheetId="30">#REF!</definedName>
    <definedName name="HR10_225x180" localSheetId="25">#REF!</definedName>
    <definedName name="HR10_225x180" localSheetId="28">#REF!</definedName>
    <definedName name="HR10_225x180" localSheetId="29">#REF!</definedName>
    <definedName name="HR10_225x180" localSheetId="12">#REF!</definedName>
    <definedName name="HR10_225x180" localSheetId="43">#REF!</definedName>
    <definedName name="HR10_225x180" localSheetId="42">#REF!</definedName>
    <definedName name="HR10_225x180" localSheetId="27">#REF!</definedName>
    <definedName name="HR10_225x180" localSheetId="45">#REF!</definedName>
    <definedName name="HR10_225x180">#REF!</definedName>
    <definedName name="HR10_225x200" localSheetId="30">#REF!</definedName>
    <definedName name="HR10_225x200" localSheetId="25">#REF!</definedName>
    <definedName name="HR10_225x200" localSheetId="28">#REF!</definedName>
    <definedName name="HR10_225x200" localSheetId="29">#REF!</definedName>
    <definedName name="HR10_225x200" localSheetId="12">#REF!</definedName>
    <definedName name="HR10_225x200" localSheetId="43">#REF!</definedName>
    <definedName name="HR10_225x200" localSheetId="42">#REF!</definedName>
    <definedName name="HR10_225x200" localSheetId="27">#REF!</definedName>
    <definedName name="HR10_225x200" localSheetId="45">#REF!</definedName>
    <definedName name="HR10_225x200">#REF!</definedName>
    <definedName name="HR10_250x140" localSheetId="30">#REF!</definedName>
    <definedName name="HR10_250x140" localSheetId="25">#REF!</definedName>
    <definedName name="HR10_250x140" localSheetId="28">#REF!</definedName>
    <definedName name="HR10_250x140" localSheetId="29">#REF!</definedName>
    <definedName name="HR10_250x140" localSheetId="12">#REF!</definedName>
    <definedName name="HR10_250x140" localSheetId="43">#REF!</definedName>
    <definedName name="HR10_250x140" localSheetId="42">#REF!</definedName>
    <definedName name="HR10_250x140" localSheetId="27">#REF!</definedName>
    <definedName name="HR10_250x140" localSheetId="45">#REF!</definedName>
    <definedName name="HR10_250x140">#REF!</definedName>
    <definedName name="HR10_250x160" localSheetId="30">#REF!</definedName>
    <definedName name="HR10_250x160" localSheetId="25">#REF!</definedName>
    <definedName name="HR10_250x160" localSheetId="28">#REF!</definedName>
    <definedName name="HR10_250x160" localSheetId="29">#REF!</definedName>
    <definedName name="HR10_250x160" localSheetId="12">#REF!</definedName>
    <definedName name="HR10_250x160" localSheetId="43">#REF!</definedName>
    <definedName name="HR10_250x160" localSheetId="42">#REF!</definedName>
    <definedName name="HR10_250x160" localSheetId="27">#REF!</definedName>
    <definedName name="HR10_250x160" localSheetId="45">#REF!</definedName>
    <definedName name="HR10_250x160">#REF!</definedName>
    <definedName name="HR10_250x180" localSheetId="30">#REF!</definedName>
    <definedName name="HR10_250x180" localSheetId="25">#REF!</definedName>
    <definedName name="HR10_250x180" localSheetId="28">#REF!</definedName>
    <definedName name="HR10_250x180" localSheetId="29">#REF!</definedName>
    <definedName name="HR10_250x180" localSheetId="12">#REF!</definedName>
    <definedName name="HR10_250x180" localSheetId="43">#REF!</definedName>
    <definedName name="HR10_250x180" localSheetId="42">#REF!</definedName>
    <definedName name="HR10_250x180" localSheetId="27">#REF!</definedName>
    <definedName name="HR10_250x180" localSheetId="45">#REF!</definedName>
    <definedName name="HR10_250x180">#REF!</definedName>
    <definedName name="HR10_250x200" localSheetId="30">#REF!</definedName>
    <definedName name="HR10_250x200" localSheetId="25">#REF!</definedName>
    <definedName name="HR10_250x200" localSheetId="28">#REF!</definedName>
    <definedName name="HR10_250x200" localSheetId="29">#REF!</definedName>
    <definedName name="HR10_250x200" localSheetId="12">#REF!</definedName>
    <definedName name="HR10_250x200" localSheetId="43">#REF!</definedName>
    <definedName name="HR10_250x200" localSheetId="42">#REF!</definedName>
    <definedName name="HR10_250x200" localSheetId="27">#REF!</definedName>
    <definedName name="HR10_250x200" localSheetId="45">#REF!</definedName>
    <definedName name="HR10_250x200">#REF!</definedName>
    <definedName name="HR10_250x225" localSheetId="30">#REF!</definedName>
    <definedName name="HR10_250x225" localSheetId="25">#REF!</definedName>
    <definedName name="HR10_250x225" localSheetId="28">#REF!</definedName>
    <definedName name="HR10_250x225" localSheetId="29">#REF!</definedName>
    <definedName name="HR10_250x225" localSheetId="12">#REF!</definedName>
    <definedName name="HR10_250x225" localSheetId="43">#REF!</definedName>
    <definedName name="HR10_250x225" localSheetId="42">#REF!</definedName>
    <definedName name="HR10_250x225" localSheetId="27">#REF!</definedName>
    <definedName name="HR10_250x225" localSheetId="45">#REF!</definedName>
    <definedName name="HR10_250x225">#REF!</definedName>
    <definedName name="HR10_25x16" localSheetId="30">#REF!</definedName>
    <definedName name="HR10_25x16" localSheetId="25">#REF!</definedName>
    <definedName name="HR10_25x16" localSheetId="28">#REF!</definedName>
    <definedName name="HR10_25x16" localSheetId="29">#REF!</definedName>
    <definedName name="HR10_25x16" localSheetId="12">#REF!</definedName>
    <definedName name="HR10_25x16" localSheetId="43">#REF!</definedName>
    <definedName name="HR10_25x16" localSheetId="42">#REF!</definedName>
    <definedName name="HR10_25x16" localSheetId="27">#REF!</definedName>
    <definedName name="HR10_25x16" localSheetId="45">#REF!</definedName>
    <definedName name="HR10_25x16">#REF!</definedName>
    <definedName name="HR10_25x20" localSheetId="30">#REF!</definedName>
    <definedName name="HR10_25x20" localSheetId="25">#REF!</definedName>
    <definedName name="HR10_25x20" localSheetId="28">#REF!</definedName>
    <definedName name="HR10_25x20" localSheetId="29">#REF!</definedName>
    <definedName name="HR10_25x20" localSheetId="12">#REF!</definedName>
    <definedName name="HR10_25x20" localSheetId="43">#REF!</definedName>
    <definedName name="HR10_25x20" localSheetId="42">#REF!</definedName>
    <definedName name="HR10_25x20" localSheetId="27">#REF!</definedName>
    <definedName name="HR10_25x20" localSheetId="45">#REF!</definedName>
    <definedName name="HR10_25x20">#REF!</definedName>
    <definedName name="HR10_280x160" localSheetId="30">#REF!</definedName>
    <definedName name="HR10_280x160" localSheetId="25">#REF!</definedName>
    <definedName name="HR10_280x160" localSheetId="28">#REF!</definedName>
    <definedName name="HR10_280x160" localSheetId="29">#REF!</definedName>
    <definedName name="HR10_280x160" localSheetId="12">#REF!</definedName>
    <definedName name="HR10_280x160" localSheetId="43">#REF!</definedName>
    <definedName name="HR10_280x160" localSheetId="42">#REF!</definedName>
    <definedName name="HR10_280x160" localSheetId="27">#REF!</definedName>
    <definedName name="HR10_280x160" localSheetId="45">#REF!</definedName>
    <definedName name="HR10_280x160">#REF!</definedName>
    <definedName name="HR10_280x180" localSheetId="30">#REF!</definedName>
    <definedName name="HR10_280x180" localSheetId="25">#REF!</definedName>
    <definedName name="HR10_280x180" localSheetId="28">#REF!</definedName>
    <definedName name="HR10_280x180" localSheetId="29">#REF!</definedName>
    <definedName name="HR10_280x180" localSheetId="12">#REF!</definedName>
    <definedName name="HR10_280x180" localSheetId="43">#REF!</definedName>
    <definedName name="HR10_280x180" localSheetId="42">#REF!</definedName>
    <definedName name="HR10_280x180" localSheetId="27">#REF!</definedName>
    <definedName name="HR10_280x180" localSheetId="45">#REF!</definedName>
    <definedName name="HR10_280x180">#REF!</definedName>
    <definedName name="HR10_280x200" localSheetId="30">#REF!</definedName>
    <definedName name="HR10_280x200" localSheetId="25">#REF!</definedName>
    <definedName name="HR10_280x200" localSheetId="28">#REF!</definedName>
    <definedName name="HR10_280x200" localSheetId="29">#REF!</definedName>
    <definedName name="HR10_280x200" localSheetId="12">#REF!</definedName>
    <definedName name="HR10_280x200" localSheetId="43">#REF!</definedName>
    <definedName name="HR10_280x200" localSheetId="42">#REF!</definedName>
    <definedName name="HR10_280x200" localSheetId="27">#REF!</definedName>
    <definedName name="HR10_280x200" localSheetId="45">#REF!</definedName>
    <definedName name="HR10_280x200">#REF!</definedName>
    <definedName name="HR10_280x225" localSheetId="30">#REF!</definedName>
    <definedName name="HR10_280x225" localSheetId="25">#REF!</definedName>
    <definedName name="HR10_280x225" localSheetId="28">#REF!</definedName>
    <definedName name="HR10_280x225" localSheetId="29">#REF!</definedName>
    <definedName name="HR10_280x225" localSheetId="12">#REF!</definedName>
    <definedName name="HR10_280x225" localSheetId="43">#REF!</definedName>
    <definedName name="HR10_280x225" localSheetId="42">#REF!</definedName>
    <definedName name="HR10_280x225" localSheetId="27">#REF!</definedName>
    <definedName name="HR10_280x225" localSheetId="45">#REF!</definedName>
    <definedName name="HR10_280x225">#REF!</definedName>
    <definedName name="HR10_280x250" localSheetId="30">#REF!</definedName>
    <definedName name="HR10_280x250" localSheetId="25">#REF!</definedName>
    <definedName name="HR10_280x250" localSheetId="28">#REF!</definedName>
    <definedName name="HR10_280x250" localSheetId="29">#REF!</definedName>
    <definedName name="HR10_280x250" localSheetId="12">#REF!</definedName>
    <definedName name="HR10_280x250" localSheetId="43">#REF!</definedName>
    <definedName name="HR10_280x250" localSheetId="42">#REF!</definedName>
    <definedName name="HR10_280x250" localSheetId="27">#REF!</definedName>
    <definedName name="HR10_280x250" localSheetId="45">#REF!</definedName>
    <definedName name="HR10_280x250">#REF!</definedName>
    <definedName name="HR10_315x160" localSheetId="30">#REF!</definedName>
    <definedName name="HR10_315x160" localSheetId="25">#REF!</definedName>
    <definedName name="HR10_315x160" localSheetId="28">#REF!</definedName>
    <definedName name="HR10_315x160" localSheetId="29">#REF!</definedName>
    <definedName name="HR10_315x160" localSheetId="12">#REF!</definedName>
    <definedName name="HR10_315x160" localSheetId="43">#REF!</definedName>
    <definedName name="HR10_315x160" localSheetId="42">#REF!</definedName>
    <definedName name="HR10_315x160" localSheetId="27">#REF!</definedName>
    <definedName name="HR10_315x160" localSheetId="45">#REF!</definedName>
    <definedName name="HR10_315x160">#REF!</definedName>
    <definedName name="HR10_315x180" localSheetId="30">#REF!</definedName>
    <definedName name="HR10_315x180" localSheetId="25">#REF!</definedName>
    <definedName name="HR10_315x180" localSheetId="28">#REF!</definedName>
    <definedName name="HR10_315x180" localSheetId="29">#REF!</definedName>
    <definedName name="HR10_315x180" localSheetId="12">#REF!</definedName>
    <definedName name="HR10_315x180" localSheetId="43">#REF!</definedName>
    <definedName name="HR10_315x180" localSheetId="42">#REF!</definedName>
    <definedName name="HR10_315x180" localSheetId="27">#REF!</definedName>
    <definedName name="HR10_315x180" localSheetId="45">#REF!</definedName>
    <definedName name="HR10_315x180">#REF!</definedName>
    <definedName name="HR10_315x200" localSheetId="30">#REF!</definedName>
    <definedName name="HR10_315x200" localSheetId="25">#REF!</definedName>
    <definedName name="HR10_315x200" localSheetId="28">#REF!</definedName>
    <definedName name="HR10_315x200" localSheetId="29">#REF!</definedName>
    <definedName name="HR10_315x200" localSheetId="12">#REF!</definedName>
    <definedName name="HR10_315x200" localSheetId="43">#REF!</definedName>
    <definedName name="HR10_315x200" localSheetId="42">#REF!</definedName>
    <definedName name="HR10_315x200" localSheetId="27">#REF!</definedName>
    <definedName name="HR10_315x200" localSheetId="45">#REF!</definedName>
    <definedName name="HR10_315x200">#REF!</definedName>
    <definedName name="HR10_315x225" localSheetId="30">#REF!</definedName>
    <definedName name="HR10_315x225" localSheetId="25">#REF!</definedName>
    <definedName name="HR10_315x225" localSheetId="28">#REF!</definedName>
    <definedName name="HR10_315x225" localSheetId="29">#REF!</definedName>
    <definedName name="HR10_315x225" localSheetId="12">#REF!</definedName>
    <definedName name="HR10_315x225" localSheetId="43">#REF!</definedName>
    <definedName name="HR10_315x225" localSheetId="42">#REF!</definedName>
    <definedName name="HR10_315x225" localSheetId="27">#REF!</definedName>
    <definedName name="HR10_315x225" localSheetId="45">#REF!</definedName>
    <definedName name="HR10_315x225">#REF!</definedName>
    <definedName name="HR10_32x16" localSheetId="30">#REF!</definedName>
    <definedName name="HR10_32x16" localSheetId="25">#REF!</definedName>
    <definedName name="HR10_32x16" localSheetId="28">#REF!</definedName>
    <definedName name="HR10_32x16" localSheetId="29">#REF!</definedName>
    <definedName name="HR10_32x16" localSheetId="12">#REF!</definedName>
    <definedName name="HR10_32x16" localSheetId="43">#REF!</definedName>
    <definedName name="HR10_32x16" localSheetId="42">#REF!</definedName>
    <definedName name="HR10_32x16" localSheetId="27">#REF!</definedName>
    <definedName name="HR10_32x16" localSheetId="45">#REF!</definedName>
    <definedName name="HR10_32x16">#REF!</definedName>
    <definedName name="HR10_32x20" localSheetId="30">#REF!</definedName>
    <definedName name="HR10_32x20" localSheetId="25">#REF!</definedName>
    <definedName name="HR10_32x20" localSheetId="28">#REF!</definedName>
    <definedName name="HR10_32x20" localSheetId="29">#REF!</definedName>
    <definedName name="HR10_32x20" localSheetId="12">#REF!</definedName>
    <definedName name="HR10_32x20" localSheetId="43">#REF!</definedName>
    <definedName name="HR10_32x20" localSheetId="42">#REF!</definedName>
    <definedName name="HR10_32x20" localSheetId="27">#REF!</definedName>
    <definedName name="HR10_32x20" localSheetId="45">#REF!</definedName>
    <definedName name="HR10_32x20">#REF!</definedName>
    <definedName name="HR10_32x25" localSheetId="30">#REF!</definedName>
    <definedName name="HR10_32x25" localSheetId="25">#REF!</definedName>
    <definedName name="HR10_32x25" localSheetId="28">#REF!</definedName>
    <definedName name="HR10_32x25" localSheetId="29">#REF!</definedName>
    <definedName name="HR10_32x25" localSheetId="12">#REF!</definedName>
    <definedName name="HR10_32x25" localSheetId="43">#REF!</definedName>
    <definedName name="HR10_32x25" localSheetId="42">#REF!</definedName>
    <definedName name="HR10_32x25" localSheetId="27">#REF!</definedName>
    <definedName name="HR10_32x25" localSheetId="45">#REF!</definedName>
    <definedName name="HR10_32x25">#REF!</definedName>
    <definedName name="HR10_350x300" localSheetId="30">#REF!</definedName>
    <definedName name="HR10_350x300" localSheetId="25">#REF!</definedName>
    <definedName name="HR10_350x300" localSheetId="28">#REF!</definedName>
    <definedName name="HR10_350x300" localSheetId="29">#REF!</definedName>
    <definedName name="HR10_350x300" localSheetId="12">#REF!</definedName>
    <definedName name="HR10_350x300" localSheetId="43">#REF!</definedName>
    <definedName name="HR10_350x300" localSheetId="42">#REF!</definedName>
    <definedName name="HR10_350x300" localSheetId="27">#REF!</definedName>
    <definedName name="HR10_350x300" localSheetId="45">#REF!</definedName>
    <definedName name="HR10_350x300">#REF!</definedName>
    <definedName name="HR10_40x20" localSheetId="30">#REF!</definedName>
    <definedName name="HR10_40x20" localSheetId="25">#REF!</definedName>
    <definedName name="HR10_40x20" localSheetId="28">#REF!</definedName>
    <definedName name="HR10_40x20" localSheetId="29">#REF!</definedName>
    <definedName name="HR10_40x20" localSheetId="12">#REF!</definedName>
    <definedName name="HR10_40x20" localSheetId="43">#REF!</definedName>
    <definedName name="HR10_40x20" localSheetId="42">#REF!</definedName>
    <definedName name="HR10_40x20" localSheetId="27">#REF!</definedName>
    <definedName name="HR10_40x20" localSheetId="45">#REF!</definedName>
    <definedName name="HR10_40x20">#REF!</definedName>
    <definedName name="HR10_40x25" localSheetId="30">#REF!</definedName>
    <definedName name="HR10_40x25" localSheetId="25">#REF!</definedName>
    <definedName name="HR10_40x25" localSheetId="28">#REF!</definedName>
    <definedName name="HR10_40x25" localSheetId="29">#REF!</definedName>
    <definedName name="HR10_40x25" localSheetId="12">#REF!</definedName>
    <definedName name="HR10_40x25" localSheetId="43">#REF!</definedName>
    <definedName name="HR10_40x25" localSheetId="42">#REF!</definedName>
    <definedName name="HR10_40x25" localSheetId="27">#REF!</definedName>
    <definedName name="HR10_40x25" localSheetId="45">#REF!</definedName>
    <definedName name="HR10_40x25">#REF!</definedName>
    <definedName name="HR10_40x32" localSheetId="30">#REF!</definedName>
    <definedName name="HR10_40x32" localSheetId="25">#REF!</definedName>
    <definedName name="HR10_40x32" localSheetId="28">#REF!</definedName>
    <definedName name="HR10_40x32" localSheetId="29">#REF!</definedName>
    <definedName name="HR10_40x32" localSheetId="12">#REF!</definedName>
    <definedName name="HR10_40x32" localSheetId="43">#REF!</definedName>
    <definedName name="HR10_40x32" localSheetId="42">#REF!</definedName>
    <definedName name="HR10_40x32" localSheetId="27">#REF!</definedName>
    <definedName name="HR10_40x32" localSheetId="45">#REF!</definedName>
    <definedName name="HR10_40x32">#REF!</definedName>
    <definedName name="HR10_50x20" localSheetId="30">#REF!</definedName>
    <definedName name="HR10_50x20" localSheetId="25">#REF!</definedName>
    <definedName name="HR10_50x20" localSheetId="28">#REF!</definedName>
    <definedName name="HR10_50x20" localSheetId="29">#REF!</definedName>
    <definedName name="HR10_50x20" localSheetId="12">#REF!</definedName>
    <definedName name="HR10_50x20" localSheetId="43">#REF!</definedName>
    <definedName name="HR10_50x20" localSheetId="42">#REF!</definedName>
    <definedName name="HR10_50x20" localSheetId="27">#REF!</definedName>
    <definedName name="HR10_50x20" localSheetId="45">#REF!</definedName>
    <definedName name="HR10_50x20">#REF!</definedName>
    <definedName name="HR10_50x25" localSheetId="30">#REF!</definedName>
    <definedName name="HR10_50x25" localSheetId="25">#REF!</definedName>
    <definedName name="HR10_50x25" localSheetId="28">#REF!</definedName>
    <definedName name="HR10_50x25" localSheetId="29">#REF!</definedName>
    <definedName name="HR10_50x25" localSheetId="12">#REF!</definedName>
    <definedName name="HR10_50x25" localSheetId="43">#REF!</definedName>
    <definedName name="HR10_50x25" localSheetId="42">#REF!</definedName>
    <definedName name="HR10_50x25" localSheetId="27">#REF!</definedName>
    <definedName name="HR10_50x25" localSheetId="45">#REF!</definedName>
    <definedName name="HR10_50x25">#REF!</definedName>
    <definedName name="HR10_50x32" localSheetId="30">#REF!</definedName>
    <definedName name="HR10_50x32" localSheetId="25">#REF!</definedName>
    <definedName name="HR10_50x32" localSheetId="28">#REF!</definedName>
    <definedName name="HR10_50x32" localSheetId="29">#REF!</definedName>
    <definedName name="HR10_50x32" localSheetId="12">#REF!</definedName>
    <definedName name="HR10_50x32" localSheetId="43">#REF!</definedName>
    <definedName name="HR10_50x32" localSheetId="42">#REF!</definedName>
    <definedName name="HR10_50x32" localSheetId="27">#REF!</definedName>
    <definedName name="HR10_50x32" localSheetId="45">#REF!</definedName>
    <definedName name="HR10_50x32">#REF!</definedName>
    <definedName name="HR10_50x40" localSheetId="30">#REF!</definedName>
    <definedName name="HR10_50x40" localSheetId="25">#REF!</definedName>
    <definedName name="HR10_50x40" localSheetId="28">#REF!</definedName>
    <definedName name="HR10_50x40" localSheetId="29">#REF!</definedName>
    <definedName name="HR10_50x40" localSheetId="12">#REF!</definedName>
    <definedName name="HR10_50x40" localSheetId="43">#REF!</definedName>
    <definedName name="HR10_50x40" localSheetId="42">#REF!</definedName>
    <definedName name="HR10_50x40" localSheetId="27">#REF!</definedName>
    <definedName name="HR10_50x40" localSheetId="45">#REF!</definedName>
    <definedName name="HR10_50x40">#REF!</definedName>
    <definedName name="HR10_63x20" localSheetId="30">#REF!</definedName>
    <definedName name="HR10_63x20" localSheetId="25">#REF!</definedName>
    <definedName name="HR10_63x20" localSheetId="28">#REF!</definedName>
    <definedName name="HR10_63x20" localSheetId="29">#REF!</definedName>
    <definedName name="HR10_63x20" localSheetId="12">#REF!</definedName>
    <definedName name="HR10_63x20" localSheetId="43">#REF!</definedName>
    <definedName name="HR10_63x20" localSheetId="42">#REF!</definedName>
    <definedName name="HR10_63x20" localSheetId="27">#REF!</definedName>
    <definedName name="HR10_63x20" localSheetId="45">#REF!</definedName>
    <definedName name="HR10_63x20">#REF!</definedName>
    <definedName name="HR10_63x25" localSheetId="30">#REF!</definedName>
    <definedName name="HR10_63x25" localSheetId="25">#REF!</definedName>
    <definedName name="HR10_63x25" localSheetId="28">#REF!</definedName>
    <definedName name="HR10_63x25" localSheetId="29">#REF!</definedName>
    <definedName name="HR10_63x25" localSheetId="12">#REF!</definedName>
    <definedName name="HR10_63x25" localSheetId="43">#REF!</definedName>
    <definedName name="HR10_63x25" localSheetId="42">#REF!</definedName>
    <definedName name="HR10_63x25" localSheetId="27">#REF!</definedName>
    <definedName name="HR10_63x25" localSheetId="45">#REF!</definedName>
    <definedName name="HR10_63x25">#REF!</definedName>
    <definedName name="HR10_63x32" localSheetId="30">#REF!</definedName>
    <definedName name="HR10_63x32" localSheetId="25">#REF!</definedName>
    <definedName name="HR10_63x32" localSheetId="28">#REF!</definedName>
    <definedName name="HR10_63x32" localSheetId="29">#REF!</definedName>
    <definedName name="HR10_63x32" localSheetId="12">#REF!</definedName>
    <definedName name="HR10_63x32" localSheetId="43">#REF!</definedName>
    <definedName name="HR10_63x32" localSheetId="42">#REF!</definedName>
    <definedName name="HR10_63x32" localSheetId="27">#REF!</definedName>
    <definedName name="HR10_63x32" localSheetId="45">#REF!</definedName>
    <definedName name="HR10_63x32">#REF!</definedName>
    <definedName name="HR10_63x40" localSheetId="30">#REF!</definedName>
    <definedName name="HR10_63x40" localSheetId="25">#REF!</definedName>
    <definedName name="HR10_63x40" localSheetId="28">#REF!</definedName>
    <definedName name="HR10_63x40" localSheetId="29">#REF!</definedName>
    <definedName name="HR10_63x40" localSheetId="12">#REF!</definedName>
    <definedName name="HR10_63x40" localSheetId="43">#REF!</definedName>
    <definedName name="HR10_63x40" localSheetId="42">#REF!</definedName>
    <definedName name="HR10_63x40" localSheetId="27">#REF!</definedName>
    <definedName name="HR10_63x40" localSheetId="45">#REF!</definedName>
    <definedName name="HR10_63x40">#REF!</definedName>
    <definedName name="HR10_63x50" localSheetId="30">#REF!</definedName>
    <definedName name="HR10_63x50" localSheetId="25">#REF!</definedName>
    <definedName name="HR10_63x50" localSheetId="28">#REF!</definedName>
    <definedName name="HR10_63x50" localSheetId="29">#REF!</definedName>
    <definedName name="HR10_63x50" localSheetId="12">#REF!</definedName>
    <definedName name="HR10_63x50" localSheetId="43">#REF!</definedName>
    <definedName name="HR10_63x50" localSheetId="42">#REF!</definedName>
    <definedName name="HR10_63x50" localSheetId="27">#REF!</definedName>
    <definedName name="HR10_63x50" localSheetId="45">#REF!</definedName>
    <definedName name="HR10_63x50">#REF!</definedName>
    <definedName name="HR10_75x20" localSheetId="30">#REF!</definedName>
    <definedName name="HR10_75x20" localSheetId="25">#REF!</definedName>
    <definedName name="HR10_75x20" localSheetId="28">#REF!</definedName>
    <definedName name="HR10_75x20" localSheetId="29">#REF!</definedName>
    <definedName name="HR10_75x20" localSheetId="12">#REF!</definedName>
    <definedName name="HR10_75x20" localSheetId="43">#REF!</definedName>
    <definedName name="HR10_75x20" localSheetId="42">#REF!</definedName>
    <definedName name="HR10_75x20" localSheetId="27">#REF!</definedName>
    <definedName name="HR10_75x20" localSheetId="45">#REF!</definedName>
    <definedName name="HR10_75x20">#REF!</definedName>
    <definedName name="HR10_75x25" localSheetId="30">#REF!</definedName>
    <definedName name="HR10_75x25" localSheetId="25">#REF!</definedName>
    <definedName name="HR10_75x25" localSheetId="28">#REF!</definedName>
    <definedName name="HR10_75x25" localSheetId="29">#REF!</definedName>
    <definedName name="HR10_75x25" localSheetId="12">#REF!</definedName>
    <definedName name="HR10_75x25" localSheetId="43">#REF!</definedName>
    <definedName name="HR10_75x25" localSheetId="42">#REF!</definedName>
    <definedName name="HR10_75x25" localSheetId="27">#REF!</definedName>
    <definedName name="HR10_75x25" localSheetId="45">#REF!</definedName>
    <definedName name="HR10_75x25">#REF!</definedName>
    <definedName name="HR10_75x32" localSheetId="30">#REF!</definedName>
    <definedName name="HR10_75x32" localSheetId="25">#REF!</definedName>
    <definedName name="HR10_75x32" localSheetId="28">#REF!</definedName>
    <definedName name="HR10_75x32" localSheetId="29">#REF!</definedName>
    <definedName name="HR10_75x32" localSheetId="12">#REF!</definedName>
    <definedName name="HR10_75x32" localSheetId="43">#REF!</definedName>
    <definedName name="HR10_75x32" localSheetId="42">#REF!</definedName>
    <definedName name="HR10_75x32" localSheetId="27">#REF!</definedName>
    <definedName name="HR10_75x32" localSheetId="45">#REF!</definedName>
    <definedName name="HR10_75x32">#REF!</definedName>
    <definedName name="HR10_75x40" localSheetId="30">#REF!</definedName>
    <definedName name="HR10_75x40" localSheetId="25">#REF!</definedName>
    <definedName name="HR10_75x40" localSheetId="28">#REF!</definedName>
    <definedName name="HR10_75x40" localSheetId="29">#REF!</definedName>
    <definedName name="HR10_75x40" localSheetId="12">#REF!</definedName>
    <definedName name="HR10_75x40" localSheetId="43">#REF!</definedName>
    <definedName name="HR10_75x40" localSheetId="42">#REF!</definedName>
    <definedName name="HR10_75x40" localSheetId="27">#REF!</definedName>
    <definedName name="HR10_75x40" localSheetId="45">#REF!</definedName>
    <definedName name="HR10_75x40">#REF!</definedName>
    <definedName name="HR10_75x50" localSheetId="30">#REF!</definedName>
    <definedName name="HR10_75x50" localSheetId="25">#REF!</definedName>
    <definedName name="HR10_75x50" localSheetId="28">#REF!</definedName>
    <definedName name="HR10_75x50" localSheetId="29">#REF!</definedName>
    <definedName name="HR10_75x50" localSheetId="12">#REF!</definedName>
    <definedName name="HR10_75x50" localSheetId="43">#REF!</definedName>
    <definedName name="HR10_75x50" localSheetId="42">#REF!</definedName>
    <definedName name="HR10_75x50" localSheetId="27">#REF!</definedName>
    <definedName name="HR10_75x50" localSheetId="45">#REF!</definedName>
    <definedName name="HR10_75x50">#REF!</definedName>
    <definedName name="HR10_75x63" localSheetId="30">#REF!</definedName>
    <definedName name="HR10_75x63" localSheetId="25">#REF!</definedName>
    <definedName name="HR10_75x63" localSheetId="28">#REF!</definedName>
    <definedName name="HR10_75x63" localSheetId="29">#REF!</definedName>
    <definedName name="HR10_75x63" localSheetId="12">#REF!</definedName>
    <definedName name="HR10_75x63" localSheetId="43">#REF!</definedName>
    <definedName name="HR10_75x63" localSheetId="42">#REF!</definedName>
    <definedName name="HR10_75x63" localSheetId="27">#REF!</definedName>
    <definedName name="HR10_75x63" localSheetId="45">#REF!</definedName>
    <definedName name="HR10_75x63">#REF!</definedName>
    <definedName name="HR10_90x32" localSheetId="30">#REF!</definedName>
    <definedName name="HR10_90x32" localSheetId="25">#REF!</definedName>
    <definedName name="HR10_90x32" localSheetId="28">#REF!</definedName>
    <definedName name="HR10_90x32" localSheetId="29">#REF!</definedName>
    <definedName name="HR10_90x32" localSheetId="12">#REF!</definedName>
    <definedName name="HR10_90x32" localSheetId="43">#REF!</definedName>
    <definedName name="HR10_90x32" localSheetId="42">#REF!</definedName>
    <definedName name="HR10_90x32" localSheetId="27">#REF!</definedName>
    <definedName name="HR10_90x32" localSheetId="45">#REF!</definedName>
    <definedName name="HR10_90x32">#REF!</definedName>
    <definedName name="HR10_90x40" localSheetId="30">#REF!</definedName>
    <definedName name="HR10_90x40" localSheetId="25">#REF!</definedName>
    <definedName name="HR10_90x40" localSheetId="28">#REF!</definedName>
    <definedName name="HR10_90x40" localSheetId="29">#REF!</definedName>
    <definedName name="HR10_90x40" localSheetId="12">#REF!</definedName>
    <definedName name="HR10_90x40" localSheetId="43">#REF!</definedName>
    <definedName name="HR10_90x40" localSheetId="42">#REF!</definedName>
    <definedName name="HR10_90x40" localSheetId="27">#REF!</definedName>
    <definedName name="HR10_90x40" localSheetId="45">#REF!</definedName>
    <definedName name="HR10_90x40">#REF!</definedName>
    <definedName name="HR10_90x50" localSheetId="30">#REF!</definedName>
    <definedName name="HR10_90x50" localSheetId="25">#REF!</definedName>
    <definedName name="HR10_90x50" localSheetId="28">#REF!</definedName>
    <definedName name="HR10_90x50" localSheetId="29">#REF!</definedName>
    <definedName name="HR10_90x50" localSheetId="12">#REF!</definedName>
    <definedName name="HR10_90x50" localSheetId="43">#REF!</definedName>
    <definedName name="HR10_90x50" localSheetId="42">#REF!</definedName>
    <definedName name="HR10_90x50" localSheetId="27">#REF!</definedName>
    <definedName name="HR10_90x50" localSheetId="45">#REF!</definedName>
    <definedName name="HR10_90x50">#REF!</definedName>
    <definedName name="HR10_90x63" localSheetId="30">#REF!</definedName>
    <definedName name="HR10_90x63" localSheetId="25">#REF!</definedName>
    <definedName name="HR10_90x63" localSheetId="28">#REF!</definedName>
    <definedName name="HR10_90x63" localSheetId="29">#REF!</definedName>
    <definedName name="HR10_90x63" localSheetId="12">#REF!</definedName>
    <definedName name="HR10_90x63" localSheetId="43">#REF!</definedName>
    <definedName name="HR10_90x63" localSheetId="42">#REF!</definedName>
    <definedName name="HR10_90x63" localSheetId="27">#REF!</definedName>
    <definedName name="HR10_90x63" localSheetId="45">#REF!</definedName>
    <definedName name="HR10_90x63">#REF!</definedName>
    <definedName name="HR10_90x75" localSheetId="30">#REF!</definedName>
    <definedName name="HR10_90x75" localSheetId="25">#REF!</definedName>
    <definedName name="HR10_90x75" localSheetId="28">#REF!</definedName>
    <definedName name="HR10_90x75" localSheetId="29">#REF!</definedName>
    <definedName name="HR10_90x75" localSheetId="12">#REF!</definedName>
    <definedName name="HR10_90x75" localSheetId="43">#REF!</definedName>
    <definedName name="HR10_90x75" localSheetId="42">#REF!</definedName>
    <definedName name="HR10_90x75" localSheetId="27">#REF!</definedName>
    <definedName name="HR10_90x75" localSheetId="45">#REF!</definedName>
    <definedName name="HR10_90x75">#REF!</definedName>
    <definedName name="HR4_110x50" localSheetId="30">#REF!</definedName>
    <definedName name="HR4_110x50" localSheetId="25">#REF!</definedName>
    <definedName name="HR4_110x50" localSheetId="28">#REF!</definedName>
    <definedName name="HR4_110x50" localSheetId="29">#REF!</definedName>
    <definedName name="HR4_110x50" localSheetId="12">#REF!</definedName>
    <definedName name="HR4_110x50" localSheetId="43">#REF!</definedName>
    <definedName name="HR4_110x50" localSheetId="42">#REF!</definedName>
    <definedName name="HR4_110x50" localSheetId="27">#REF!</definedName>
    <definedName name="HR4_110x50" localSheetId="45">#REF!</definedName>
    <definedName name="HR4_110x50">#REF!</definedName>
    <definedName name="HR4_110x63" localSheetId="30">#REF!</definedName>
    <definedName name="HR4_110x63" localSheetId="25">#REF!</definedName>
    <definedName name="HR4_110x63" localSheetId="28">#REF!</definedName>
    <definedName name="HR4_110x63" localSheetId="29">#REF!</definedName>
    <definedName name="HR4_110x63" localSheetId="12">#REF!</definedName>
    <definedName name="HR4_110x63" localSheetId="43">#REF!</definedName>
    <definedName name="HR4_110x63" localSheetId="42">#REF!</definedName>
    <definedName name="HR4_110x63" localSheetId="27">#REF!</definedName>
    <definedName name="HR4_110x63" localSheetId="45">#REF!</definedName>
    <definedName name="HR4_110x63">#REF!</definedName>
    <definedName name="HR4_110x75" localSheetId="30">#REF!</definedName>
    <definedName name="HR4_110x75" localSheetId="25">#REF!</definedName>
    <definedName name="HR4_110x75" localSheetId="28">#REF!</definedName>
    <definedName name="HR4_110x75" localSheetId="29">#REF!</definedName>
    <definedName name="HR4_110x75" localSheetId="12">#REF!</definedName>
    <definedName name="HR4_110x75" localSheetId="43">#REF!</definedName>
    <definedName name="HR4_110x75" localSheetId="42">#REF!</definedName>
    <definedName name="HR4_110x75" localSheetId="27">#REF!</definedName>
    <definedName name="HR4_110x75" localSheetId="45">#REF!</definedName>
    <definedName name="HR4_110x75">#REF!</definedName>
    <definedName name="HR4_110x90" localSheetId="30">#REF!</definedName>
    <definedName name="HR4_110x90" localSheetId="25">#REF!</definedName>
    <definedName name="HR4_110x90" localSheetId="28">#REF!</definedName>
    <definedName name="HR4_110x90" localSheetId="29">#REF!</definedName>
    <definedName name="HR4_110x90" localSheetId="12">#REF!</definedName>
    <definedName name="HR4_110x90" localSheetId="43">#REF!</definedName>
    <definedName name="HR4_110x90" localSheetId="42">#REF!</definedName>
    <definedName name="HR4_110x90" localSheetId="27">#REF!</definedName>
    <definedName name="HR4_110x90" localSheetId="45">#REF!</definedName>
    <definedName name="HR4_110x90">#REF!</definedName>
    <definedName name="HR4_125x110" localSheetId="30">#REF!</definedName>
    <definedName name="HR4_125x110" localSheetId="25">#REF!</definedName>
    <definedName name="HR4_125x110" localSheetId="28">#REF!</definedName>
    <definedName name="HR4_125x110" localSheetId="29">#REF!</definedName>
    <definedName name="HR4_125x110" localSheetId="12">#REF!</definedName>
    <definedName name="HR4_125x110" localSheetId="43">#REF!</definedName>
    <definedName name="HR4_125x110" localSheetId="42">#REF!</definedName>
    <definedName name="HR4_125x110" localSheetId="27">#REF!</definedName>
    <definedName name="HR4_125x110" localSheetId="45">#REF!</definedName>
    <definedName name="HR4_125x110">#REF!</definedName>
    <definedName name="HR4_125x63" localSheetId="30">#REF!</definedName>
    <definedName name="HR4_125x63" localSheetId="25">#REF!</definedName>
    <definedName name="HR4_125x63" localSheetId="28">#REF!</definedName>
    <definedName name="HR4_125x63" localSheetId="29">#REF!</definedName>
    <definedName name="HR4_125x63" localSheetId="12">#REF!</definedName>
    <definedName name="HR4_125x63" localSheetId="43">#REF!</definedName>
    <definedName name="HR4_125x63" localSheetId="42">#REF!</definedName>
    <definedName name="HR4_125x63" localSheetId="27">#REF!</definedName>
    <definedName name="HR4_125x63" localSheetId="45">#REF!</definedName>
    <definedName name="HR4_125x63">#REF!</definedName>
    <definedName name="HR4_125x75" localSheetId="30">#REF!</definedName>
    <definedName name="HR4_125x75" localSheetId="25">#REF!</definedName>
    <definedName name="HR4_125x75" localSheetId="28">#REF!</definedName>
    <definedName name="HR4_125x75" localSheetId="29">#REF!</definedName>
    <definedName name="HR4_125x75" localSheetId="12">#REF!</definedName>
    <definedName name="HR4_125x75" localSheetId="43">#REF!</definedName>
    <definedName name="HR4_125x75" localSheetId="42">#REF!</definedName>
    <definedName name="HR4_125x75" localSheetId="27">#REF!</definedName>
    <definedName name="HR4_125x75" localSheetId="45">#REF!</definedName>
    <definedName name="HR4_125x75">#REF!</definedName>
    <definedName name="HR4_140x110" localSheetId="30">#REF!</definedName>
    <definedName name="HR4_140x110" localSheetId="25">#REF!</definedName>
    <definedName name="HR4_140x110" localSheetId="28">#REF!</definedName>
    <definedName name="HR4_140x110" localSheetId="29">#REF!</definedName>
    <definedName name="HR4_140x110" localSheetId="12">#REF!</definedName>
    <definedName name="HR4_140x110" localSheetId="43">#REF!</definedName>
    <definedName name="HR4_140x110" localSheetId="42">#REF!</definedName>
    <definedName name="HR4_140x110" localSheetId="27">#REF!</definedName>
    <definedName name="HR4_140x110" localSheetId="45">#REF!</definedName>
    <definedName name="HR4_140x110">#REF!</definedName>
    <definedName name="HR4_140x125" localSheetId="30">#REF!</definedName>
    <definedName name="HR4_140x125" localSheetId="25">#REF!</definedName>
    <definedName name="HR4_140x125" localSheetId="28">#REF!</definedName>
    <definedName name="HR4_140x125" localSheetId="29">#REF!</definedName>
    <definedName name="HR4_140x125" localSheetId="12">#REF!</definedName>
    <definedName name="HR4_140x125" localSheetId="43">#REF!</definedName>
    <definedName name="HR4_140x125" localSheetId="42">#REF!</definedName>
    <definedName name="HR4_140x125" localSheetId="27">#REF!</definedName>
    <definedName name="HR4_140x125" localSheetId="45">#REF!</definedName>
    <definedName name="HR4_140x125">#REF!</definedName>
    <definedName name="HR4_140x75" localSheetId="30">#REF!</definedName>
    <definedName name="HR4_140x75" localSheetId="25">#REF!</definedName>
    <definedName name="HR4_140x75" localSheetId="28">#REF!</definedName>
    <definedName name="HR4_140x75" localSheetId="29">#REF!</definedName>
    <definedName name="HR4_140x75" localSheetId="12">#REF!</definedName>
    <definedName name="HR4_140x75" localSheetId="43">#REF!</definedName>
    <definedName name="HR4_140x75" localSheetId="42">#REF!</definedName>
    <definedName name="HR4_140x75" localSheetId="27">#REF!</definedName>
    <definedName name="HR4_140x75" localSheetId="45">#REF!</definedName>
    <definedName name="HR4_140x75">#REF!</definedName>
    <definedName name="HR4_140x90" localSheetId="30">#REF!</definedName>
    <definedName name="HR4_140x90" localSheetId="25">#REF!</definedName>
    <definedName name="HR4_140x90" localSheetId="28">#REF!</definedName>
    <definedName name="HR4_140x90" localSheetId="29">#REF!</definedName>
    <definedName name="HR4_140x90" localSheetId="12">#REF!</definedName>
    <definedName name="HR4_140x90" localSheetId="43">#REF!</definedName>
    <definedName name="HR4_140x90" localSheetId="42">#REF!</definedName>
    <definedName name="HR4_140x90" localSheetId="27">#REF!</definedName>
    <definedName name="HR4_140x90" localSheetId="45">#REF!</definedName>
    <definedName name="HR4_140x90">#REF!</definedName>
    <definedName name="HR4_160x110" localSheetId="30">#REF!</definedName>
    <definedName name="HR4_160x110" localSheetId="25">#REF!</definedName>
    <definedName name="HR4_160x110" localSheetId="28">#REF!</definedName>
    <definedName name="HR4_160x110" localSheetId="29">#REF!</definedName>
    <definedName name="HR4_160x110" localSheetId="12">#REF!</definedName>
    <definedName name="HR4_160x110" localSheetId="43">#REF!</definedName>
    <definedName name="HR4_160x110" localSheetId="42">#REF!</definedName>
    <definedName name="HR4_160x110" localSheetId="27">#REF!</definedName>
    <definedName name="HR4_160x110" localSheetId="45">#REF!</definedName>
    <definedName name="HR4_160x110">#REF!</definedName>
    <definedName name="HR4_160x125" localSheetId="30">#REF!</definedName>
    <definedName name="HR4_160x125" localSheetId="25">#REF!</definedName>
    <definedName name="HR4_160x125" localSheetId="28">#REF!</definedName>
    <definedName name="HR4_160x125" localSheetId="29">#REF!</definedName>
    <definedName name="HR4_160x125" localSheetId="12">#REF!</definedName>
    <definedName name="HR4_160x125" localSheetId="43">#REF!</definedName>
    <definedName name="HR4_160x125" localSheetId="42">#REF!</definedName>
    <definedName name="HR4_160x125" localSheetId="27">#REF!</definedName>
    <definedName name="HR4_160x125" localSheetId="45">#REF!</definedName>
    <definedName name="HR4_160x125">#REF!</definedName>
    <definedName name="HR4_160x140" localSheetId="30">#REF!</definedName>
    <definedName name="HR4_160x140" localSheetId="25">#REF!</definedName>
    <definedName name="HR4_160x140" localSheetId="28">#REF!</definedName>
    <definedName name="HR4_160x140" localSheetId="29">#REF!</definedName>
    <definedName name="HR4_160x140" localSheetId="12">#REF!</definedName>
    <definedName name="HR4_160x140" localSheetId="43">#REF!</definedName>
    <definedName name="HR4_160x140" localSheetId="42">#REF!</definedName>
    <definedName name="HR4_160x140" localSheetId="27">#REF!</definedName>
    <definedName name="HR4_160x140" localSheetId="45">#REF!</definedName>
    <definedName name="HR4_160x140">#REF!</definedName>
    <definedName name="HR4_160x75" localSheetId="30">#REF!</definedName>
    <definedName name="HR4_160x75" localSheetId="25">#REF!</definedName>
    <definedName name="HR4_160x75" localSheetId="28">#REF!</definedName>
    <definedName name="HR4_160x75" localSheetId="29">#REF!</definedName>
    <definedName name="HR4_160x75" localSheetId="12">#REF!</definedName>
    <definedName name="HR4_160x75" localSheetId="43">#REF!</definedName>
    <definedName name="HR4_160x75" localSheetId="42">#REF!</definedName>
    <definedName name="HR4_160x75" localSheetId="27">#REF!</definedName>
    <definedName name="HR4_160x75" localSheetId="45">#REF!</definedName>
    <definedName name="HR4_160x75">#REF!</definedName>
    <definedName name="HR4_160x90" localSheetId="30">#REF!</definedName>
    <definedName name="HR4_160x90" localSheetId="25">#REF!</definedName>
    <definedName name="HR4_160x90" localSheetId="28">#REF!</definedName>
    <definedName name="HR4_160x90" localSheetId="29">#REF!</definedName>
    <definedName name="HR4_160x90" localSheetId="12">#REF!</definedName>
    <definedName name="HR4_160x90" localSheetId="43">#REF!</definedName>
    <definedName name="HR4_160x90" localSheetId="42">#REF!</definedName>
    <definedName name="HR4_160x90" localSheetId="27">#REF!</definedName>
    <definedName name="HR4_160x90" localSheetId="45">#REF!</definedName>
    <definedName name="HR4_160x90">#REF!</definedName>
    <definedName name="HR4_180x110" localSheetId="30">#REF!</definedName>
    <definedName name="HR4_180x110" localSheetId="25">#REF!</definedName>
    <definedName name="HR4_180x110" localSheetId="28">#REF!</definedName>
    <definedName name="HR4_180x110" localSheetId="29">#REF!</definedName>
    <definedName name="HR4_180x110" localSheetId="12">#REF!</definedName>
    <definedName name="HR4_180x110" localSheetId="43">#REF!</definedName>
    <definedName name="HR4_180x110" localSheetId="42">#REF!</definedName>
    <definedName name="HR4_180x110" localSheetId="27">#REF!</definedName>
    <definedName name="HR4_180x110" localSheetId="45">#REF!</definedName>
    <definedName name="HR4_180x110">#REF!</definedName>
    <definedName name="HR4_180x125" localSheetId="30">#REF!</definedName>
    <definedName name="HR4_180x125" localSheetId="25">#REF!</definedName>
    <definedName name="HR4_180x125" localSheetId="28">#REF!</definedName>
    <definedName name="HR4_180x125" localSheetId="29">#REF!</definedName>
    <definedName name="HR4_180x125" localSheetId="12">#REF!</definedName>
    <definedName name="HR4_180x125" localSheetId="43">#REF!</definedName>
    <definedName name="HR4_180x125" localSheetId="42">#REF!</definedName>
    <definedName name="HR4_180x125" localSheetId="27">#REF!</definedName>
    <definedName name="HR4_180x125" localSheetId="45">#REF!</definedName>
    <definedName name="HR4_180x125">#REF!</definedName>
    <definedName name="HR4_180x140" localSheetId="30">#REF!</definedName>
    <definedName name="HR4_180x140" localSheetId="25">#REF!</definedName>
    <definedName name="HR4_180x140" localSheetId="28">#REF!</definedName>
    <definedName name="HR4_180x140" localSheetId="29">#REF!</definedName>
    <definedName name="HR4_180x140" localSheetId="12">#REF!</definedName>
    <definedName name="HR4_180x140" localSheetId="43">#REF!</definedName>
    <definedName name="HR4_180x140" localSheetId="42">#REF!</definedName>
    <definedName name="HR4_180x140" localSheetId="27">#REF!</definedName>
    <definedName name="HR4_180x140" localSheetId="45">#REF!</definedName>
    <definedName name="HR4_180x140">#REF!</definedName>
    <definedName name="HR4_180x160" localSheetId="30">#REF!</definedName>
    <definedName name="HR4_180x160" localSheetId="25">#REF!</definedName>
    <definedName name="HR4_180x160" localSheetId="28">#REF!</definedName>
    <definedName name="HR4_180x160" localSheetId="29">#REF!</definedName>
    <definedName name="HR4_180x160" localSheetId="12">#REF!</definedName>
    <definedName name="HR4_180x160" localSheetId="43">#REF!</definedName>
    <definedName name="HR4_180x160" localSheetId="42">#REF!</definedName>
    <definedName name="HR4_180x160" localSheetId="27">#REF!</definedName>
    <definedName name="HR4_180x160" localSheetId="45">#REF!</definedName>
    <definedName name="HR4_180x160">#REF!</definedName>
    <definedName name="HR4_180x90" localSheetId="30">#REF!</definedName>
    <definedName name="HR4_180x90" localSheetId="25">#REF!</definedName>
    <definedName name="HR4_180x90" localSheetId="28">#REF!</definedName>
    <definedName name="HR4_180x90" localSheetId="29">#REF!</definedName>
    <definedName name="HR4_180x90" localSheetId="12">#REF!</definedName>
    <definedName name="HR4_180x90" localSheetId="43">#REF!</definedName>
    <definedName name="HR4_180x90" localSheetId="42">#REF!</definedName>
    <definedName name="HR4_180x90" localSheetId="27">#REF!</definedName>
    <definedName name="HR4_180x90" localSheetId="45">#REF!</definedName>
    <definedName name="HR4_180x90">#REF!</definedName>
    <definedName name="HR4_200x110" localSheetId="30">#REF!</definedName>
    <definedName name="HR4_200x110" localSheetId="25">#REF!</definedName>
    <definedName name="HR4_200x110" localSheetId="28">#REF!</definedName>
    <definedName name="HR4_200x110" localSheetId="29">#REF!</definedName>
    <definedName name="HR4_200x110" localSheetId="12">#REF!</definedName>
    <definedName name="HR4_200x110" localSheetId="43">#REF!</definedName>
    <definedName name="HR4_200x110" localSheetId="42">#REF!</definedName>
    <definedName name="HR4_200x110" localSheetId="27">#REF!</definedName>
    <definedName name="HR4_200x110" localSheetId="45">#REF!</definedName>
    <definedName name="HR4_200x110">#REF!</definedName>
    <definedName name="HR4_200x125" localSheetId="30">#REF!</definedName>
    <definedName name="HR4_200x125" localSheetId="25">#REF!</definedName>
    <definedName name="HR4_200x125" localSheetId="28">#REF!</definedName>
    <definedName name="HR4_200x125" localSheetId="29">#REF!</definedName>
    <definedName name="HR4_200x125" localSheetId="12">#REF!</definedName>
    <definedName name="HR4_200x125" localSheetId="43">#REF!</definedName>
    <definedName name="HR4_200x125" localSheetId="42">#REF!</definedName>
    <definedName name="HR4_200x125" localSheetId="27">#REF!</definedName>
    <definedName name="HR4_200x125" localSheetId="45">#REF!</definedName>
    <definedName name="HR4_200x125">#REF!</definedName>
    <definedName name="HR4_200x140" localSheetId="30">#REF!</definedName>
    <definedName name="HR4_200x140" localSheetId="25">#REF!</definedName>
    <definedName name="HR4_200x140" localSheetId="28">#REF!</definedName>
    <definedName name="HR4_200x140" localSheetId="29">#REF!</definedName>
    <definedName name="HR4_200x140" localSheetId="12">#REF!</definedName>
    <definedName name="HR4_200x140" localSheetId="43">#REF!</definedName>
    <definedName name="HR4_200x140" localSheetId="42">#REF!</definedName>
    <definedName name="HR4_200x140" localSheetId="27">#REF!</definedName>
    <definedName name="HR4_200x140" localSheetId="45">#REF!</definedName>
    <definedName name="HR4_200x140">#REF!</definedName>
    <definedName name="HR4_200x160" localSheetId="30">#REF!</definedName>
    <definedName name="HR4_200x160" localSheetId="25">#REF!</definedName>
    <definedName name="HR4_200x160" localSheetId="28">#REF!</definedName>
    <definedName name="HR4_200x160" localSheetId="29">#REF!</definedName>
    <definedName name="HR4_200x160" localSheetId="12">#REF!</definedName>
    <definedName name="HR4_200x160" localSheetId="43">#REF!</definedName>
    <definedName name="HR4_200x160" localSheetId="42">#REF!</definedName>
    <definedName name="HR4_200x160" localSheetId="27">#REF!</definedName>
    <definedName name="HR4_200x160" localSheetId="45">#REF!</definedName>
    <definedName name="HR4_200x160">#REF!</definedName>
    <definedName name="HR4_200x180" localSheetId="30">#REF!</definedName>
    <definedName name="HR4_200x180" localSheetId="25">#REF!</definedName>
    <definedName name="HR4_200x180" localSheetId="28">#REF!</definedName>
    <definedName name="HR4_200x180" localSheetId="29">#REF!</definedName>
    <definedName name="HR4_200x180" localSheetId="12">#REF!</definedName>
    <definedName name="HR4_200x180" localSheetId="43">#REF!</definedName>
    <definedName name="HR4_200x180" localSheetId="42">#REF!</definedName>
    <definedName name="HR4_200x180" localSheetId="27">#REF!</definedName>
    <definedName name="HR4_200x180" localSheetId="45">#REF!</definedName>
    <definedName name="HR4_200x180">#REF!</definedName>
    <definedName name="HR4_200x90" localSheetId="30">#REF!</definedName>
    <definedName name="HR4_200x90" localSheetId="25">#REF!</definedName>
    <definedName name="HR4_200x90" localSheetId="28">#REF!</definedName>
    <definedName name="HR4_200x90" localSheetId="29">#REF!</definedName>
    <definedName name="HR4_200x90" localSheetId="12">#REF!</definedName>
    <definedName name="HR4_200x90" localSheetId="43">#REF!</definedName>
    <definedName name="HR4_200x90" localSheetId="42">#REF!</definedName>
    <definedName name="HR4_200x90" localSheetId="27">#REF!</definedName>
    <definedName name="HR4_200x90" localSheetId="45">#REF!</definedName>
    <definedName name="HR4_200x90">#REF!</definedName>
    <definedName name="HR4_225x110" localSheetId="30">#REF!</definedName>
    <definedName name="HR4_225x110" localSheetId="25">#REF!</definedName>
    <definedName name="HR4_225x110" localSheetId="28">#REF!</definedName>
    <definedName name="HR4_225x110" localSheetId="29">#REF!</definedName>
    <definedName name="HR4_225x110" localSheetId="12">#REF!</definedName>
    <definedName name="HR4_225x110" localSheetId="43">#REF!</definedName>
    <definedName name="HR4_225x110" localSheetId="42">#REF!</definedName>
    <definedName name="HR4_225x110" localSheetId="27">#REF!</definedName>
    <definedName name="HR4_225x110" localSheetId="45">#REF!</definedName>
    <definedName name="HR4_225x110">#REF!</definedName>
    <definedName name="HR4_225x125" localSheetId="30">#REF!</definedName>
    <definedName name="HR4_225x125" localSheetId="25">#REF!</definedName>
    <definedName name="HR4_225x125" localSheetId="28">#REF!</definedName>
    <definedName name="HR4_225x125" localSheetId="29">#REF!</definedName>
    <definedName name="HR4_225x125" localSheetId="12">#REF!</definedName>
    <definedName name="HR4_225x125" localSheetId="43">#REF!</definedName>
    <definedName name="HR4_225x125" localSheetId="42">#REF!</definedName>
    <definedName name="HR4_225x125" localSheetId="27">#REF!</definedName>
    <definedName name="HR4_225x125" localSheetId="45">#REF!</definedName>
    <definedName name="HR4_225x125">#REF!</definedName>
    <definedName name="HR4_225x140" localSheetId="30">#REF!</definedName>
    <definedName name="HR4_225x140" localSheetId="25">#REF!</definedName>
    <definedName name="HR4_225x140" localSheetId="28">#REF!</definedName>
    <definedName name="HR4_225x140" localSheetId="29">#REF!</definedName>
    <definedName name="HR4_225x140" localSheetId="12">#REF!</definedName>
    <definedName name="HR4_225x140" localSheetId="43">#REF!</definedName>
    <definedName name="HR4_225x140" localSheetId="42">#REF!</definedName>
    <definedName name="HR4_225x140" localSheetId="27">#REF!</definedName>
    <definedName name="HR4_225x140" localSheetId="45">#REF!</definedName>
    <definedName name="HR4_225x140">#REF!</definedName>
    <definedName name="HR4_225x160" localSheetId="30">#REF!</definedName>
    <definedName name="HR4_225x160" localSheetId="25">#REF!</definedName>
    <definedName name="HR4_225x160" localSheetId="28">#REF!</definedName>
    <definedName name="HR4_225x160" localSheetId="29">#REF!</definedName>
    <definedName name="HR4_225x160" localSheetId="12">#REF!</definedName>
    <definedName name="HR4_225x160" localSheetId="43">#REF!</definedName>
    <definedName name="HR4_225x160" localSheetId="42">#REF!</definedName>
    <definedName name="HR4_225x160" localSheetId="27">#REF!</definedName>
    <definedName name="HR4_225x160" localSheetId="45">#REF!</definedName>
    <definedName name="HR4_225x160">#REF!</definedName>
    <definedName name="HR4_225x180" localSheetId="30">#REF!</definedName>
    <definedName name="HR4_225x180" localSheetId="25">#REF!</definedName>
    <definedName name="HR4_225x180" localSheetId="28">#REF!</definedName>
    <definedName name="HR4_225x180" localSheetId="29">#REF!</definedName>
    <definedName name="HR4_225x180" localSheetId="12">#REF!</definedName>
    <definedName name="HR4_225x180" localSheetId="43">#REF!</definedName>
    <definedName name="HR4_225x180" localSheetId="42">#REF!</definedName>
    <definedName name="HR4_225x180" localSheetId="27">#REF!</definedName>
    <definedName name="HR4_225x180" localSheetId="45">#REF!</definedName>
    <definedName name="HR4_225x180">#REF!</definedName>
    <definedName name="HR4_225x200" localSheetId="30">#REF!</definedName>
    <definedName name="HR4_225x200" localSheetId="25">#REF!</definedName>
    <definedName name="HR4_225x200" localSheetId="28">#REF!</definedName>
    <definedName name="HR4_225x200" localSheetId="29">#REF!</definedName>
    <definedName name="HR4_225x200" localSheetId="12">#REF!</definedName>
    <definedName name="HR4_225x200" localSheetId="43">#REF!</definedName>
    <definedName name="HR4_225x200" localSheetId="42">#REF!</definedName>
    <definedName name="HR4_225x200" localSheetId="27">#REF!</definedName>
    <definedName name="HR4_225x200" localSheetId="45">#REF!</definedName>
    <definedName name="HR4_225x200">#REF!</definedName>
    <definedName name="HR4_225x90" localSheetId="30">#REF!</definedName>
    <definedName name="HR4_225x90" localSheetId="25">#REF!</definedName>
    <definedName name="HR4_225x90" localSheetId="28">#REF!</definedName>
    <definedName name="HR4_225x90" localSheetId="29">#REF!</definedName>
    <definedName name="HR4_225x90" localSheetId="12">#REF!</definedName>
    <definedName name="HR4_225x90" localSheetId="43">#REF!</definedName>
    <definedName name="HR4_225x90" localSheetId="42">#REF!</definedName>
    <definedName name="HR4_225x90" localSheetId="27">#REF!</definedName>
    <definedName name="HR4_225x90" localSheetId="45">#REF!</definedName>
    <definedName name="HR4_225x90">#REF!</definedName>
    <definedName name="HR4_250x110" localSheetId="30">#REF!</definedName>
    <definedName name="HR4_250x110" localSheetId="25">#REF!</definedName>
    <definedName name="HR4_250x110" localSheetId="28">#REF!</definedName>
    <definedName name="HR4_250x110" localSheetId="29">#REF!</definedName>
    <definedName name="HR4_250x110" localSheetId="12">#REF!</definedName>
    <definedName name="HR4_250x110" localSheetId="43">#REF!</definedName>
    <definedName name="HR4_250x110" localSheetId="42">#REF!</definedName>
    <definedName name="HR4_250x110" localSheetId="27">#REF!</definedName>
    <definedName name="HR4_250x110" localSheetId="45">#REF!</definedName>
    <definedName name="HR4_250x110">#REF!</definedName>
    <definedName name="HR4_250x125" localSheetId="30">#REF!</definedName>
    <definedName name="HR4_250x125" localSheetId="25">#REF!</definedName>
    <definedName name="HR4_250x125" localSheetId="28">#REF!</definedName>
    <definedName name="HR4_250x125" localSheetId="29">#REF!</definedName>
    <definedName name="HR4_250x125" localSheetId="12">#REF!</definedName>
    <definedName name="HR4_250x125" localSheetId="43">#REF!</definedName>
    <definedName name="HR4_250x125" localSheetId="42">#REF!</definedName>
    <definedName name="HR4_250x125" localSheetId="27">#REF!</definedName>
    <definedName name="HR4_250x125" localSheetId="45">#REF!</definedName>
    <definedName name="HR4_250x125">#REF!</definedName>
    <definedName name="HR4_250x140" localSheetId="30">#REF!</definedName>
    <definedName name="HR4_250x140" localSheetId="25">#REF!</definedName>
    <definedName name="HR4_250x140" localSheetId="28">#REF!</definedName>
    <definedName name="HR4_250x140" localSheetId="29">#REF!</definedName>
    <definedName name="HR4_250x140" localSheetId="12">#REF!</definedName>
    <definedName name="HR4_250x140" localSheetId="43">#REF!</definedName>
    <definedName name="HR4_250x140" localSheetId="42">#REF!</definedName>
    <definedName name="HR4_250x140" localSheetId="27">#REF!</definedName>
    <definedName name="HR4_250x140" localSheetId="45">#REF!</definedName>
    <definedName name="HR4_250x140">#REF!</definedName>
    <definedName name="HR4_250x160" localSheetId="30">#REF!</definedName>
    <definedName name="HR4_250x160" localSheetId="25">#REF!</definedName>
    <definedName name="HR4_250x160" localSheetId="28">#REF!</definedName>
    <definedName name="HR4_250x160" localSheetId="29">#REF!</definedName>
    <definedName name="HR4_250x160" localSheetId="12">#REF!</definedName>
    <definedName name="HR4_250x160" localSheetId="43">#REF!</definedName>
    <definedName name="HR4_250x160" localSheetId="42">#REF!</definedName>
    <definedName name="HR4_250x160" localSheetId="27">#REF!</definedName>
    <definedName name="HR4_250x160" localSheetId="45">#REF!</definedName>
    <definedName name="HR4_250x160">#REF!</definedName>
    <definedName name="HR4_250x180" localSheetId="30">#REF!</definedName>
    <definedName name="HR4_250x180" localSheetId="25">#REF!</definedName>
    <definedName name="HR4_250x180" localSheetId="28">#REF!</definedName>
    <definedName name="HR4_250x180" localSheetId="29">#REF!</definedName>
    <definedName name="HR4_250x180" localSheetId="12">#REF!</definedName>
    <definedName name="HR4_250x180" localSheetId="43">#REF!</definedName>
    <definedName name="HR4_250x180" localSheetId="42">#REF!</definedName>
    <definedName name="HR4_250x180" localSheetId="27">#REF!</definedName>
    <definedName name="HR4_250x180" localSheetId="45">#REF!</definedName>
    <definedName name="HR4_250x180">#REF!</definedName>
    <definedName name="HR4_250x200" localSheetId="30">#REF!</definedName>
    <definedName name="HR4_250x200" localSheetId="25">#REF!</definedName>
    <definedName name="HR4_250x200" localSheetId="28">#REF!</definedName>
    <definedName name="HR4_250x200" localSheetId="29">#REF!</definedName>
    <definedName name="HR4_250x200" localSheetId="12">#REF!</definedName>
    <definedName name="HR4_250x200" localSheetId="43">#REF!</definedName>
    <definedName name="HR4_250x200" localSheetId="42">#REF!</definedName>
    <definedName name="HR4_250x200" localSheetId="27">#REF!</definedName>
    <definedName name="HR4_250x200" localSheetId="45">#REF!</definedName>
    <definedName name="HR4_250x200">#REF!</definedName>
    <definedName name="HR4_250x225" localSheetId="30">#REF!</definedName>
    <definedName name="HR4_250x225" localSheetId="25">#REF!</definedName>
    <definedName name="HR4_250x225" localSheetId="28">#REF!</definedName>
    <definedName name="HR4_250x225" localSheetId="29">#REF!</definedName>
    <definedName name="HR4_250x225" localSheetId="12">#REF!</definedName>
    <definedName name="HR4_250x225" localSheetId="43">#REF!</definedName>
    <definedName name="HR4_250x225" localSheetId="42">#REF!</definedName>
    <definedName name="HR4_250x225" localSheetId="27">#REF!</definedName>
    <definedName name="HR4_250x225" localSheetId="45">#REF!</definedName>
    <definedName name="HR4_250x225">#REF!</definedName>
    <definedName name="HR4_280x160" localSheetId="30">#REF!</definedName>
    <definedName name="HR4_280x160" localSheetId="25">#REF!</definedName>
    <definedName name="HR4_280x160" localSheetId="28">#REF!</definedName>
    <definedName name="HR4_280x160" localSheetId="29">#REF!</definedName>
    <definedName name="HR4_280x160" localSheetId="12">#REF!</definedName>
    <definedName name="HR4_280x160" localSheetId="43">#REF!</definedName>
    <definedName name="HR4_280x160" localSheetId="42">#REF!</definedName>
    <definedName name="HR4_280x160" localSheetId="27">#REF!</definedName>
    <definedName name="HR4_280x160" localSheetId="45">#REF!</definedName>
    <definedName name="HR4_280x160">#REF!</definedName>
    <definedName name="HR4_280x180" localSheetId="30">#REF!</definedName>
    <definedName name="HR4_280x180" localSheetId="25">#REF!</definedName>
    <definedName name="HR4_280x180" localSheetId="28">#REF!</definedName>
    <definedName name="HR4_280x180" localSheetId="29">#REF!</definedName>
    <definedName name="HR4_280x180" localSheetId="12">#REF!</definedName>
    <definedName name="HR4_280x180" localSheetId="43">#REF!</definedName>
    <definedName name="HR4_280x180" localSheetId="42">#REF!</definedName>
    <definedName name="HR4_280x180" localSheetId="27">#REF!</definedName>
    <definedName name="HR4_280x180" localSheetId="45">#REF!</definedName>
    <definedName name="HR4_280x180">#REF!</definedName>
    <definedName name="HR4_280x200" localSheetId="30">#REF!</definedName>
    <definedName name="HR4_280x200" localSheetId="25">#REF!</definedName>
    <definedName name="HR4_280x200" localSheetId="28">#REF!</definedName>
    <definedName name="HR4_280x200" localSheetId="29">#REF!</definedName>
    <definedName name="HR4_280x200" localSheetId="12">#REF!</definedName>
    <definedName name="HR4_280x200" localSheetId="43">#REF!</definedName>
    <definedName name="HR4_280x200" localSheetId="42">#REF!</definedName>
    <definedName name="HR4_280x200" localSheetId="27">#REF!</definedName>
    <definedName name="HR4_280x200" localSheetId="45">#REF!</definedName>
    <definedName name="HR4_280x200">#REF!</definedName>
    <definedName name="HR4_280x225" localSheetId="30">#REF!</definedName>
    <definedName name="HR4_280x225" localSheetId="25">#REF!</definedName>
    <definedName name="HR4_280x225" localSheetId="28">#REF!</definedName>
    <definedName name="HR4_280x225" localSheetId="29">#REF!</definedName>
    <definedName name="HR4_280x225" localSheetId="12">#REF!</definedName>
    <definedName name="HR4_280x225" localSheetId="43">#REF!</definedName>
    <definedName name="HR4_280x225" localSheetId="42">#REF!</definedName>
    <definedName name="HR4_280x225" localSheetId="27">#REF!</definedName>
    <definedName name="HR4_280x225" localSheetId="45">#REF!</definedName>
    <definedName name="HR4_280x225">#REF!</definedName>
    <definedName name="HR4_315x160" localSheetId="30">#REF!</definedName>
    <definedName name="HR4_315x160" localSheetId="25">#REF!</definedName>
    <definedName name="HR4_315x160" localSheetId="28">#REF!</definedName>
    <definedName name="HR4_315x160" localSheetId="29">#REF!</definedName>
    <definedName name="HR4_315x160" localSheetId="12">#REF!</definedName>
    <definedName name="HR4_315x160" localSheetId="43">#REF!</definedName>
    <definedName name="HR4_315x160" localSheetId="42">#REF!</definedName>
    <definedName name="HR4_315x160" localSheetId="27">#REF!</definedName>
    <definedName name="HR4_315x160" localSheetId="45">#REF!</definedName>
    <definedName name="HR4_315x160">#REF!</definedName>
    <definedName name="HR4_315x180" localSheetId="30">#REF!</definedName>
    <definedName name="HR4_315x180" localSheetId="25">#REF!</definedName>
    <definedName name="HR4_315x180" localSheetId="28">#REF!</definedName>
    <definedName name="HR4_315x180" localSheetId="29">#REF!</definedName>
    <definedName name="HR4_315x180" localSheetId="12">#REF!</definedName>
    <definedName name="HR4_315x180" localSheetId="43">#REF!</definedName>
    <definedName name="HR4_315x180" localSheetId="42">#REF!</definedName>
    <definedName name="HR4_315x180" localSheetId="27">#REF!</definedName>
    <definedName name="HR4_315x180" localSheetId="45">#REF!</definedName>
    <definedName name="HR4_315x180">#REF!</definedName>
    <definedName name="HR4_315x225" localSheetId="30">#REF!</definedName>
    <definedName name="HR4_315x225" localSheetId="25">#REF!</definedName>
    <definedName name="HR4_315x225" localSheetId="28">#REF!</definedName>
    <definedName name="HR4_315x225" localSheetId="29">#REF!</definedName>
    <definedName name="HR4_315x225" localSheetId="12">#REF!</definedName>
    <definedName name="HR4_315x225" localSheetId="43">#REF!</definedName>
    <definedName name="HR4_315x225" localSheetId="42">#REF!</definedName>
    <definedName name="HR4_315x225" localSheetId="27">#REF!</definedName>
    <definedName name="HR4_315x225" localSheetId="45">#REF!</definedName>
    <definedName name="HR4_315x225">#REF!</definedName>
    <definedName name="HR4_315x250" localSheetId="30">#REF!</definedName>
    <definedName name="HR4_315x250" localSheetId="25">#REF!</definedName>
    <definedName name="HR4_315x250" localSheetId="28">#REF!</definedName>
    <definedName name="HR4_315x250" localSheetId="29">#REF!</definedName>
    <definedName name="HR4_315x250" localSheetId="12">#REF!</definedName>
    <definedName name="HR4_315x250" localSheetId="43">#REF!</definedName>
    <definedName name="HR4_315x250" localSheetId="42">#REF!</definedName>
    <definedName name="HR4_315x250" localSheetId="27">#REF!</definedName>
    <definedName name="HR4_315x250" localSheetId="45">#REF!</definedName>
    <definedName name="HR4_315x250">#REF!</definedName>
    <definedName name="HR4_315x280" localSheetId="30">#REF!</definedName>
    <definedName name="HR4_315x280" localSheetId="25">#REF!</definedName>
    <definedName name="HR4_315x280" localSheetId="28">#REF!</definedName>
    <definedName name="HR4_315x280" localSheetId="29">#REF!</definedName>
    <definedName name="HR4_315x280" localSheetId="12">#REF!</definedName>
    <definedName name="HR4_315x280" localSheetId="43">#REF!</definedName>
    <definedName name="HR4_315x280" localSheetId="42">#REF!</definedName>
    <definedName name="HR4_315x280" localSheetId="27">#REF!</definedName>
    <definedName name="HR4_315x280" localSheetId="45">#REF!</definedName>
    <definedName name="HR4_315x280">#REF!</definedName>
    <definedName name="HR4_43x50" localSheetId="30">#REF!</definedName>
    <definedName name="HR4_43x50" localSheetId="25">#REF!</definedName>
    <definedName name="HR4_43x50" localSheetId="28">#REF!</definedName>
    <definedName name="HR4_43x50" localSheetId="29">#REF!</definedName>
    <definedName name="HR4_43x50" localSheetId="12">#REF!</definedName>
    <definedName name="HR4_43x50" localSheetId="43">#REF!</definedName>
    <definedName name="HR4_43x50" localSheetId="42">#REF!</definedName>
    <definedName name="HR4_43x50" localSheetId="27">#REF!</definedName>
    <definedName name="HR4_43x50" localSheetId="45">#REF!</definedName>
    <definedName name="HR4_43x50">#REF!</definedName>
    <definedName name="HR4_75x50" localSheetId="30">#REF!</definedName>
    <definedName name="HR4_75x50" localSheetId="25">#REF!</definedName>
    <definedName name="HR4_75x50" localSheetId="28">#REF!</definedName>
    <definedName name="HR4_75x50" localSheetId="29">#REF!</definedName>
    <definedName name="HR4_75x50" localSheetId="12">#REF!</definedName>
    <definedName name="HR4_75x50" localSheetId="43">#REF!</definedName>
    <definedName name="HR4_75x50" localSheetId="42">#REF!</definedName>
    <definedName name="HR4_75x50" localSheetId="27">#REF!</definedName>
    <definedName name="HR4_75x50" localSheetId="45">#REF!</definedName>
    <definedName name="HR4_75x50">#REF!</definedName>
    <definedName name="HR4_75x63" localSheetId="30">#REF!</definedName>
    <definedName name="HR4_75x63" localSheetId="25">#REF!</definedName>
    <definedName name="HR4_75x63" localSheetId="28">#REF!</definedName>
    <definedName name="HR4_75x63" localSheetId="29">#REF!</definedName>
    <definedName name="HR4_75x63" localSheetId="12">#REF!</definedName>
    <definedName name="HR4_75x63" localSheetId="43">#REF!</definedName>
    <definedName name="HR4_75x63" localSheetId="42">#REF!</definedName>
    <definedName name="HR4_75x63" localSheetId="27">#REF!</definedName>
    <definedName name="HR4_75x63" localSheetId="45">#REF!</definedName>
    <definedName name="HR4_75x63">#REF!</definedName>
    <definedName name="HR4_90x50" localSheetId="30">#REF!</definedName>
    <definedName name="HR4_90x50" localSheetId="25">#REF!</definedName>
    <definedName name="HR4_90x50" localSheetId="28">#REF!</definedName>
    <definedName name="HR4_90x50" localSheetId="29">#REF!</definedName>
    <definedName name="HR4_90x50" localSheetId="12">#REF!</definedName>
    <definedName name="HR4_90x50" localSheetId="43">#REF!</definedName>
    <definedName name="HR4_90x50" localSheetId="42">#REF!</definedName>
    <definedName name="HR4_90x50" localSheetId="27">#REF!</definedName>
    <definedName name="HR4_90x50" localSheetId="45">#REF!</definedName>
    <definedName name="HR4_90x50">#REF!</definedName>
    <definedName name="HR4_90x63" localSheetId="30">#REF!</definedName>
    <definedName name="HR4_90x63" localSheetId="25">#REF!</definedName>
    <definedName name="HR4_90x63" localSheetId="28">#REF!</definedName>
    <definedName name="HR4_90x63" localSheetId="29">#REF!</definedName>
    <definedName name="HR4_90x63" localSheetId="12">#REF!</definedName>
    <definedName name="HR4_90x63" localSheetId="43">#REF!</definedName>
    <definedName name="HR4_90x63" localSheetId="42">#REF!</definedName>
    <definedName name="HR4_90x63" localSheetId="27">#REF!</definedName>
    <definedName name="HR4_90x63" localSheetId="45">#REF!</definedName>
    <definedName name="HR4_90x63">#REF!</definedName>
    <definedName name="HR4_90x75" localSheetId="30">#REF!</definedName>
    <definedName name="HR4_90x75" localSheetId="25">#REF!</definedName>
    <definedName name="HR4_90x75" localSheetId="28">#REF!</definedName>
    <definedName name="HR4_90x75" localSheetId="29">#REF!</definedName>
    <definedName name="HR4_90x75" localSheetId="12">#REF!</definedName>
    <definedName name="HR4_90x75" localSheetId="43">#REF!</definedName>
    <definedName name="HR4_90x75" localSheetId="42">#REF!</definedName>
    <definedName name="HR4_90x75" localSheetId="27">#REF!</definedName>
    <definedName name="HR4_90x75" localSheetId="45">#REF!</definedName>
    <definedName name="HR4_90x75">#REF!</definedName>
    <definedName name="HR6_110x40" localSheetId="30">#REF!</definedName>
    <definedName name="HR6_110x40" localSheetId="25">#REF!</definedName>
    <definedName name="HR6_110x40" localSheetId="28">#REF!</definedName>
    <definedName name="HR6_110x40" localSheetId="29">#REF!</definedName>
    <definedName name="HR6_110x40" localSheetId="12">#REF!</definedName>
    <definedName name="HR6_110x40" localSheetId="43">#REF!</definedName>
    <definedName name="HR6_110x40" localSheetId="42">#REF!</definedName>
    <definedName name="HR6_110x40" localSheetId="27">#REF!</definedName>
    <definedName name="HR6_110x40" localSheetId="45">#REF!</definedName>
    <definedName name="HR6_110x40">#REF!</definedName>
    <definedName name="HR6_110x50" localSheetId="30">#REF!</definedName>
    <definedName name="HR6_110x50" localSheetId="25">#REF!</definedName>
    <definedName name="HR6_110x50" localSheetId="28">#REF!</definedName>
    <definedName name="HR6_110x50" localSheetId="29">#REF!</definedName>
    <definedName name="HR6_110x50" localSheetId="12">#REF!</definedName>
    <definedName name="HR6_110x50" localSheetId="43">#REF!</definedName>
    <definedName name="HR6_110x50" localSheetId="42">#REF!</definedName>
    <definedName name="HR6_110x50" localSheetId="27">#REF!</definedName>
    <definedName name="HR6_110x50" localSheetId="45">#REF!</definedName>
    <definedName name="HR6_110x50">#REF!</definedName>
    <definedName name="HR6_110x63" localSheetId="30">#REF!</definedName>
    <definedName name="HR6_110x63" localSheetId="25">#REF!</definedName>
    <definedName name="HR6_110x63" localSheetId="28">#REF!</definedName>
    <definedName name="HR6_110x63" localSheetId="29">#REF!</definedName>
    <definedName name="HR6_110x63" localSheetId="12">#REF!</definedName>
    <definedName name="HR6_110x63" localSheetId="43">#REF!</definedName>
    <definedName name="HR6_110x63" localSheetId="42">#REF!</definedName>
    <definedName name="HR6_110x63" localSheetId="27">#REF!</definedName>
    <definedName name="HR6_110x63" localSheetId="45">#REF!</definedName>
    <definedName name="HR6_110x63">#REF!</definedName>
    <definedName name="HR6_110x75" localSheetId="30">#REF!</definedName>
    <definedName name="HR6_110x75" localSheetId="25">#REF!</definedName>
    <definedName name="HR6_110x75" localSheetId="28">#REF!</definedName>
    <definedName name="HR6_110x75" localSheetId="29">#REF!</definedName>
    <definedName name="HR6_110x75" localSheetId="12">#REF!</definedName>
    <definedName name="HR6_110x75" localSheetId="43">#REF!</definedName>
    <definedName name="HR6_110x75" localSheetId="42">#REF!</definedName>
    <definedName name="HR6_110x75" localSheetId="27">#REF!</definedName>
    <definedName name="HR6_110x75" localSheetId="45">#REF!</definedName>
    <definedName name="HR6_110x75">#REF!</definedName>
    <definedName name="HR6_125x110" localSheetId="30">#REF!</definedName>
    <definedName name="HR6_125x110" localSheetId="25">#REF!</definedName>
    <definedName name="HR6_125x110" localSheetId="28">#REF!</definedName>
    <definedName name="HR6_125x110" localSheetId="29">#REF!</definedName>
    <definedName name="HR6_125x110" localSheetId="12">#REF!</definedName>
    <definedName name="HR6_125x110" localSheetId="43">#REF!</definedName>
    <definedName name="HR6_125x110" localSheetId="42">#REF!</definedName>
    <definedName name="HR6_125x110" localSheetId="27">#REF!</definedName>
    <definedName name="HR6_125x110" localSheetId="45">#REF!</definedName>
    <definedName name="HR6_125x110">#REF!</definedName>
    <definedName name="HR6_125x63" localSheetId="30">#REF!</definedName>
    <definedName name="HR6_125x63" localSheetId="25">#REF!</definedName>
    <definedName name="HR6_125x63" localSheetId="28">#REF!</definedName>
    <definedName name="HR6_125x63" localSheetId="29">#REF!</definedName>
    <definedName name="HR6_125x63" localSheetId="12">#REF!</definedName>
    <definedName name="HR6_125x63" localSheetId="43">#REF!</definedName>
    <definedName name="HR6_125x63" localSheetId="42">#REF!</definedName>
    <definedName name="HR6_125x63" localSheetId="27">#REF!</definedName>
    <definedName name="HR6_125x63" localSheetId="45">#REF!</definedName>
    <definedName name="HR6_125x63">#REF!</definedName>
    <definedName name="HR6_125x75" localSheetId="30">#REF!</definedName>
    <definedName name="HR6_125x75" localSheetId="25">#REF!</definedName>
    <definedName name="HR6_125x75" localSheetId="28">#REF!</definedName>
    <definedName name="HR6_125x75" localSheetId="29">#REF!</definedName>
    <definedName name="HR6_125x75" localSheetId="12">#REF!</definedName>
    <definedName name="HR6_125x75" localSheetId="43">#REF!</definedName>
    <definedName name="HR6_125x75" localSheetId="42">#REF!</definedName>
    <definedName name="HR6_125x75" localSheetId="27">#REF!</definedName>
    <definedName name="HR6_125x75" localSheetId="45">#REF!</definedName>
    <definedName name="HR6_125x75">#REF!</definedName>
    <definedName name="HR6_140x110" localSheetId="30">#REF!</definedName>
    <definedName name="HR6_140x110" localSheetId="25">#REF!</definedName>
    <definedName name="HR6_140x110" localSheetId="28">#REF!</definedName>
    <definedName name="HR6_140x110" localSheetId="29">#REF!</definedName>
    <definedName name="HR6_140x110" localSheetId="12">#REF!</definedName>
    <definedName name="HR6_140x110" localSheetId="43">#REF!</definedName>
    <definedName name="HR6_140x110" localSheetId="42">#REF!</definedName>
    <definedName name="HR6_140x110" localSheetId="27">#REF!</definedName>
    <definedName name="HR6_140x110" localSheetId="45">#REF!</definedName>
    <definedName name="HR6_140x110">#REF!</definedName>
    <definedName name="HR6_140x125" localSheetId="30">#REF!</definedName>
    <definedName name="HR6_140x125" localSheetId="25">#REF!</definedName>
    <definedName name="HR6_140x125" localSheetId="28">#REF!</definedName>
    <definedName name="HR6_140x125" localSheetId="29">#REF!</definedName>
    <definedName name="HR6_140x125" localSheetId="12">#REF!</definedName>
    <definedName name="HR6_140x125" localSheetId="43">#REF!</definedName>
    <definedName name="HR6_140x125" localSheetId="42">#REF!</definedName>
    <definedName name="HR6_140x125" localSheetId="27">#REF!</definedName>
    <definedName name="HR6_140x125" localSheetId="45">#REF!</definedName>
    <definedName name="HR6_140x125">#REF!</definedName>
    <definedName name="HR6_140x75" localSheetId="30">#REF!</definedName>
    <definedName name="HR6_140x75" localSheetId="25">#REF!</definedName>
    <definedName name="HR6_140x75" localSheetId="28">#REF!</definedName>
    <definedName name="HR6_140x75" localSheetId="29">#REF!</definedName>
    <definedName name="HR6_140x75" localSheetId="12">#REF!</definedName>
    <definedName name="HR6_140x75" localSheetId="43">#REF!</definedName>
    <definedName name="HR6_140x75" localSheetId="42">#REF!</definedName>
    <definedName name="HR6_140x75" localSheetId="27">#REF!</definedName>
    <definedName name="HR6_140x75" localSheetId="45">#REF!</definedName>
    <definedName name="HR6_140x75">#REF!</definedName>
    <definedName name="HR6_140x90" localSheetId="30">#REF!</definedName>
    <definedName name="HR6_140x90" localSheetId="25">#REF!</definedName>
    <definedName name="HR6_140x90" localSheetId="28">#REF!</definedName>
    <definedName name="HR6_140x90" localSheetId="29">#REF!</definedName>
    <definedName name="HR6_140x90" localSheetId="12">#REF!</definedName>
    <definedName name="HR6_140x90" localSheetId="43">#REF!</definedName>
    <definedName name="HR6_140x90" localSheetId="42">#REF!</definedName>
    <definedName name="HR6_140x90" localSheetId="27">#REF!</definedName>
    <definedName name="HR6_140x90" localSheetId="45">#REF!</definedName>
    <definedName name="HR6_140x90">#REF!</definedName>
    <definedName name="HR6_160x110" localSheetId="30">#REF!</definedName>
    <definedName name="HR6_160x110" localSheetId="25">#REF!</definedName>
    <definedName name="HR6_160x110" localSheetId="28">#REF!</definedName>
    <definedName name="HR6_160x110" localSheetId="29">#REF!</definedName>
    <definedName name="HR6_160x110" localSheetId="12">#REF!</definedName>
    <definedName name="HR6_160x110" localSheetId="43">#REF!</definedName>
    <definedName name="HR6_160x110" localSheetId="42">#REF!</definedName>
    <definedName name="HR6_160x110" localSheetId="27">#REF!</definedName>
    <definedName name="HR6_160x110" localSheetId="45">#REF!</definedName>
    <definedName name="HR6_160x110">#REF!</definedName>
    <definedName name="HR6_160x125" localSheetId="30">#REF!</definedName>
    <definedName name="HR6_160x125" localSheetId="25">#REF!</definedName>
    <definedName name="HR6_160x125" localSheetId="28">#REF!</definedName>
    <definedName name="HR6_160x125" localSheetId="29">#REF!</definedName>
    <definedName name="HR6_160x125" localSheetId="12">#REF!</definedName>
    <definedName name="HR6_160x125" localSheetId="43">#REF!</definedName>
    <definedName name="HR6_160x125" localSheetId="42">#REF!</definedName>
    <definedName name="HR6_160x125" localSheetId="27">#REF!</definedName>
    <definedName name="HR6_160x125" localSheetId="45">#REF!</definedName>
    <definedName name="HR6_160x125">#REF!</definedName>
    <definedName name="HR6_160x140" localSheetId="30">#REF!</definedName>
    <definedName name="HR6_160x140" localSheetId="25">#REF!</definedName>
    <definedName name="HR6_160x140" localSheetId="28">#REF!</definedName>
    <definedName name="HR6_160x140" localSheetId="29">#REF!</definedName>
    <definedName name="HR6_160x140" localSheetId="12">#REF!</definedName>
    <definedName name="HR6_160x140" localSheetId="43">#REF!</definedName>
    <definedName name="HR6_160x140" localSheetId="42">#REF!</definedName>
    <definedName name="HR6_160x140" localSheetId="27">#REF!</definedName>
    <definedName name="HR6_160x140" localSheetId="45">#REF!</definedName>
    <definedName name="HR6_160x140">#REF!</definedName>
    <definedName name="HR6_160x75" localSheetId="30">#REF!</definedName>
    <definedName name="HR6_160x75" localSheetId="25">#REF!</definedName>
    <definedName name="HR6_160x75" localSheetId="28">#REF!</definedName>
    <definedName name="HR6_160x75" localSheetId="29">#REF!</definedName>
    <definedName name="HR6_160x75" localSheetId="12">#REF!</definedName>
    <definedName name="HR6_160x75" localSheetId="43">#REF!</definedName>
    <definedName name="HR6_160x75" localSheetId="42">#REF!</definedName>
    <definedName name="HR6_160x75" localSheetId="27">#REF!</definedName>
    <definedName name="HR6_160x75" localSheetId="45">#REF!</definedName>
    <definedName name="HR6_160x75">#REF!</definedName>
    <definedName name="HR6_160x90" localSheetId="30">#REF!</definedName>
    <definedName name="HR6_160x90" localSheetId="25">#REF!</definedName>
    <definedName name="HR6_160x90" localSheetId="28">#REF!</definedName>
    <definedName name="HR6_160x90" localSheetId="29">#REF!</definedName>
    <definedName name="HR6_160x90" localSheetId="12">#REF!</definedName>
    <definedName name="HR6_160x90" localSheetId="43">#REF!</definedName>
    <definedName name="HR6_160x90" localSheetId="42">#REF!</definedName>
    <definedName name="HR6_160x90" localSheetId="27">#REF!</definedName>
    <definedName name="HR6_160x90" localSheetId="45">#REF!</definedName>
    <definedName name="HR6_160x90">#REF!</definedName>
    <definedName name="HR6_180x110" localSheetId="30">#REF!</definedName>
    <definedName name="HR6_180x110" localSheetId="25">#REF!</definedName>
    <definedName name="HR6_180x110" localSheetId="28">#REF!</definedName>
    <definedName name="HR6_180x110" localSheetId="29">#REF!</definedName>
    <definedName name="HR6_180x110" localSheetId="12">#REF!</definedName>
    <definedName name="HR6_180x110" localSheetId="43">#REF!</definedName>
    <definedName name="HR6_180x110" localSheetId="42">#REF!</definedName>
    <definedName name="HR6_180x110" localSheetId="27">#REF!</definedName>
    <definedName name="HR6_180x110" localSheetId="45">#REF!</definedName>
    <definedName name="HR6_180x110">#REF!</definedName>
    <definedName name="HR6_180x125" localSheetId="30">#REF!</definedName>
    <definedName name="HR6_180x125" localSheetId="25">#REF!</definedName>
    <definedName name="HR6_180x125" localSheetId="28">#REF!</definedName>
    <definedName name="HR6_180x125" localSheetId="29">#REF!</definedName>
    <definedName name="HR6_180x125" localSheetId="12">#REF!</definedName>
    <definedName name="HR6_180x125" localSheetId="43">#REF!</definedName>
    <definedName name="HR6_180x125" localSheetId="42">#REF!</definedName>
    <definedName name="HR6_180x125" localSheetId="27">#REF!</definedName>
    <definedName name="HR6_180x125" localSheetId="45">#REF!</definedName>
    <definedName name="HR6_180x125">#REF!</definedName>
    <definedName name="HR6_180x140" localSheetId="30">#REF!</definedName>
    <definedName name="HR6_180x140" localSheetId="25">#REF!</definedName>
    <definedName name="HR6_180x140" localSheetId="28">#REF!</definedName>
    <definedName name="HR6_180x140" localSheetId="29">#REF!</definedName>
    <definedName name="HR6_180x140" localSheetId="12">#REF!</definedName>
    <definedName name="HR6_180x140" localSheetId="43">#REF!</definedName>
    <definedName name="HR6_180x140" localSheetId="42">#REF!</definedName>
    <definedName name="HR6_180x140" localSheetId="27">#REF!</definedName>
    <definedName name="HR6_180x140" localSheetId="45">#REF!</definedName>
    <definedName name="HR6_180x140">#REF!</definedName>
    <definedName name="HR6_180x160" localSheetId="30">#REF!</definedName>
    <definedName name="HR6_180x160" localSheetId="25">#REF!</definedName>
    <definedName name="HR6_180x160" localSheetId="28">#REF!</definedName>
    <definedName name="HR6_180x160" localSheetId="29">#REF!</definedName>
    <definedName name="HR6_180x160" localSheetId="12">#REF!</definedName>
    <definedName name="HR6_180x160" localSheetId="43">#REF!</definedName>
    <definedName name="HR6_180x160" localSheetId="42">#REF!</definedName>
    <definedName name="HR6_180x160" localSheetId="27">#REF!</definedName>
    <definedName name="HR6_180x160" localSheetId="45">#REF!</definedName>
    <definedName name="HR6_180x160">#REF!</definedName>
    <definedName name="HR6_180x90" localSheetId="30">#REF!</definedName>
    <definedName name="HR6_180x90" localSheetId="25">#REF!</definedName>
    <definedName name="HR6_180x90" localSheetId="28">#REF!</definedName>
    <definedName name="HR6_180x90" localSheetId="29">#REF!</definedName>
    <definedName name="HR6_180x90" localSheetId="12">#REF!</definedName>
    <definedName name="HR6_180x90" localSheetId="43">#REF!</definedName>
    <definedName name="HR6_180x90" localSheetId="42">#REF!</definedName>
    <definedName name="HR6_180x90" localSheetId="27">#REF!</definedName>
    <definedName name="HR6_180x90" localSheetId="45">#REF!</definedName>
    <definedName name="HR6_180x90">#REF!</definedName>
    <definedName name="HR6_200x110" localSheetId="30">#REF!</definedName>
    <definedName name="HR6_200x110" localSheetId="25">#REF!</definedName>
    <definedName name="HR6_200x110" localSheetId="28">#REF!</definedName>
    <definedName name="HR6_200x110" localSheetId="29">#REF!</definedName>
    <definedName name="HR6_200x110" localSheetId="12">#REF!</definedName>
    <definedName name="HR6_200x110" localSheetId="43">#REF!</definedName>
    <definedName name="HR6_200x110" localSheetId="42">#REF!</definedName>
    <definedName name="HR6_200x110" localSheetId="27">#REF!</definedName>
    <definedName name="HR6_200x110" localSheetId="45">#REF!</definedName>
    <definedName name="HR6_200x110">#REF!</definedName>
    <definedName name="HR6_200x125" localSheetId="30">#REF!</definedName>
    <definedName name="HR6_200x125" localSheetId="25">#REF!</definedName>
    <definedName name="HR6_200x125" localSheetId="28">#REF!</definedName>
    <definedName name="HR6_200x125" localSheetId="29">#REF!</definedName>
    <definedName name="HR6_200x125" localSheetId="12">#REF!</definedName>
    <definedName name="HR6_200x125" localSheetId="43">#REF!</definedName>
    <definedName name="HR6_200x125" localSheetId="42">#REF!</definedName>
    <definedName name="HR6_200x125" localSheetId="27">#REF!</definedName>
    <definedName name="HR6_200x125" localSheetId="45">#REF!</definedName>
    <definedName name="HR6_200x125">#REF!</definedName>
    <definedName name="HR6_200x140" localSheetId="30">#REF!</definedName>
    <definedName name="HR6_200x140" localSheetId="25">#REF!</definedName>
    <definedName name="HR6_200x140" localSheetId="28">#REF!</definedName>
    <definedName name="HR6_200x140" localSheetId="29">#REF!</definedName>
    <definedName name="HR6_200x140" localSheetId="12">#REF!</definedName>
    <definedName name="HR6_200x140" localSheetId="43">#REF!</definedName>
    <definedName name="HR6_200x140" localSheetId="42">#REF!</definedName>
    <definedName name="HR6_200x140" localSheetId="27">#REF!</definedName>
    <definedName name="HR6_200x140" localSheetId="45">#REF!</definedName>
    <definedName name="HR6_200x140">#REF!</definedName>
    <definedName name="HR6_200x160" localSheetId="30">#REF!</definedName>
    <definedName name="HR6_200x160" localSheetId="25">#REF!</definedName>
    <definedName name="HR6_200x160" localSheetId="28">#REF!</definedName>
    <definedName name="HR6_200x160" localSheetId="29">#REF!</definedName>
    <definedName name="HR6_200x160" localSheetId="12">#REF!</definedName>
    <definedName name="HR6_200x160" localSheetId="43">#REF!</definedName>
    <definedName name="HR6_200x160" localSheetId="42">#REF!</definedName>
    <definedName name="HR6_200x160" localSheetId="27">#REF!</definedName>
    <definedName name="HR6_200x160" localSheetId="45">#REF!</definedName>
    <definedName name="HR6_200x160">#REF!</definedName>
    <definedName name="HR6_200x180" localSheetId="30">#REF!</definedName>
    <definedName name="HR6_200x180" localSheetId="25">#REF!</definedName>
    <definedName name="HR6_200x180" localSheetId="28">#REF!</definedName>
    <definedName name="HR6_200x180" localSheetId="29">#REF!</definedName>
    <definedName name="HR6_200x180" localSheetId="12">#REF!</definedName>
    <definedName name="HR6_200x180" localSheetId="43">#REF!</definedName>
    <definedName name="HR6_200x180" localSheetId="42">#REF!</definedName>
    <definedName name="HR6_200x180" localSheetId="27">#REF!</definedName>
    <definedName name="HR6_200x180" localSheetId="45">#REF!</definedName>
    <definedName name="HR6_200x180">#REF!</definedName>
    <definedName name="HR6_225x140" localSheetId="30">#REF!</definedName>
    <definedName name="HR6_225x140" localSheetId="25">#REF!</definedName>
    <definedName name="HR6_225x140" localSheetId="28">#REF!</definedName>
    <definedName name="HR6_225x140" localSheetId="29">#REF!</definedName>
    <definedName name="HR6_225x140" localSheetId="12">#REF!</definedName>
    <definedName name="HR6_225x140" localSheetId="43">#REF!</definedName>
    <definedName name="HR6_225x140" localSheetId="42">#REF!</definedName>
    <definedName name="HR6_225x140" localSheetId="27">#REF!</definedName>
    <definedName name="HR6_225x140" localSheetId="45">#REF!</definedName>
    <definedName name="HR6_225x140">#REF!</definedName>
    <definedName name="HR6_225x160" localSheetId="30">#REF!</definedName>
    <definedName name="HR6_225x160" localSheetId="25">#REF!</definedName>
    <definedName name="HR6_225x160" localSheetId="28">#REF!</definedName>
    <definedName name="HR6_225x160" localSheetId="29">#REF!</definedName>
    <definedName name="HR6_225x160" localSheetId="12">#REF!</definedName>
    <definedName name="HR6_225x160" localSheetId="43">#REF!</definedName>
    <definedName name="HR6_225x160" localSheetId="42">#REF!</definedName>
    <definedName name="HR6_225x160" localSheetId="27">#REF!</definedName>
    <definedName name="HR6_225x160" localSheetId="45">#REF!</definedName>
    <definedName name="HR6_225x160">#REF!</definedName>
    <definedName name="HR6_225x180" localSheetId="30">#REF!</definedName>
    <definedName name="HR6_225x180" localSheetId="25">#REF!</definedName>
    <definedName name="HR6_225x180" localSheetId="28">#REF!</definedName>
    <definedName name="HR6_225x180" localSheetId="29">#REF!</definedName>
    <definedName name="HR6_225x180" localSheetId="12">#REF!</definedName>
    <definedName name="HR6_225x180" localSheetId="43">#REF!</definedName>
    <definedName name="HR6_225x180" localSheetId="42">#REF!</definedName>
    <definedName name="HR6_225x180" localSheetId="27">#REF!</definedName>
    <definedName name="HR6_225x180" localSheetId="45">#REF!</definedName>
    <definedName name="HR6_225x180">#REF!</definedName>
    <definedName name="HR6_225x200" localSheetId="30">#REF!</definedName>
    <definedName name="HR6_225x200" localSheetId="25">#REF!</definedName>
    <definedName name="HR6_225x200" localSheetId="28">#REF!</definedName>
    <definedName name="HR6_225x200" localSheetId="29">#REF!</definedName>
    <definedName name="HR6_225x200" localSheetId="12">#REF!</definedName>
    <definedName name="HR6_225x200" localSheetId="43">#REF!</definedName>
    <definedName name="HR6_225x200" localSheetId="42">#REF!</definedName>
    <definedName name="HR6_225x200" localSheetId="27">#REF!</definedName>
    <definedName name="HR6_225x200" localSheetId="45">#REF!</definedName>
    <definedName name="HR6_225x200">#REF!</definedName>
    <definedName name="HR6_250x140" localSheetId="30">#REF!</definedName>
    <definedName name="HR6_250x140" localSheetId="25">#REF!</definedName>
    <definedName name="HR6_250x140" localSheetId="28">#REF!</definedName>
    <definedName name="HR6_250x140" localSheetId="29">#REF!</definedName>
    <definedName name="HR6_250x140" localSheetId="12">#REF!</definedName>
    <definedName name="HR6_250x140" localSheetId="43">#REF!</definedName>
    <definedName name="HR6_250x140" localSheetId="42">#REF!</definedName>
    <definedName name="HR6_250x140" localSheetId="27">#REF!</definedName>
    <definedName name="HR6_250x140" localSheetId="45">#REF!</definedName>
    <definedName name="HR6_250x140">#REF!</definedName>
    <definedName name="HR6_250x160" localSheetId="30">#REF!</definedName>
    <definedName name="HR6_250x160" localSheetId="25">#REF!</definedName>
    <definedName name="HR6_250x160" localSheetId="28">#REF!</definedName>
    <definedName name="HR6_250x160" localSheetId="29">#REF!</definedName>
    <definedName name="HR6_250x160" localSheetId="12">#REF!</definedName>
    <definedName name="HR6_250x160" localSheetId="43">#REF!</definedName>
    <definedName name="HR6_250x160" localSheetId="42">#REF!</definedName>
    <definedName name="HR6_250x160" localSheetId="27">#REF!</definedName>
    <definedName name="HR6_250x160" localSheetId="45">#REF!</definedName>
    <definedName name="HR6_250x160">#REF!</definedName>
    <definedName name="HR6_250x180" localSheetId="30">#REF!</definedName>
    <definedName name="HR6_250x180" localSheetId="25">#REF!</definedName>
    <definedName name="HR6_250x180" localSheetId="28">#REF!</definedName>
    <definedName name="HR6_250x180" localSheetId="29">#REF!</definedName>
    <definedName name="HR6_250x180" localSheetId="12">#REF!</definedName>
    <definedName name="HR6_250x180" localSheetId="43">#REF!</definedName>
    <definedName name="HR6_250x180" localSheetId="42">#REF!</definedName>
    <definedName name="HR6_250x180" localSheetId="27">#REF!</definedName>
    <definedName name="HR6_250x180" localSheetId="45">#REF!</definedName>
    <definedName name="HR6_250x180">#REF!</definedName>
    <definedName name="HR6_250x200" localSheetId="30">#REF!</definedName>
    <definedName name="HR6_250x200" localSheetId="25">#REF!</definedName>
    <definedName name="HR6_250x200" localSheetId="28">#REF!</definedName>
    <definedName name="HR6_250x200" localSheetId="29">#REF!</definedName>
    <definedName name="HR6_250x200" localSheetId="12">#REF!</definedName>
    <definedName name="HR6_250x200" localSheetId="43">#REF!</definedName>
    <definedName name="HR6_250x200" localSheetId="42">#REF!</definedName>
    <definedName name="HR6_250x200" localSheetId="27">#REF!</definedName>
    <definedName name="HR6_250x200" localSheetId="45">#REF!</definedName>
    <definedName name="HR6_250x200">#REF!</definedName>
    <definedName name="HR6_250x225" localSheetId="30">#REF!</definedName>
    <definedName name="HR6_250x225" localSheetId="25">#REF!</definedName>
    <definedName name="HR6_250x225" localSheetId="28">#REF!</definedName>
    <definedName name="HR6_250x225" localSheetId="29">#REF!</definedName>
    <definedName name="HR6_250x225" localSheetId="12">#REF!</definedName>
    <definedName name="HR6_250x225" localSheetId="43">#REF!</definedName>
    <definedName name="HR6_250x225" localSheetId="42">#REF!</definedName>
    <definedName name="HR6_250x225" localSheetId="27">#REF!</definedName>
    <definedName name="HR6_250x225" localSheetId="45">#REF!</definedName>
    <definedName name="HR6_250x225">#REF!</definedName>
    <definedName name="HR6_280x160" localSheetId="30">#REF!</definedName>
    <definedName name="HR6_280x160" localSheetId="25">#REF!</definedName>
    <definedName name="HR6_280x160" localSheetId="28">#REF!</definedName>
    <definedName name="HR6_280x160" localSheetId="29">#REF!</definedName>
    <definedName name="HR6_280x160" localSheetId="12">#REF!</definedName>
    <definedName name="HR6_280x160" localSheetId="43">#REF!</definedName>
    <definedName name="HR6_280x160" localSheetId="42">#REF!</definedName>
    <definedName name="HR6_280x160" localSheetId="27">#REF!</definedName>
    <definedName name="HR6_280x160" localSheetId="45">#REF!</definedName>
    <definedName name="HR6_280x160">#REF!</definedName>
    <definedName name="HR6_280x180" localSheetId="30">#REF!</definedName>
    <definedName name="HR6_280x180" localSheetId="25">#REF!</definedName>
    <definedName name="HR6_280x180" localSheetId="28">#REF!</definedName>
    <definedName name="HR6_280x180" localSheetId="29">#REF!</definedName>
    <definedName name="HR6_280x180" localSheetId="12">#REF!</definedName>
    <definedName name="HR6_280x180" localSheetId="43">#REF!</definedName>
    <definedName name="HR6_280x180" localSheetId="42">#REF!</definedName>
    <definedName name="HR6_280x180" localSheetId="27">#REF!</definedName>
    <definedName name="HR6_280x180" localSheetId="45">#REF!</definedName>
    <definedName name="HR6_280x180">#REF!</definedName>
    <definedName name="HR6_280x200" localSheetId="30">#REF!</definedName>
    <definedName name="HR6_280x200" localSheetId="25">#REF!</definedName>
    <definedName name="HR6_280x200" localSheetId="28">#REF!</definedName>
    <definedName name="HR6_280x200" localSheetId="29">#REF!</definedName>
    <definedName name="HR6_280x200" localSheetId="12">#REF!</definedName>
    <definedName name="HR6_280x200" localSheetId="43">#REF!</definedName>
    <definedName name="HR6_280x200" localSheetId="42">#REF!</definedName>
    <definedName name="HR6_280x200" localSheetId="27">#REF!</definedName>
    <definedName name="HR6_280x200" localSheetId="45">#REF!</definedName>
    <definedName name="HR6_280x200">#REF!</definedName>
    <definedName name="HR6_280x225" localSheetId="30">#REF!</definedName>
    <definedName name="HR6_280x225" localSheetId="25">#REF!</definedName>
    <definedName name="HR6_280x225" localSheetId="28">#REF!</definedName>
    <definedName name="HR6_280x225" localSheetId="29">#REF!</definedName>
    <definedName name="HR6_280x225" localSheetId="12">#REF!</definedName>
    <definedName name="HR6_280x225" localSheetId="43">#REF!</definedName>
    <definedName name="HR6_280x225" localSheetId="42">#REF!</definedName>
    <definedName name="HR6_280x225" localSheetId="27">#REF!</definedName>
    <definedName name="HR6_280x225" localSheetId="45">#REF!</definedName>
    <definedName name="HR6_280x225">#REF!</definedName>
    <definedName name="HR6_315x160" localSheetId="30">#REF!</definedName>
    <definedName name="HR6_315x160" localSheetId="25">#REF!</definedName>
    <definedName name="HR6_315x160" localSheetId="28">#REF!</definedName>
    <definedName name="HR6_315x160" localSheetId="29">#REF!</definedName>
    <definedName name="HR6_315x160" localSheetId="12">#REF!</definedName>
    <definedName name="HR6_315x160" localSheetId="43">#REF!</definedName>
    <definedName name="HR6_315x160" localSheetId="42">#REF!</definedName>
    <definedName name="HR6_315x160" localSheetId="27">#REF!</definedName>
    <definedName name="HR6_315x160" localSheetId="45">#REF!</definedName>
    <definedName name="HR6_315x160">#REF!</definedName>
    <definedName name="HR6_315x180" localSheetId="30">#REF!</definedName>
    <definedName name="HR6_315x180" localSheetId="25">#REF!</definedName>
    <definedName name="HR6_315x180" localSheetId="28">#REF!</definedName>
    <definedName name="HR6_315x180" localSheetId="29">#REF!</definedName>
    <definedName name="HR6_315x180" localSheetId="12">#REF!</definedName>
    <definedName name="HR6_315x180" localSheetId="43">#REF!</definedName>
    <definedName name="HR6_315x180" localSheetId="42">#REF!</definedName>
    <definedName name="HR6_315x180" localSheetId="27">#REF!</definedName>
    <definedName name="HR6_315x180" localSheetId="45">#REF!</definedName>
    <definedName name="HR6_315x180">#REF!</definedName>
    <definedName name="HR6_315x200" localSheetId="30">#REF!</definedName>
    <definedName name="HR6_315x200" localSheetId="25">#REF!</definedName>
    <definedName name="HR6_315x200" localSheetId="28">#REF!</definedName>
    <definedName name="HR6_315x200" localSheetId="29">#REF!</definedName>
    <definedName name="HR6_315x200" localSheetId="12">#REF!</definedName>
    <definedName name="HR6_315x200" localSheetId="43">#REF!</definedName>
    <definedName name="HR6_315x200" localSheetId="42">#REF!</definedName>
    <definedName name="HR6_315x200" localSheetId="27">#REF!</definedName>
    <definedName name="HR6_315x200" localSheetId="45">#REF!</definedName>
    <definedName name="HR6_315x200">#REF!</definedName>
    <definedName name="HR6_315x225" localSheetId="30">#REF!</definedName>
    <definedName name="HR6_315x225" localSheetId="25">#REF!</definedName>
    <definedName name="HR6_315x225" localSheetId="28">#REF!</definedName>
    <definedName name="HR6_315x225" localSheetId="29">#REF!</definedName>
    <definedName name="HR6_315x225" localSheetId="12">#REF!</definedName>
    <definedName name="HR6_315x225" localSheetId="43">#REF!</definedName>
    <definedName name="HR6_315x225" localSheetId="42">#REF!</definedName>
    <definedName name="HR6_315x225" localSheetId="27">#REF!</definedName>
    <definedName name="HR6_315x225" localSheetId="45">#REF!</definedName>
    <definedName name="HR6_315x225">#REF!</definedName>
    <definedName name="HR6_40x32" localSheetId="30">#REF!</definedName>
    <definedName name="HR6_40x32" localSheetId="25">#REF!</definedName>
    <definedName name="HR6_40x32" localSheetId="28">#REF!</definedName>
    <definedName name="HR6_40x32" localSheetId="29">#REF!</definedName>
    <definedName name="HR6_40x32" localSheetId="12">#REF!</definedName>
    <definedName name="HR6_40x32" localSheetId="43">#REF!</definedName>
    <definedName name="HR6_40x32" localSheetId="42">#REF!</definedName>
    <definedName name="HR6_40x32" localSheetId="27">#REF!</definedName>
    <definedName name="HR6_40x32" localSheetId="45">#REF!</definedName>
    <definedName name="HR6_40x32">#REF!</definedName>
    <definedName name="HR6_50x32" localSheetId="30">#REF!</definedName>
    <definedName name="HR6_50x32" localSheetId="25">#REF!</definedName>
    <definedName name="HR6_50x32" localSheetId="28">#REF!</definedName>
    <definedName name="HR6_50x32" localSheetId="29">#REF!</definedName>
    <definedName name="HR6_50x32" localSheetId="12">#REF!</definedName>
    <definedName name="HR6_50x32" localSheetId="43">#REF!</definedName>
    <definedName name="HR6_50x32" localSheetId="42">#REF!</definedName>
    <definedName name="HR6_50x32" localSheetId="27">#REF!</definedName>
    <definedName name="HR6_50x32" localSheetId="45">#REF!</definedName>
    <definedName name="HR6_50x32">#REF!</definedName>
    <definedName name="HR6_50x40" localSheetId="30">#REF!</definedName>
    <definedName name="HR6_50x40" localSheetId="25">#REF!</definedName>
    <definedName name="HR6_50x40" localSheetId="28">#REF!</definedName>
    <definedName name="HR6_50x40" localSheetId="29">#REF!</definedName>
    <definedName name="HR6_50x40" localSheetId="12">#REF!</definedName>
    <definedName name="HR6_50x40" localSheetId="43">#REF!</definedName>
    <definedName name="HR6_50x40" localSheetId="42">#REF!</definedName>
    <definedName name="HR6_50x40" localSheetId="27">#REF!</definedName>
    <definedName name="HR6_50x40" localSheetId="45">#REF!</definedName>
    <definedName name="HR6_50x40">#REF!</definedName>
    <definedName name="HR6_63x32" localSheetId="30">#REF!</definedName>
    <definedName name="HR6_63x32" localSheetId="25">#REF!</definedName>
    <definedName name="HR6_63x32" localSheetId="28">#REF!</definedName>
    <definedName name="HR6_63x32" localSheetId="29">#REF!</definedName>
    <definedName name="HR6_63x32" localSheetId="12">#REF!</definedName>
    <definedName name="HR6_63x32" localSheetId="43">#REF!</definedName>
    <definedName name="HR6_63x32" localSheetId="42">#REF!</definedName>
    <definedName name="HR6_63x32" localSheetId="27">#REF!</definedName>
    <definedName name="HR6_63x32" localSheetId="45">#REF!</definedName>
    <definedName name="HR6_63x32">#REF!</definedName>
    <definedName name="HR6_63x40" localSheetId="30">#REF!</definedName>
    <definedName name="HR6_63x40" localSheetId="25">#REF!</definedName>
    <definedName name="HR6_63x40" localSheetId="28">#REF!</definedName>
    <definedName name="HR6_63x40" localSheetId="29">#REF!</definedName>
    <definedName name="HR6_63x40" localSheetId="12">#REF!</definedName>
    <definedName name="HR6_63x40" localSheetId="43">#REF!</definedName>
    <definedName name="HR6_63x40" localSheetId="42">#REF!</definedName>
    <definedName name="HR6_63x40" localSheetId="27">#REF!</definedName>
    <definedName name="HR6_63x40" localSheetId="45">#REF!</definedName>
    <definedName name="HR6_63x40">#REF!</definedName>
    <definedName name="HR6_63x50" localSheetId="30">#REF!</definedName>
    <definedName name="HR6_63x50" localSheetId="25">#REF!</definedName>
    <definedName name="HR6_63x50" localSheetId="28">#REF!</definedName>
    <definedName name="HR6_63x50" localSheetId="29">#REF!</definedName>
    <definedName name="HR6_63x50" localSheetId="12">#REF!</definedName>
    <definedName name="HR6_63x50" localSheetId="43">#REF!</definedName>
    <definedName name="HR6_63x50" localSheetId="42">#REF!</definedName>
    <definedName name="HR6_63x50" localSheetId="27">#REF!</definedName>
    <definedName name="HR6_63x50" localSheetId="45">#REF!</definedName>
    <definedName name="HR6_63x50">#REF!</definedName>
    <definedName name="HR6_75x32" localSheetId="30">#REF!</definedName>
    <definedName name="HR6_75x32" localSheetId="25">#REF!</definedName>
    <definedName name="HR6_75x32" localSheetId="28">#REF!</definedName>
    <definedName name="HR6_75x32" localSheetId="29">#REF!</definedName>
    <definedName name="HR6_75x32" localSheetId="12">#REF!</definedName>
    <definedName name="HR6_75x32" localSheetId="43">#REF!</definedName>
    <definedName name="HR6_75x32" localSheetId="42">#REF!</definedName>
    <definedName name="HR6_75x32" localSheetId="27">#REF!</definedName>
    <definedName name="HR6_75x32" localSheetId="45">#REF!</definedName>
    <definedName name="HR6_75x32">#REF!</definedName>
    <definedName name="HR6_75x40" localSheetId="30">#REF!</definedName>
    <definedName name="HR6_75x40" localSheetId="25">#REF!</definedName>
    <definedName name="HR6_75x40" localSheetId="28">#REF!</definedName>
    <definedName name="HR6_75x40" localSheetId="29">#REF!</definedName>
    <definedName name="HR6_75x40" localSheetId="12">#REF!</definedName>
    <definedName name="HR6_75x40" localSheetId="43">#REF!</definedName>
    <definedName name="HR6_75x40" localSheetId="42">#REF!</definedName>
    <definedName name="HR6_75x40" localSheetId="27">#REF!</definedName>
    <definedName name="HR6_75x40" localSheetId="45">#REF!</definedName>
    <definedName name="HR6_75x40">#REF!</definedName>
    <definedName name="HR6_75x50" localSheetId="30">#REF!</definedName>
    <definedName name="HR6_75x50" localSheetId="25">#REF!</definedName>
    <definedName name="HR6_75x50" localSheetId="28">#REF!</definedName>
    <definedName name="HR6_75x50" localSheetId="29">#REF!</definedName>
    <definedName name="HR6_75x50" localSheetId="12">#REF!</definedName>
    <definedName name="HR6_75x50" localSheetId="43">#REF!</definedName>
    <definedName name="HR6_75x50" localSheetId="42">#REF!</definedName>
    <definedName name="HR6_75x50" localSheetId="27">#REF!</definedName>
    <definedName name="HR6_75x50" localSheetId="45">#REF!</definedName>
    <definedName name="HR6_75x50">#REF!</definedName>
    <definedName name="HR6_75x63" localSheetId="30">#REF!</definedName>
    <definedName name="HR6_75x63" localSheetId="25">#REF!</definedName>
    <definedName name="HR6_75x63" localSheetId="28">#REF!</definedName>
    <definedName name="HR6_75x63" localSheetId="29">#REF!</definedName>
    <definedName name="HR6_75x63" localSheetId="12">#REF!</definedName>
    <definedName name="HR6_75x63" localSheetId="43">#REF!</definedName>
    <definedName name="HR6_75x63" localSheetId="42">#REF!</definedName>
    <definedName name="HR6_75x63" localSheetId="27">#REF!</definedName>
    <definedName name="HR6_75x63" localSheetId="45">#REF!</definedName>
    <definedName name="HR6_75x63">#REF!</definedName>
    <definedName name="HR6_90x32" localSheetId="30">#REF!</definedName>
    <definedName name="HR6_90x32" localSheetId="25">#REF!</definedName>
    <definedName name="HR6_90x32" localSheetId="28">#REF!</definedName>
    <definedName name="HR6_90x32" localSheetId="29">#REF!</definedName>
    <definedName name="HR6_90x32" localSheetId="12">#REF!</definedName>
    <definedName name="HR6_90x32" localSheetId="43">#REF!</definedName>
    <definedName name="HR6_90x32" localSheetId="42">#REF!</definedName>
    <definedName name="HR6_90x32" localSheetId="27">#REF!</definedName>
    <definedName name="HR6_90x32" localSheetId="45">#REF!</definedName>
    <definedName name="HR6_90x32">#REF!</definedName>
    <definedName name="HR6_90x40" localSheetId="30">#REF!</definedName>
    <definedName name="HR6_90x40" localSheetId="25">#REF!</definedName>
    <definedName name="HR6_90x40" localSheetId="28">#REF!</definedName>
    <definedName name="HR6_90x40" localSheetId="29">#REF!</definedName>
    <definedName name="HR6_90x40" localSheetId="12">#REF!</definedName>
    <definedName name="HR6_90x40" localSheetId="43">#REF!</definedName>
    <definedName name="HR6_90x40" localSheetId="42">#REF!</definedName>
    <definedName name="HR6_90x40" localSheetId="27">#REF!</definedName>
    <definedName name="HR6_90x40" localSheetId="45">#REF!</definedName>
    <definedName name="HR6_90x40">#REF!</definedName>
    <definedName name="HR6_90x50" localSheetId="30">#REF!</definedName>
    <definedName name="HR6_90x50" localSheetId="25">#REF!</definedName>
    <definedName name="HR6_90x50" localSheetId="28">#REF!</definedName>
    <definedName name="HR6_90x50" localSheetId="29">#REF!</definedName>
    <definedName name="HR6_90x50" localSheetId="12">#REF!</definedName>
    <definedName name="HR6_90x50" localSheetId="43">#REF!</definedName>
    <definedName name="HR6_90x50" localSheetId="42">#REF!</definedName>
    <definedName name="HR6_90x50" localSheetId="27">#REF!</definedName>
    <definedName name="HR6_90x50" localSheetId="45">#REF!</definedName>
    <definedName name="HR6_90x50">#REF!</definedName>
    <definedName name="HR6_90x63" localSheetId="30">#REF!</definedName>
    <definedName name="HR6_90x63" localSheetId="25">#REF!</definedName>
    <definedName name="HR6_90x63" localSheetId="28">#REF!</definedName>
    <definedName name="HR6_90x63" localSheetId="29">#REF!</definedName>
    <definedName name="HR6_90x63" localSheetId="12">#REF!</definedName>
    <definedName name="HR6_90x63" localSheetId="43">#REF!</definedName>
    <definedName name="HR6_90x63" localSheetId="42">#REF!</definedName>
    <definedName name="HR6_90x63" localSheetId="27">#REF!</definedName>
    <definedName name="HR6_90x63" localSheetId="45">#REF!</definedName>
    <definedName name="HR6_90x63">#REF!</definedName>
    <definedName name="HR6_90x75" localSheetId="30">#REF!</definedName>
    <definedName name="HR6_90x75" localSheetId="25">#REF!</definedName>
    <definedName name="HR6_90x75" localSheetId="28">#REF!</definedName>
    <definedName name="HR6_90x75" localSheetId="29">#REF!</definedName>
    <definedName name="HR6_90x75" localSheetId="12">#REF!</definedName>
    <definedName name="HR6_90x75" localSheetId="43">#REF!</definedName>
    <definedName name="HR6_90x75" localSheetId="42">#REF!</definedName>
    <definedName name="HR6_90x75" localSheetId="27">#REF!</definedName>
    <definedName name="HR6_90x75" localSheetId="45">#REF!</definedName>
    <definedName name="HR6_90x75">#REF!</definedName>
    <definedName name="HRoller">'[39]M-RATE'!$J$181</definedName>
    <definedName name="HS_110" localSheetId="30">#REF!</definedName>
    <definedName name="HS_110" localSheetId="25">#REF!</definedName>
    <definedName name="HS_110" localSheetId="28">#REF!</definedName>
    <definedName name="HS_110" localSheetId="29">#REF!</definedName>
    <definedName name="HS_110" localSheetId="12">#REF!</definedName>
    <definedName name="HS_110" localSheetId="43">#REF!</definedName>
    <definedName name="HS_110" localSheetId="42">#REF!</definedName>
    <definedName name="HS_110" localSheetId="27">#REF!</definedName>
    <definedName name="HS_110" localSheetId="45">#REF!</definedName>
    <definedName name="HS_110">#REF!</definedName>
    <definedName name="HS_125" localSheetId="30">#REF!</definedName>
    <definedName name="HS_125" localSheetId="25">#REF!</definedName>
    <definedName name="HS_125" localSheetId="28">#REF!</definedName>
    <definedName name="HS_125" localSheetId="29">#REF!</definedName>
    <definedName name="HS_125" localSheetId="12">#REF!</definedName>
    <definedName name="HS_125" localSheetId="43">#REF!</definedName>
    <definedName name="HS_125" localSheetId="42">#REF!</definedName>
    <definedName name="HS_125" localSheetId="27">#REF!</definedName>
    <definedName name="HS_125" localSheetId="45">#REF!</definedName>
    <definedName name="HS_125">#REF!</definedName>
    <definedName name="HS_140" localSheetId="30">#REF!</definedName>
    <definedName name="HS_140" localSheetId="25">#REF!</definedName>
    <definedName name="HS_140" localSheetId="28">#REF!</definedName>
    <definedName name="HS_140" localSheetId="29">#REF!</definedName>
    <definedName name="HS_140" localSheetId="12">#REF!</definedName>
    <definedName name="HS_140" localSheetId="43">#REF!</definedName>
    <definedName name="HS_140" localSheetId="42">#REF!</definedName>
    <definedName name="HS_140" localSheetId="27">#REF!</definedName>
    <definedName name="HS_140" localSheetId="45">#REF!</definedName>
    <definedName name="HS_140">#REF!</definedName>
    <definedName name="HS_160" localSheetId="30">#REF!</definedName>
    <definedName name="HS_160" localSheetId="25">#REF!</definedName>
    <definedName name="HS_160" localSheetId="28">#REF!</definedName>
    <definedName name="HS_160" localSheetId="29">#REF!</definedName>
    <definedName name="HS_160" localSheetId="12">#REF!</definedName>
    <definedName name="HS_160" localSheetId="43">#REF!</definedName>
    <definedName name="HS_160" localSheetId="42">#REF!</definedName>
    <definedName name="HS_160" localSheetId="27">#REF!</definedName>
    <definedName name="HS_160" localSheetId="45">#REF!</definedName>
    <definedName name="HS_160">#REF!</definedName>
    <definedName name="HS_200" localSheetId="30">#REF!</definedName>
    <definedName name="HS_200" localSheetId="25">#REF!</definedName>
    <definedName name="HS_200" localSheetId="28">#REF!</definedName>
    <definedName name="HS_200" localSheetId="29">#REF!</definedName>
    <definedName name="HS_200" localSheetId="12">#REF!</definedName>
    <definedName name="HS_200" localSheetId="43">#REF!</definedName>
    <definedName name="HS_200" localSheetId="42">#REF!</definedName>
    <definedName name="HS_200" localSheetId="27">#REF!</definedName>
    <definedName name="HS_200" localSheetId="45">#REF!</definedName>
    <definedName name="HS_200">#REF!</definedName>
    <definedName name="HS_25" localSheetId="30">#REF!</definedName>
    <definedName name="HS_25" localSheetId="25">#REF!</definedName>
    <definedName name="HS_25" localSheetId="28">#REF!</definedName>
    <definedName name="HS_25" localSheetId="29">#REF!</definedName>
    <definedName name="HS_25" localSheetId="12">#REF!</definedName>
    <definedName name="HS_25" localSheetId="43">#REF!</definedName>
    <definedName name="HS_25" localSheetId="42">#REF!</definedName>
    <definedName name="HS_25" localSheetId="27">#REF!</definedName>
    <definedName name="HS_25" localSheetId="45">#REF!</definedName>
    <definedName name="HS_25">#REF!</definedName>
    <definedName name="HS_300" localSheetId="30">#REF!</definedName>
    <definedName name="HS_300" localSheetId="25">#REF!</definedName>
    <definedName name="HS_300" localSheetId="28">#REF!</definedName>
    <definedName name="HS_300" localSheetId="29">#REF!</definedName>
    <definedName name="HS_300" localSheetId="12">#REF!</definedName>
    <definedName name="HS_300" localSheetId="43">#REF!</definedName>
    <definedName name="HS_300" localSheetId="42">#REF!</definedName>
    <definedName name="HS_300" localSheetId="27">#REF!</definedName>
    <definedName name="HS_300" localSheetId="45">#REF!</definedName>
    <definedName name="HS_300">#REF!</definedName>
    <definedName name="HS_32" localSheetId="30">#REF!</definedName>
    <definedName name="HS_32" localSheetId="25">#REF!</definedName>
    <definedName name="HS_32" localSheetId="28">#REF!</definedName>
    <definedName name="HS_32" localSheetId="29">#REF!</definedName>
    <definedName name="HS_32" localSheetId="12">#REF!</definedName>
    <definedName name="HS_32" localSheetId="43">#REF!</definedName>
    <definedName name="HS_32" localSheetId="42">#REF!</definedName>
    <definedName name="HS_32" localSheetId="27">#REF!</definedName>
    <definedName name="HS_32" localSheetId="45">#REF!</definedName>
    <definedName name="HS_32">#REF!</definedName>
    <definedName name="HS_40" localSheetId="30">#REF!</definedName>
    <definedName name="HS_40" localSheetId="25">#REF!</definedName>
    <definedName name="HS_40" localSheetId="28">#REF!</definedName>
    <definedName name="HS_40" localSheetId="29">#REF!</definedName>
    <definedName name="HS_40" localSheetId="12">#REF!</definedName>
    <definedName name="HS_40" localSheetId="43">#REF!</definedName>
    <definedName name="HS_40" localSheetId="42">#REF!</definedName>
    <definedName name="HS_40" localSheetId="27">#REF!</definedName>
    <definedName name="HS_40" localSheetId="45">#REF!</definedName>
    <definedName name="HS_40">#REF!</definedName>
    <definedName name="HS_63" localSheetId="30">#REF!</definedName>
    <definedName name="HS_63" localSheetId="25">#REF!</definedName>
    <definedName name="HS_63" localSheetId="28">#REF!</definedName>
    <definedName name="HS_63" localSheetId="29">#REF!</definedName>
    <definedName name="HS_63" localSheetId="12">#REF!</definedName>
    <definedName name="HS_63" localSheetId="43">#REF!</definedName>
    <definedName name="HS_63" localSheetId="42">#REF!</definedName>
    <definedName name="HS_63" localSheetId="27">#REF!</definedName>
    <definedName name="HS_63" localSheetId="45">#REF!</definedName>
    <definedName name="HS_63">#REF!</definedName>
    <definedName name="HS_90" localSheetId="30">#REF!</definedName>
    <definedName name="HS_90" localSheetId="25">#REF!</definedName>
    <definedName name="HS_90" localSheetId="28">#REF!</definedName>
    <definedName name="HS_90" localSheetId="29">#REF!</definedName>
    <definedName name="HS_90" localSheetId="12">#REF!</definedName>
    <definedName name="HS_90" localSheetId="43">#REF!</definedName>
    <definedName name="HS_90" localSheetId="42">#REF!</definedName>
    <definedName name="HS_90" localSheetId="27">#REF!</definedName>
    <definedName name="HS_90" localSheetId="45">#REF!</definedName>
    <definedName name="HS_90">#REF!</definedName>
    <definedName name="HT_0" localSheetId="30">#REF!</definedName>
    <definedName name="HT_0" localSheetId="25">#REF!</definedName>
    <definedName name="HT_0" localSheetId="28">#REF!</definedName>
    <definedName name="HT_0" localSheetId="29">#REF!</definedName>
    <definedName name="HT_0" localSheetId="12">#REF!</definedName>
    <definedName name="HT_0" localSheetId="43">#REF!</definedName>
    <definedName name="HT_0" localSheetId="42">#REF!</definedName>
    <definedName name="HT_0" localSheetId="27">#REF!</definedName>
    <definedName name="HT_0" localSheetId="45">#REF!</definedName>
    <definedName name="HT_0">#REF!</definedName>
    <definedName name="HT_1" localSheetId="30">#REF!</definedName>
    <definedName name="HT_1" localSheetId="25">#REF!</definedName>
    <definedName name="HT_1" localSheetId="28">#REF!</definedName>
    <definedName name="HT_1" localSheetId="29">#REF!</definedName>
    <definedName name="HT_1" localSheetId="12">#REF!</definedName>
    <definedName name="HT_1" localSheetId="43">#REF!</definedName>
    <definedName name="HT_1" localSheetId="42">#REF!</definedName>
    <definedName name="HT_1" localSheetId="27">#REF!</definedName>
    <definedName name="HT_1" localSheetId="45">#REF!</definedName>
    <definedName name="HT_1">#REF!</definedName>
    <definedName name="HT_2" localSheetId="30">#REF!</definedName>
    <definedName name="HT_2" localSheetId="25">#REF!</definedName>
    <definedName name="HT_2" localSheetId="28">#REF!</definedName>
    <definedName name="HT_2" localSheetId="29">#REF!</definedName>
    <definedName name="HT_2" localSheetId="12">#REF!</definedName>
    <definedName name="HT_2" localSheetId="43">#REF!</definedName>
    <definedName name="HT_2" localSheetId="42">#REF!</definedName>
    <definedName name="HT_2" localSheetId="27">#REF!</definedName>
    <definedName name="HT_2" localSheetId="45">#REF!</definedName>
    <definedName name="HT_2">#REF!</definedName>
    <definedName name="HT_3" localSheetId="30">#REF!</definedName>
    <definedName name="HT_3" localSheetId="25">#REF!</definedName>
    <definedName name="HT_3" localSheetId="28">#REF!</definedName>
    <definedName name="HT_3" localSheetId="29">#REF!</definedName>
    <definedName name="HT_3" localSheetId="12">#REF!</definedName>
    <definedName name="HT_3" localSheetId="43">#REF!</definedName>
    <definedName name="HT_3" localSheetId="42">#REF!</definedName>
    <definedName name="HT_3" localSheetId="27">#REF!</definedName>
    <definedName name="HT_3" localSheetId="45">#REF!</definedName>
    <definedName name="HT_3">#REF!</definedName>
    <definedName name="HT_4" localSheetId="30">#REF!</definedName>
    <definedName name="HT_4" localSheetId="25">#REF!</definedName>
    <definedName name="HT_4" localSheetId="28">#REF!</definedName>
    <definedName name="HT_4" localSheetId="29">#REF!</definedName>
    <definedName name="HT_4" localSheetId="12">#REF!</definedName>
    <definedName name="HT_4" localSheetId="43">#REF!</definedName>
    <definedName name="HT_4" localSheetId="42">#REF!</definedName>
    <definedName name="HT_4" localSheetId="27">#REF!</definedName>
    <definedName name="HT_4" localSheetId="45">#REF!</definedName>
    <definedName name="HT_4">#REF!</definedName>
    <definedName name="HT_5" localSheetId="30">#REF!</definedName>
    <definedName name="HT_5" localSheetId="25">#REF!</definedName>
    <definedName name="HT_5" localSheetId="28">#REF!</definedName>
    <definedName name="HT_5" localSheetId="29">#REF!</definedName>
    <definedName name="HT_5" localSheetId="12">#REF!</definedName>
    <definedName name="HT_5" localSheetId="43">#REF!</definedName>
    <definedName name="HT_5" localSheetId="42">#REF!</definedName>
    <definedName name="HT_5" localSheetId="27">#REF!</definedName>
    <definedName name="HT_5" localSheetId="45">#REF!</definedName>
    <definedName name="HT_5">#REF!</definedName>
    <definedName name="HT_6" localSheetId="30">#REF!</definedName>
    <definedName name="HT_6" localSheetId="25">#REF!</definedName>
    <definedName name="HT_6" localSheetId="28">#REF!</definedName>
    <definedName name="HT_6" localSheetId="29">#REF!</definedName>
    <definedName name="HT_6" localSheetId="12">#REF!</definedName>
    <definedName name="HT_6" localSheetId="43">#REF!</definedName>
    <definedName name="HT_6" localSheetId="42">#REF!</definedName>
    <definedName name="HT_6" localSheetId="27">#REF!</definedName>
    <definedName name="HT_6" localSheetId="45">#REF!</definedName>
    <definedName name="HT_6">#REF!</definedName>
    <definedName name="HU_50x32" localSheetId="30">#REF!</definedName>
    <definedName name="HU_50x32" localSheetId="25">#REF!</definedName>
    <definedName name="HU_50x32" localSheetId="28">#REF!</definedName>
    <definedName name="HU_50x32" localSheetId="29">#REF!</definedName>
    <definedName name="HU_50x32" localSheetId="12">#REF!</definedName>
    <definedName name="HU_50x32" localSheetId="43">#REF!</definedName>
    <definedName name="HU_50x32" localSheetId="42">#REF!</definedName>
    <definedName name="HU_50x32" localSheetId="27">#REF!</definedName>
    <definedName name="HU_50x32" localSheetId="45">#REF!</definedName>
    <definedName name="HU_50x32">#REF!</definedName>
    <definedName name="HU_50x40" localSheetId="30">#REF!</definedName>
    <definedName name="HU_50x40" localSheetId="25">#REF!</definedName>
    <definedName name="HU_50x40" localSheetId="28">#REF!</definedName>
    <definedName name="HU_50x40" localSheetId="29">#REF!</definedName>
    <definedName name="HU_50x40" localSheetId="12">#REF!</definedName>
    <definedName name="HU_50x40" localSheetId="43">#REF!</definedName>
    <definedName name="HU_50x40" localSheetId="42">#REF!</definedName>
    <definedName name="HU_50x40" localSheetId="27">#REF!</definedName>
    <definedName name="HU_50x40" localSheetId="45">#REF!</definedName>
    <definedName name="HU_50x40">#REF!</definedName>
    <definedName name="Hume600">[19]Rates!$D$61</definedName>
    <definedName name="Hume900">[19]Rates!$D$62</definedName>
    <definedName name="HUT10_110x40" localSheetId="30">#REF!</definedName>
    <definedName name="HUT10_110x40" localSheetId="25">#REF!</definedName>
    <definedName name="HUT10_110x40" localSheetId="28">#REF!</definedName>
    <definedName name="HUT10_110x40" localSheetId="29">#REF!</definedName>
    <definedName name="HUT10_110x40" localSheetId="12">#REF!</definedName>
    <definedName name="HUT10_110x40" localSheetId="43">#REF!</definedName>
    <definedName name="HUT10_110x40" localSheetId="42">#REF!</definedName>
    <definedName name="HUT10_110x40" localSheetId="27">#REF!</definedName>
    <definedName name="HUT10_110x40" localSheetId="45">#REF!</definedName>
    <definedName name="HUT10_110x40">#REF!</definedName>
    <definedName name="HUT10_110x50" localSheetId="30">#REF!</definedName>
    <definedName name="HUT10_110x50" localSheetId="25">#REF!</definedName>
    <definedName name="HUT10_110x50" localSheetId="28">#REF!</definedName>
    <definedName name="HUT10_110x50" localSheetId="29">#REF!</definedName>
    <definedName name="HUT10_110x50" localSheetId="12">#REF!</definedName>
    <definedName name="HUT10_110x50" localSheetId="43">#REF!</definedName>
    <definedName name="HUT10_110x50" localSheetId="42">#REF!</definedName>
    <definedName name="HUT10_110x50" localSheetId="27">#REF!</definedName>
    <definedName name="HUT10_110x50" localSheetId="45">#REF!</definedName>
    <definedName name="HUT10_110x50">#REF!</definedName>
    <definedName name="HUT10_110x63" localSheetId="30">#REF!</definedName>
    <definedName name="HUT10_110x63" localSheetId="25">#REF!</definedName>
    <definedName name="HUT10_110x63" localSheetId="28">#REF!</definedName>
    <definedName name="HUT10_110x63" localSheetId="29">#REF!</definedName>
    <definedName name="HUT10_110x63" localSheetId="12">#REF!</definedName>
    <definedName name="HUT10_110x63" localSheetId="43">#REF!</definedName>
    <definedName name="HUT10_110x63" localSheetId="42">#REF!</definedName>
    <definedName name="HUT10_110x63" localSheetId="27">#REF!</definedName>
    <definedName name="HUT10_110x63" localSheetId="45">#REF!</definedName>
    <definedName name="HUT10_110x63">#REF!</definedName>
    <definedName name="HUT10_110x75" localSheetId="30">#REF!</definedName>
    <definedName name="HUT10_110x75" localSheetId="25">#REF!</definedName>
    <definedName name="HUT10_110x75" localSheetId="28">#REF!</definedName>
    <definedName name="HUT10_110x75" localSheetId="29">#REF!</definedName>
    <definedName name="HUT10_110x75" localSheetId="12">#REF!</definedName>
    <definedName name="HUT10_110x75" localSheetId="43">#REF!</definedName>
    <definedName name="HUT10_110x75" localSheetId="42">#REF!</definedName>
    <definedName name="HUT10_110x75" localSheetId="27">#REF!</definedName>
    <definedName name="HUT10_110x75" localSheetId="45">#REF!</definedName>
    <definedName name="HUT10_110x75">#REF!</definedName>
    <definedName name="HUT10_110x90" localSheetId="30">#REF!</definedName>
    <definedName name="HUT10_110x90" localSheetId="25">#REF!</definedName>
    <definedName name="HUT10_110x90" localSheetId="28">#REF!</definedName>
    <definedName name="HUT10_110x90" localSheetId="29">#REF!</definedName>
    <definedName name="HUT10_110x90" localSheetId="12">#REF!</definedName>
    <definedName name="HUT10_110x90" localSheetId="43">#REF!</definedName>
    <definedName name="HUT10_110x90" localSheetId="42">#REF!</definedName>
    <definedName name="HUT10_110x90" localSheetId="27">#REF!</definedName>
    <definedName name="HUT10_110x90" localSheetId="45">#REF!</definedName>
    <definedName name="HUT10_110x90">#REF!</definedName>
    <definedName name="HUT10_125x110" localSheetId="30">#REF!</definedName>
    <definedName name="HUT10_125x110" localSheetId="25">#REF!</definedName>
    <definedName name="HUT10_125x110" localSheetId="28">#REF!</definedName>
    <definedName name="HUT10_125x110" localSheetId="29">#REF!</definedName>
    <definedName name="HUT10_125x110" localSheetId="12">#REF!</definedName>
    <definedName name="HUT10_125x110" localSheetId="43">#REF!</definedName>
    <definedName name="HUT10_125x110" localSheetId="42">#REF!</definedName>
    <definedName name="HUT10_125x110" localSheetId="27">#REF!</definedName>
    <definedName name="HUT10_125x110" localSheetId="45">#REF!</definedName>
    <definedName name="HUT10_125x110">#REF!</definedName>
    <definedName name="HUT10_125x50" localSheetId="30">#REF!</definedName>
    <definedName name="HUT10_125x50" localSheetId="25">#REF!</definedName>
    <definedName name="HUT10_125x50" localSheetId="28">#REF!</definedName>
    <definedName name="HUT10_125x50" localSheetId="29">#REF!</definedName>
    <definedName name="HUT10_125x50" localSheetId="12">#REF!</definedName>
    <definedName name="HUT10_125x50" localSheetId="43">#REF!</definedName>
    <definedName name="HUT10_125x50" localSheetId="42">#REF!</definedName>
    <definedName name="HUT10_125x50" localSheetId="27">#REF!</definedName>
    <definedName name="HUT10_125x50" localSheetId="45">#REF!</definedName>
    <definedName name="HUT10_125x50">#REF!</definedName>
    <definedName name="HUT10_125x63" localSheetId="30">#REF!</definedName>
    <definedName name="HUT10_125x63" localSheetId="25">#REF!</definedName>
    <definedName name="HUT10_125x63" localSheetId="28">#REF!</definedName>
    <definedName name="HUT10_125x63" localSheetId="29">#REF!</definedName>
    <definedName name="HUT10_125x63" localSheetId="12">#REF!</definedName>
    <definedName name="HUT10_125x63" localSheetId="43">#REF!</definedName>
    <definedName name="HUT10_125x63" localSheetId="42">#REF!</definedName>
    <definedName name="HUT10_125x63" localSheetId="27">#REF!</definedName>
    <definedName name="HUT10_125x63" localSheetId="45">#REF!</definedName>
    <definedName name="HUT10_125x63">#REF!</definedName>
    <definedName name="HUT10_125x75" localSheetId="30">#REF!</definedName>
    <definedName name="HUT10_125x75" localSheetId="25">#REF!</definedName>
    <definedName name="HUT10_125x75" localSheetId="28">#REF!</definedName>
    <definedName name="HUT10_125x75" localSheetId="29">#REF!</definedName>
    <definedName name="HUT10_125x75" localSheetId="12">#REF!</definedName>
    <definedName name="HUT10_125x75" localSheetId="43">#REF!</definedName>
    <definedName name="HUT10_125x75" localSheetId="42">#REF!</definedName>
    <definedName name="HUT10_125x75" localSheetId="27">#REF!</definedName>
    <definedName name="HUT10_125x75" localSheetId="45">#REF!</definedName>
    <definedName name="HUT10_125x75">#REF!</definedName>
    <definedName name="HUT10_125x90" localSheetId="30">#REF!</definedName>
    <definedName name="HUT10_125x90" localSheetId="25">#REF!</definedName>
    <definedName name="HUT10_125x90" localSheetId="28">#REF!</definedName>
    <definedName name="HUT10_125x90" localSheetId="29">#REF!</definedName>
    <definedName name="HUT10_125x90" localSheetId="12">#REF!</definedName>
    <definedName name="HUT10_125x90" localSheetId="43">#REF!</definedName>
    <definedName name="HUT10_125x90" localSheetId="42">#REF!</definedName>
    <definedName name="HUT10_125x90" localSheetId="27">#REF!</definedName>
    <definedName name="HUT10_125x90" localSheetId="45">#REF!</definedName>
    <definedName name="HUT10_125x90">#REF!</definedName>
    <definedName name="HUT10_140x110" localSheetId="30">#REF!</definedName>
    <definedName name="HUT10_140x110" localSheetId="25">#REF!</definedName>
    <definedName name="HUT10_140x110" localSheetId="28">#REF!</definedName>
    <definedName name="HUT10_140x110" localSheetId="29">#REF!</definedName>
    <definedName name="HUT10_140x110" localSheetId="12">#REF!</definedName>
    <definedName name="HUT10_140x110" localSheetId="43">#REF!</definedName>
    <definedName name="HUT10_140x110" localSheetId="42">#REF!</definedName>
    <definedName name="HUT10_140x110" localSheetId="27">#REF!</definedName>
    <definedName name="HUT10_140x110" localSheetId="45">#REF!</definedName>
    <definedName name="HUT10_140x110">#REF!</definedName>
    <definedName name="HUT10_140x16" localSheetId="30">#REF!</definedName>
    <definedName name="HUT10_140x16" localSheetId="25">#REF!</definedName>
    <definedName name="HUT10_140x16" localSheetId="28">#REF!</definedName>
    <definedName name="HUT10_140x16" localSheetId="29">#REF!</definedName>
    <definedName name="HUT10_140x16" localSheetId="12">#REF!</definedName>
    <definedName name="HUT10_140x16" localSheetId="43">#REF!</definedName>
    <definedName name="HUT10_140x16" localSheetId="42">#REF!</definedName>
    <definedName name="HUT10_140x16" localSheetId="27">#REF!</definedName>
    <definedName name="HUT10_140x16" localSheetId="45">#REF!</definedName>
    <definedName name="HUT10_140x16">#REF!</definedName>
    <definedName name="HUT10_140x63" localSheetId="30">#REF!</definedName>
    <definedName name="HUT10_140x63" localSheetId="25">#REF!</definedName>
    <definedName name="HUT10_140x63" localSheetId="28">#REF!</definedName>
    <definedName name="HUT10_140x63" localSheetId="29">#REF!</definedName>
    <definedName name="HUT10_140x63" localSheetId="12">#REF!</definedName>
    <definedName name="HUT10_140x63" localSheetId="43">#REF!</definedName>
    <definedName name="HUT10_140x63" localSheetId="42">#REF!</definedName>
    <definedName name="HUT10_140x63" localSheetId="27">#REF!</definedName>
    <definedName name="HUT10_140x63" localSheetId="45">#REF!</definedName>
    <definedName name="HUT10_140x63">#REF!</definedName>
    <definedName name="HUT10_140x75" localSheetId="30">#REF!</definedName>
    <definedName name="HUT10_140x75" localSheetId="25">#REF!</definedName>
    <definedName name="HUT10_140x75" localSheetId="28">#REF!</definedName>
    <definedName name="HUT10_140x75" localSheetId="29">#REF!</definedName>
    <definedName name="HUT10_140x75" localSheetId="12">#REF!</definedName>
    <definedName name="HUT10_140x75" localSheetId="43">#REF!</definedName>
    <definedName name="HUT10_140x75" localSheetId="42">#REF!</definedName>
    <definedName name="HUT10_140x75" localSheetId="27">#REF!</definedName>
    <definedName name="HUT10_140x75" localSheetId="45">#REF!</definedName>
    <definedName name="HUT10_140x75">#REF!</definedName>
    <definedName name="HUT10_140x90" localSheetId="30">#REF!</definedName>
    <definedName name="HUT10_140x90" localSheetId="25">#REF!</definedName>
    <definedName name="HUT10_140x90" localSheetId="28">#REF!</definedName>
    <definedName name="HUT10_140x90" localSheetId="29">#REF!</definedName>
    <definedName name="HUT10_140x90" localSheetId="12">#REF!</definedName>
    <definedName name="HUT10_140x90" localSheetId="43">#REF!</definedName>
    <definedName name="HUT10_140x90" localSheetId="42">#REF!</definedName>
    <definedName name="HUT10_140x90" localSheetId="27">#REF!</definedName>
    <definedName name="HUT10_140x90" localSheetId="45">#REF!</definedName>
    <definedName name="HUT10_140x90">#REF!</definedName>
    <definedName name="HUT10_160x110" localSheetId="30">#REF!</definedName>
    <definedName name="HUT10_160x110" localSheetId="25">#REF!</definedName>
    <definedName name="HUT10_160x110" localSheetId="28">#REF!</definedName>
    <definedName name="HUT10_160x110" localSheetId="29">#REF!</definedName>
    <definedName name="HUT10_160x110" localSheetId="12">#REF!</definedName>
    <definedName name="HUT10_160x110" localSheetId="43">#REF!</definedName>
    <definedName name="HUT10_160x110" localSheetId="42">#REF!</definedName>
    <definedName name="HUT10_160x110" localSheetId="27">#REF!</definedName>
    <definedName name="HUT10_160x110" localSheetId="45">#REF!</definedName>
    <definedName name="HUT10_160x110">#REF!</definedName>
    <definedName name="HUT10_160x125" localSheetId="30">#REF!</definedName>
    <definedName name="HUT10_160x125" localSheetId="25">#REF!</definedName>
    <definedName name="HUT10_160x125" localSheetId="28">#REF!</definedName>
    <definedName name="HUT10_160x125" localSheetId="29">#REF!</definedName>
    <definedName name="HUT10_160x125" localSheetId="12">#REF!</definedName>
    <definedName name="HUT10_160x125" localSheetId="43">#REF!</definedName>
    <definedName name="HUT10_160x125" localSheetId="42">#REF!</definedName>
    <definedName name="HUT10_160x125" localSheetId="27">#REF!</definedName>
    <definedName name="HUT10_160x125" localSheetId="45">#REF!</definedName>
    <definedName name="HUT10_160x125">#REF!</definedName>
    <definedName name="HUT10_160x140" localSheetId="30">#REF!</definedName>
    <definedName name="HUT10_160x140" localSheetId="25">#REF!</definedName>
    <definedName name="HUT10_160x140" localSheetId="28">#REF!</definedName>
    <definedName name="HUT10_160x140" localSheetId="29">#REF!</definedName>
    <definedName name="HUT10_160x140" localSheetId="12">#REF!</definedName>
    <definedName name="HUT10_160x140" localSheetId="43">#REF!</definedName>
    <definedName name="HUT10_160x140" localSheetId="42">#REF!</definedName>
    <definedName name="HUT10_160x140" localSheetId="27">#REF!</definedName>
    <definedName name="HUT10_160x140" localSheetId="45">#REF!</definedName>
    <definedName name="HUT10_160x140">#REF!</definedName>
    <definedName name="HUT10_160x75" localSheetId="30">#REF!</definedName>
    <definedName name="HUT10_160x75" localSheetId="25">#REF!</definedName>
    <definedName name="HUT10_160x75" localSheetId="28">#REF!</definedName>
    <definedName name="HUT10_160x75" localSheetId="29">#REF!</definedName>
    <definedName name="HUT10_160x75" localSheetId="12">#REF!</definedName>
    <definedName name="HUT10_160x75" localSheetId="43">#REF!</definedName>
    <definedName name="HUT10_160x75" localSheetId="42">#REF!</definedName>
    <definedName name="HUT10_160x75" localSheetId="27">#REF!</definedName>
    <definedName name="HUT10_160x75" localSheetId="45">#REF!</definedName>
    <definedName name="HUT10_160x75">#REF!</definedName>
    <definedName name="HUT10_160x90" localSheetId="30">#REF!</definedName>
    <definedName name="HUT10_160x90" localSheetId="25">#REF!</definedName>
    <definedName name="HUT10_160x90" localSheetId="28">#REF!</definedName>
    <definedName name="HUT10_160x90" localSheetId="29">#REF!</definedName>
    <definedName name="HUT10_160x90" localSheetId="12">#REF!</definedName>
    <definedName name="HUT10_160x90" localSheetId="43">#REF!</definedName>
    <definedName name="HUT10_160x90" localSheetId="42">#REF!</definedName>
    <definedName name="HUT10_160x90" localSheetId="27">#REF!</definedName>
    <definedName name="HUT10_160x90" localSheetId="45">#REF!</definedName>
    <definedName name="HUT10_160x90">#REF!</definedName>
    <definedName name="HUT10_180x110" localSheetId="30">#REF!</definedName>
    <definedName name="HUT10_180x110" localSheetId="25">#REF!</definedName>
    <definedName name="HUT10_180x110" localSheetId="28">#REF!</definedName>
    <definedName name="HUT10_180x110" localSheetId="29">#REF!</definedName>
    <definedName name="HUT10_180x110" localSheetId="12">#REF!</definedName>
    <definedName name="HUT10_180x110" localSheetId="43">#REF!</definedName>
    <definedName name="HUT10_180x110" localSheetId="42">#REF!</definedName>
    <definedName name="HUT10_180x110" localSheetId="27">#REF!</definedName>
    <definedName name="HUT10_180x110" localSheetId="45">#REF!</definedName>
    <definedName name="HUT10_180x110">#REF!</definedName>
    <definedName name="HUT10_180x125" localSheetId="30">#REF!</definedName>
    <definedName name="HUT10_180x125" localSheetId="25">#REF!</definedName>
    <definedName name="HUT10_180x125" localSheetId="28">#REF!</definedName>
    <definedName name="HUT10_180x125" localSheetId="29">#REF!</definedName>
    <definedName name="HUT10_180x125" localSheetId="12">#REF!</definedName>
    <definedName name="HUT10_180x125" localSheetId="43">#REF!</definedName>
    <definedName name="HUT10_180x125" localSheetId="42">#REF!</definedName>
    <definedName name="HUT10_180x125" localSheetId="27">#REF!</definedName>
    <definedName name="HUT10_180x125" localSheetId="45">#REF!</definedName>
    <definedName name="HUT10_180x125">#REF!</definedName>
    <definedName name="HUT10_180x140" localSheetId="30">#REF!</definedName>
    <definedName name="HUT10_180x140" localSheetId="25">#REF!</definedName>
    <definedName name="HUT10_180x140" localSheetId="28">#REF!</definedName>
    <definedName name="HUT10_180x140" localSheetId="29">#REF!</definedName>
    <definedName name="HUT10_180x140" localSheetId="12">#REF!</definedName>
    <definedName name="HUT10_180x140" localSheetId="43">#REF!</definedName>
    <definedName name="HUT10_180x140" localSheetId="42">#REF!</definedName>
    <definedName name="HUT10_180x140" localSheetId="27">#REF!</definedName>
    <definedName name="HUT10_180x140" localSheetId="45">#REF!</definedName>
    <definedName name="HUT10_180x140">#REF!</definedName>
    <definedName name="HUT10_180x160" localSheetId="30">#REF!</definedName>
    <definedName name="HUT10_180x160" localSheetId="25">#REF!</definedName>
    <definedName name="HUT10_180x160" localSheetId="28">#REF!</definedName>
    <definedName name="HUT10_180x160" localSheetId="29">#REF!</definedName>
    <definedName name="HUT10_180x160" localSheetId="12">#REF!</definedName>
    <definedName name="HUT10_180x160" localSheetId="43">#REF!</definedName>
    <definedName name="HUT10_180x160" localSheetId="42">#REF!</definedName>
    <definedName name="HUT10_180x160" localSheetId="27">#REF!</definedName>
    <definedName name="HUT10_180x160" localSheetId="45">#REF!</definedName>
    <definedName name="HUT10_180x160">#REF!</definedName>
    <definedName name="HUT10_180x90" localSheetId="30">#REF!</definedName>
    <definedName name="HUT10_180x90" localSheetId="25">#REF!</definedName>
    <definedName name="HUT10_180x90" localSheetId="28">#REF!</definedName>
    <definedName name="HUT10_180x90" localSheetId="29">#REF!</definedName>
    <definedName name="HUT10_180x90" localSheetId="12">#REF!</definedName>
    <definedName name="HUT10_180x90" localSheetId="43">#REF!</definedName>
    <definedName name="HUT10_180x90" localSheetId="42">#REF!</definedName>
    <definedName name="HUT10_180x90" localSheetId="27">#REF!</definedName>
    <definedName name="HUT10_180x90" localSheetId="45">#REF!</definedName>
    <definedName name="HUT10_180x90">#REF!</definedName>
    <definedName name="HUT10_200x110" localSheetId="30">#REF!</definedName>
    <definedName name="HUT10_200x110" localSheetId="25">#REF!</definedName>
    <definedName name="HUT10_200x110" localSheetId="28">#REF!</definedName>
    <definedName name="HUT10_200x110" localSheetId="29">#REF!</definedName>
    <definedName name="HUT10_200x110" localSheetId="12">#REF!</definedName>
    <definedName name="HUT10_200x110" localSheetId="43">#REF!</definedName>
    <definedName name="HUT10_200x110" localSheetId="42">#REF!</definedName>
    <definedName name="HUT10_200x110" localSheetId="27">#REF!</definedName>
    <definedName name="HUT10_200x110" localSheetId="45">#REF!</definedName>
    <definedName name="HUT10_200x110">#REF!</definedName>
    <definedName name="HUT10_200x125" localSheetId="30">#REF!</definedName>
    <definedName name="HUT10_200x125" localSheetId="25">#REF!</definedName>
    <definedName name="HUT10_200x125" localSheetId="28">#REF!</definedName>
    <definedName name="HUT10_200x125" localSheetId="29">#REF!</definedName>
    <definedName name="HUT10_200x125" localSheetId="12">#REF!</definedName>
    <definedName name="HUT10_200x125" localSheetId="43">#REF!</definedName>
    <definedName name="HUT10_200x125" localSheetId="42">#REF!</definedName>
    <definedName name="HUT10_200x125" localSheetId="27">#REF!</definedName>
    <definedName name="HUT10_200x125" localSheetId="45">#REF!</definedName>
    <definedName name="HUT10_200x125">#REF!</definedName>
    <definedName name="HUT10_200x140" localSheetId="30">#REF!</definedName>
    <definedName name="HUT10_200x140" localSheetId="25">#REF!</definedName>
    <definedName name="HUT10_200x140" localSheetId="28">#REF!</definedName>
    <definedName name="HUT10_200x140" localSheetId="29">#REF!</definedName>
    <definedName name="HUT10_200x140" localSheetId="12">#REF!</definedName>
    <definedName name="HUT10_200x140" localSheetId="43">#REF!</definedName>
    <definedName name="HUT10_200x140" localSheetId="42">#REF!</definedName>
    <definedName name="HUT10_200x140" localSheetId="27">#REF!</definedName>
    <definedName name="HUT10_200x140" localSheetId="45">#REF!</definedName>
    <definedName name="HUT10_200x140">#REF!</definedName>
    <definedName name="HUT10_200x160" localSheetId="30">#REF!</definedName>
    <definedName name="HUT10_200x160" localSheetId="25">#REF!</definedName>
    <definedName name="HUT10_200x160" localSheetId="28">#REF!</definedName>
    <definedName name="HUT10_200x160" localSheetId="29">#REF!</definedName>
    <definedName name="HUT10_200x160" localSheetId="12">#REF!</definedName>
    <definedName name="HUT10_200x160" localSheetId="43">#REF!</definedName>
    <definedName name="HUT10_200x160" localSheetId="42">#REF!</definedName>
    <definedName name="HUT10_200x160" localSheetId="27">#REF!</definedName>
    <definedName name="HUT10_200x160" localSheetId="45">#REF!</definedName>
    <definedName name="HUT10_200x160">#REF!</definedName>
    <definedName name="HUT10_200x180" localSheetId="30">#REF!</definedName>
    <definedName name="HUT10_200x180" localSheetId="25">#REF!</definedName>
    <definedName name="HUT10_200x180" localSheetId="28">#REF!</definedName>
    <definedName name="HUT10_200x180" localSheetId="29">#REF!</definedName>
    <definedName name="HUT10_200x180" localSheetId="12">#REF!</definedName>
    <definedName name="HUT10_200x180" localSheetId="43">#REF!</definedName>
    <definedName name="HUT10_200x180" localSheetId="42">#REF!</definedName>
    <definedName name="HUT10_200x180" localSheetId="27">#REF!</definedName>
    <definedName name="HUT10_200x180" localSheetId="45">#REF!</definedName>
    <definedName name="HUT10_200x180">#REF!</definedName>
    <definedName name="HUT10_20x16" localSheetId="30">#REF!</definedName>
    <definedName name="HUT10_20x16" localSheetId="25">#REF!</definedName>
    <definedName name="HUT10_20x16" localSheetId="28">#REF!</definedName>
    <definedName name="HUT10_20x16" localSheetId="29">#REF!</definedName>
    <definedName name="HUT10_20x16" localSheetId="12">#REF!</definedName>
    <definedName name="HUT10_20x16" localSheetId="43">#REF!</definedName>
    <definedName name="HUT10_20x16" localSheetId="42">#REF!</definedName>
    <definedName name="HUT10_20x16" localSheetId="27">#REF!</definedName>
    <definedName name="HUT10_20x16" localSheetId="45">#REF!</definedName>
    <definedName name="HUT10_20x16">#REF!</definedName>
    <definedName name="HUT10_225x140" localSheetId="30">#REF!</definedName>
    <definedName name="HUT10_225x140" localSheetId="25">#REF!</definedName>
    <definedName name="HUT10_225x140" localSheetId="28">#REF!</definedName>
    <definedName name="HUT10_225x140" localSheetId="29">#REF!</definedName>
    <definedName name="HUT10_225x140" localSheetId="12">#REF!</definedName>
    <definedName name="HUT10_225x140" localSheetId="43">#REF!</definedName>
    <definedName name="HUT10_225x140" localSheetId="42">#REF!</definedName>
    <definedName name="HUT10_225x140" localSheetId="27">#REF!</definedName>
    <definedName name="HUT10_225x140" localSheetId="45">#REF!</definedName>
    <definedName name="HUT10_225x140">#REF!</definedName>
    <definedName name="HUT10_225x160" localSheetId="30">#REF!</definedName>
    <definedName name="HUT10_225x160" localSheetId="25">#REF!</definedName>
    <definedName name="HUT10_225x160" localSheetId="28">#REF!</definedName>
    <definedName name="HUT10_225x160" localSheetId="29">#REF!</definedName>
    <definedName name="HUT10_225x160" localSheetId="12">#REF!</definedName>
    <definedName name="HUT10_225x160" localSheetId="43">#REF!</definedName>
    <definedName name="HUT10_225x160" localSheetId="42">#REF!</definedName>
    <definedName name="HUT10_225x160" localSheetId="27">#REF!</definedName>
    <definedName name="HUT10_225x160" localSheetId="45">#REF!</definedName>
    <definedName name="HUT10_225x160">#REF!</definedName>
    <definedName name="HUT10_225x180" localSheetId="30">#REF!</definedName>
    <definedName name="HUT10_225x180" localSheetId="25">#REF!</definedName>
    <definedName name="HUT10_225x180" localSheetId="28">#REF!</definedName>
    <definedName name="HUT10_225x180" localSheetId="29">#REF!</definedName>
    <definedName name="HUT10_225x180" localSheetId="12">#REF!</definedName>
    <definedName name="HUT10_225x180" localSheetId="43">#REF!</definedName>
    <definedName name="HUT10_225x180" localSheetId="42">#REF!</definedName>
    <definedName name="HUT10_225x180" localSheetId="27">#REF!</definedName>
    <definedName name="HUT10_225x180" localSheetId="45">#REF!</definedName>
    <definedName name="HUT10_225x180">#REF!</definedName>
    <definedName name="HUT10_225x200" localSheetId="30">#REF!</definedName>
    <definedName name="HUT10_225x200" localSheetId="25">#REF!</definedName>
    <definedName name="HUT10_225x200" localSheetId="28">#REF!</definedName>
    <definedName name="HUT10_225x200" localSheetId="29">#REF!</definedName>
    <definedName name="HUT10_225x200" localSheetId="12">#REF!</definedName>
    <definedName name="HUT10_225x200" localSheetId="43">#REF!</definedName>
    <definedName name="HUT10_225x200" localSheetId="42">#REF!</definedName>
    <definedName name="HUT10_225x200" localSheetId="27">#REF!</definedName>
    <definedName name="HUT10_225x200" localSheetId="45">#REF!</definedName>
    <definedName name="HUT10_225x200">#REF!</definedName>
    <definedName name="HUT10_250x160" localSheetId="30">#REF!</definedName>
    <definedName name="HUT10_250x160" localSheetId="25">#REF!</definedName>
    <definedName name="HUT10_250x160" localSheetId="28">#REF!</definedName>
    <definedName name="HUT10_250x160" localSheetId="29">#REF!</definedName>
    <definedName name="HUT10_250x160" localSheetId="12">#REF!</definedName>
    <definedName name="HUT10_250x160" localSheetId="43">#REF!</definedName>
    <definedName name="HUT10_250x160" localSheetId="42">#REF!</definedName>
    <definedName name="HUT10_250x160" localSheetId="27">#REF!</definedName>
    <definedName name="HUT10_250x160" localSheetId="45">#REF!</definedName>
    <definedName name="HUT10_250x160">#REF!</definedName>
    <definedName name="HUT10_250x180" localSheetId="30">#REF!</definedName>
    <definedName name="HUT10_250x180" localSheetId="25">#REF!</definedName>
    <definedName name="HUT10_250x180" localSheetId="28">#REF!</definedName>
    <definedName name="HUT10_250x180" localSheetId="29">#REF!</definedName>
    <definedName name="HUT10_250x180" localSheetId="12">#REF!</definedName>
    <definedName name="HUT10_250x180" localSheetId="43">#REF!</definedName>
    <definedName name="HUT10_250x180" localSheetId="42">#REF!</definedName>
    <definedName name="HUT10_250x180" localSheetId="27">#REF!</definedName>
    <definedName name="HUT10_250x180" localSheetId="45">#REF!</definedName>
    <definedName name="HUT10_250x180">#REF!</definedName>
    <definedName name="HUT10_250x200" localSheetId="30">#REF!</definedName>
    <definedName name="HUT10_250x200" localSheetId="25">#REF!</definedName>
    <definedName name="HUT10_250x200" localSheetId="28">#REF!</definedName>
    <definedName name="HUT10_250x200" localSheetId="29">#REF!</definedName>
    <definedName name="HUT10_250x200" localSheetId="12">#REF!</definedName>
    <definedName name="HUT10_250x200" localSheetId="43">#REF!</definedName>
    <definedName name="HUT10_250x200" localSheetId="42">#REF!</definedName>
    <definedName name="HUT10_250x200" localSheetId="27">#REF!</definedName>
    <definedName name="HUT10_250x200" localSheetId="45">#REF!</definedName>
    <definedName name="HUT10_250x200">#REF!</definedName>
    <definedName name="HUT10_250x225" localSheetId="30">#REF!</definedName>
    <definedName name="HUT10_250x225" localSheetId="25">#REF!</definedName>
    <definedName name="HUT10_250x225" localSheetId="28">#REF!</definedName>
    <definedName name="HUT10_250x225" localSheetId="29">#REF!</definedName>
    <definedName name="HUT10_250x225" localSheetId="12">#REF!</definedName>
    <definedName name="HUT10_250x225" localSheetId="43">#REF!</definedName>
    <definedName name="HUT10_250x225" localSheetId="42">#REF!</definedName>
    <definedName name="HUT10_250x225" localSheetId="27">#REF!</definedName>
    <definedName name="HUT10_250x225" localSheetId="45">#REF!</definedName>
    <definedName name="HUT10_250x225">#REF!</definedName>
    <definedName name="HUT10_25x16" localSheetId="30">#REF!</definedName>
    <definedName name="HUT10_25x16" localSheetId="25">#REF!</definedName>
    <definedName name="HUT10_25x16" localSheetId="28">#REF!</definedName>
    <definedName name="HUT10_25x16" localSheetId="29">#REF!</definedName>
    <definedName name="HUT10_25x16" localSheetId="12">#REF!</definedName>
    <definedName name="HUT10_25x16" localSheetId="43">#REF!</definedName>
    <definedName name="HUT10_25x16" localSheetId="42">#REF!</definedName>
    <definedName name="HUT10_25x16" localSheetId="27">#REF!</definedName>
    <definedName name="HUT10_25x16" localSheetId="45">#REF!</definedName>
    <definedName name="HUT10_25x16">#REF!</definedName>
    <definedName name="HUT10_25x20" localSheetId="30">#REF!</definedName>
    <definedName name="HUT10_25x20" localSheetId="25">#REF!</definedName>
    <definedName name="HUT10_25x20" localSheetId="28">#REF!</definedName>
    <definedName name="HUT10_25x20" localSheetId="29">#REF!</definedName>
    <definedName name="HUT10_25x20" localSheetId="12">#REF!</definedName>
    <definedName name="HUT10_25x20" localSheetId="43">#REF!</definedName>
    <definedName name="HUT10_25x20" localSheetId="42">#REF!</definedName>
    <definedName name="HUT10_25x20" localSheetId="27">#REF!</definedName>
    <definedName name="HUT10_25x20" localSheetId="45">#REF!</definedName>
    <definedName name="HUT10_25x20">#REF!</definedName>
    <definedName name="HUT10_32x20" localSheetId="30">#REF!</definedName>
    <definedName name="HUT10_32x20" localSheetId="25">#REF!</definedName>
    <definedName name="HUT10_32x20" localSheetId="28">#REF!</definedName>
    <definedName name="HUT10_32x20" localSheetId="29">#REF!</definedName>
    <definedName name="HUT10_32x20" localSheetId="12">#REF!</definedName>
    <definedName name="HUT10_32x20" localSheetId="43">#REF!</definedName>
    <definedName name="HUT10_32x20" localSheetId="42">#REF!</definedName>
    <definedName name="HUT10_32x20" localSheetId="27">#REF!</definedName>
    <definedName name="HUT10_32x20" localSheetId="45">#REF!</definedName>
    <definedName name="HUT10_32x20">#REF!</definedName>
    <definedName name="HUT10_32x25" localSheetId="30">#REF!</definedName>
    <definedName name="HUT10_32x25" localSheetId="25">#REF!</definedName>
    <definedName name="HUT10_32x25" localSheetId="28">#REF!</definedName>
    <definedName name="HUT10_32x25" localSheetId="29">#REF!</definedName>
    <definedName name="HUT10_32x25" localSheetId="12">#REF!</definedName>
    <definedName name="HUT10_32x25" localSheetId="43">#REF!</definedName>
    <definedName name="HUT10_32x25" localSheetId="42">#REF!</definedName>
    <definedName name="HUT10_32x25" localSheetId="27">#REF!</definedName>
    <definedName name="HUT10_32x25" localSheetId="45">#REF!</definedName>
    <definedName name="HUT10_32x25">#REF!</definedName>
    <definedName name="HUT10_40x20" localSheetId="30">#REF!</definedName>
    <definedName name="HUT10_40x20" localSheetId="25">#REF!</definedName>
    <definedName name="HUT10_40x20" localSheetId="28">#REF!</definedName>
    <definedName name="HUT10_40x20" localSheetId="29">#REF!</definedName>
    <definedName name="HUT10_40x20" localSheetId="12">#REF!</definedName>
    <definedName name="HUT10_40x20" localSheetId="43">#REF!</definedName>
    <definedName name="HUT10_40x20" localSheetId="42">#REF!</definedName>
    <definedName name="HUT10_40x20" localSheetId="27">#REF!</definedName>
    <definedName name="HUT10_40x20" localSheetId="45">#REF!</definedName>
    <definedName name="HUT10_40x20">#REF!</definedName>
    <definedName name="HUT10_40x25" localSheetId="30">#REF!</definedName>
    <definedName name="HUT10_40x25" localSheetId="25">#REF!</definedName>
    <definedName name="HUT10_40x25" localSheetId="28">#REF!</definedName>
    <definedName name="HUT10_40x25" localSheetId="29">#REF!</definedName>
    <definedName name="HUT10_40x25" localSheetId="12">#REF!</definedName>
    <definedName name="HUT10_40x25" localSheetId="43">#REF!</definedName>
    <definedName name="HUT10_40x25" localSheetId="42">#REF!</definedName>
    <definedName name="HUT10_40x25" localSheetId="27">#REF!</definedName>
    <definedName name="HUT10_40x25" localSheetId="45">#REF!</definedName>
    <definedName name="HUT10_40x25">#REF!</definedName>
    <definedName name="HUT10_40x32" localSheetId="30">#REF!</definedName>
    <definedName name="HUT10_40x32" localSheetId="25">#REF!</definedName>
    <definedName name="HUT10_40x32" localSheetId="28">#REF!</definedName>
    <definedName name="HUT10_40x32" localSheetId="29">#REF!</definedName>
    <definedName name="HUT10_40x32" localSheetId="12">#REF!</definedName>
    <definedName name="HUT10_40x32" localSheetId="43">#REF!</definedName>
    <definedName name="HUT10_40x32" localSheetId="42">#REF!</definedName>
    <definedName name="HUT10_40x32" localSheetId="27">#REF!</definedName>
    <definedName name="HUT10_40x32" localSheetId="45">#REF!</definedName>
    <definedName name="HUT10_40x32">#REF!</definedName>
    <definedName name="HUT10_50x20" localSheetId="30">#REF!</definedName>
    <definedName name="HUT10_50x20" localSheetId="25">#REF!</definedName>
    <definedName name="HUT10_50x20" localSheetId="28">#REF!</definedName>
    <definedName name="HUT10_50x20" localSheetId="29">#REF!</definedName>
    <definedName name="HUT10_50x20" localSheetId="12">#REF!</definedName>
    <definedName name="HUT10_50x20" localSheetId="43">#REF!</definedName>
    <definedName name="HUT10_50x20" localSheetId="42">#REF!</definedName>
    <definedName name="HUT10_50x20" localSheetId="27">#REF!</definedName>
    <definedName name="HUT10_50x20" localSheetId="45">#REF!</definedName>
    <definedName name="HUT10_50x20">#REF!</definedName>
    <definedName name="HUT10_50x25" localSheetId="30">#REF!</definedName>
    <definedName name="HUT10_50x25" localSheetId="25">#REF!</definedName>
    <definedName name="HUT10_50x25" localSheetId="28">#REF!</definedName>
    <definedName name="HUT10_50x25" localSheetId="29">#REF!</definedName>
    <definedName name="HUT10_50x25" localSheetId="12">#REF!</definedName>
    <definedName name="HUT10_50x25" localSheetId="43">#REF!</definedName>
    <definedName name="HUT10_50x25" localSheetId="42">#REF!</definedName>
    <definedName name="HUT10_50x25" localSheetId="27">#REF!</definedName>
    <definedName name="HUT10_50x25" localSheetId="45">#REF!</definedName>
    <definedName name="HUT10_50x25">#REF!</definedName>
    <definedName name="HUT10_50x32" localSheetId="30">#REF!</definedName>
    <definedName name="HUT10_50x32" localSheetId="25">#REF!</definedName>
    <definedName name="HUT10_50x32" localSheetId="28">#REF!</definedName>
    <definedName name="HUT10_50x32" localSheetId="29">#REF!</definedName>
    <definedName name="HUT10_50x32" localSheetId="12">#REF!</definedName>
    <definedName name="HUT10_50x32" localSheetId="43">#REF!</definedName>
    <definedName name="HUT10_50x32" localSheetId="42">#REF!</definedName>
    <definedName name="HUT10_50x32" localSheetId="27">#REF!</definedName>
    <definedName name="HUT10_50x32" localSheetId="45">#REF!</definedName>
    <definedName name="HUT10_50x32">#REF!</definedName>
    <definedName name="HUT10_50x40" localSheetId="30">#REF!</definedName>
    <definedName name="HUT10_50x40" localSheetId="25">#REF!</definedName>
    <definedName name="HUT10_50x40" localSheetId="28">#REF!</definedName>
    <definedName name="HUT10_50x40" localSheetId="29">#REF!</definedName>
    <definedName name="HUT10_50x40" localSheetId="12">#REF!</definedName>
    <definedName name="HUT10_50x40" localSheetId="43">#REF!</definedName>
    <definedName name="HUT10_50x40" localSheetId="42">#REF!</definedName>
    <definedName name="HUT10_50x40" localSheetId="27">#REF!</definedName>
    <definedName name="HUT10_50x40" localSheetId="45">#REF!</definedName>
    <definedName name="HUT10_50x40">#REF!</definedName>
    <definedName name="HUT10_63x20" localSheetId="30">#REF!</definedName>
    <definedName name="HUT10_63x20" localSheetId="25">#REF!</definedName>
    <definedName name="HUT10_63x20" localSheetId="28">#REF!</definedName>
    <definedName name="HUT10_63x20" localSheetId="29">#REF!</definedName>
    <definedName name="HUT10_63x20" localSheetId="12">#REF!</definedName>
    <definedName name="HUT10_63x20" localSheetId="43">#REF!</definedName>
    <definedName name="HUT10_63x20" localSheetId="42">#REF!</definedName>
    <definedName name="HUT10_63x20" localSheetId="27">#REF!</definedName>
    <definedName name="HUT10_63x20" localSheetId="45">#REF!</definedName>
    <definedName name="HUT10_63x20">#REF!</definedName>
    <definedName name="HUT10_63x25" localSheetId="30">#REF!</definedName>
    <definedName name="HUT10_63x25" localSheetId="25">#REF!</definedName>
    <definedName name="HUT10_63x25" localSheetId="28">#REF!</definedName>
    <definedName name="HUT10_63x25" localSheetId="29">#REF!</definedName>
    <definedName name="HUT10_63x25" localSheetId="12">#REF!</definedName>
    <definedName name="HUT10_63x25" localSheetId="43">#REF!</definedName>
    <definedName name="HUT10_63x25" localSheetId="42">#REF!</definedName>
    <definedName name="HUT10_63x25" localSheetId="27">#REF!</definedName>
    <definedName name="HUT10_63x25" localSheetId="45">#REF!</definedName>
    <definedName name="HUT10_63x25">#REF!</definedName>
    <definedName name="HUT10_63x32" localSheetId="30">#REF!</definedName>
    <definedName name="HUT10_63x32" localSheetId="25">#REF!</definedName>
    <definedName name="HUT10_63x32" localSheetId="28">#REF!</definedName>
    <definedName name="HUT10_63x32" localSheetId="29">#REF!</definedName>
    <definedName name="HUT10_63x32" localSheetId="12">#REF!</definedName>
    <definedName name="HUT10_63x32" localSheetId="43">#REF!</definedName>
    <definedName name="HUT10_63x32" localSheetId="42">#REF!</definedName>
    <definedName name="HUT10_63x32" localSheetId="27">#REF!</definedName>
    <definedName name="HUT10_63x32" localSheetId="45">#REF!</definedName>
    <definedName name="HUT10_63x32">#REF!</definedName>
    <definedName name="HUT10_63x40" localSheetId="30">#REF!</definedName>
    <definedName name="HUT10_63x40" localSheetId="25">#REF!</definedName>
    <definedName name="HUT10_63x40" localSheetId="28">#REF!</definedName>
    <definedName name="HUT10_63x40" localSheetId="29">#REF!</definedName>
    <definedName name="HUT10_63x40" localSheetId="12">#REF!</definedName>
    <definedName name="HUT10_63x40" localSheetId="43">#REF!</definedName>
    <definedName name="HUT10_63x40" localSheetId="42">#REF!</definedName>
    <definedName name="HUT10_63x40" localSheetId="27">#REF!</definedName>
    <definedName name="HUT10_63x40" localSheetId="45">#REF!</definedName>
    <definedName name="HUT10_63x40">#REF!</definedName>
    <definedName name="HUT10_63x50" localSheetId="30">#REF!</definedName>
    <definedName name="HUT10_63x50" localSheetId="25">#REF!</definedName>
    <definedName name="HUT10_63x50" localSheetId="28">#REF!</definedName>
    <definedName name="HUT10_63x50" localSheetId="29">#REF!</definedName>
    <definedName name="HUT10_63x50" localSheetId="12">#REF!</definedName>
    <definedName name="HUT10_63x50" localSheetId="43">#REF!</definedName>
    <definedName name="HUT10_63x50" localSheetId="42">#REF!</definedName>
    <definedName name="HUT10_63x50" localSheetId="27">#REF!</definedName>
    <definedName name="HUT10_63x50" localSheetId="45">#REF!</definedName>
    <definedName name="HUT10_63x50">#REF!</definedName>
    <definedName name="HUT10_75x32" localSheetId="30">#REF!</definedName>
    <definedName name="HUT10_75x32" localSheetId="25">#REF!</definedName>
    <definedName name="HUT10_75x32" localSheetId="28">#REF!</definedName>
    <definedName name="HUT10_75x32" localSheetId="29">#REF!</definedName>
    <definedName name="HUT10_75x32" localSheetId="12">#REF!</definedName>
    <definedName name="HUT10_75x32" localSheetId="43">#REF!</definedName>
    <definedName name="HUT10_75x32" localSheetId="42">#REF!</definedName>
    <definedName name="HUT10_75x32" localSheetId="27">#REF!</definedName>
    <definedName name="HUT10_75x32" localSheetId="45">#REF!</definedName>
    <definedName name="HUT10_75x32">#REF!</definedName>
    <definedName name="HUT10_75x40" localSheetId="30">#REF!</definedName>
    <definedName name="HUT10_75x40" localSheetId="25">#REF!</definedName>
    <definedName name="HUT10_75x40" localSheetId="28">#REF!</definedName>
    <definedName name="HUT10_75x40" localSheetId="29">#REF!</definedName>
    <definedName name="HUT10_75x40" localSheetId="12">#REF!</definedName>
    <definedName name="HUT10_75x40" localSheetId="43">#REF!</definedName>
    <definedName name="HUT10_75x40" localSheetId="42">#REF!</definedName>
    <definedName name="HUT10_75x40" localSheetId="27">#REF!</definedName>
    <definedName name="HUT10_75x40" localSheetId="45">#REF!</definedName>
    <definedName name="HUT10_75x40">#REF!</definedName>
    <definedName name="HUT10_75x50" localSheetId="30">#REF!</definedName>
    <definedName name="HUT10_75x50" localSheetId="25">#REF!</definedName>
    <definedName name="HUT10_75x50" localSheetId="28">#REF!</definedName>
    <definedName name="HUT10_75x50" localSheetId="29">#REF!</definedName>
    <definedName name="HUT10_75x50" localSheetId="12">#REF!</definedName>
    <definedName name="HUT10_75x50" localSheetId="43">#REF!</definedName>
    <definedName name="HUT10_75x50" localSheetId="42">#REF!</definedName>
    <definedName name="HUT10_75x50" localSheetId="27">#REF!</definedName>
    <definedName name="HUT10_75x50" localSheetId="45">#REF!</definedName>
    <definedName name="HUT10_75x50">#REF!</definedName>
    <definedName name="HUT10_75x63" localSheetId="30">#REF!</definedName>
    <definedName name="HUT10_75x63" localSheetId="25">#REF!</definedName>
    <definedName name="HUT10_75x63" localSheetId="28">#REF!</definedName>
    <definedName name="HUT10_75x63" localSheetId="29">#REF!</definedName>
    <definedName name="HUT10_75x63" localSheetId="12">#REF!</definedName>
    <definedName name="HUT10_75x63" localSheetId="43">#REF!</definedName>
    <definedName name="HUT10_75x63" localSheetId="42">#REF!</definedName>
    <definedName name="HUT10_75x63" localSheetId="27">#REF!</definedName>
    <definedName name="HUT10_75x63" localSheetId="45">#REF!</definedName>
    <definedName name="HUT10_75x63">#REF!</definedName>
    <definedName name="HUT10_90x32" localSheetId="30">#REF!</definedName>
    <definedName name="HUT10_90x32" localSheetId="25">#REF!</definedName>
    <definedName name="HUT10_90x32" localSheetId="28">#REF!</definedName>
    <definedName name="HUT10_90x32" localSheetId="29">#REF!</definedName>
    <definedName name="HUT10_90x32" localSheetId="12">#REF!</definedName>
    <definedName name="HUT10_90x32" localSheetId="43">#REF!</definedName>
    <definedName name="HUT10_90x32" localSheetId="42">#REF!</definedName>
    <definedName name="HUT10_90x32" localSheetId="27">#REF!</definedName>
    <definedName name="HUT10_90x32" localSheetId="45">#REF!</definedName>
    <definedName name="HUT10_90x32">#REF!</definedName>
    <definedName name="HUT10_90x40" localSheetId="30">#REF!</definedName>
    <definedName name="HUT10_90x40" localSheetId="25">#REF!</definedName>
    <definedName name="HUT10_90x40" localSheetId="28">#REF!</definedName>
    <definedName name="HUT10_90x40" localSheetId="29">#REF!</definedName>
    <definedName name="HUT10_90x40" localSheetId="12">#REF!</definedName>
    <definedName name="HUT10_90x40" localSheetId="43">#REF!</definedName>
    <definedName name="HUT10_90x40" localSheetId="42">#REF!</definedName>
    <definedName name="HUT10_90x40" localSheetId="27">#REF!</definedName>
    <definedName name="HUT10_90x40" localSheetId="45">#REF!</definedName>
    <definedName name="HUT10_90x40">#REF!</definedName>
    <definedName name="HUT10_90x50" localSheetId="30">#REF!</definedName>
    <definedName name="HUT10_90x50" localSheetId="25">#REF!</definedName>
    <definedName name="HUT10_90x50" localSheetId="28">#REF!</definedName>
    <definedName name="HUT10_90x50" localSheetId="29">#REF!</definedName>
    <definedName name="HUT10_90x50" localSheetId="12">#REF!</definedName>
    <definedName name="HUT10_90x50" localSheetId="43">#REF!</definedName>
    <definedName name="HUT10_90x50" localSheetId="42">#REF!</definedName>
    <definedName name="HUT10_90x50" localSheetId="27">#REF!</definedName>
    <definedName name="HUT10_90x50" localSheetId="45">#REF!</definedName>
    <definedName name="HUT10_90x50">#REF!</definedName>
    <definedName name="HUT10_90x63" localSheetId="30">#REF!</definedName>
    <definedName name="HUT10_90x63" localSheetId="25">#REF!</definedName>
    <definedName name="HUT10_90x63" localSheetId="28">#REF!</definedName>
    <definedName name="HUT10_90x63" localSheetId="29">#REF!</definedName>
    <definedName name="HUT10_90x63" localSheetId="12">#REF!</definedName>
    <definedName name="HUT10_90x63" localSheetId="43">#REF!</definedName>
    <definedName name="HUT10_90x63" localSheetId="42">#REF!</definedName>
    <definedName name="HUT10_90x63" localSheetId="27">#REF!</definedName>
    <definedName name="HUT10_90x63" localSheetId="45">#REF!</definedName>
    <definedName name="HUT10_90x63">#REF!</definedName>
    <definedName name="HUT10_90x75" localSheetId="30">#REF!</definedName>
    <definedName name="HUT10_90x75" localSheetId="25">#REF!</definedName>
    <definedName name="HUT10_90x75" localSheetId="28">#REF!</definedName>
    <definedName name="HUT10_90x75" localSheetId="29">#REF!</definedName>
    <definedName name="HUT10_90x75" localSheetId="12">#REF!</definedName>
    <definedName name="HUT10_90x75" localSheetId="43">#REF!</definedName>
    <definedName name="HUT10_90x75" localSheetId="42">#REF!</definedName>
    <definedName name="HUT10_90x75" localSheetId="27">#REF!</definedName>
    <definedName name="HUT10_90x75" localSheetId="45">#REF!</definedName>
    <definedName name="HUT10_90x75">#REF!</definedName>
    <definedName name="HUT6_110x40" localSheetId="30">#REF!</definedName>
    <definedName name="HUT6_110x40" localSheetId="25">#REF!</definedName>
    <definedName name="HUT6_110x40" localSheetId="28">#REF!</definedName>
    <definedName name="HUT6_110x40" localSheetId="29">#REF!</definedName>
    <definedName name="HUT6_110x40" localSheetId="12">#REF!</definedName>
    <definedName name="HUT6_110x40" localSheetId="43">#REF!</definedName>
    <definedName name="HUT6_110x40" localSheetId="42">#REF!</definedName>
    <definedName name="HUT6_110x40" localSheetId="27">#REF!</definedName>
    <definedName name="HUT6_110x40" localSheetId="45">#REF!</definedName>
    <definedName name="HUT6_110x40">#REF!</definedName>
    <definedName name="HUT6_110x50" localSheetId="30">#REF!</definedName>
    <definedName name="HUT6_110x50" localSheetId="25">#REF!</definedName>
    <definedName name="HUT6_110x50" localSheetId="28">#REF!</definedName>
    <definedName name="HUT6_110x50" localSheetId="29">#REF!</definedName>
    <definedName name="HUT6_110x50" localSheetId="12">#REF!</definedName>
    <definedName name="HUT6_110x50" localSheetId="43">#REF!</definedName>
    <definedName name="HUT6_110x50" localSheetId="42">#REF!</definedName>
    <definedName name="HUT6_110x50" localSheetId="27">#REF!</definedName>
    <definedName name="HUT6_110x50" localSheetId="45">#REF!</definedName>
    <definedName name="HUT6_110x50">#REF!</definedName>
    <definedName name="HUT6_110x63" localSheetId="30">#REF!</definedName>
    <definedName name="HUT6_110x63" localSheetId="25">#REF!</definedName>
    <definedName name="HUT6_110x63" localSheetId="28">#REF!</definedName>
    <definedName name="HUT6_110x63" localSheetId="29">#REF!</definedName>
    <definedName name="HUT6_110x63" localSheetId="12">#REF!</definedName>
    <definedName name="HUT6_110x63" localSheetId="43">#REF!</definedName>
    <definedName name="HUT6_110x63" localSheetId="42">#REF!</definedName>
    <definedName name="HUT6_110x63" localSheetId="27">#REF!</definedName>
    <definedName name="HUT6_110x63" localSheetId="45">#REF!</definedName>
    <definedName name="HUT6_110x63">#REF!</definedName>
    <definedName name="HUT6_110x75" localSheetId="30">#REF!</definedName>
    <definedName name="HUT6_110x75" localSheetId="25">#REF!</definedName>
    <definedName name="HUT6_110x75" localSheetId="28">#REF!</definedName>
    <definedName name="HUT6_110x75" localSheetId="29">#REF!</definedName>
    <definedName name="HUT6_110x75" localSheetId="12">#REF!</definedName>
    <definedName name="HUT6_110x75" localSheetId="43">#REF!</definedName>
    <definedName name="HUT6_110x75" localSheetId="42">#REF!</definedName>
    <definedName name="HUT6_110x75" localSheetId="27">#REF!</definedName>
    <definedName name="HUT6_110x75" localSheetId="45">#REF!</definedName>
    <definedName name="HUT6_110x75">#REF!</definedName>
    <definedName name="HUT6_110x90" localSheetId="30">#REF!</definedName>
    <definedName name="HUT6_110x90" localSheetId="25">#REF!</definedName>
    <definedName name="HUT6_110x90" localSheetId="28">#REF!</definedName>
    <definedName name="HUT6_110x90" localSheetId="29">#REF!</definedName>
    <definedName name="HUT6_110x90" localSheetId="12">#REF!</definedName>
    <definedName name="HUT6_110x90" localSheetId="43">#REF!</definedName>
    <definedName name="HUT6_110x90" localSheetId="42">#REF!</definedName>
    <definedName name="HUT6_110x90" localSheetId="27">#REF!</definedName>
    <definedName name="HUT6_110x90" localSheetId="45">#REF!</definedName>
    <definedName name="HUT6_110x90">#REF!</definedName>
    <definedName name="HUT6_125x110" localSheetId="30">#REF!</definedName>
    <definedName name="HUT6_125x110" localSheetId="25">#REF!</definedName>
    <definedName name="HUT6_125x110" localSheetId="28">#REF!</definedName>
    <definedName name="HUT6_125x110" localSheetId="29">#REF!</definedName>
    <definedName name="HUT6_125x110" localSheetId="12">#REF!</definedName>
    <definedName name="HUT6_125x110" localSheetId="43">#REF!</definedName>
    <definedName name="HUT6_125x110" localSheetId="42">#REF!</definedName>
    <definedName name="HUT6_125x110" localSheetId="27">#REF!</definedName>
    <definedName name="HUT6_125x110" localSheetId="45">#REF!</definedName>
    <definedName name="HUT6_125x110">#REF!</definedName>
    <definedName name="HUT6_125x50" localSheetId="30">#REF!</definedName>
    <definedName name="HUT6_125x50" localSheetId="25">#REF!</definedName>
    <definedName name="HUT6_125x50" localSheetId="28">#REF!</definedName>
    <definedName name="HUT6_125x50" localSheetId="29">#REF!</definedName>
    <definedName name="HUT6_125x50" localSheetId="12">#REF!</definedName>
    <definedName name="HUT6_125x50" localSheetId="43">#REF!</definedName>
    <definedName name="HUT6_125x50" localSheetId="42">#REF!</definedName>
    <definedName name="HUT6_125x50" localSheetId="27">#REF!</definedName>
    <definedName name="HUT6_125x50" localSheetId="45">#REF!</definedName>
    <definedName name="HUT6_125x50">#REF!</definedName>
    <definedName name="HUT6_125x63" localSheetId="30">#REF!</definedName>
    <definedName name="HUT6_125x63" localSheetId="25">#REF!</definedName>
    <definedName name="HUT6_125x63" localSheetId="28">#REF!</definedName>
    <definedName name="HUT6_125x63" localSheetId="29">#REF!</definedName>
    <definedName name="HUT6_125x63" localSheetId="12">#REF!</definedName>
    <definedName name="HUT6_125x63" localSheetId="43">#REF!</definedName>
    <definedName name="HUT6_125x63" localSheetId="42">#REF!</definedName>
    <definedName name="HUT6_125x63" localSheetId="27">#REF!</definedName>
    <definedName name="HUT6_125x63" localSheetId="45">#REF!</definedName>
    <definedName name="HUT6_125x63">#REF!</definedName>
    <definedName name="HUT6_125x75" localSheetId="30">#REF!</definedName>
    <definedName name="HUT6_125x75" localSheetId="25">#REF!</definedName>
    <definedName name="HUT6_125x75" localSheetId="28">#REF!</definedName>
    <definedName name="HUT6_125x75" localSheetId="29">#REF!</definedName>
    <definedName name="HUT6_125x75" localSheetId="12">#REF!</definedName>
    <definedName name="HUT6_125x75" localSheetId="43">#REF!</definedName>
    <definedName name="HUT6_125x75" localSheetId="42">#REF!</definedName>
    <definedName name="HUT6_125x75" localSheetId="27">#REF!</definedName>
    <definedName name="HUT6_125x75" localSheetId="45">#REF!</definedName>
    <definedName name="HUT6_125x75">#REF!</definedName>
    <definedName name="HUT6_125x90" localSheetId="30">#REF!</definedName>
    <definedName name="HUT6_125x90" localSheetId="25">#REF!</definedName>
    <definedName name="HUT6_125x90" localSheetId="28">#REF!</definedName>
    <definedName name="HUT6_125x90" localSheetId="29">#REF!</definedName>
    <definedName name="HUT6_125x90" localSheetId="12">#REF!</definedName>
    <definedName name="HUT6_125x90" localSheetId="43">#REF!</definedName>
    <definedName name="HUT6_125x90" localSheetId="42">#REF!</definedName>
    <definedName name="HUT6_125x90" localSheetId="27">#REF!</definedName>
    <definedName name="HUT6_125x90" localSheetId="45">#REF!</definedName>
    <definedName name="HUT6_125x90">#REF!</definedName>
    <definedName name="HUT6_140x110" localSheetId="30">#REF!</definedName>
    <definedName name="HUT6_140x110" localSheetId="25">#REF!</definedName>
    <definedName name="HUT6_140x110" localSheetId="28">#REF!</definedName>
    <definedName name="HUT6_140x110" localSheetId="29">#REF!</definedName>
    <definedName name="HUT6_140x110" localSheetId="12">#REF!</definedName>
    <definedName name="HUT6_140x110" localSheetId="43">#REF!</definedName>
    <definedName name="HUT6_140x110" localSheetId="42">#REF!</definedName>
    <definedName name="HUT6_140x110" localSheetId="27">#REF!</definedName>
    <definedName name="HUT6_140x110" localSheetId="45">#REF!</definedName>
    <definedName name="HUT6_140x110">#REF!</definedName>
    <definedName name="HUT6_140x16" localSheetId="30">#REF!</definedName>
    <definedName name="HUT6_140x16" localSheetId="25">#REF!</definedName>
    <definedName name="HUT6_140x16" localSheetId="28">#REF!</definedName>
    <definedName name="HUT6_140x16" localSheetId="29">#REF!</definedName>
    <definedName name="HUT6_140x16" localSheetId="12">#REF!</definedName>
    <definedName name="HUT6_140x16" localSheetId="43">#REF!</definedName>
    <definedName name="HUT6_140x16" localSheetId="42">#REF!</definedName>
    <definedName name="HUT6_140x16" localSheetId="27">#REF!</definedName>
    <definedName name="HUT6_140x16" localSheetId="45">#REF!</definedName>
    <definedName name="HUT6_140x16">#REF!</definedName>
    <definedName name="HUT6_140x63" localSheetId="30">#REF!</definedName>
    <definedName name="HUT6_140x63" localSheetId="25">#REF!</definedName>
    <definedName name="HUT6_140x63" localSheetId="28">#REF!</definedName>
    <definedName name="HUT6_140x63" localSheetId="29">#REF!</definedName>
    <definedName name="HUT6_140x63" localSheetId="12">#REF!</definedName>
    <definedName name="HUT6_140x63" localSheetId="43">#REF!</definedName>
    <definedName name="HUT6_140x63" localSheetId="42">#REF!</definedName>
    <definedName name="HUT6_140x63" localSheetId="27">#REF!</definedName>
    <definedName name="HUT6_140x63" localSheetId="45">#REF!</definedName>
    <definedName name="HUT6_140x63">#REF!</definedName>
    <definedName name="HUT6_140x75" localSheetId="30">#REF!</definedName>
    <definedName name="HUT6_140x75" localSheetId="25">#REF!</definedName>
    <definedName name="HUT6_140x75" localSheetId="28">#REF!</definedName>
    <definedName name="HUT6_140x75" localSheetId="29">#REF!</definedName>
    <definedName name="HUT6_140x75" localSheetId="12">#REF!</definedName>
    <definedName name="HUT6_140x75" localSheetId="43">#REF!</definedName>
    <definedName name="HUT6_140x75" localSheetId="42">#REF!</definedName>
    <definedName name="HUT6_140x75" localSheetId="27">#REF!</definedName>
    <definedName name="HUT6_140x75" localSheetId="45">#REF!</definedName>
    <definedName name="HUT6_140x75">#REF!</definedName>
    <definedName name="HUT6_140x90" localSheetId="30">#REF!</definedName>
    <definedName name="HUT6_140x90" localSheetId="25">#REF!</definedName>
    <definedName name="HUT6_140x90" localSheetId="28">#REF!</definedName>
    <definedName name="HUT6_140x90" localSheetId="29">#REF!</definedName>
    <definedName name="HUT6_140x90" localSheetId="12">#REF!</definedName>
    <definedName name="HUT6_140x90" localSheetId="43">#REF!</definedName>
    <definedName name="HUT6_140x90" localSheetId="42">#REF!</definedName>
    <definedName name="HUT6_140x90" localSheetId="27">#REF!</definedName>
    <definedName name="HUT6_140x90" localSheetId="45">#REF!</definedName>
    <definedName name="HUT6_140x90">#REF!</definedName>
    <definedName name="HUT6_160x110" localSheetId="30">#REF!</definedName>
    <definedName name="HUT6_160x110" localSheetId="25">#REF!</definedName>
    <definedName name="HUT6_160x110" localSheetId="28">#REF!</definedName>
    <definedName name="HUT6_160x110" localSheetId="29">#REF!</definedName>
    <definedName name="HUT6_160x110" localSheetId="12">#REF!</definedName>
    <definedName name="HUT6_160x110" localSheetId="43">#REF!</definedName>
    <definedName name="HUT6_160x110" localSheetId="42">#REF!</definedName>
    <definedName name="HUT6_160x110" localSheetId="27">#REF!</definedName>
    <definedName name="HUT6_160x110" localSheetId="45">#REF!</definedName>
    <definedName name="HUT6_160x110">#REF!</definedName>
    <definedName name="HUT6_160x125" localSheetId="30">#REF!</definedName>
    <definedName name="HUT6_160x125" localSheetId="25">#REF!</definedName>
    <definedName name="HUT6_160x125" localSheetId="28">#REF!</definedName>
    <definedName name="HUT6_160x125" localSheetId="29">#REF!</definedName>
    <definedName name="HUT6_160x125" localSheetId="12">#REF!</definedName>
    <definedName name="HUT6_160x125" localSheetId="43">#REF!</definedName>
    <definedName name="HUT6_160x125" localSheetId="42">#REF!</definedName>
    <definedName name="HUT6_160x125" localSheetId="27">#REF!</definedName>
    <definedName name="HUT6_160x125" localSheetId="45">#REF!</definedName>
    <definedName name="HUT6_160x125">#REF!</definedName>
    <definedName name="HUT6_160x140" localSheetId="30">#REF!</definedName>
    <definedName name="HUT6_160x140" localSheetId="25">#REF!</definedName>
    <definedName name="HUT6_160x140" localSheetId="28">#REF!</definedName>
    <definedName name="HUT6_160x140" localSheetId="29">#REF!</definedName>
    <definedName name="HUT6_160x140" localSheetId="12">#REF!</definedName>
    <definedName name="HUT6_160x140" localSheetId="43">#REF!</definedName>
    <definedName name="HUT6_160x140" localSheetId="42">#REF!</definedName>
    <definedName name="HUT6_160x140" localSheetId="27">#REF!</definedName>
    <definedName name="HUT6_160x140" localSheetId="45">#REF!</definedName>
    <definedName name="HUT6_160x140">#REF!</definedName>
    <definedName name="HUT6_160x63" localSheetId="30">#REF!</definedName>
    <definedName name="HUT6_160x63" localSheetId="25">#REF!</definedName>
    <definedName name="HUT6_160x63" localSheetId="28">#REF!</definedName>
    <definedName name="HUT6_160x63" localSheetId="29">#REF!</definedName>
    <definedName name="HUT6_160x63" localSheetId="12">#REF!</definedName>
    <definedName name="HUT6_160x63" localSheetId="43">#REF!</definedName>
    <definedName name="HUT6_160x63" localSheetId="42">#REF!</definedName>
    <definedName name="HUT6_160x63" localSheetId="27">#REF!</definedName>
    <definedName name="HUT6_160x63" localSheetId="45">#REF!</definedName>
    <definedName name="HUT6_160x63">#REF!</definedName>
    <definedName name="HUT6_160x75" localSheetId="30">#REF!</definedName>
    <definedName name="HUT6_160x75" localSheetId="25">#REF!</definedName>
    <definedName name="HUT6_160x75" localSheetId="28">#REF!</definedName>
    <definedName name="HUT6_160x75" localSheetId="29">#REF!</definedName>
    <definedName name="HUT6_160x75" localSheetId="12">#REF!</definedName>
    <definedName name="HUT6_160x75" localSheetId="43">#REF!</definedName>
    <definedName name="HUT6_160x75" localSheetId="42">#REF!</definedName>
    <definedName name="HUT6_160x75" localSheetId="27">#REF!</definedName>
    <definedName name="HUT6_160x75" localSheetId="45">#REF!</definedName>
    <definedName name="HUT6_160x75">#REF!</definedName>
    <definedName name="HUT6_160x90" localSheetId="30">#REF!</definedName>
    <definedName name="HUT6_160x90" localSheetId="25">#REF!</definedName>
    <definedName name="HUT6_160x90" localSheetId="28">#REF!</definedName>
    <definedName name="HUT6_160x90" localSheetId="29">#REF!</definedName>
    <definedName name="HUT6_160x90" localSheetId="12">#REF!</definedName>
    <definedName name="HUT6_160x90" localSheetId="43">#REF!</definedName>
    <definedName name="HUT6_160x90" localSheetId="42">#REF!</definedName>
    <definedName name="HUT6_160x90" localSheetId="27">#REF!</definedName>
    <definedName name="HUT6_160x90" localSheetId="45">#REF!</definedName>
    <definedName name="HUT6_160x90">#REF!</definedName>
    <definedName name="HUT6_180x110" localSheetId="30">#REF!</definedName>
    <definedName name="HUT6_180x110" localSheetId="25">#REF!</definedName>
    <definedName name="HUT6_180x110" localSheetId="28">#REF!</definedName>
    <definedName name="HUT6_180x110" localSheetId="29">#REF!</definedName>
    <definedName name="HUT6_180x110" localSheetId="12">#REF!</definedName>
    <definedName name="HUT6_180x110" localSheetId="43">#REF!</definedName>
    <definedName name="HUT6_180x110" localSheetId="42">#REF!</definedName>
    <definedName name="HUT6_180x110" localSheetId="27">#REF!</definedName>
    <definedName name="HUT6_180x110" localSheetId="45">#REF!</definedName>
    <definedName name="HUT6_180x110">#REF!</definedName>
    <definedName name="HUT6_180x125" localSheetId="30">#REF!</definedName>
    <definedName name="HUT6_180x125" localSheetId="25">#REF!</definedName>
    <definedName name="HUT6_180x125" localSheetId="28">#REF!</definedName>
    <definedName name="HUT6_180x125" localSheetId="29">#REF!</definedName>
    <definedName name="HUT6_180x125" localSheetId="12">#REF!</definedName>
    <definedName name="HUT6_180x125" localSheetId="43">#REF!</definedName>
    <definedName name="HUT6_180x125" localSheetId="42">#REF!</definedName>
    <definedName name="HUT6_180x125" localSheetId="27">#REF!</definedName>
    <definedName name="HUT6_180x125" localSheetId="45">#REF!</definedName>
    <definedName name="HUT6_180x125">#REF!</definedName>
    <definedName name="HUT6_180x140" localSheetId="30">#REF!</definedName>
    <definedName name="HUT6_180x140" localSheetId="25">#REF!</definedName>
    <definedName name="HUT6_180x140" localSheetId="28">#REF!</definedName>
    <definedName name="HUT6_180x140" localSheetId="29">#REF!</definedName>
    <definedName name="HUT6_180x140" localSheetId="12">#REF!</definedName>
    <definedName name="HUT6_180x140" localSheetId="43">#REF!</definedName>
    <definedName name="HUT6_180x140" localSheetId="42">#REF!</definedName>
    <definedName name="HUT6_180x140" localSheetId="27">#REF!</definedName>
    <definedName name="HUT6_180x140" localSheetId="45">#REF!</definedName>
    <definedName name="HUT6_180x140">#REF!</definedName>
    <definedName name="HUT6_180x160" localSheetId="30">#REF!</definedName>
    <definedName name="HUT6_180x160" localSheetId="25">#REF!</definedName>
    <definedName name="HUT6_180x160" localSheetId="28">#REF!</definedName>
    <definedName name="HUT6_180x160" localSheetId="29">#REF!</definedName>
    <definedName name="HUT6_180x160" localSheetId="12">#REF!</definedName>
    <definedName name="HUT6_180x160" localSheetId="43">#REF!</definedName>
    <definedName name="HUT6_180x160" localSheetId="42">#REF!</definedName>
    <definedName name="HUT6_180x160" localSheetId="27">#REF!</definedName>
    <definedName name="HUT6_180x160" localSheetId="45">#REF!</definedName>
    <definedName name="HUT6_180x160">#REF!</definedName>
    <definedName name="HUT6_180x90" localSheetId="30">#REF!</definedName>
    <definedName name="HUT6_180x90" localSheetId="25">#REF!</definedName>
    <definedName name="HUT6_180x90" localSheetId="28">#REF!</definedName>
    <definedName name="HUT6_180x90" localSheetId="29">#REF!</definedName>
    <definedName name="HUT6_180x90" localSheetId="12">#REF!</definedName>
    <definedName name="HUT6_180x90" localSheetId="43">#REF!</definedName>
    <definedName name="HUT6_180x90" localSheetId="42">#REF!</definedName>
    <definedName name="HUT6_180x90" localSheetId="27">#REF!</definedName>
    <definedName name="HUT6_180x90" localSheetId="45">#REF!</definedName>
    <definedName name="HUT6_180x90">#REF!</definedName>
    <definedName name="HUT6_200x110" localSheetId="30">#REF!</definedName>
    <definedName name="HUT6_200x110" localSheetId="25">#REF!</definedName>
    <definedName name="HUT6_200x110" localSheetId="28">#REF!</definedName>
    <definedName name="HUT6_200x110" localSheetId="29">#REF!</definedName>
    <definedName name="HUT6_200x110" localSheetId="12">#REF!</definedName>
    <definedName name="HUT6_200x110" localSheetId="43">#REF!</definedName>
    <definedName name="HUT6_200x110" localSheetId="42">#REF!</definedName>
    <definedName name="HUT6_200x110" localSheetId="27">#REF!</definedName>
    <definedName name="HUT6_200x110" localSheetId="45">#REF!</definedName>
    <definedName name="HUT6_200x110">#REF!</definedName>
    <definedName name="HUT6_200x125" localSheetId="30">#REF!</definedName>
    <definedName name="HUT6_200x125" localSheetId="25">#REF!</definedName>
    <definedName name="HUT6_200x125" localSheetId="28">#REF!</definedName>
    <definedName name="HUT6_200x125" localSheetId="29">#REF!</definedName>
    <definedName name="HUT6_200x125" localSheetId="12">#REF!</definedName>
    <definedName name="HUT6_200x125" localSheetId="43">#REF!</definedName>
    <definedName name="HUT6_200x125" localSheetId="42">#REF!</definedName>
    <definedName name="HUT6_200x125" localSheetId="27">#REF!</definedName>
    <definedName name="HUT6_200x125" localSheetId="45">#REF!</definedName>
    <definedName name="HUT6_200x125">#REF!</definedName>
    <definedName name="HUT6_200x140" localSheetId="30">#REF!</definedName>
    <definedName name="HUT6_200x140" localSheetId="25">#REF!</definedName>
    <definedName name="HUT6_200x140" localSheetId="28">#REF!</definedName>
    <definedName name="HUT6_200x140" localSheetId="29">#REF!</definedName>
    <definedName name="HUT6_200x140" localSheetId="12">#REF!</definedName>
    <definedName name="HUT6_200x140" localSheetId="43">#REF!</definedName>
    <definedName name="HUT6_200x140" localSheetId="42">#REF!</definedName>
    <definedName name="HUT6_200x140" localSheetId="27">#REF!</definedName>
    <definedName name="HUT6_200x140" localSheetId="45">#REF!</definedName>
    <definedName name="HUT6_200x140">#REF!</definedName>
    <definedName name="HUT6_200x160" localSheetId="30">#REF!</definedName>
    <definedName name="HUT6_200x160" localSheetId="25">#REF!</definedName>
    <definedName name="HUT6_200x160" localSheetId="28">#REF!</definedName>
    <definedName name="HUT6_200x160" localSheetId="29">#REF!</definedName>
    <definedName name="HUT6_200x160" localSheetId="12">#REF!</definedName>
    <definedName name="HUT6_200x160" localSheetId="43">#REF!</definedName>
    <definedName name="HUT6_200x160" localSheetId="42">#REF!</definedName>
    <definedName name="HUT6_200x160" localSheetId="27">#REF!</definedName>
    <definedName name="HUT6_200x160" localSheetId="45">#REF!</definedName>
    <definedName name="HUT6_200x160">#REF!</definedName>
    <definedName name="HUT6_200x180" localSheetId="30">#REF!</definedName>
    <definedName name="HUT6_200x180" localSheetId="25">#REF!</definedName>
    <definedName name="HUT6_200x180" localSheetId="28">#REF!</definedName>
    <definedName name="HUT6_200x180" localSheetId="29">#REF!</definedName>
    <definedName name="HUT6_200x180" localSheetId="12">#REF!</definedName>
    <definedName name="HUT6_200x180" localSheetId="43">#REF!</definedName>
    <definedName name="HUT6_200x180" localSheetId="42">#REF!</definedName>
    <definedName name="HUT6_200x180" localSheetId="27">#REF!</definedName>
    <definedName name="HUT6_200x180" localSheetId="45">#REF!</definedName>
    <definedName name="HUT6_200x180">#REF!</definedName>
    <definedName name="HUT6_20x16" localSheetId="30">#REF!</definedName>
    <definedName name="HUT6_20x16" localSheetId="25">#REF!</definedName>
    <definedName name="HUT6_20x16" localSheetId="28">#REF!</definedName>
    <definedName name="HUT6_20x16" localSheetId="29">#REF!</definedName>
    <definedName name="HUT6_20x16" localSheetId="12">#REF!</definedName>
    <definedName name="HUT6_20x16" localSheetId="43">#REF!</definedName>
    <definedName name="HUT6_20x16" localSheetId="42">#REF!</definedName>
    <definedName name="HUT6_20x16" localSheetId="27">#REF!</definedName>
    <definedName name="HUT6_20x16" localSheetId="45">#REF!</definedName>
    <definedName name="HUT6_20x16">#REF!</definedName>
    <definedName name="HUT6_225x110" localSheetId="30">#REF!</definedName>
    <definedName name="HUT6_225x110" localSheetId="25">#REF!</definedName>
    <definedName name="HUT6_225x110" localSheetId="28">#REF!</definedName>
    <definedName name="HUT6_225x110" localSheetId="29">#REF!</definedName>
    <definedName name="HUT6_225x110" localSheetId="12">#REF!</definedName>
    <definedName name="HUT6_225x110" localSheetId="43">#REF!</definedName>
    <definedName name="HUT6_225x110" localSheetId="42">#REF!</definedName>
    <definedName name="HUT6_225x110" localSheetId="27">#REF!</definedName>
    <definedName name="HUT6_225x110" localSheetId="45">#REF!</definedName>
    <definedName name="HUT6_225x110">#REF!</definedName>
    <definedName name="HUT6_225x125" localSheetId="30">#REF!</definedName>
    <definedName name="HUT6_225x125" localSheetId="25">#REF!</definedName>
    <definedName name="HUT6_225x125" localSheetId="28">#REF!</definedName>
    <definedName name="HUT6_225x125" localSheetId="29">#REF!</definedName>
    <definedName name="HUT6_225x125" localSheetId="12">#REF!</definedName>
    <definedName name="HUT6_225x125" localSheetId="43">#REF!</definedName>
    <definedName name="HUT6_225x125" localSheetId="42">#REF!</definedName>
    <definedName name="HUT6_225x125" localSheetId="27">#REF!</definedName>
    <definedName name="HUT6_225x125" localSheetId="45">#REF!</definedName>
    <definedName name="HUT6_225x125">#REF!</definedName>
    <definedName name="HUT6_225x140" localSheetId="30">#REF!</definedName>
    <definedName name="HUT6_225x140" localSheetId="25">#REF!</definedName>
    <definedName name="HUT6_225x140" localSheetId="28">#REF!</definedName>
    <definedName name="HUT6_225x140" localSheetId="29">#REF!</definedName>
    <definedName name="HUT6_225x140" localSheetId="12">#REF!</definedName>
    <definedName name="HUT6_225x140" localSheetId="43">#REF!</definedName>
    <definedName name="HUT6_225x140" localSheetId="42">#REF!</definedName>
    <definedName name="HUT6_225x140" localSheetId="27">#REF!</definedName>
    <definedName name="HUT6_225x140" localSheetId="45">#REF!</definedName>
    <definedName name="HUT6_225x140">#REF!</definedName>
    <definedName name="HUT6_225x160" localSheetId="30">#REF!</definedName>
    <definedName name="HUT6_225x160" localSheetId="25">#REF!</definedName>
    <definedName name="HUT6_225x160" localSheetId="28">#REF!</definedName>
    <definedName name="HUT6_225x160" localSheetId="29">#REF!</definedName>
    <definedName name="HUT6_225x160" localSheetId="12">#REF!</definedName>
    <definedName name="HUT6_225x160" localSheetId="43">#REF!</definedName>
    <definedName name="HUT6_225x160" localSheetId="42">#REF!</definedName>
    <definedName name="HUT6_225x160" localSheetId="27">#REF!</definedName>
    <definedName name="HUT6_225x160" localSheetId="45">#REF!</definedName>
    <definedName name="HUT6_225x160">#REF!</definedName>
    <definedName name="HUT6_225x180" localSheetId="30">#REF!</definedName>
    <definedName name="HUT6_225x180" localSheetId="25">#REF!</definedName>
    <definedName name="HUT6_225x180" localSheetId="28">#REF!</definedName>
    <definedName name="HUT6_225x180" localSheetId="29">#REF!</definedName>
    <definedName name="HUT6_225x180" localSheetId="12">#REF!</definedName>
    <definedName name="HUT6_225x180" localSheetId="43">#REF!</definedName>
    <definedName name="HUT6_225x180" localSheetId="42">#REF!</definedName>
    <definedName name="HUT6_225x180" localSheetId="27">#REF!</definedName>
    <definedName name="HUT6_225x180" localSheetId="45">#REF!</definedName>
    <definedName name="HUT6_225x180">#REF!</definedName>
    <definedName name="HUT6_225x200" localSheetId="30">#REF!</definedName>
    <definedName name="HUT6_225x200" localSheetId="25">#REF!</definedName>
    <definedName name="HUT6_225x200" localSheetId="28">#REF!</definedName>
    <definedName name="HUT6_225x200" localSheetId="29">#REF!</definedName>
    <definedName name="HUT6_225x200" localSheetId="12">#REF!</definedName>
    <definedName name="HUT6_225x200" localSheetId="43">#REF!</definedName>
    <definedName name="HUT6_225x200" localSheetId="42">#REF!</definedName>
    <definedName name="HUT6_225x200" localSheetId="27">#REF!</definedName>
    <definedName name="HUT6_225x200" localSheetId="45">#REF!</definedName>
    <definedName name="HUT6_225x200">#REF!</definedName>
    <definedName name="HUT6_250x140" localSheetId="30">#REF!</definedName>
    <definedName name="HUT6_250x140" localSheetId="25">#REF!</definedName>
    <definedName name="HUT6_250x140" localSheetId="28">#REF!</definedName>
    <definedName name="HUT6_250x140" localSheetId="29">#REF!</definedName>
    <definedName name="HUT6_250x140" localSheetId="12">#REF!</definedName>
    <definedName name="HUT6_250x140" localSheetId="43">#REF!</definedName>
    <definedName name="HUT6_250x140" localSheetId="42">#REF!</definedName>
    <definedName name="HUT6_250x140" localSheetId="27">#REF!</definedName>
    <definedName name="HUT6_250x140" localSheetId="45">#REF!</definedName>
    <definedName name="HUT6_250x140">#REF!</definedName>
    <definedName name="HUT6_250x160" localSheetId="30">#REF!</definedName>
    <definedName name="HUT6_250x160" localSheetId="25">#REF!</definedName>
    <definedName name="HUT6_250x160" localSheetId="28">#REF!</definedName>
    <definedName name="HUT6_250x160" localSheetId="29">#REF!</definedName>
    <definedName name="HUT6_250x160" localSheetId="12">#REF!</definedName>
    <definedName name="HUT6_250x160" localSheetId="43">#REF!</definedName>
    <definedName name="HUT6_250x160" localSheetId="42">#REF!</definedName>
    <definedName name="HUT6_250x160" localSheetId="27">#REF!</definedName>
    <definedName name="HUT6_250x160" localSheetId="45">#REF!</definedName>
    <definedName name="HUT6_250x160">#REF!</definedName>
    <definedName name="HUT6_250x180" localSheetId="30">#REF!</definedName>
    <definedName name="HUT6_250x180" localSheetId="25">#REF!</definedName>
    <definedName name="HUT6_250x180" localSheetId="28">#REF!</definedName>
    <definedName name="HUT6_250x180" localSheetId="29">#REF!</definedName>
    <definedName name="HUT6_250x180" localSheetId="12">#REF!</definedName>
    <definedName name="HUT6_250x180" localSheetId="43">#REF!</definedName>
    <definedName name="HUT6_250x180" localSheetId="42">#REF!</definedName>
    <definedName name="HUT6_250x180" localSheetId="27">#REF!</definedName>
    <definedName name="HUT6_250x180" localSheetId="45">#REF!</definedName>
    <definedName name="HUT6_250x180">#REF!</definedName>
    <definedName name="HUT6_250x200" localSheetId="30">#REF!</definedName>
    <definedName name="HUT6_250x200" localSheetId="25">#REF!</definedName>
    <definedName name="HUT6_250x200" localSheetId="28">#REF!</definedName>
    <definedName name="HUT6_250x200" localSheetId="29">#REF!</definedName>
    <definedName name="HUT6_250x200" localSheetId="12">#REF!</definedName>
    <definedName name="HUT6_250x200" localSheetId="43">#REF!</definedName>
    <definedName name="HUT6_250x200" localSheetId="42">#REF!</definedName>
    <definedName name="HUT6_250x200" localSheetId="27">#REF!</definedName>
    <definedName name="HUT6_250x200" localSheetId="45">#REF!</definedName>
    <definedName name="HUT6_250x200">#REF!</definedName>
    <definedName name="HUT6_250x225" localSheetId="30">#REF!</definedName>
    <definedName name="HUT6_250x225" localSheetId="25">#REF!</definedName>
    <definedName name="HUT6_250x225" localSheetId="28">#REF!</definedName>
    <definedName name="HUT6_250x225" localSheetId="29">#REF!</definedName>
    <definedName name="HUT6_250x225" localSheetId="12">#REF!</definedName>
    <definedName name="HUT6_250x225" localSheetId="43">#REF!</definedName>
    <definedName name="HUT6_250x225" localSheetId="42">#REF!</definedName>
    <definedName name="HUT6_250x225" localSheetId="27">#REF!</definedName>
    <definedName name="HUT6_250x225" localSheetId="45">#REF!</definedName>
    <definedName name="HUT6_250x225">#REF!</definedName>
    <definedName name="HUT6_280x140" localSheetId="30">#REF!</definedName>
    <definedName name="HUT6_280x140" localSheetId="25">#REF!</definedName>
    <definedName name="HUT6_280x140" localSheetId="28">#REF!</definedName>
    <definedName name="HUT6_280x140" localSheetId="29">#REF!</definedName>
    <definedName name="HUT6_280x140" localSheetId="12">#REF!</definedName>
    <definedName name="HUT6_280x140" localSheetId="43">#REF!</definedName>
    <definedName name="HUT6_280x140" localSheetId="42">#REF!</definedName>
    <definedName name="HUT6_280x140" localSheetId="27">#REF!</definedName>
    <definedName name="HUT6_280x140" localSheetId="45">#REF!</definedName>
    <definedName name="HUT6_280x140">#REF!</definedName>
    <definedName name="HUT6_280x160" localSheetId="30">#REF!</definedName>
    <definedName name="HUT6_280x160" localSheetId="25">#REF!</definedName>
    <definedName name="HUT6_280x160" localSheetId="28">#REF!</definedName>
    <definedName name="HUT6_280x160" localSheetId="29">#REF!</definedName>
    <definedName name="HUT6_280x160" localSheetId="12">#REF!</definedName>
    <definedName name="HUT6_280x160" localSheetId="43">#REF!</definedName>
    <definedName name="HUT6_280x160" localSheetId="42">#REF!</definedName>
    <definedName name="HUT6_280x160" localSheetId="27">#REF!</definedName>
    <definedName name="HUT6_280x160" localSheetId="45">#REF!</definedName>
    <definedName name="HUT6_280x160">#REF!</definedName>
    <definedName name="HUT6_280x180" localSheetId="30">#REF!</definedName>
    <definedName name="HUT6_280x180" localSheetId="25">#REF!</definedName>
    <definedName name="HUT6_280x180" localSheetId="28">#REF!</definedName>
    <definedName name="HUT6_280x180" localSheetId="29">#REF!</definedName>
    <definedName name="HUT6_280x180" localSheetId="12">#REF!</definedName>
    <definedName name="HUT6_280x180" localSheetId="43">#REF!</definedName>
    <definedName name="HUT6_280x180" localSheetId="42">#REF!</definedName>
    <definedName name="HUT6_280x180" localSheetId="27">#REF!</definedName>
    <definedName name="HUT6_280x180" localSheetId="45">#REF!</definedName>
    <definedName name="HUT6_280x180">#REF!</definedName>
    <definedName name="HUT6_280x200" localSheetId="30">#REF!</definedName>
    <definedName name="HUT6_280x200" localSheetId="25">#REF!</definedName>
    <definedName name="HUT6_280x200" localSheetId="28">#REF!</definedName>
    <definedName name="HUT6_280x200" localSheetId="29">#REF!</definedName>
    <definedName name="HUT6_280x200" localSheetId="12">#REF!</definedName>
    <definedName name="HUT6_280x200" localSheetId="43">#REF!</definedName>
    <definedName name="HUT6_280x200" localSheetId="42">#REF!</definedName>
    <definedName name="HUT6_280x200" localSheetId="27">#REF!</definedName>
    <definedName name="HUT6_280x200" localSheetId="45">#REF!</definedName>
    <definedName name="HUT6_280x200">#REF!</definedName>
    <definedName name="HUT6_280x225" localSheetId="30">#REF!</definedName>
    <definedName name="HUT6_280x225" localSheetId="25">#REF!</definedName>
    <definedName name="HUT6_280x225" localSheetId="28">#REF!</definedName>
    <definedName name="HUT6_280x225" localSheetId="29">#REF!</definedName>
    <definedName name="HUT6_280x225" localSheetId="12">#REF!</definedName>
    <definedName name="HUT6_280x225" localSheetId="43">#REF!</definedName>
    <definedName name="HUT6_280x225" localSheetId="42">#REF!</definedName>
    <definedName name="HUT6_280x225" localSheetId="27">#REF!</definedName>
    <definedName name="HUT6_280x225" localSheetId="45">#REF!</definedName>
    <definedName name="HUT6_280x225">#REF!</definedName>
    <definedName name="HUT6_280x250" localSheetId="30">#REF!</definedName>
    <definedName name="HUT6_280x250" localSheetId="25">#REF!</definedName>
    <definedName name="HUT6_280x250" localSheetId="28">#REF!</definedName>
    <definedName name="HUT6_280x250" localSheetId="29">#REF!</definedName>
    <definedName name="HUT6_280x250" localSheetId="12">#REF!</definedName>
    <definedName name="HUT6_280x250" localSheetId="43">#REF!</definedName>
    <definedName name="HUT6_280x250" localSheetId="42">#REF!</definedName>
    <definedName name="HUT6_280x250" localSheetId="27">#REF!</definedName>
    <definedName name="HUT6_280x250" localSheetId="45">#REF!</definedName>
    <definedName name="HUT6_280x250">#REF!</definedName>
    <definedName name="HUT6_315x160" localSheetId="30">#REF!</definedName>
    <definedName name="HUT6_315x160" localSheetId="25">#REF!</definedName>
    <definedName name="HUT6_315x160" localSheetId="28">#REF!</definedName>
    <definedName name="HUT6_315x160" localSheetId="29">#REF!</definedName>
    <definedName name="HUT6_315x160" localSheetId="12">#REF!</definedName>
    <definedName name="HUT6_315x160" localSheetId="43">#REF!</definedName>
    <definedName name="HUT6_315x160" localSheetId="42">#REF!</definedName>
    <definedName name="HUT6_315x160" localSheetId="27">#REF!</definedName>
    <definedName name="HUT6_315x160" localSheetId="45">#REF!</definedName>
    <definedName name="HUT6_315x160">#REF!</definedName>
    <definedName name="HUT6_315x180" localSheetId="30">#REF!</definedName>
    <definedName name="HUT6_315x180" localSheetId="25">#REF!</definedName>
    <definedName name="HUT6_315x180" localSheetId="28">#REF!</definedName>
    <definedName name="HUT6_315x180" localSheetId="29">#REF!</definedName>
    <definedName name="HUT6_315x180" localSheetId="12">#REF!</definedName>
    <definedName name="HUT6_315x180" localSheetId="43">#REF!</definedName>
    <definedName name="HUT6_315x180" localSheetId="42">#REF!</definedName>
    <definedName name="HUT6_315x180" localSheetId="27">#REF!</definedName>
    <definedName name="HUT6_315x180" localSheetId="45">#REF!</definedName>
    <definedName name="HUT6_315x180">#REF!</definedName>
    <definedName name="HUT6_315x200" localSheetId="30">#REF!</definedName>
    <definedName name="HUT6_315x200" localSheetId="25">#REF!</definedName>
    <definedName name="HUT6_315x200" localSheetId="28">#REF!</definedName>
    <definedName name="HUT6_315x200" localSheetId="29">#REF!</definedName>
    <definedName name="HUT6_315x200" localSheetId="12">#REF!</definedName>
    <definedName name="HUT6_315x200" localSheetId="43">#REF!</definedName>
    <definedName name="HUT6_315x200" localSheetId="42">#REF!</definedName>
    <definedName name="HUT6_315x200" localSheetId="27">#REF!</definedName>
    <definedName name="HUT6_315x200" localSheetId="45">#REF!</definedName>
    <definedName name="HUT6_315x200">#REF!</definedName>
    <definedName name="HUT6_315x225" localSheetId="30">#REF!</definedName>
    <definedName name="HUT6_315x225" localSheetId="25">#REF!</definedName>
    <definedName name="HUT6_315x225" localSheetId="28">#REF!</definedName>
    <definedName name="HUT6_315x225" localSheetId="29">#REF!</definedName>
    <definedName name="HUT6_315x225" localSheetId="12">#REF!</definedName>
    <definedName name="HUT6_315x225" localSheetId="43">#REF!</definedName>
    <definedName name="HUT6_315x225" localSheetId="42">#REF!</definedName>
    <definedName name="HUT6_315x225" localSheetId="27">#REF!</definedName>
    <definedName name="HUT6_315x225" localSheetId="45">#REF!</definedName>
    <definedName name="HUT6_315x225">#REF!</definedName>
    <definedName name="HUT6_315x250" localSheetId="30">#REF!</definedName>
    <definedName name="HUT6_315x250" localSheetId="25">#REF!</definedName>
    <definedName name="HUT6_315x250" localSheetId="28">#REF!</definedName>
    <definedName name="HUT6_315x250" localSheetId="29">#REF!</definedName>
    <definedName name="HUT6_315x250" localSheetId="12">#REF!</definedName>
    <definedName name="HUT6_315x250" localSheetId="43">#REF!</definedName>
    <definedName name="HUT6_315x250" localSheetId="42">#REF!</definedName>
    <definedName name="HUT6_315x250" localSheetId="27">#REF!</definedName>
    <definedName name="HUT6_315x250" localSheetId="45">#REF!</definedName>
    <definedName name="HUT6_315x250">#REF!</definedName>
    <definedName name="HUT6_315x280" localSheetId="30">#REF!</definedName>
    <definedName name="HUT6_315x280" localSheetId="25">#REF!</definedName>
    <definedName name="HUT6_315x280" localSheetId="28">#REF!</definedName>
    <definedName name="HUT6_315x280" localSheetId="29">#REF!</definedName>
    <definedName name="HUT6_315x280" localSheetId="12">#REF!</definedName>
    <definedName name="HUT6_315x280" localSheetId="43">#REF!</definedName>
    <definedName name="HUT6_315x280" localSheetId="42">#REF!</definedName>
    <definedName name="HUT6_315x280" localSheetId="27">#REF!</definedName>
    <definedName name="HUT6_315x280" localSheetId="45">#REF!</definedName>
    <definedName name="HUT6_315x280">#REF!</definedName>
    <definedName name="HUT6_32x20" localSheetId="30">#REF!</definedName>
    <definedName name="HUT6_32x20" localSheetId="25">#REF!</definedName>
    <definedName name="HUT6_32x20" localSheetId="28">#REF!</definedName>
    <definedName name="HUT6_32x20" localSheetId="29">#REF!</definedName>
    <definedName name="HUT6_32x20" localSheetId="12">#REF!</definedName>
    <definedName name="HUT6_32x20" localSheetId="43">#REF!</definedName>
    <definedName name="HUT6_32x20" localSheetId="42">#REF!</definedName>
    <definedName name="HUT6_32x20" localSheetId="27">#REF!</definedName>
    <definedName name="HUT6_32x20" localSheetId="45">#REF!</definedName>
    <definedName name="HUT6_32x20">#REF!</definedName>
    <definedName name="HUT6_32x25" localSheetId="30">#REF!</definedName>
    <definedName name="HUT6_32x25" localSheetId="25">#REF!</definedName>
    <definedName name="HUT6_32x25" localSheetId="28">#REF!</definedName>
    <definedName name="HUT6_32x25" localSheetId="29">#REF!</definedName>
    <definedName name="HUT6_32x25" localSheetId="12">#REF!</definedName>
    <definedName name="HUT6_32x25" localSheetId="43">#REF!</definedName>
    <definedName name="HUT6_32x25" localSheetId="42">#REF!</definedName>
    <definedName name="HUT6_32x25" localSheetId="27">#REF!</definedName>
    <definedName name="HUT6_32x25" localSheetId="45">#REF!</definedName>
    <definedName name="HUT6_32x25">#REF!</definedName>
    <definedName name="HUT6_40x20" localSheetId="30">#REF!</definedName>
    <definedName name="HUT6_40x20" localSheetId="25">#REF!</definedName>
    <definedName name="HUT6_40x20" localSheetId="28">#REF!</definedName>
    <definedName name="HUT6_40x20" localSheetId="29">#REF!</definedName>
    <definedName name="HUT6_40x20" localSheetId="12">#REF!</definedName>
    <definedName name="HUT6_40x20" localSheetId="43">#REF!</definedName>
    <definedName name="HUT6_40x20" localSheetId="42">#REF!</definedName>
    <definedName name="HUT6_40x20" localSheetId="27">#REF!</definedName>
    <definedName name="HUT6_40x20" localSheetId="45">#REF!</definedName>
    <definedName name="HUT6_40x20">#REF!</definedName>
    <definedName name="HUT6_40x25" localSheetId="30">#REF!</definedName>
    <definedName name="HUT6_40x25" localSheetId="25">#REF!</definedName>
    <definedName name="HUT6_40x25" localSheetId="28">#REF!</definedName>
    <definedName name="HUT6_40x25" localSheetId="29">#REF!</definedName>
    <definedName name="HUT6_40x25" localSheetId="12">#REF!</definedName>
    <definedName name="HUT6_40x25" localSheetId="43">#REF!</definedName>
    <definedName name="HUT6_40x25" localSheetId="42">#REF!</definedName>
    <definedName name="HUT6_40x25" localSheetId="27">#REF!</definedName>
    <definedName name="HUT6_40x25" localSheetId="45">#REF!</definedName>
    <definedName name="HUT6_40x25">#REF!</definedName>
    <definedName name="HUT6_40x32" localSheetId="30">#REF!</definedName>
    <definedName name="HUT6_40x32" localSheetId="25">#REF!</definedName>
    <definedName name="HUT6_40x32" localSheetId="28">#REF!</definedName>
    <definedName name="HUT6_40x32" localSheetId="29">#REF!</definedName>
    <definedName name="HUT6_40x32" localSheetId="12">#REF!</definedName>
    <definedName name="HUT6_40x32" localSheetId="43">#REF!</definedName>
    <definedName name="HUT6_40x32" localSheetId="42">#REF!</definedName>
    <definedName name="HUT6_40x32" localSheetId="27">#REF!</definedName>
    <definedName name="HUT6_40x32" localSheetId="45">#REF!</definedName>
    <definedName name="HUT6_40x32">#REF!</definedName>
    <definedName name="HUT6_50x20" localSheetId="30">#REF!</definedName>
    <definedName name="HUT6_50x20" localSheetId="25">#REF!</definedName>
    <definedName name="HUT6_50x20" localSheetId="28">#REF!</definedName>
    <definedName name="HUT6_50x20" localSheetId="29">#REF!</definedName>
    <definedName name="HUT6_50x20" localSheetId="12">#REF!</definedName>
    <definedName name="HUT6_50x20" localSheetId="43">#REF!</definedName>
    <definedName name="HUT6_50x20" localSheetId="42">#REF!</definedName>
    <definedName name="HUT6_50x20" localSheetId="27">#REF!</definedName>
    <definedName name="HUT6_50x20" localSheetId="45">#REF!</definedName>
    <definedName name="HUT6_50x20">#REF!</definedName>
    <definedName name="HUT6_50x25" localSheetId="30">#REF!</definedName>
    <definedName name="HUT6_50x25" localSheetId="25">#REF!</definedName>
    <definedName name="HUT6_50x25" localSheetId="28">#REF!</definedName>
    <definedName name="HUT6_50x25" localSheetId="29">#REF!</definedName>
    <definedName name="HUT6_50x25" localSheetId="12">#REF!</definedName>
    <definedName name="HUT6_50x25" localSheetId="43">#REF!</definedName>
    <definedName name="HUT6_50x25" localSheetId="42">#REF!</definedName>
    <definedName name="HUT6_50x25" localSheetId="27">#REF!</definedName>
    <definedName name="HUT6_50x25" localSheetId="45">#REF!</definedName>
    <definedName name="HUT6_50x25">#REF!</definedName>
    <definedName name="HUT6_50x32" localSheetId="30">#REF!</definedName>
    <definedName name="HUT6_50x32" localSheetId="25">#REF!</definedName>
    <definedName name="HUT6_50x32" localSheetId="28">#REF!</definedName>
    <definedName name="HUT6_50x32" localSheetId="29">#REF!</definedName>
    <definedName name="HUT6_50x32" localSheetId="12">#REF!</definedName>
    <definedName name="HUT6_50x32" localSheetId="43">#REF!</definedName>
    <definedName name="HUT6_50x32" localSheetId="42">#REF!</definedName>
    <definedName name="HUT6_50x32" localSheetId="27">#REF!</definedName>
    <definedName name="HUT6_50x32" localSheetId="45">#REF!</definedName>
    <definedName name="HUT6_50x32">#REF!</definedName>
    <definedName name="HUT6_50x40" localSheetId="30">#REF!</definedName>
    <definedName name="HUT6_50x40" localSheetId="25">#REF!</definedName>
    <definedName name="HUT6_50x40" localSheetId="28">#REF!</definedName>
    <definedName name="HUT6_50x40" localSheetId="29">#REF!</definedName>
    <definedName name="HUT6_50x40" localSheetId="12">#REF!</definedName>
    <definedName name="HUT6_50x40" localSheetId="43">#REF!</definedName>
    <definedName name="HUT6_50x40" localSheetId="42">#REF!</definedName>
    <definedName name="HUT6_50x40" localSheetId="27">#REF!</definedName>
    <definedName name="HUT6_50x40" localSheetId="45">#REF!</definedName>
    <definedName name="HUT6_50x40">#REF!</definedName>
    <definedName name="HUT6_63x25" localSheetId="30">#REF!</definedName>
    <definedName name="HUT6_63x25" localSheetId="25">#REF!</definedName>
    <definedName name="HUT6_63x25" localSheetId="28">#REF!</definedName>
    <definedName name="HUT6_63x25" localSheetId="29">#REF!</definedName>
    <definedName name="HUT6_63x25" localSheetId="12">#REF!</definedName>
    <definedName name="HUT6_63x25" localSheetId="43">#REF!</definedName>
    <definedName name="HUT6_63x25" localSheetId="42">#REF!</definedName>
    <definedName name="HUT6_63x25" localSheetId="27">#REF!</definedName>
    <definedName name="HUT6_63x25" localSheetId="45">#REF!</definedName>
    <definedName name="HUT6_63x25">#REF!</definedName>
    <definedName name="HUT6_63x32" localSheetId="30">#REF!</definedName>
    <definedName name="HUT6_63x32" localSheetId="25">#REF!</definedName>
    <definedName name="HUT6_63x32" localSheetId="28">#REF!</definedName>
    <definedName name="HUT6_63x32" localSheetId="29">#REF!</definedName>
    <definedName name="HUT6_63x32" localSheetId="12">#REF!</definedName>
    <definedName name="HUT6_63x32" localSheetId="43">#REF!</definedName>
    <definedName name="HUT6_63x32" localSheetId="42">#REF!</definedName>
    <definedName name="HUT6_63x32" localSheetId="27">#REF!</definedName>
    <definedName name="HUT6_63x32" localSheetId="45">#REF!</definedName>
    <definedName name="HUT6_63x32">#REF!</definedName>
    <definedName name="HUT6_63x40" localSheetId="30">#REF!</definedName>
    <definedName name="HUT6_63x40" localSheetId="25">#REF!</definedName>
    <definedName name="HUT6_63x40" localSheetId="28">#REF!</definedName>
    <definedName name="HUT6_63x40" localSheetId="29">#REF!</definedName>
    <definedName name="HUT6_63x40" localSheetId="12">#REF!</definedName>
    <definedName name="HUT6_63x40" localSheetId="43">#REF!</definedName>
    <definedName name="HUT6_63x40" localSheetId="42">#REF!</definedName>
    <definedName name="HUT6_63x40" localSheetId="27">#REF!</definedName>
    <definedName name="HUT6_63x40" localSheetId="45">#REF!</definedName>
    <definedName name="HUT6_63x40">#REF!</definedName>
    <definedName name="HUT6_63x50" localSheetId="30">#REF!</definedName>
    <definedName name="HUT6_63x50" localSheetId="25">#REF!</definedName>
    <definedName name="HUT6_63x50" localSheetId="28">#REF!</definedName>
    <definedName name="HUT6_63x50" localSheetId="29">#REF!</definedName>
    <definedName name="HUT6_63x50" localSheetId="12">#REF!</definedName>
    <definedName name="HUT6_63x50" localSheetId="43">#REF!</definedName>
    <definedName name="HUT6_63x50" localSheetId="42">#REF!</definedName>
    <definedName name="HUT6_63x50" localSheetId="27">#REF!</definedName>
    <definedName name="HUT6_63x50" localSheetId="45">#REF!</definedName>
    <definedName name="HUT6_63x50">#REF!</definedName>
    <definedName name="HUT6_75x32" localSheetId="30">#REF!</definedName>
    <definedName name="HUT6_75x32" localSheetId="25">#REF!</definedName>
    <definedName name="HUT6_75x32" localSheetId="28">#REF!</definedName>
    <definedName name="HUT6_75x32" localSheetId="29">#REF!</definedName>
    <definedName name="HUT6_75x32" localSheetId="12">#REF!</definedName>
    <definedName name="HUT6_75x32" localSheetId="43">#REF!</definedName>
    <definedName name="HUT6_75x32" localSheetId="42">#REF!</definedName>
    <definedName name="HUT6_75x32" localSheetId="27">#REF!</definedName>
    <definedName name="HUT6_75x32" localSheetId="45">#REF!</definedName>
    <definedName name="HUT6_75x32">#REF!</definedName>
    <definedName name="HUT6_75x40" localSheetId="30">#REF!</definedName>
    <definedName name="HUT6_75x40" localSheetId="25">#REF!</definedName>
    <definedName name="HUT6_75x40" localSheetId="28">#REF!</definedName>
    <definedName name="HUT6_75x40" localSheetId="29">#REF!</definedName>
    <definedName name="HUT6_75x40" localSheetId="12">#REF!</definedName>
    <definedName name="HUT6_75x40" localSheetId="43">#REF!</definedName>
    <definedName name="HUT6_75x40" localSheetId="42">#REF!</definedName>
    <definedName name="HUT6_75x40" localSheetId="27">#REF!</definedName>
    <definedName name="HUT6_75x40" localSheetId="45">#REF!</definedName>
    <definedName name="HUT6_75x40">#REF!</definedName>
    <definedName name="HUT6_75x50" localSheetId="30">#REF!</definedName>
    <definedName name="HUT6_75x50" localSheetId="25">#REF!</definedName>
    <definedName name="HUT6_75x50" localSheetId="28">#REF!</definedName>
    <definedName name="HUT6_75x50" localSheetId="29">#REF!</definedName>
    <definedName name="HUT6_75x50" localSheetId="12">#REF!</definedName>
    <definedName name="HUT6_75x50" localSheetId="43">#REF!</definedName>
    <definedName name="HUT6_75x50" localSheetId="42">#REF!</definedName>
    <definedName name="HUT6_75x50" localSheetId="27">#REF!</definedName>
    <definedName name="HUT6_75x50" localSheetId="45">#REF!</definedName>
    <definedName name="HUT6_75x50">#REF!</definedName>
    <definedName name="HUT6_75x63" localSheetId="30">#REF!</definedName>
    <definedName name="HUT6_75x63" localSheetId="25">#REF!</definedName>
    <definedName name="HUT6_75x63" localSheetId="28">#REF!</definedName>
    <definedName name="HUT6_75x63" localSheetId="29">#REF!</definedName>
    <definedName name="HUT6_75x63" localSheetId="12">#REF!</definedName>
    <definedName name="HUT6_75x63" localSheetId="43">#REF!</definedName>
    <definedName name="HUT6_75x63" localSheetId="42">#REF!</definedName>
    <definedName name="HUT6_75x63" localSheetId="27">#REF!</definedName>
    <definedName name="HUT6_75x63" localSheetId="45">#REF!</definedName>
    <definedName name="HUT6_75x63">#REF!</definedName>
    <definedName name="HUT6_90x32" localSheetId="30">#REF!</definedName>
    <definedName name="HUT6_90x32" localSheetId="25">#REF!</definedName>
    <definedName name="HUT6_90x32" localSheetId="28">#REF!</definedName>
    <definedName name="HUT6_90x32" localSheetId="29">#REF!</definedName>
    <definedName name="HUT6_90x32" localSheetId="12">#REF!</definedName>
    <definedName name="HUT6_90x32" localSheetId="43">#REF!</definedName>
    <definedName name="HUT6_90x32" localSheetId="42">#REF!</definedName>
    <definedName name="HUT6_90x32" localSheetId="27">#REF!</definedName>
    <definedName name="HUT6_90x32" localSheetId="45">#REF!</definedName>
    <definedName name="HUT6_90x32">#REF!</definedName>
    <definedName name="HUT6_90x40" localSheetId="30">#REF!</definedName>
    <definedName name="HUT6_90x40" localSheetId="25">#REF!</definedName>
    <definedName name="HUT6_90x40" localSheetId="28">#REF!</definedName>
    <definedName name="HUT6_90x40" localSheetId="29">#REF!</definedName>
    <definedName name="HUT6_90x40" localSheetId="12">#REF!</definedName>
    <definedName name="HUT6_90x40" localSheetId="43">#REF!</definedName>
    <definedName name="HUT6_90x40" localSheetId="42">#REF!</definedName>
    <definedName name="HUT6_90x40" localSheetId="27">#REF!</definedName>
    <definedName name="HUT6_90x40" localSheetId="45">#REF!</definedName>
    <definedName name="HUT6_90x40">#REF!</definedName>
    <definedName name="HUT6_90x50" localSheetId="30">#REF!</definedName>
    <definedName name="HUT6_90x50" localSheetId="25">#REF!</definedName>
    <definedName name="HUT6_90x50" localSheetId="28">#REF!</definedName>
    <definedName name="HUT6_90x50" localSheetId="29">#REF!</definedName>
    <definedName name="HUT6_90x50" localSheetId="12">#REF!</definedName>
    <definedName name="HUT6_90x50" localSheetId="43">#REF!</definedName>
    <definedName name="HUT6_90x50" localSheetId="42">#REF!</definedName>
    <definedName name="HUT6_90x50" localSheetId="27">#REF!</definedName>
    <definedName name="HUT6_90x50" localSheetId="45">#REF!</definedName>
    <definedName name="HUT6_90x50">#REF!</definedName>
    <definedName name="HUT6_90x63" localSheetId="30">#REF!</definedName>
    <definedName name="HUT6_90x63" localSheetId="25">#REF!</definedName>
    <definedName name="HUT6_90x63" localSheetId="28">#REF!</definedName>
    <definedName name="HUT6_90x63" localSheetId="29">#REF!</definedName>
    <definedName name="HUT6_90x63" localSheetId="12">#REF!</definedName>
    <definedName name="HUT6_90x63" localSheetId="43">#REF!</definedName>
    <definedName name="HUT6_90x63" localSheetId="42">#REF!</definedName>
    <definedName name="HUT6_90x63" localSheetId="27">#REF!</definedName>
    <definedName name="HUT6_90x63" localSheetId="45">#REF!</definedName>
    <definedName name="HUT6_90x63">#REF!</definedName>
    <definedName name="HUT6_90x75" localSheetId="30">#REF!</definedName>
    <definedName name="HUT6_90x75" localSheetId="25">#REF!</definedName>
    <definedName name="HUT6_90x75" localSheetId="28">#REF!</definedName>
    <definedName name="HUT6_90x75" localSheetId="29">#REF!</definedName>
    <definedName name="HUT6_90x75" localSheetId="12">#REF!</definedName>
    <definedName name="HUT6_90x75" localSheetId="43">#REF!</definedName>
    <definedName name="HUT6_90x75" localSheetId="42">#REF!</definedName>
    <definedName name="HUT6_90x75" localSheetId="27">#REF!</definedName>
    <definedName name="HUT6_90x75" localSheetId="45">#REF!</definedName>
    <definedName name="HUT6_90x75">#REF!</definedName>
    <definedName name="HWB" localSheetId="30">#REF!</definedName>
    <definedName name="HWB" localSheetId="25">#REF!</definedName>
    <definedName name="HWB" localSheetId="28">#REF!</definedName>
    <definedName name="HWB" localSheetId="29">#REF!</definedName>
    <definedName name="HWB" localSheetId="12">#REF!</definedName>
    <definedName name="HWB" localSheetId="43">#REF!</definedName>
    <definedName name="HWB" localSheetId="42">#REF!</definedName>
    <definedName name="HWB" localSheetId="27">#REF!</definedName>
    <definedName name="HWB" localSheetId="45">#REF!</definedName>
    <definedName name="HWB">#REF!</definedName>
    <definedName name="I" localSheetId="30">#REF!</definedName>
    <definedName name="I" localSheetId="25">#REF!</definedName>
    <definedName name="I" localSheetId="28">#REF!</definedName>
    <definedName name="I" localSheetId="29">#REF!</definedName>
    <definedName name="I" localSheetId="12">#REF!</definedName>
    <definedName name="I" localSheetId="43">#REF!</definedName>
    <definedName name="I" localSheetId="42">#REF!</definedName>
    <definedName name="I" localSheetId="27">#REF!</definedName>
    <definedName name="I" localSheetId="45">#REF!</definedName>
    <definedName name="I">#REF!</definedName>
    <definedName name="IC" localSheetId="30">#REF!</definedName>
    <definedName name="IC" localSheetId="25">#REF!</definedName>
    <definedName name="IC" localSheetId="28">#REF!</definedName>
    <definedName name="IC" localSheetId="29">#REF!</definedName>
    <definedName name="IC" localSheetId="12">#REF!</definedName>
    <definedName name="IC" localSheetId="43">#REF!</definedName>
    <definedName name="IC" localSheetId="42">#REF!</definedName>
    <definedName name="IC" localSheetId="27">#REF!</definedName>
    <definedName name="IC" localSheetId="45">#REF!</definedName>
    <definedName name="IC">#REF!</definedName>
    <definedName name="ID">'[2]Data-Table'!$D$6</definedName>
    <definedName name="int_chb" localSheetId="30">#REF!</definedName>
    <definedName name="int_chb" localSheetId="25">#REF!</definedName>
    <definedName name="int_chb" localSheetId="28">#REF!</definedName>
    <definedName name="int_chb" localSheetId="29">#REF!</definedName>
    <definedName name="int_chb" localSheetId="12">#REF!</definedName>
    <definedName name="int_chb" localSheetId="43">#REF!</definedName>
    <definedName name="int_chb" localSheetId="42">#REF!</definedName>
    <definedName name="int_chb" localSheetId="27">#REF!</definedName>
    <definedName name="int_chb" localSheetId="45">#REF!</definedName>
    <definedName name="int_chb">#REF!</definedName>
    <definedName name="ISA25x25x4">'[22]District Rates'!$E$33</definedName>
    <definedName name="ISA40x6" localSheetId="30" hidden="1">[15]DRates!#REF!</definedName>
    <definedName name="ISA40x6" localSheetId="25" hidden="1">[15]DRates!#REF!</definedName>
    <definedName name="ISA40x6" localSheetId="28" hidden="1">[15]DRates!#REF!</definedName>
    <definedName name="ISA40x6" localSheetId="29" hidden="1">[15]DRates!#REF!</definedName>
    <definedName name="ISA40x6" localSheetId="12" hidden="1">[15]DRates!#REF!</definedName>
    <definedName name="ISA40x6" localSheetId="43" hidden="1">[15]DRates!#REF!</definedName>
    <definedName name="ISA40x6" localSheetId="42" hidden="1">[15]DRates!#REF!</definedName>
    <definedName name="ISA40x6" localSheetId="27" hidden="1">[15]DRates!#REF!</definedName>
    <definedName name="ISA40x6" localSheetId="45" hidden="1">[15]DRates!#REF!</definedName>
    <definedName name="ISA40x6" hidden="1">[15]DRates!#REF!</definedName>
    <definedName name="Item">[27]Codes!$B$4:$D$33</definedName>
    <definedName name="ItemsE" hidden="1">'[41]CONTROL PANEL'!$C$51:$C$118</definedName>
    <definedName name="ItmsPre" hidden="1">'[41]CONTROL PANEL'!$C$51:$C$63</definedName>
    <definedName name="Jhook" localSheetId="30" hidden="1">[15]DRates!#REF!</definedName>
    <definedName name="Jhook" localSheetId="25" hidden="1">[15]DRates!#REF!</definedName>
    <definedName name="Jhook" localSheetId="28" hidden="1">[15]DRates!#REF!</definedName>
    <definedName name="Jhook" localSheetId="29" hidden="1">[15]DRates!#REF!</definedName>
    <definedName name="Jhook" localSheetId="12" hidden="1">[15]DRates!#REF!</definedName>
    <definedName name="Jhook" localSheetId="43" hidden="1">[15]DRates!#REF!</definedName>
    <definedName name="Jhook" localSheetId="42" hidden="1">[15]DRates!#REF!</definedName>
    <definedName name="Jhook" localSheetId="27" hidden="1">[15]DRates!#REF!</definedName>
    <definedName name="Jhook" localSheetId="45" hidden="1">[15]DRates!#REF!</definedName>
    <definedName name="Jhook" hidden="1">[15]DRates!#REF!</definedName>
    <definedName name="Jhooks6in">'[22]District Rates'!$E$35</definedName>
    <definedName name="jphalak">'[14]update Rate'!$E$54</definedName>
    <definedName name="Jute">[5]DR!$D$19</definedName>
    <definedName name="Jwood">'[14]update Rate'!$E$52</definedName>
    <definedName name="Kabja100">'[14]update Rate'!$E$59</definedName>
    <definedName name="kabja75">'[14]update Rate'!$E$60</definedName>
    <definedName name="Kerosene_Lt_M">[23]Transport_Cost_F!$D$30</definedName>
    <definedName name="kila">'[14]update Rate'!$E$55</definedName>
    <definedName name="l" localSheetId="30">#REF!</definedName>
    <definedName name="l" localSheetId="25">#REF!</definedName>
    <definedName name="l" localSheetId="28">#REF!</definedName>
    <definedName name="l" localSheetId="29">#REF!</definedName>
    <definedName name="l" localSheetId="12">#REF!</definedName>
    <definedName name="l" localSheetId="43">#REF!</definedName>
    <definedName name="l" localSheetId="42">#REF!</definedName>
    <definedName name="l" localSheetId="27">#REF!</definedName>
    <definedName name="l" localSheetId="45">#REF!</definedName>
    <definedName name="l">#REF!</definedName>
    <definedName name="L_1" localSheetId="30">#REF!</definedName>
    <definedName name="L_1" localSheetId="25">#REF!</definedName>
    <definedName name="L_1" localSheetId="28">#REF!</definedName>
    <definedName name="L_1" localSheetId="29">#REF!</definedName>
    <definedName name="L_1" localSheetId="12">#REF!</definedName>
    <definedName name="L_1" localSheetId="43">#REF!</definedName>
    <definedName name="L_1" localSheetId="42">#REF!</definedName>
    <definedName name="L_1" localSheetId="27">#REF!</definedName>
    <definedName name="L_1" localSheetId="45">#REF!</definedName>
    <definedName name="L_1">#REF!</definedName>
    <definedName name="L_2" localSheetId="30">#REF!</definedName>
    <definedName name="L_2" localSheetId="25">#REF!</definedName>
    <definedName name="L_2" localSheetId="28">#REF!</definedName>
    <definedName name="L_2" localSheetId="29">#REF!</definedName>
    <definedName name="L_2" localSheetId="12">#REF!</definedName>
    <definedName name="L_2" localSheetId="43">#REF!</definedName>
    <definedName name="L_2" localSheetId="42">#REF!</definedName>
    <definedName name="L_2" localSheetId="27">#REF!</definedName>
    <definedName name="L_2" localSheetId="45">#REF!</definedName>
    <definedName name="L_2">#REF!</definedName>
    <definedName name="L_3" localSheetId="30">#REF!</definedName>
    <definedName name="L_3" localSheetId="25">#REF!</definedName>
    <definedName name="L_3" localSheetId="28">#REF!</definedName>
    <definedName name="L_3" localSheetId="29">#REF!</definedName>
    <definedName name="L_3" localSheetId="12">#REF!</definedName>
    <definedName name="L_3" localSheetId="43">#REF!</definedName>
    <definedName name="L_3" localSheetId="42">#REF!</definedName>
    <definedName name="L_3" localSheetId="27">#REF!</definedName>
    <definedName name="L_3" localSheetId="45">#REF!</definedName>
    <definedName name="L_3">#REF!</definedName>
    <definedName name="Lab" localSheetId="30">#REF!</definedName>
    <definedName name="Lab" localSheetId="25">#REF!</definedName>
    <definedName name="Lab" localSheetId="28">#REF!</definedName>
    <definedName name="Lab" localSheetId="29">#REF!</definedName>
    <definedName name="Lab" localSheetId="12">#REF!</definedName>
    <definedName name="Lab" localSheetId="43">#REF!</definedName>
    <definedName name="Lab" localSheetId="42">#REF!</definedName>
    <definedName name="Lab" localSheetId="27">#REF!</definedName>
    <definedName name="Lab" localSheetId="45">#REF!</definedName>
    <definedName name="Lab">#REF!</definedName>
    <definedName name="LabMat">[27]Codes!$B$43:$F$113</definedName>
    <definedName name="LabMatRate">[27]Rates!$A$7:$E$81</definedName>
    <definedName name="Labour">'[42]Update Descrip'!$F$7,'[42]Update Descrip'!$F$20,'[42]Update Descrip'!$F$32,'[42]Update Descrip'!$F$43,'[42]Update Descrip'!$F$56,'[42]Update Descrip'!$F$68,'[42]Update Descrip'!$F$79,'[42]Update Descrip'!$F$91,'[42]Update Descrip'!$F$103,'[42]Update Descrip'!$F$114</definedName>
    <definedName name="lb" localSheetId="30">#REF!</definedName>
    <definedName name="lb" localSheetId="25">#REF!</definedName>
    <definedName name="lb" localSheetId="28">#REF!</definedName>
    <definedName name="lb" localSheetId="29">#REF!</definedName>
    <definedName name="lb" localSheetId="12">#REF!</definedName>
    <definedName name="lb" localSheetId="43">#REF!</definedName>
    <definedName name="lb" localSheetId="42">#REF!</definedName>
    <definedName name="lb" localSheetId="27">#REF!</definedName>
    <definedName name="lb" localSheetId="45">#REF!</definedName>
    <definedName name="lb">#REF!</definedName>
    <definedName name="LenDL2" hidden="1">[17]PipeDesign!$D$149</definedName>
    <definedName name="LenTL2" hidden="1">[17]PipeDesign!$D$143</definedName>
    <definedName name="level">[43]rates!$E$83</definedName>
    <definedName name="lh" localSheetId="30">#REF!</definedName>
    <definedName name="lh" localSheetId="25">#REF!</definedName>
    <definedName name="lh" localSheetId="28">#REF!</definedName>
    <definedName name="lh" localSheetId="29">#REF!</definedName>
    <definedName name="lh" localSheetId="12">#REF!</definedName>
    <definedName name="lh" localSheetId="43">#REF!</definedName>
    <definedName name="lh" localSheetId="42">#REF!</definedName>
    <definedName name="lh" localSheetId="27">#REF!</definedName>
    <definedName name="lh" localSheetId="45">#REF!</definedName>
    <definedName name="lh">#REF!</definedName>
    <definedName name="LightDriver_L">'[23]Labour Rates_BB'!$E$20</definedName>
    <definedName name="limcount" hidden="1">1</definedName>
    <definedName name="LINE1" localSheetId="30">'[1]Water Demand'!#REF!</definedName>
    <definedName name="LINE1" localSheetId="25">'[1]Water Demand'!#REF!</definedName>
    <definedName name="LINE1" localSheetId="28">'[1]Water Demand'!#REF!</definedName>
    <definedName name="LINE1" localSheetId="29">'[1]Water Demand'!#REF!</definedName>
    <definedName name="LINE1" localSheetId="12">'[1]Water Demand'!#REF!</definedName>
    <definedName name="LINE1" localSheetId="43">'[1]Water Demand'!#REF!</definedName>
    <definedName name="LINE1" localSheetId="42">'[1]Water Demand'!#REF!</definedName>
    <definedName name="LINE1" localSheetId="27">'[1]Water Demand'!#REF!</definedName>
    <definedName name="LINE1" localSheetId="45">'[1]Water Demand'!#REF!</definedName>
    <definedName name="LINE1">'[1]Water Demand'!#REF!</definedName>
    <definedName name="LINE10" localSheetId="30">#REF!</definedName>
    <definedName name="LINE10" localSheetId="25">#REF!</definedName>
    <definedName name="LINE10" localSheetId="28">#REF!</definedName>
    <definedName name="LINE10" localSheetId="29">#REF!</definedName>
    <definedName name="LINE10" localSheetId="12">#REF!</definedName>
    <definedName name="LINE10" localSheetId="43">#REF!</definedName>
    <definedName name="LINE10" localSheetId="42">#REF!</definedName>
    <definedName name="LINE10" localSheetId="27">#REF!</definedName>
    <definedName name="LINE10" localSheetId="45">#REF!</definedName>
    <definedName name="LINE10">#REF!</definedName>
    <definedName name="LINE11" localSheetId="30">#REF!</definedName>
    <definedName name="LINE11" localSheetId="25">#REF!</definedName>
    <definedName name="LINE11" localSheetId="28">#REF!</definedName>
    <definedName name="LINE11" localSheetId="29">#REF!</definedName>
    <definedName name="LINE11" localSheetId="12">#REF!</definedName>
    <definedName name="LINE11" localSheetId="43">#REF!</definedName>
    <definedName name="LINE11" localSheetId="42">#REF!</definedName>
    <definedName name="LINE11" localSheetId="27">#REF!</definedName>
    <definedName name="LINE11" localSheetId="45">#REF!</definedName>
    <definedName name="LINE11">#REF!</definedName>
    <definedName name="LINE12" localSheetId="30">#REF!</definedName>
    <definedName name="LINE12" localSheetId="25">#REF!</definedName>
    <definedName name="LINE12" localSheetId="28">#REF!</definedName>
    <definedName name="LINE12" localSheetId="29">#REF!</definedName>
    <definedName name="LINE12" localSheetId="12">#REF!</definedName>
    <definedName name="LINE12" localSheetId="43">#REF!</definedName>
    <definedName name="LINE12" localSheetId="42">#REF!</definedName>
    <definedName name="LINE12" localSheetId="27">#REF!</definedName>
    <definedName name="LINE12" localSheetId="45">#REF!</definedName>
    <definedName name="LINE12">#REF!</definedName>
    <definedName name="LINE13" localSheetId="30">#REF!</definedName>
    <definedName name="LINE13" localSheetId="25">#REF!</definedName>
    <definedName name="LINE13" localSheetId="28">#REF!</definedName>
    <definedName name="LINE13" localSheetId="29">#REF!</definedName>
    <definedName name="LINE13" localSheetId="12">#REF!</definedName>
    <definedName name="LINE13" localSheetId="43">#REF!</definedName>
    <definedName name="LINE13" localSheetId="42">#REF!</definedName>
    <definedName name="LINE13" localSheetId="27">#REF!</definedName>
    <definedName name="LINE13" localSheetId="45">#REF!</definedName>
    <definedName name="LINE13">#REF!</definedName>
    <definedName name="LINE14" localSheetId="30">#REF!</definedName>
    <definedName name="LINE14" localSheetId="25">#REF!</definedName>
    <definedName name="LINE14" localSheetId="28">#REF!</definedName>
    <definedName name="LINE14" localSheetId="29">#REF!</definedName>
    <definedName name="LINE14" localSheetId="12">#REF!</definedName>
    <definedName name="LINE14" localSheetId="43">#REF!</definedName>
    <definedName name="LINE14" localSheetId="42">#REF!</definedName>
    <definedName name="LINE14" localSheetId="27">#REF!</definedName>
    <definedName name="LINE14" localSheetId="45">#REF!</definedName>
    <definedName name="LINE14">#REF!</definedName>
    <definedName name="LINE15" localSheetId="30">#REF!</definedName>
    <definedName name="LINE15" localSheetId="25">#REF!</definedName>
    <definedName name="LINE15" localSheetId="28">#REF!</definedName>
    <definedName name="LINE15" localSheetId="29">#REF!</definedName>
    <definedName name="LINE15" localSheetId="12">#REF!</definedName>
    <definedName name="LINE15" localSheetId="43">#REF!</definedName>
    <definedName name="LINE15" localSheetId="42">#REF!</definedName>
    <definedName name="LINE15" localSheetId="27">#REF!</definedName>
    <definedName name="LINE15" localSheetId="45">#REF!</definedName>
    <definedName name="LINE15">#REF!</definedName>
    <definedName name="LINE16" localSheetId="30">#REF!</definedName>
    <definedName name="LINE16" localSheetId="25">#REF!</definedName>
    <definedName name="LINE16" localSheetId="28">#REF!</definedName>
    <definedName name="LINE16" localSheetId="29">#REF!</definedName>
    <definedName name="LINE16" localSheetId="12">#REF!</definedName>
    <definedName name="LINE16" localSheetId="43">#REF!</definedName>
    <definedName name="LINE16" localSheetId="42">#REF!</definedName>
    <definedName name="LINE16" localSheetId="27">#REF!</definedName>
    <definedName name="LINE16" localSheetId="45">#REF!</definedName>
    <definedName name="LINE16">#REF!</definedName>
    <definedName name="LINE17" localSheetId="30">#REF!</definedName>
    <definedName name="LINE17" localSheetId="25">#REF!</definedName>
    <definedName name="LINE17" localSheetId="28">#REF!</definedName>
    <definedName name="LINE17" localSheetId="29">#REF!</definedName>
    <definedName name="LINE17" localSheetId="12">#REF!</definedName>
    <definedName name="LINE17" localSheetId="43">#REF!</definedName>
    <definedName name="LINE17" localSheetId="42">#REF!</definedName>
    <definedName name="LINE17" localSheetId="27">#REF!</definedName>
    <definedName name="LINE17" localSheetId="45">#REF!</definedName>
    <definedName name="LINE17">#REF!</definedName>
    <definedName name="LINE18" localSheetId="30">#REF!</definedName>
    <definedName name="LINE18" localSheetId="25">#REF!</definedName>
    <definedName name="LINE18" localSheetId="28">#REF!</definedName>
    <definedName name="LINE18" localSheetId="29">#REF!</definedName>
    <definedName name="LINE18" localSheetId="12">#REF!</definedName>
    <definedName name="LINE18" localSheetId="43">#REF!</definedName>
    <definedName name="LINE18" localSheetId="42">#REF!</definedName>
    <definedName name="LINE18" localSheetId="27">#REF!</definedName>
    <definedName name="LINE18" localSheetId="45">#REF!</definedName>
    <definedName name="LINE18">#REF!</definedName>
    <definedName name="LINE19" localSheetId="30">#REF!</definedName>
    <definedName name="LINE19" localSheetId="25">#REF!</definedName>
    <definedName name="LINE19" localSheetId="28">#REF!</definedName>
    <definedName name="LINE19" localSheetId="29">#REF!</definedName>
    <definedName name="LINE19" localSheetId="12">#REF!</definedName>
    <definedName name="LINE19" localSheetId="43">#REF!</definedName>
    <definedName name="LINE19" localSheetId="42">#REF!</definedName>
    <definedName name="LINE19" localSheetId="27">#REF!</definedName>
    <definedName name="LINE19" localSheetId="45">#REF!</definedName>
    <definedName name="LINE19">#REF!</definedName>
    <definedName name="line1err" localSheetId="30">'[1]Water Demand'!#REF!</definedName>
    <definedName name="line1err" localSheetId="25">'[1]Water Demand'!#REF!</definedName>
    <definedName name="line1err" localSheetId="28">'[1]Water Demand'!#REF!</definedName>
    <definedName name="line1err" localSheetId="29">'[1]Water Demand'!#REF!</definedName>
    <definedName name="line1err" localSheetId="12">'[1]Water Demand'!#REF!</definedName>
    <definedName name="line1err" localSheetId="43">'[1]Water Demand'!#REF!</definedName>
    <definedName name="line1err" localSheetId="42">'[1]Water Demand'!#REF!</definedName>
    <definedName name="line1err" localSheetId="27">'[1]Water Demand'!#REF!</definedName>
    <definedName name="line1err" localSheetId="45">'[1]Water Demand'!#REF!</definedName>
    <definedName name="line1err">'[1]Water Demand'!#REF!</definedName>
    <definedName name="LINE2" localSheetId="30">#REF!</definedName>
    <definedName name="LINE2" localSheetId="25">#REF!</definedName>
    <definedName name="LINE2" localSheetId="28">#REF!</definedName>
    <definedName name="LINE2" localSheetId="29">#REF!</definedName>
    <definedName name="LINE2" localSheetId="12">#REF!</definedName>
    <definedName name="LINE2" localSheetId="43">#REF!</definedName>
    <definedName name="LINE2" localSheetId="42">#REF!</definedName>
    <definedName name="LINE2" localSheetId="27">#REF!</definedName>
    <definedName name="LINE2" localSheetId="45">#REF!</definedName>
    <definedName name="LINE2">#REF!</definedName>
    <definedName name="LINE20" localSheetId="30">#REF!</definedName>
    <definedName name="LINE20" localSheetId="25">#REF!</definedName>
    <definedName name="LINE20" localSheetId="28">#REF!</definedName>
    <definedName name="LINE20" localSheetId="29">#REF!</definedName>
    <definedName name="LINE20" localSheetId="12">#REF!</definedName>
    <definedName name="LINE20" localSheetId="43">#REF!</definedName>
    <definedName name="LINE20" localSheetId="42">#REF!</definedName>
    <definedName name="LINE20" localSheetId="27">#REF!</definedName>
    <definedName name="LINE20" localSheetId="45">#REF!</definedName>
    <definedName name="LINE20">#REF!</definedName>
    <definedName name="LINE21" localSheetId="30">#REF!</definedName>
    <definedName name="LINE21" localSheetId="25">#REF!</definedName>
    <definedName name="LINE21" localSheetId="28">#REF!</definedName>
    <definedName name="LINE21" localSheetId="29">#REF!</definedName>
    <definedName name="LINE21" localSheetId="12">#REF!</definedName>
    <definedName name="LINE21" localSheetId="43">#REF!</definedName>
    <definedName name="LINE21" localSheetId="42">#REF!</definedName>
    <definedName name="LINE21" localSheetId="27">#REF!</definedName>
    <definedName name="LINE21" localSheetId="45">#REF!</definedName>
    <definedName name="LINE21">#REF!</definedName>
    <definedName name="LINE22" localSheetId="30">#REF!</definedName>
    <definedName name="LINE22" localSheetId="25">#REF!</definedName>
    <definedName name="LINE22" localSheetId="28">#REF!</definedName>
    <definedName name="LINE22" localSheetId="29">#REF!</definedName>
    <definedName name="LINE22" localSheetId="12">#REF!</definedName>
    <definedName name="LINE22" localSheetId="43">#REF!</definedName>
    <definedName name="LINE22" localSheetId="42">#REF!</definedName>
    <definedName name="LINE22" localSheetId="27">#REF!</definedName>
    <definedName name="LINE22" localSheetId="45">#REF!</definedName>
    <definedName name="LINE22">#REF!</definedName>
    <definedName name="LINE23" localSheetId="30">#REF!</definedName>
    <definedName name="LINE23" localSheetId="25">#REF!</definedName>
    <definedName name="LINE23" localSheetId="28">#REF!</definedName>
    <definedName name="LINE23" localSheetId="29">#REF!</definedName>
    <definedName name="LINE23" localSheetId="12">#REF!</definedName>
    <definedName name="LINE23" localSheetId="43">#REF!</definedName>
    <definedName name="LINE23" localSheetId="42">#REF!</definedName>
    <definedName name="LINE23" localSheetId="27">#REF!</definedName>
    <definedName name="LINE23" localSheetId="45">#REF!</definedName>
    <definedName name="LINE23">#REF!</definedName>
    <definedName name="LINE24" localSheetId="30">#REF!</definedName>
    <definedName name="LINE24" localSheetId="25">#REF!</definedName>
    <definedName name="LINE24" localSheetId="28">#REF!</definedName>
    <definedName name="LINE24" localSheetId="29">#REF!</definedName>
    <definedName name="LINE24" localSheetId="12">#REF!</definedName>
    <definedName name="LINE24" localSheetId="43">#REF!</definedName>
    <definedName name="LINE24" localSheetId="42">#REF!</definedName>
    <definedName name="LINE24" localSheetId="27">#REF!</definedName>
    <definedName name="LINE24" localSheetId="45">#REF!</definedName>
    <definedName name="LINE24">#REF!</definedName>
    <definedName name="LINE25" localSheetId="30">#REF!</definedName>
    <definedName name="LINE25" localSheetId="25">#REF!</definedName>
    <definedName name="LINE25" localSheetId="28">#REF!</definedName>
    <definedName name="LINE25" localSheetId="29">#REF!</definedName>
    <definedName name="LINE25" localSheetId="12">#REF!</definedName>
    <definedName name="LINE25" localSheetId="43">#REF!</definedName>
    <definedName name="LINE25" localSheetId="42">#REF!</definedName>
    <definedName name="LINE25" localSheetId="27">#REF!</definedName>
    <definedName name="LINE25" localSheetId="45">#REF!</definedName>
    <definedName name="LINE25">#REF!</definedName>
    <definedName name="LINE26" localSheetId="30">#REF!</definedName>
    <definedName name="LINE26" localSheetId="25">#REF!</definedName>
    <definedName name="LINE26" localSheetId="28">#REF!</definedName>
    <definedName name="LINE26" localSheetId="29">#REF!</definedName>
    <definedName name="LINE26" localSheetId="12">#REF!</definedName>
    <definedName name="LINE26" localSheetId="43">#REF!</definedName>
    <definedName name="LINE26" localSheetId="42">#REF!</definedName>
    <definedName name="LINE26" localSheetId="27">#REF!</definedName>
    <definedName name="LINE26" localSheetId="45">#REF!</definedName>
    <definedName name="LINE26">#REF!</definedName>
    <definedName name="LINE27" localSheetId="30">#REF!</definedName>
    <definedName name="LINE27" localSheetId="25">#REF!</definedName>
    <definedName name="LINE27" localSheetId="28">#REF!</definedName>
    <definedName name="LINE27" localSheetId="29">#REF!</definedName>
    <definedName name="LINE27" localSheetId="12">#REF!</definedName>
    <definedName name="LINE27" localSheetId="43">#REF!</definedName>
    <definedName name="LINE27" localSheetId="42">#REF!</definedName>
    <definedName name="LINE27" localSheetId="27">#REF!</definedName>
    <definedName name="LINE27" localSheetId="45">#REF!</definedName>
    <definedName name="LINE27">#REF!</definedName>
    <definedName name="LINE28" localSheetId="30">#REF!</definedName>
    <definedName name="LINE28" localSheetId="25">#REF!</definedName>
    <definedName name="LINE28" localSheetId="28">#REF!</definedName>
    <definedName name="LINE28" localSheetId="29">#REF!</definedName>
    <definedName name="LINE28" localSheetId="12">#REF!</definedName>
    <definedName name="LINE28" localSheetId="43">#REF!</definedName>
    <definedName name="LINE28" localSheetId="42">#REF!</definedName>
    <definedName name="LINE28" localSheetId="27">#REF!</definedName>
    <definedName name="LINE28" localSheetId="45">#REF!</definedName>
    <definedName name="LINE28">#REF!</definedName>
    <definedName name="LINE29" localSheetId="30">#REF!</definedName>
    <definedName name="LINE29" localSheetId="25">#REF!</definedName>
    <definedName name="LINE29" localSheetId="28">#REF!</definedName>
    <definedName name="LINE29" localSheetId="29">#REF!</definedName>
    <definedName name="LINE29" localSheetId="12">#REF!</definedName>
    <definedName name="LINE29" localSheetId="43">#REF!</definedName>
    <definedName name="LINE29" localSheetId="42">#REF!</definedName>
    <definedName name="LINE29" localSheetId="27">#REF!</definedName>
    <definedName name="LINE29" localSheetId="45">#REF!</definedName>
    <definedName name="LINE29">#REF!</definedName>
    <definedName name="LINE3" localSheetId="30">'[1]Water Demand'!#REF!</definedName>
    <definedName name="LINE3" localSheetId="25">'[1]Water Demand'!#REF!</definedName>
    <definedName name="LINE3" localSheetId="28">'[1]Water Demand'!#REF!</definedName>
    <definedName name="LINE3" localSheetId="29">'[1]Water Demand'!#REF!</definedName>
    <definedName name="LINE3" localSheetId="12">'[1]Water Demand'!#REF!</definedName>
    <definedName name="LINE3" localSheetId="43">'[1]Water Demand'!#REF!</definedName>
    <definedName name="LINE3" localSheetId="42">'[1]Water Demand'!#REF!</definedName>
    <definedName name="LINE3" localSheetId="27">'[1]Water Demand'!#REF!</definedName>
    <definedName name="LINE3" localSheetId="45">'[1]Water Demand'!#REF!</definedName>
    <definedName name="LINE3">'[1]Water Demand'!#REF!</definedName>
    <definedName name="LINE30" localSheetId="30">#REF!</definedName>
    <definedName name="LINE30" localSheetId="25">#REF!</definedName>
    <definedName name="LINE30" localSheetId="28">#REF!</definedName>
    <definedName name="LINE30" localSheetId="29">#REF!</definedName>
    <definedName name="LINE30" localSheetId="12">#REF!</definedName>
    <definedName name="LINE30" localSheetId="43">#REF!</definedName>
    <definedName name="LINE30" localSheetId="42">#REF!</definedName>
    <definedName name="LINE30" localSheetId="27">#REF!</definedName>
    <definedName name="LINE30" localSheetId="45">#REF!</definedName>
    <definedName name="LINE30">#REF!</definedName>
    <definedName name="LINE31" localSheetId="30">#REF!</definedName>
    <definedName name="LINE31" localSheetId="25">#REF!</definedName>
    <definedName name="LINE31" localSheetId="28">#REF!</definedName>
    <definedName name="LINE31" localSheetId="29">#REF!</definedName>
    <definedName name="LINE31" localSheetId="12">#REF!</definedName>
    <definedName name="LINE31" localSheetId="43">#REF!</definedName>
    <definedName name="LINE31" localSheetId="42">#REF!</definedName>
    <definedName name="LINE31" localSheetId="27">#REF!</definedName>
    <definedName name="LINE31" localSheetId="45">#REF!</definedName>
    <definedName name="LINE31">#REF!</definedName>
    <definedName name="LINE32" localSheetId="30">#REF!</definedName>
    <definedName name="LINE32" localSheetId="25">#REF!</definedName>
    <definedName name="LINE32" localSheetId="28">#REF!</definedName>
    <definedName name="LINE32" localSheetId="29">#REF!</definedName>
    <definedName name="LINE32" localSheetId="12">#REF!</definedName>
    <definedName name="LINE32" localSheetId="43">#REF!</definedName>
    <definedName name="LINE32" localSheetId="42">#REF!</definedName>
    <definedName name="LINE32" localSheetId="27">#REF!</definedName>
    <definedName name="LINE32" localSheetId="45">#REF!</definedName>
    <definedName name="LINE32">#REF!</definedName>
    <definedName name="LINE33" localSheetId="30">#REF!</definedName>
    <definedName name="LINE33" localSheetId="25">#REF!</definedName>
    <definedName name="LINE33" localSheetId="28">#REF!</definedName>
    <definedName name="LINE33" localSheetId="29">#REF!</definedName>
    <definedName name="LINE33" localSheetId="12">#REF!</definedName>
    <definedName name="LINE33" localSheetId="43">#REF!</definedName>
    <definedName name="LINE33" localSheetId="42">#REF!</definedName>
    <definedName name="LINE33" localSheetId="27">#REF!</definedName>
    <definedName name="LINE33" localSheetId="45">#REF!</definedName>
    <definedName name="LINE33">#REF!</definedName>
    <definedName name="LINE34" localSheetId="30">#REF!</definedName>
    <definedName name="LINE34" localSheetId="25">#REF!</definedName>
    <definedName name="LINE34" localSheetId="28">#REF!</definedName>
    <definedName name="LINE34" localSheetId="29">#REF!</definedName>
    <definedName name="LINE34" localSheetId="12">#REF!</definedName>
    <definedName name="LINE34" localSheetId="43">#REF!</definedName>
    <definedName name="LINE34" localSheetId="42">#REF!</definedName>
    <definedName name="LINE34" localSheetId="27">#REF!</definedName>
    <definedName name="LINE34" localSheetId="45">#REF!</definedName>
    <definedName name="LINE34">#REF!</definedName>
    <definedName name="LINE35" localSheetId="30">#REF!</definedName>
    <definedName name="LINE35" localSheetId="25">#REF!</definedName>
    <definedName name="LINE35" localSheetId="28">#REF!</definedName>
    <definedName name="LINE35" localSheetId="29">#REF!</definedName>
    <definedName name="LINE35" localSheetId="12">#REF!</definedName>
    <definedName name="LINE35" localSheetId="43">#REF!</definedName>
    <definedName name="LINE35" localSheetId="42">#REF!</definedName>
    <definedName name="LINE35" localSheetId="27">#REF!</definedName>
    <definedName name="LINE35" localSheetId="45">#REF!</definedName>
    <definedName name="LINE35">#REF!</definedName>
    <definedName name="LINE36" localSheetId="30">#REF!</definedName>
    <definedName name="LINE36" localSheetId="25">#REF!</definedName>
    <definedName name="LINE36" localSheetId="28">#REF!</definedName>
    <definedName name="LINE36" localSheetId="29">#REF!</definedName>
    <definedName name="LINE36" localSheetId="12">#REF!</definedName>
    <definedName name="LINE36" localSheetId="43">#REF!</definedName>
    <definedName name="LINE36" localSheetId="42">#REF!</definedName>
    <definedName name="LINE36" localSheetId="27">#REF!</definedName>
    <definedName name="LINE36" localSheetId="45">#REF!</definedName>
    <definedName name="LINE36">#REF!</definedName>
    <definedName name="LINE37" localSheetId="30">#REF!</definedName>
    <definedName name="LINE37" localSheetId="25">#REF!</definedName>
    <definedName name="LINE37" localSheetId="28">#REF!</definedName>
    <definedName name="LINE37" localSheetId="29">#REF!</definedName>
    <definedName name="LINE37" localSheetId="12">#REF!</definedName>
    <definedName name="LINE37" localSheetId="43">#REF!</definedName>
    <definedName name="LINE37" localSheetId="42">#REF!</definedName>
    <definedName name="LINE37" localSheetId="27">#REF!</definedName>
    <definedName name="LINE37" localSheetId="45">#REF!</definedName>
    <definedName name="LINE37">#REF!</definedName>
    <definedName name="LINE38" localSheetId="30">#REF!</definedName>
    <definedName name="LINE38" localSheetId="25">#REF!</definedName>
    <definedName name="LINE38" localSheetId="28">#REF!</definedName>
    <definedName name="LINE38" localSheetId="29">#REF!</definedName>
    <definedName name="LINE38" localSheetId="12">#REF!</definedName>
    <definedName name="LINE38" localSheetId="43">#REF!</definedName>
    <definedName name="LINE38" localSheetId="42">#REF!</definedName>
    <definedName name="LINE38" localSheetId="27">#REF!</definedName>
    <definedName name="LINE38" localSheetId="45">#REF!</definedName>
    <definedName name="LINE38">#REF!</definedName>
    <definedName name="LINE39" localSheetId="30">#REF!</definedName>
    <definedName name="LINE39" localSheetId="25">#REF!</definedName>
    <definedName name="LINE39" localSheetId="28">#REF!</definedName>
    <definedName name="LINE39" localSheetId="29">#REF!</definedName>
    <definedName name="LINE39" localSheetId="12">#REF!</definedName>
    <definedName name="LINE39" localSheetId="43">#REF!</definedName>
    <definedName name="LINE39" localSheetId="42">#REF!</definedName>
    <definedName name="LINE39" localSheetId="27">#REF!</definedName>
    <definedName name="LINE39" localSheetId="45">#REF!</definedName>
    <definedName name="LINE39">#REF!</definedName>
    <definedName name="LINE4" localSheetId="30">'[1]Water Demand'!#REF!</definedName>
    <definedName name="LINE4" localSheetId="25">'[1]Water Demand'!#REF!</definedName>
    <definedName name="LINE4" localSheetId="28">'[1]Water Demand'!#REF!</definedName>
    <definedName name="LINE4" localSheetId="29">'[1]Water Demand'!#REF!</definedName>
    <definedName name="LINE4" localSheetId="12">'[1]Water Demand'!#REF!</definedName>
    <definedName name="LINE4" localSheetId="43">'[1]Water Demand'!#REF!</definedName>
    <definedName name="LINE4" localSheetId="42">'[1]Water Demand'!#REF!</definedName>
    <definedName name="LINE4" localSheetId="27">'[1]Water Demand'!#REF!</definedName>
    <definedName name="LINE4" localSheetId="45">'[1]Water Demand'!#REF!</definedName>
    <definedName name="LINE4">'[1]Water Demand'!#REF!</definedName>
    <definedName name="LINE40" localSheetId="30">#REF!</definedName>
    <definedName name="LINE40" localSheetId="25">#REF!</definedName>
    <definedName name="LINE40" localSheetId="28">#REF!</definedName>
    <definedName name="LINE40" localSheetId="29">#REF!</definedName>
    <definedName name="LINE40" localSheetId="12">#REF!</definedName>
    <definedName name="LINE40" localSheetId="43">#REF!</definedName>
    <definedName name="LINE40" localSheetId="42">#REF!</definedName>
    <definedName name="LINE40" localSheetId="27">#REF!</definedName>
    <definedName name="LINE40" localSheetId="45">#REF!</definedName>
    <definedName name="LINE40">#REF!</definedName>
    <definedName name="LINE41" localSheetId="30">#REF!</definedName>
    <definedName name="LINE41" localSheetId="25">#REF!</definedName>
    <definedName name="LINE41" localSheetId="28">#REF!</definedName>
    <definedName name="LINE41" localSheetId="29">#REF!</definedName>
    <definedName name="LINE41" localSheetId="12">#REF!</definedName>
    <definedName name="LINE41" localSheetId="43">#REF!</definedName>
    <definedName name="LINE41" localSheetId="42">#REF!</definedName>
    <definedName name="LINE41" localSheetId="27">#REF!</definedName>
    <definedName name="LINE41" localSheetId="45">#REF!</definedName>
    <definedName name="LINE41">#REF!</definedName>
    <definedName name="LINE42" localSheetId="30">#REF!</definedName>
    <definedName name="LINE42" localSheetId="25">#REF!</definedName>
    <definedName name="LINE42" localSheetId="28">#REF!</definedName>
    <definedName name="LINE42" localSheetId="29">#REF!</definedName>
    <definedName name="LINE42" localSheetId="12">#REF!</definedName>
    <definedName name="LINE42" localSheetId="43">#REF!</definedName>
    <definedName name="LINE42" localSheetId="42">#REF!</definedName>
    <definedName name="LINE42" localSheetId="27">#REF!</definedName>
    <definedName name="LINE42" localSheetId="45">#REF!</definedName>
    <definedName name="LINE42">#REF!</definedName>
    <definedName name="LINE43" localSheetId="30">#REF!</definedName>
    <definedName name="LINE43" localSheetId="25">#REF!</definedName>
    <definedName name="LINE43" localSheetId="28">#REF!</definedName>
    <definedName name="LINE43" localSheetId="29">#REF!</definedName>
    <definedName name="LINE43" localSheetId="12">#REF!</definedName>
    <definedName name="LINE43" localSheetId="43">#REF!</definedName>
    <definedName name="LINE43" localSheetId="42">#REF!</definedName>
    <definedName name="LINE43" localSheetId="27">#REF!</definedName>
    <definedName name="LINE43" localSheetId="45">#REF!</definedName>
    <definedName name="LINE43">#REF!</definedName>
    <definedName name="LINE44" localSheetId="30">#REF!</definedName>
    <definedName name="LINE44" localSheetId="25">#REF!</definedName>
    <definedName name="LINE44" localSheetId="28">#REF!</definedName>
    <definedName name="LINE44" localSheetId="29">#REF!</definedName>
    <definedName name="LINE44" localSheetId="12">#REF!</definedName>
    <definedName name="LINE44" localSheetId="43">#REF!</definedName>
    <definedName name="LINE44" localSheetId="42">#REF!</definedName>
    <definedName name="LINE44" localSheetId="27">#REF!</definedName>
    <definedName name="LINE44" localSheetId="45">#REF!</definedName>
    <definedName name="LINE44">#REF!</definedName>
    <definedName name="LINE45" localSheetId="30">#REF!</definedName>
    <definedName name="LINE45" localSheetId="25">#REF!</definedName>
    <definedName name="LINE45" localSheetId="28">#REF!</definedName>
    <definedName name="LINE45" localSheetId="29">#REF!</definedName>
    <definedName name="LINE45" localSheetId="12">#REF!</definedName>
    <definedName name="LINE45" localSheetId="43">#REF!</definedName>
    <definedName name="LINE45" localSheetId="42">#REF!</definedName>
    <definedName name="LINE45" localSheetId="27">#REF!</definedName>
    <definedName name="LINE45" localSheetId="45">#REF!</definedName>
    <definedName name="LINE45">#REF!</definedName>
    <definedName name="LINE46" localSheetId="30">#REF!</definedName>
    <definedName name="LINE46" localSheetId="25">#REF!</definedName>
    <definedName name="LINE46" localSheetId="28">#REF!</definedName>
    <definedName name="LINE46" localSheetId="29">#REF!</definedName>
    <definedName name="LINE46" localSheetId="12">#REF!</definedName>
    <definedName name="LINE46" localSheetId="43">#REF!</definedName>
    <definedName name="LINE46" localSheetId="42">#REF!</definedName>
    <definedName name="LINE46" localSheetId="27">#REF!</definedName>
    <definedName name="LINE46" localSheetId="45">#REF!</definedName>
    <definedName name="LINE46">#REF!</definedName>
    <definedName name="LINE47" localSheetId="30">#REF!</definedName>
    <definedName name="LINE47" localSheetId="25">#REF!</definedName>
    <definedName name="LINE47" localSheetId="28">#REF!</definedName>
    <definedName name="LINE47" localSheetId="29">#REF!</definedName>
    <definedName name="LINE47" localSheetId="12">#REF!</definedName>
    <definedName name="LINE47" localSheetId="43">#REF!</definedName>
    <definedName name="LINE47" localSheetId="42">#REF!</definedName>
    <definedName name="LINE47" localSheetId="27">#REF!</definedName>
    <definedName name="LINE47" localSheetId="45">#REF!</definedName>
    <definedName name="LINE47">#REF!</definedName>
    <definedName name="LINE48" localSheetId="30">#REF!</definedName>
    <definedName name="LINE48" localSheetId="25">#REF!</definedName>
    <definedName name="LINE48" localSheetId="28">#REF!</definedName>
    <definedName name="LINE48" localSheetId="29">#REF!</definedName>
    <definedName name="LINE48" localSheetId="12">#REF!</definedName>
    <definedName name="LINE48" localSheetId="43">#REF!</definedName>
    <definedName name="LINE48" localSheetId="42">#REF!</definedName>
    <definedName name="LINE48" localSheetId="27">#REF!</definedName>
    <definedName name="LINE48" localSheetId="45">#REF!</definedName>
    <definedName name="LINE48">#REF!</definedName>
    <definedName name="LINE49" localSheetId="30">#REF!</definedName>
    <definedName name="LINE49" localSheetId="25">#REF!</definedName>
    <definedName name="LINE49" localSheetId="28">#REF!</definedName>
    <definedName name="LINE49" localSheetId="29">#REF!</definedName>
    <definedName name="LINE49" localSheetId="12">#REF!</definedName>
    <definedName name="LINE49" localSheetId="43">#REF!</definedName>
    <definedName name="LINE49" localSheetId="42">#REF!</definedName>
    <definedName name="LINE49" localSheetId="27">#REF!</definedName>
    <definedName name="LINE49" localSheetId="45">#REF!</definedName>
    <definedName name="LINE49">#REF!</definedName>
    <definedName name="LINE5" localSheetId="30">'[1]Water Demand'!#REF!</definedName>
    <definedName name="LINE5" localSheetId="25">'[1]Water Demand'!#REF!</definedName>
    <definedName name="LINE5" localSheetId="28">'[1]Water Demand'!#REF!</definedName>
    <definedName name="LINE5" localSheetId="29">'[1]Water Demand'!#REF!</definedName>
    <definedName name="LINE5" localSheetId="12">'[1]Water Demand'!#REF!</definedName>
    <definedName name="LINE5" localSheetId="43">'[1]Water Demand'!#REF!</definedName>
    <definedName name="LINE5" localSheetId="42">'[1]Water Demand'!#REF!</definedName>
    <definedName name="LINE5" localSheetId="27">'[1]Water Demand'!#REF!</definedName>
    <definedName name="LINE5" localSheetId="45">'[1]Water Demand'!#REF!</definedName>
    <definedName name="LINE5">'[1]Water Demand'!#REF!</definedName>
    <definedName name="LINE50" localSheetId="30">#REF!</definedName>
    <definedName name="LINE50" localSheetId="25">#REF!</definedName>
    <definedName name="LINE50" localSheetId="28">#REF!</definedName>
    <definedName name="LINE50" localSheetId="29">#REF!</definedName>
    <definedName name="LINE50" localSheetId="12">#REF!</definedName>
    <definedName name="LINE50" localSheetId="43">#REF!</definedName>
    <definedName name="LINE50" localSheetId="42">#REF!</definedName>
    <definedName name="LINE50" localSheetId="27">#REF!</definedName>
    <definedName name="LINE50" localSheetId="45">#REF!</definedName>
    <definedName name="LINE50">#REF!</definedName>
    <definedName name="line5err" localSheetId="30">'[1]Water Demand'!#REF!</definedName>
    <definedName name="line5err" localSheetId="25">'[1]Water Demand'!#REF!</definedName>
    <definedName name="line5err" localSheetId="28">'[1]Water Demand'!#REF!</definedName>
    <definedName name="line5err" localSheetId="29">'[1]Water Demand'!#REF!</definedName>
    <definedName name="line5err" localSheetId="12">'[1]Water Demand'!#REF!</definedName>
    <definedName name="line5err" localSheetId="43">'[1]Water Demand'!#REF!</definedName>
    <definedName name="line5err" localSheetId="42">'[1]Water Demand'!#REF!</definedName>
    <definedName name="line5err" localSheetId="27">'[1]Water Demand'!#REF!</definedName>
    <definedName name="line5err" localSheetId="45">'[1]Water Demand'!#REF!</definedName>
    <definedName name="line5err">'[1]Water Demand'!#REF!</definedName>
    <definedName name="LINE6" localSheetId="30">'[1]Water Demand'!#REF!</definedName>
    <definedName name="LINE6" localSheetId="25">'[1]Water Demand'!#REF!</definedName>
    <definedName name="LINE6" localSheetId="28">'[1]Water Demand'!#REF!</definedName>
    <definedName name="LINE6" localSheetId="29">'[1]Water Demand'!#REF!</definedName>
    <definedName name="LINE6" localSheetId="12">'[1]Water Demand'!#REF!</definedName>
    <definedName name="LINE6" localSheetId="43">'[1]Water Demand'!#REF!</definedName>
    <definedName name="LINE6" localSheetId="42">'[1]Water Demand'!#REF!</definedName>
    <definedName name="LINE6" localSheetId="27">'[1]Water Demand'!#REF!</definedName>
    <definedName name="LINE6" localSheetId="45">'[1]Water Demand'!#REF!</definedName>
    <definedName name="LINE6">'[1]Water Demand'!#REF!</definedName>
    <definedName name="LINE7" localSheetId="30">#REF!</definedName>
    <definedName name="LINE7" localSheetId="25">#REF!</definedName>
    <definedName name="LINE7" localSheetId="28">#REF!</definedName>
    <definedName name="LINE7" localSheetId="29">#REF!</definedName>
    <definedName name="LINE7" localSheetId="12">#REF!</definedName>
    <definedName name="LINE7" localSheetId="43">#REF!</definedName>
    <definedName name="LINE7" localSheetId="42">#REF!</definedName>
    <definedName name="LINE7" localSheetId="27">#REF!</definedName>
    <definedName name="LINE7" localSheetId="45">#REF!</definedName>
    <definedName name="LINE7">#REF!</definedName>
    <definedName name="LINE8" localSheetId="30">#REF!</definedName>
    <definedName name="LINE8" localSheetId="25">#REF!</definedName>
    <definedName name="LINE8" localSheetId="28">#REF!</definedName>
    <definedName name="LINE8" localSheetId="29">#REF!</definedName>
    <definedName name="LINE8" localSheetId="12">#REF!</definedName>
    <definedName name="LINE8" localSheetId="43">#REF!</definedName>
    <definedName name="LINE8" localSheetId="42">#REF!</definedName>
    <definedName name="LINE8" localSheetId="27">#REF!</definedName>
    <definedName name="LINE8" localSheetId="45">#REF!</definedName>
    <definedName name="LINE8">#REF!</definedName>
    <definedName name="LINE9" localSheetId="30">#REF!</definedName>
    <definedName name="LINE9" localSheetId="25">#REF!</definedName>
    <definedName name="LINE9" localSheetId="28">#REF!</definedName>
    <definedName name="LINE9" localSheetId="29">#REF!</definedName>
    <definedName name="LINE9" localSheetId="12">#REF!</definedName>
    <definedName name="LINE9" localSheetId="43">#REF!</definedName>
    <definedName name="LINE9" localSheetId="42">#REF!</definedName>
    <definedName name="LINE9" localSheetId="27">#REF!</definedName>
    <definedName name="LINE9" localSheetId="45">#REF!</definedName>
    <definedName name="LINE9">#REF!</definedName>
    <definedName name="Livepegs_no_m">[21]Transport_Cost_F!$D$72</definedName>
    <definedName name="ll" localSheetId="30">#REF!</definedName>
    <definedName name="ll" localSheetId="25">#REF!</definedName>
    <definedName name="ll" localSheetId="28">#REF!</definedName>
    <definedName name="ll" localSheetId="29">#REF!</definedName>
    <definedName name="ll" localSheetId="12">#REF!</definedName>
    <definedName name="ll" localSheetId="43">#REF!</definedName>
    <definedName name="ll" localSheetId="42">#REF!</definedName>
    <definedName name="ll" localSheetId="27">#REF!</definedName>
    <definedName name="ll" localSheetId="45">#REF!</definedName>
    <definedName name="ll">#REF!</definedName>
    <definedName name="ln19err" localSheetId="30">'[1]Water Demand'!#REF!</definedName>
    <definedName name="ln19err" localSheetId="25">'[1]Water Demand'!#REF!</definedName>
    <definedName name="ln19err" localSheetId="28">'[1]Water Demand'!#REF!</definedName>
    <definedName name="ln19err" localSheetId="29">'[1]Water Demand'!#REF!</definedName>
    <definedName name="ln19err" localSheetId="12">'[1]Water Demand'!#REF!</definedName>
    <definedName name="ln19err" localSheetId="43">'[1]Water Demand'!#REF!</definedName>
    <definedName name="ln19err" localSheetId="42">'[1]Water Demand'!#REF!</definedName>
    <definedName name="ln19err" localSheetId="27">'[1]Water Demand'!#REF!</definedName>
    <definedName name="ln19err" localSheetId="45">'[1]Water Demand'!#REF!</definedName>
    <definedName name="ln19err">'[1]Water Demand'!#REF!</definedName>
    <definedName name="ln1err" localSheetId="30">'[1]Water Demand'!#REF!</definedName>
    <definedName name="ln1err" localSheetId="25">'[1]Water Demand'!#REF!</definedName>
    <definedName name="ln1err" localSheetId="28">'[1]Water Demand'!#REF!</definedName>
    <definedName name="ln1err" localSheetId="29">'[1]Water Demand'!#REF!</definedName>
    <definedName name="ln1err" localSheetId="12">'[1]Water Demand'!#REF!</definedName>
    <definedName name="ln1err" localSheetId="43">'[1]Water Demand'!#REF!</definedName>
    <definedName name="ln1err" localSheetId="42">'[1]Water Demand'!#REF!</definedName>
    <definedName name="ln1err" localSheetId="27">'[1]Water Demand'!#REF!</definedName>
    <definedName name="ln1err" localSheetId="45">'[1]Water Demand'!#REF!</definedName>
    <definedName name="ln1err">'[1]Water Demand'!#REF!</definedName>
    <definedName name="ln23err" localSheetId="30">'[1]Water Demand'!#REF!</definedName>
    <definedName name="ln23err" localSheetId="25">'[1]Water Demand'!#REF!</definedName>
    <definedName name="ln23err" localSheetId="28">'[1]Water Demand'!#REF!</definedName>
    <definedName name="ln23err" localSheetId="29">'[1]Water Demand'!#REF!</definedName>
    <definedName name="ln23err" localSheetId="12">'[1]Water Demand'!#REF!</definedName>
    <definedName name="ln23err" localSheetId="43">'[1]Water Demand'!#REF!</definedName>
    <definedName name="ln23err" localSheetId="42">'[1]Water Demand'!#REF!</definedName>
    <definedName name="ln23err" localSheetId="27">'[1]Water Demand'!#REF!</definedName>
    <definedName name="ln23err" localSheetId="45">'[1]Water Demand'!#REF!</definedName>
    <definedName name="ln23err">'[1]Water Demand'!#REF!</definedName>
    <definedName name="ln24err" localSheetId="30">'[1]Water Demand'!#REF!</definedName>
    <definedName name="ln24err" localSheetId="25">'[1]Water Demand'!#REF!</definedName>
    <definedName name="ln24err" localSheetId="28">'[1]Water Demand'!#REF!</definedName>
    <definedName name="ln24err" localSheetId="29">'[1]Water Demand'!#REF!</definedName>
    <definedName name="ln24err" localSheetId="12">'[1]Water Demand'!#REF!</definedName>
    <definedName name="ln24err" localSheetId="43">'[1]Water Demand'!#REF!</definedName>
    <definedName name="ln24err" localSheetId="42">'[1]Water Demand'!#REF!</definedName>
    <definedName name="ln24err" localSheetId="27">'[1]Water Demand'!#REF!</definedName>
    <definedName name="ln24err" localSheetId="45">'[1]Water Demand'!#REF!</definedName>
    <definedName name="ln24err">'[1]Water Demand'!#REF!</definedName>
    <definedName name="ln26err" localSheetId="30">'[1]Water Demand'!#REF!</definedName>
    <definedName name="ln26err" localSheetId="25">'[1]Water Demand'!#REF!</definedName>
    <definedName name="ln26err" localSheetId="28">'[1]Water Demand'!#REF!</definedName>
    <definedName name="ln26err" localSheetId="29">'[1]Water Demand'!#REF!</definedName>
    <definedName name="ln26err" localSheetId="12">'[1]Water Demand'!#REF!</definedName>
    <definedName name="ln26err" localSheetId="43">'[1]Water Demand'!#REF!</definedName>
    <definedName name="ln26err" localSheetId="42">'[1]Water Demand'!#REF!</definedName>
    <definedName name="ln26err" localSheetId="27">'[1]Water Demand'!#REF!</definedName>
    <definedName name="ln26err" localSheetId="45">'[1]Water Demand'!#REF!</definedName>
    <definedName name="ln26err">'[1]Water Demand'!#REF!</definedName>
    <definedName name="ln2err" localSheetId="30">'[1]Water Demand'!#REF!</definedName>
    <definedName name="ln2err" localSheetId="25">'[1]Water Demand'!#REF!</definedName>
    <definedName name="ln2err" localSheetId="28">'[1]Water Demand'!#REF!</definedName>
    <definedName name="ln2err" localSheetId="29">'[1]Water Demand'!#REF!</definedName>
    <definedName name="ln2err" localSheetId="12">'[1]Water Demand'!#REF!</definedName>
    <definedName name="ln2err" localSheetId="43">'[1]Water Demand'!#REF!</definedName>
    <definedName name="ln2err" localSheetId="42">'[1]Water Demand'!#REF!</definedName>
    <definedName name="ln2err" localSheetId="27">'[1]Water Demand'!#REF!</definedName>
    <definedName name="ln2err" localSheetId="45">'[1]Water Demand'!#REF!</definedName>
    <definedName name="ln2err">'[1]Water Demand'!#REF!</definedName>
    <definedName name="ln30err" localSheetId="30">'[1]Water Demand'!#REF!</definedName>
    <definedName name="ln30err" localSheetId="25">'[1]Water Demand'!#REF!</definedName>
    <definedName name="ln30err" localSheetId="28">'[1]Water Demand'!#REF!</definedName>
    <definedName name="ln30err" localSheetId="29">'[1]Water Demand'!#REF!</definedName>
    <definedName name="ln30err" localSheetId="12">'[1]Water Demand'!#REF!</definedName>
    <definedName name="ln30err" localSheetId="43">'[1]Water Demand'!#REF!</definedName>
    <definedName name="ln30err" localSheetId="42">'[1]Water Demand'!#REF!</definedName>
    <definedName name="ln30err" localSheetId="27">'[1]Water Demand'!#REF!</definedName>
    <definedName name="ln30err" localSheetId="45">'[1]Water Demand'!#REF!</definedName>
    <definedName name="ln30err">'[1]Water Demand'!#REF!</definedName>
    <definedName name="LocalHardwood" hidden="1">[8]MatCol!$U$62</definedName>
    <definedName name="LocalSoftwood" hidden="1">[8]MatCol!$U$63</definedName>
    <definedName name="locset">[4]Sheet1!$D$43</definedName>
    <definedName name="lp" localSheetId="30">#REF!</definedName>
    <definedName name="lp" localSheetId="25">#REF!</definedName>
    <definedName name="lp" localSheetId="28">#REF!</definedName>
    <definedName name="lp" localSheetId="29">#REF!</definedName>
    <definedName name="lp" localSheetId="12">#REF!</definedName>
    <definedName name="lp" localSheetId="43">#REF!</definedName>
    <definedName name="lp" localSheetId="42">#REF!</definedName>
    <definedName name="lp" localSheetId="27">#REF!</definedName>
    <definedName name="lp" localSheetId="45">#REF!</definedName>
    <definedName name="lp">#REF!</definedName>
    <definedName name="ls" localSheetId="30">#REF!</definedName>
    <definedName name="ls" localSheetId="25">#REF!</definedName>
    <definedName name="ls" localSheetId="28">#REF!</definedName>
    <definedName name="ls" localSheetId="29">#REF!</definedName>
    <definedName name="ls" localSheetId="12">#REF!</definedName>
    <definedName name="ls" localSheetId="43">#REF!</definedName>
    <definedName name="ls" localSheetId="42">#REF!</definedName>
    <definedName name="ls" localSheetId="27">#REF!</definedName>
    <definedName name="ls" localSheetId="45">#REF!</definedName>
    <definedName name="ls">#REF!</definedName>
    <definedName name="lucking300">'[35]update Rate'!$E$65</definedName>
    <definedName name="lw" localSheetId="30">#REF!</definedName>
    <definedName name="lw" localSheetId="25">#REF!</definedName>
    <definedName name="lw" localSheetId="28">#REF!</definedName>
    <definedName name="lw" localSheetId="29">#REF!</definedName>
    <definedName name="lw" localSheetId="12">#REF!</definedName>
    <definedName name="lw" localSheetId="43">#REF!</definedName>
    <definedName name="lw" localSheetId="42">#REF!</definedName>
    <definedName name="lw" localSheetId="27">#REF!</definedName>
    <definedName name="lw" localSheetId="45">#REF!</definedName>
    <definedName name="lw">#REF!</definedName>
    <definedName name="M">#N/A</definedName>
    <definedName name="M_01" localSheetId="30">#REF!</definedName>
    <definedName name="M_01" localSheetId="25">#REF!</definedName>
    <definedName name="M_01" localSheetId="28">#REF!</definedName>
    <definedName name="M_01" localSheetId="29">#REF!</definedName>
    <definedName name="M_01" localSheetId="12">#REF!</definedName>
    <definedName name="M_01" localSheetId="43">#REF!</definedName>
    <definedName name="M_01" localSheetId="42">#REF!</definedName>
    <definedName name="M_01" localSheetId="27">#REF!</definedName>
    <definedName name="M_01" localSheetId="45">#REF!</definedName>
    <definedName name="M_01">#REF!</definedName>
    <definedName name="M_02" localSheetId="30">#REF!</definedName>
    <definedName name="M_02" localSheetId="25">#REF!</definedName>
    <definedName name="M_02" localSheetId="28">#REF!</definedName>
    <definedName name="M_02" localSheetId="29">#REF!</definedName>
    <definedName name="M_02" localSheetId="12">#REF!</definedName>
    <definedName name="M_02" localSheetId="43">#REF!</definedName>
    <definedName name="M_02" localSheetId="42">#REF!</definedName>
    <definedName name="M_02" localSheetId="27">#REF!</definedName>
    <definedName name="M_02" localSheetId="45">#REF!</definedName>
    <definedName name="M_02">#REF!</definedName>
    <definedName name="M_03" localSheetId="30">#REF!</definedName>
    <definedName name="M_03" localSheetId="25">#REF!</definedName>
    <definedName name="M_03" localSheetId="28">#REF!</definedName>
    <definedName name="M_03" localSheetId="29">#REF!</definedName>
    <definedName name="M_03" localSheetId="12">#REF!</definedName>
    <definedName name="M_03" localSheetId="43">#REF!</definedName>
    <definedName name="M_03" localSheetId="42">#REF!</definedName>
    <definedName name="M_03" localSheetId="27">#REF!</definedName>
    <definedName name="M_03" localSheetId="45">#REF!</definedName>
    <definedName name="M_03">#REF!</definedName>
    <definedName name="M_04" localSheetId="30">#REF!</definedName>
    <definedName name="M_04" localSheetId="25">#REF!</definedName>
    <definedName name="M_04" localSheetId="28">#REF!</definedName>
    <definedName name="M_04" localSheetId="29">#REF!</definedName>
    <definedName name="M_04" localSheetId="12">#REF!</definedName>
    <definedName name="M_04" localSheetId="43">#REF!</definedName>
    <definedName name="M_04" localSheetId="42">#REF!</definedName>
    <definedName name="M_04" localSheetId="27">#REF!</definedName>
    <definedName name="M_04" localSheetId="45">#REF!</definedName>
    <definedName name="M_04">#REF!</definedName>
    <definedName name="M_05" localSheetId="30">#REF!</definedName>
    <definedName name="M_05" localSheetId="25">#REF!</definedName>
    <definedName name="M_05" localSheetId="28">#REF!</definedName>
    <definedName name="M_05" localSheetId="29">#REF!</definedName>
    <definedName name="M_05" localSheetId="12">#REF!</definedName>
    <definedName name="M_05" localSheetId="43">#REF!</definedName>
    <definedName name="M_05" localSheetId="42">#REF!</definedName>
    <definedName name="M_05" localSheetId="27">#REF!</definedName>
    <definedName name="M_05" localSheetId="45">#REF!</definedName>
    <definedName name="M_05">#REF!</definedName>
    <definedName name="M_06" localSheetId="30">#REF!</definedName>
    <definedName name="M_06" localSheetId="25">#REF!</definedName>
    <definedName name="M_06" localSheetId="28">#REF!</definedName>
    <definedName name="M_06" localSheetId="29">#REF!</definedName>
    <definedName name="M_06" localSheetId="12">#REF!</definedName>
    <definedName name="M_06" localSheetId="43">#REF!</definedName>
    <definedName name="M_06" localSheetId="42">#REF!</definedName>
    <definedName name="M_06" localSheetId="27">#REF!</definedName>
    <definedName name="M_06" localSheetId="45">#REF!</definedName>
    <definedName name="M_06">#REF!</definedName>
    <definedName name="M_07" localSheetId="30">#REF!</definedName>
    <definedName name="M_07" localSheetId="25">#REF!</definedName>
    <definedName name="M_07" localSheetId="28">#REF!</definedName>
    <definedName name="M_07" localSheetId="29">#REF!</definedName>
    <definedName name="M_07" localSheetId="12">#REF!</definedName>
    <definedName name="M_07" localSheetId="43">#REF!</definedName>
    <definedName name="M_07" localSheetId="42">#REF!</definedName>
    <definedName name="M_07" localSheetId="27">#REF!</definedName>
    <definedName name="M_07" localSheetId="45">#REF!</definedName>
    <definedName name="M_07">#REF!</definedName>
    <definedName name="M_08" localSheetId="30">#REF!</definedName>
    <definedName name="M_08" localSheetId="25">#REF!</definedName>
    <definedName name="M_08" localSheetId="28">#REF!</definedName>
    <definedName name="M_08" localSheetId="29">#REF!</definedName>
    <definedName name="M_08" localSheetId="12">#REF!</definedName>
    <definedName name="M_08" localSheetId="43">#REF!</definedName>
    <definedName name="M_08" localSheetId="42">#REF!</definedName>
    <definedName name="M_08" localSheetId="27">#REF!</definedName>
    <definedName name="M_08" localSheetId="45">#REF!</definedName>
    <definedName name="M_08">#REF!</definedName>
    <definedName name="M_09" localSheetId="30">#REF!</definedName>
    <definedName name="M_09" localSheetId="25">#REF!</definedName>
    <definedName name="M_09" localSheetId="28">#REF!</definedName>
    <definedName name="M_09" localSheetId="29">#REF!</definedName>
    <definedName name="M_09" localSheetId="12">#REF!</definedName>
    <definedName name="M_09" localSheetId="43">#REF!</definedName>
    <definedName name="M_09" localSheetId="42">#REF!</definedName>
    <definedName name="M_09" localSheetId="27">#REF!</definedName>
    <definedName name="M_09" localSheetId="45">#REF!</definedName>
    <definedName name="M_09">#REF!</definedName>
    <definedName name="M_10" localSheetId="30">#REF!</definedName>
    <definedName name="M_10" localSheetId="25">#REF!</definedName>
    <definedName name="M_10" localSheetId="28">#REF!</definedName>
    <definedName name="M_10" localSheetId="29">#REF!</definedName>
    <definedName name="M_10" localSheetId="12">#REF!</definedName>
    <definedName name="M_10" localSheetId="43">#REF!</definedName>
    <definedName name="M_10" localSheetId="42">#REF!</definedName>
    <definedName name="M_10" localSheetId="27">#REF!</definedName>
    <definedName name="M_10" localSheetId="45">#REF!</definedName>
    <definedName name="M_10">#REF!</definedName>
    <definedName name="M_11" localSheetId="30">#REF!</definedName>
    <definedName name="M_11" localSheetId="25">#REF!</definedName>
    <definedName name="M_11" localSheetId="28">#REF!</definedName>
    <definedName name="M_11" localSheetId="29">#REF!</definedName>
    <definedName name="M_11" localSheetId="12">#REF!</definedName>
    <definedName name="M_11" localSheetId="43">#REF!</definedName>
    <definedName name="M_11" localSheetId="42">#REF!</definedName>
    <definedName name="M_11" localSheetId="27">#REF!</definedName>
    <definedName name="M_11" localSheetId="45">#REF!</definedName>
    <definedName name="M_11">#REF!</definedName>
    <definedName name="M_12" localSheetId="30">#REF!</definedName>
    <definedName name="M_12" localSheetId="25">#REF!</definedName>
    <definedName name="M_12" localSheetId="28">#REF!</definedName>
    <definedName name="M_12" localSheetId="29">#REF!</definedName>
    <definedName name="M_12" localSheetId="12">#REF!</definedName>
    <definedName name="M_12" localSheetId="43">#REF!</definedName>
    <definedName name="M_12" localSheetId="42">#REF!</definedName>
    <definedName name="M_12" localSheetId="27">#REF!</definedName>
    <definedName name="M_12" localSheetId="45">#REF!</definedName>
    <definedName name="M_12">#REF!</definedName>
    <definedName name="M_13" localSheetId="30">#REF!</definedName>
    <definedName name="M_13" localSheetId="25">#REF!</definedName>
    <definedName name="M_13" localSheetId="28">#REF!</definedName>
    <definedName name="M_13" localSheetId="29">#REF!</definedName>
    <definedName name="M_13" localSheetId="12">#REF!</definedName>
    <definedName name="M_13" localSheetId="43">#REF!</definedName>
    <definedName name="M_13" localSheetId="42">#REF!</definedName>
    <definedName name="M_13" localSheetId="27">#REF!</definedName>
    <definedName name="M_13" localSheetId="45">#REF!</definedName>
    <definedName name="M_13">#REF!</definedName>
    <definedName name="M_14" localSheetId="30">#REF!</definedName>
    <definedName name="M_14" localSheetId="25">#REF!</definedName>
    <definedName name="M_14" localSheetId="28">#REF!</definedName>
    <definedName name="M_14" localSheetId="29">#REF!</definedName>
    <definedName name="M_14" localSheetId="12">#REF!</definedName>
    <definedName name="M_14" localSheetId="43">#REF!</definedName>
    <definedName name="M_14" localSheetId="42">#REF!</definedName>
    <definedName name="M_14" localSheetId="27">#REF!</definedName>
    <definedName name="M_14" localSheetId="45">#REF!</definedName>
    <definedName name="M_14">#REF!</definedName>
    <definedName name="M_15" localSheetId="30">#REF!</definedName>
    <definedName name="M_15" localSheetId="25">#REF!</definedName>
    <definedName name="M_15" localSheetId="28">#REF!</definedName>
    <definedName name="M_15" localSheetId="29">#REF!</definedName>
    <definedName name="M_15" localSheetId="12">#REF!</definedName>
    <definedName name="M_15" localSheetId="43">#REF!</definedName>
    <definedName name="M_15" localSheetId="42">#REF!</definedName>
    <definedName name="M_15" localSheetId="27">#REF!</definedName>
    <definedName name="M_15" localSheetId="45">#REF!</definedName>
    <definedName name="M_15">#REF!</definedName>
    <definedName name="M_16" localSheetId="30">#REF!</definedName>
    <definedName name="M_16" localSheetId="25">#REF!</definedName>
    <definedName name="M_16" localSheetId="28">#REF!</definedName>
    <definedName name="M_16" localSheetId="29">#REF!</definedName>
    <definedName name="M_16" localSheetId="12">#REF!</definedName>
    <definedName name="M_16" localSheetId="43">#REF!</definedName>
    <definedName name="M_16" localSheetId="42">#REF!</definedName>
    <definedName name="M_16" localSheetId="27">#REF!</definedName>
    <definedName name="M_16" localSheetId="45">#REF!</definedName>
    <definedName name="M_16">#REF!</definedName>
    <definedName name="M_17" localSheetId="30">#REF!</definedName>
    <definedName name="M_17" localSheetId="25">#REF!</definedName>
    <definedName name="M_17" localSheetId="28">#REF!</definedName>
    <definedName name="M_17" localSheetId="29">#REF!</definedName>
    <definedName name="M_17" localSheetId="12">#REF!</definedName>
    <definedName name="M_17" localSheetId="43">#REF!</definedName>
    <definedName name="M_17" localSheetId="42">#REF!</definedName>
    <definedName name="M_17" localSheetId="27">#REF!</definedName>
    <definedName name="M_17" localSheetId="45">#REF!</definedName>
    <definedName name="M_17">#REF!</definedName>
    <definedName name="M_18" localSheetId="30">#REF!</definedName>
    <definedName name="M_18" localSheetId="25">#REF!</definedName>
    <definedName name="M_18" localSheetId="28">#REF!</definedName>
    <definedName name="M_18" localSheetId="29">#REF!</definedName>
    <definedName name="M_18" localSheetId="12">#REF!</definedName>
    <definedName name="M_18" localSheetId="43">#REF!</definedName>
    <definedName name="M_18" localSheetId="42">#REF!</definedName>
    <definedName name="M_18" localSheetId="27">#REF!</definedName>
    <definedName name="M_18" localSheetId="45">#REF!</definedName>
    <definedName name="M_18">#REF!</definedName>
    <definedName name="M_19" localSheetId="30">#REF!</definedName>
    <definedName name="M_19" localSheetId="25">#REF!</definedName>
    <definedName name="M_19" localSheetId="28">#REF!</definedName>
    <definedName name="M_19" localSheetId="29">#REF!</definedName>
    <definedName name="M_19" localSheetId="12">#REF!</definedName>
    <definedName name="M_19" localSheetId="43">#REF!</definedName>
    <definedName name="M_19" localSheetId="42">#REF!</definedName>
    <definedName name="M_19" localSheetId="27">#REF!</definedName>
    <definedName name="M_19" localSheetId="45">#REF!</definedName>
    <definedName name="M_19">#REF!</definedName>
    <definedName name="M_20" localSheetId="30">#REF!</definedName>
    <definedName name="M_20" localSheetId="25">#REF!</definedName>
    <definedName name="M_20" localSheetId="28">#REF!</definedName>
    <definedName name="M_20" localSheetId="29">#REF!</definedName>
    <definedName name="M_20" localSheetId="12">#REF!</definedName>
    <definedName name="M_20" localSheetId="43">#REF!</definedName>
    <definedName name="M_20" localSheetId="42">#REF!</definedName>
    <definedName name="M_20" localSheetId="27">#REF!</definedName>
    <definedName name="M_20" localSheetId="45">#REF!</definedName>
    <definedName name="M_20">#REF!</definedName>
    <definedName name="M_21" localSheetId="30">#REF!</definedName>
    <definedName name="M_21" localSheetId="25">#REF!</definedName>
    <definedName name="M_21" localSheetId="28">#REF!</definedName>
    <definedName name="M_21" localSheetId="29">#REF!</definedName>
    <definedName name="M_21" localSheetId="12">#REF!</definedName>
    <definedName name="M_21" localSheetId="43">#REF!</definedName>
    <definedName name="M_21" localSheetId="42">#REF!</definedName>
    <definedName name="M_21" localSheetId="27">#REF!</definedName>
    <definedName name="M_21" localSheetId="45">#REF!</definedName>
    <definedName name="M_21">#REF!</definedName>
    <definedName name="M_22" localSheetId="30">#REF!</definedName>
    <definedName name="M_22" localSheetId="25">#REF!</definedName>
    <definedName name="M_22" localSheetId="28">#REF!</definedName>
    <definedName name="M_22" localSheetId="29">#REF!</definedName>
    <definedName name="M_22" localSheetId="12">#REF!</definedName>
    <definedName name="M_22" localSheetId="43">#REF!</definedName>
    <definedName name="M_22" localSheetId="42">#REF!</definedName>
    <definedName name="M_22" localSheetId="27">#REF!</definedName>
    <definedName name="M_22" localSheetId="45">#REF!</definedName>
    <definedName name="M_22">#REF!</definedName>
    <definedName name="M_23" localSheetId="30">#REF!</definedName>
    <definedName name="M_23" localSheetId="25">#REF!</definedName>
    <definedName name="M_23" localSheetId="28">#REF!</definedName>
    <definedName name="M_23" localSheetId="29">#REF!</definedName>
    <definedName name="M_23" localSheetId="12">#REF!</definedName>
    <definedName name="M_23" localSheetId="43">#REF!</definedName>
    <definedName name="M_23" localSheetId="42">#REF!</definedName>
    <definedName name="M_23" localSheetId="27">#REF!</definedName>
    <definedName name="M_23" localSheetId="45">#REF!</definedName>
    <definedName name="M_23">#REF!</definedName>
    <definedName name="M_24" localSheetId="30">#REF!</definedName>
    <definedName name="M_24" localSheetId="25">#REF!</definedName>
    <definedName name="M_24" localSheetId="28">#REF!</definedName>
    <definedName name="M_24" localSheetId="29">#REF!</definedName>
    <definedName name="M_24" localSheetId="12">#REF!</definedName>
    <definedName name="M_24" localSheetId="43">#REF!</definedName>
    <definedName name="M_24" localSheetId="42">#REF!</definedName>
    <definedName name="M_24" localSheetId="27">#REF!</definedName>
    <definedName name="M_24" localSheetId="45">#REF!</definedName>
    <definedName name="M_24">#REF!</definedName>
    <definedName name="Marble">'[14]update Rate'!$E$40</definedName>
    <definedName name="mat" localSheetId="30">#REF!</definedName>
    <definedName name="mat" localSheetId="25">#REF!</definedName>
    <definedName name="mat" localSheetId="28">#REF!</definedName>
    <definedName name="mat" localSheetId="29">#REF!</definedName>
    <definedName name="mat" localSheetId="12">#REF!</definedName>
    <definedName name="mat" localSheetId="43">#REF!</definedName>
    <definedName name="mat" localSheetId="42">#REF!</definedName>
    <definedName name="mat" localSheetId="27">#REF!</definedName>
    <definedName name="mat" localSheetId="45">#REF!</definedName>
    <definedName name="mat">#REF!</definedName>
    <definedName name="mat_tap_rg">[27]TapRep!$B$5:$J$155</definedName>
    <definedName name="mat_tap_rp">[27]TapRep!$B$158:$J$310</definedName>
    <definedName name="matAmount">[27]CostMatLab!$CV$10:$CV$20,[27]CostMatLab!$CV$23:$CV$24,[27]CostMatLab!$CV$27:$CV$68,[27]CostMatLab!$CV$90:$CV$114,[27]CostMatLab!$CV$118:$CV$133,[27]CostMatLab!$CV$143:$CV$215,[27]CostMatLab!$CV$218:$CV$360,[27]CostMatLab!$CV$367,[27]CostMatLab!$CV$367:$CV$394,[27]CostMatLab!$CV$397:$CV$412,[27]CostMatLab!$CV$414:$CV$503,[27]CostMatLab!$CV$505:$CV$512</definedName>
    <definedName name="MatList">[27]MatInput!$A$35:$E$106</definedName>
    <definedName name="MeshWire_KG_M">[23]Transport_Cost_F!$D$16</definedName>
    <definedName name="Mirror" localSheetId="30">#REF!</definedName>
    <definedName name="Mirror" localSheetId="25">#REF!</definedName>
    <definedName name="Mirror" localSheetId="28">#REF!</definedName>
    <definedName name="Mirror" localSheetId="29">#REF!</definedName>
    <definedName name="Mirror" localSheetId="12">#REF!</definedName>
    <definedName name="Mirror" localSheetId="43">#REF!</definedName>
    <definedName name="Mirror" localSheetId="42">#REF!</definedName>
    <definedName name="Mirror" localSheetId="27">#REF!</definedName>
    <definedName name="Mirror" localSheetId="45">#REF!</definedName>
    <definedName name="Mirror">#REF!</definedName>
    <definedName name="moluck">'[35]update Rate'!$E$66</definedName>
    <definedName name="mosq">[8]MatCol!$K$49</definedName>
    <definedName name="MotorGrader_E">'[23]Equipment Rates'!$D$18</definedName>
    <definedName name="MP_6" localSheetId="30">#REF!</definedName>
    <definedName name="MP_6" localSheetId="25">#REF!</definedName>
    <definedName name="MP_6" localSheetId="28">#REF!</definedName>
    <definedName name="MP_6" localSheetId="29">#REF!</definedName>
    <definedName name="MP_6" localSheetId="12">#REF!</definedName>
    <definedName name="MP_6" localSheetId="43">#REF!</definedName>
    <definedName name="MP_6" localSheetId="42">#REF!</definedName>
    <definedName name="MP_6" localSheetId="27">#REF!</definedName>
    <definedName name="MP_6" localSheetId="45">#REF!</definedName>
    <definedName name="MP_6">#REF!</definedName>
    <definedName name="MSangle" hidden="1">[8]MatCol!$U$37</definedName>
    <definedName name="MSBar">'[44]M-RATE'!$K$118</definedName>
    <definedName name="msnet">[4]Sheet1!$D$69</definedName>
    <definedName name="N">#N/A</definedName>
    <definedName name="Na">[5]DR!$D$38</definedName>
    <definedName name="nail">[8]DRates!$J$37</definedName>
    <definedName name="Nails">'[22]District Rates'!$E$21</definedName>
    <definedName name="Nails_Kg_M">[23]Transport_Cost_F!$D$19</definedName>
    <definedName name="NewPipeLength">[27]DataPT!$I$54</definedName>
    <definedName name="NI_1" localSheetId="30">#REF!</definedName>
    <definedName name="NI_1" localSheetId="25">#REF!</definedName>
    <definedName name="NI_1" localSheetId="28">#REF!</definedName>
    <definedName name="NI_1" localSheetId="29">#REF!</definedName>
    <definedName name="NI_1" localSheetId="12">#REF!</definedName>
    <definedName name="NI_1" localSheetId="43">#REF!</definedName>
    <definedName name="NI_1" localSheetId="42">#REF!</definedName>
    <definedName name="NI_1" localSheetId="27">#REF!</definedName>
    <definedName name="NI_1" localSheetId="45">#REF!</definedName>
    <definedName name="NI_1">#REF!</definedName>
    <definedName name="NI_2" localSheetId="30">#REF!</definedName>
    <definedName name="NI_2" localSheetId="25">#REF!</definedName>
    <definedName name="NI_2" localSheetId="28">#REF!</definedName>
    <definedName name="NI_2" localSheetId="29">#REF!</definedName>
    <definedName name="NI_2" localSheetId="12">#REF!</definedName>
    <definedName name="NI_2" localSheetId="43">#REF!</definedName>
    <definedName name="NI_2" localSheetId="42">#REF!</definedName>
    <definedName name="NI_2" localSheetId="27">#REF!</definedName>
    <definedName name="NI_2" localSheetId="45">#REF!</definedName>
    <definedName name="NI_2">#REF!</definedName>
    <definedName name="NI_3" localSheetId="30">#REF!</definedName>
    <definedName name="NI_3" localSheetId="25">#REF!</definedName>
    <definedName name="NI_3" localSheetId="28">#REF!</definedName>
    <definedName name="NI_3" localSheetId="29">#REF!</definedName>
    <definedName name="NI_3" localSheetId="12">#REF!</definedName>
    <definedName name="NI_3" localSheetId="43">#REF!</definedName>
    <definedName name="NI_3" localSheetId="42">#REF!</definedName>
    <definedName name="NI_3" localSheetId="27">#REF!</definedName>
    <definedName name="NI_3" localSheetId="45">#REF!</definedName>
    <definedName name="NI_3">#REF!</definedName>
    <definedName name="NI_4" localSheetId="30">#REF!</definedName>
    <definedName name="NI_4" localSheetId="25">#REF!</definedName>
    <definedName name="NI_4" localSheetId="28">#REF!</definedName>
    <definedName name="NI_4" localSheetId="29">#REF!</definedName>
    <definedName name="NI_4" localSheetId="12">#REF!</definedName>
    <definedName name="NI_4" localSheetId="43">#REF!</definedName>
    <definedName name="NI_4" localSheetId="42">#REF!</definedName>
    <definedName name="NI_4" localSheetId="27">#REF!</definedName>
    <definedName name="NI_4" localSheetId="45">#REF!</definedName>
    <definedName name="NI_4">#REF!</definedName>
    <definedName name="NI_5" localSheetId="30">#REF!</definedName>
    <definedName name="NI_5" localSheetId="25">#REF!</definedName>
    <definedName name="NI_5" localSheetId="28">#REF!</definedName>
    <definedName name="NI_5" localSheetId="29">#REF!</definedName>
    <definedName name="NI_5" localSheetId="12">#REF!</definedName>
    <definedName name="NI_5" localSheetId="43">#REF!</definedName>
    <definedName name="NI_5" localSheetId="42">#REF!</definedName>
    <definedName name="NI_5" localSheetId="27">#REF!</definedName>
    <definedName name="NI_5" localSheetId="45">#REF!</definedName>
    <definedName name="NI_5">#REF!</definedName>
    <definedName name="NI_6" localSheetId="30">#REF!</definedName>
    <definedName name="NI_6" localSheetId="25">#REF!</definedName>
    <definedName name="NI_6" localSheetId="28">#REF!</definedName>
    <definedName name="NI_6" localSheetId="29">#REF!</definedName>
    <definedName name="NI_6" localSheetId="12">#REF!</definedName>
    <definedName name="NI_6" localSheetId="43">#REF!</definedName>
    <definedName name="NI_6" localSheetId="42">#REF!</definedName>
    <definedName name="NI_6" localSheetId="27">#REF!</definedName>
    <definedName name="NI_6" localSheetId="45">#REF!</definedName>
    <definedName name="NI_6">#REF!</definedName>
    <definedName name="NI_7" localSheetId="30">#REF!</definedName>
    <definedName name="NI_7" localSheetId="25">#REF!</definedName>
    <definedName name="NI_7" localSheetId="28">#REF!</definedName>
    <definedName name="NI_7" localSheetId="29">#REF!</definedName>
    <definedName name="NI_7" localSheetId="12">#REF!</definedName>
    <definedName name="NI_7" localSheetId="43">#REF!</definedName>
    <definedName name="NI_7" localSheetId="42">#REF!</definedName>
    <definedName name="NI_7" localSheetId="27">#REF!</definedName>
    <definedName name="NI_7" localSheetId="45">#REF!</definedName>
    <definedName name="NI_7">#REF!</definedName>
    <definedName name="NI_8" localSheetId="30">#REF!</definedName>
    <definedName name="NI_8" localSheetId="25">#REF!</definedName>
    <definedName name="NI_8" localSheetId="28">#REF!</definedName>
    <definedName name="NI_8" localSheetId="29">#REF!</definedName>
    <definedName name="NI_8" localSheetId="12">#REF!</definedName>
    <definedName name="NI_8" localSheetId="43">#REF!</definedName>
    <definedName name="NI_8" localSheetId="42">#REF!</definedName>
    <definedName name="NI_8" localSheetId="27">#REF!</definedName>
    <definedName name="NI_8" localSheetId="45">#REF!</definedName>
    <definedName name="NI_8">#REF!</definedName>
    <definedName name="NoofScheme">[27]DataP!$B$20</definedName>
    <definedName name="Nozzle">'[22]District Rates'!$E$42</definedName>
    <definedName name="NRV" localSheetId="30">#REF!</definedName>
    <definedName name="NRV" localSheetId="25">#REF!</definedName>
    <definedName name="NRV" localSheetId="28">#REF!</definedName>
    <definedName name="NRV" localSheetId="29">#REF!</definedName>
    <definedName name="NRV" localSheetId="12">#REF!</definedName>
    <definedName name="NRV" localSheetId="43">#REF!</definedName>
    <definedName name="NRV" localSheetId="42">#REF!</definedName>
    <definedName name="NRV" localSheetId="27">#REF!</definedName>
    <definedName name="NRV" localSheetId="45">#REF!</definedName>
    <definedName name="NRV">#REF!</definedName>
    <definedName name="ntb">[4]Sheet1!$D$39</definedName>
    <definedName name="ntbt" localSheetId="30" hidden="1">[15]DRates!#REF!</definedName>
    <definedName name="ntbt" localSheetId="25" hidden="1">[15]DRates!#REF!</definedName>
    <definedName name="ntbt" localSheetId="28" hidden="1">[15]DRates!#REF!</definedName>
    <definedName name="ntbt" localSheetId="29" hidden="1">[15]DRates!#REF!</definedName>
    <definedName name="ntbt" localSheetId="12" hidden="1">[15]DRates!#REF!</definedName>
    <definedName name="ntbt" localSheetId="43" hidden="1">[15]DRates!#REF!</definedName>
    <definedName name="ntbt" localSheetId="42" hidden="1">[15]DRates!#REF!</definedName>
    <definedName name="ntbt" localSheetId="27" hidden="1">[15]DRates!#REF!</definedName>
    <definedName name="ntbt" localSheetId="45" hidden="1">[15]DRates!#REF!</definedName>
    <definedName name="ntbt" hidden="1">[15]DRates!#REF!</definedName>
    <definedName name="nutbolt8mm">'[22]District Rates'!$E$36</definedName>
    <definedName name="O_M1" localSheetId="17">[24]Ta403!$J$8</definedName>
    <definedName name="O_M1" localSheetId="7">[25]Ta403!$J$8</definedName>
    <definedName name="O_M1">[26]Ta403!$J$8</definedName>
    <definedName name="OD">'[2]Data-Table'!$D$7</definedName>
    <definedName name="Opan" localSheetId="30">#REF!</definedName>
    <definedName name="Opan" localSheetId="25">#REF!</definedName>
    <definedName name="Opan" localSheetId="28">#REF!</definedName>
    <definedName name="Opan" localSheetId="29">#REF!</definedName>
    <definedName name="Opan" localSheetId="12">#REF!</definedName>
    <definedName name="Opan" localSheetId="43">#REF!</definedName>
    <definedName name="Opan" localSheetId="42">#REF!</definedName>
    <definedName name="Opan" localSheetId="27">#REF!</definedName>
    <definedName name="Opan" localSheetId="45">#REF!</definedName>
    <definedName name="Opan">#REF!</definedName>
    <definedName name="OPCi" localSheetId="30" hidden="1">[15]DRates!#REF!</definedName>
    <definedName name="OPCi" localSheetId="25" hidden="1">[15]DRates!#REF!</definedName>
    <definedName name="OPCi" localSheetId="28" hidden="1">[15]DRates!#REF!</definedName>
    <definedName name="OPCi" localSheetId="29" hidden="1">[15]DRates!#REF!</definedName>
    <definedName name="OPCi" localSheetId="7" hidden="1">[15]DRates!#REF!</definedName>
    <definedName name="OPCi" localSheetId="12" hidden="1">[15]DRates!#REF!</definedName>
    <definedName name="OPCi" localSheetId="43" hidden="1">[15]DRates!#REF!</definedName>
    <definedName name="OPCi" localSheetId="42" hidden="1">[15]DRates!#REF!</definedName>
    <definedName name="OPCi" localSheetId="27" hidden="1">[15]DRates!#REF!</definedName>
    <definedName name="OPCi" localSheetId="45" hidden="1">[15]DRates!#REF!</definedName>
    <definedName name="OPCi" hidden="1">[15]DRates!#REF!</definedName>
    <definedName name="opcn">[8]MatCol!$K$21</definedName>
    <definedName name="Operator">'[23]Labour Rates_BB'!$E$38</definedName>
    <definedName name="oxacid">[4]Sheet1!$D$59</definedName>
    <definedName name="pb" localSheetId="30">#REF!</definedName>
    <definedName name="pb" localSheetId="25">#REF!</definedName>
    <definedName name="pb" localSheetId="28">#REF!</definedName>
    <definedName name="pb" localSheetId="29">#REF!</definedName>
    <definedName name="pb" localSheetId="12">#REF!</definedName>
    <definedName name="pb" localSheetId="43">#REF!</definedName>
    <definedName name="pb" localSheetId="42">#REF!</definedName>
    <definedName name="pb" localSheetId="27">#REF!</definedName>
    <definedName name="pb" localSheetId="45">#REF!</definedName>
    <definedName name="pb">#REF!</definedName>
    <definedName name="PCost2" hidden="1">[16]PipeList!$I$119</definedName>
    <definedName name="PCost3" hidden="1">[16]PipeList!$K$119</definedName>
    <definedName name="PCost4" hidden="1">[16]PipeList!$M$119</definedName>
    <definedName name="PCost5" hidden="1">[16]PipeList!$O$119</definedName>
    <definedName name="PCost6" hidden="1">[16]PipeList!$Q$119</definedName>
    <definedName name="Permacrackfill">'[22]District Rates'!$E$44</definedName>
    <definedName name="Permapolyseal">'[22]District Rates'!$E$43</definedName>
    <definedName name="Petrol">'[22]District Rates'!$E$23</definedName>
    <definedName name="Petrol_LT_M">[21]Transport_Cost_F!$D$32</definedName>
    <definedName name="PF_80" localSheetId="30">#REF!</definedName>
    <definedName name="PF_80" localSheetId="25">#REF!</definedName>
    <definedName name="PF_80" localSheetId="28">#REF!</definedName>
    <definedName name="PF_80" localSheetId="29">#REF!</definedName>
    <definedName name="PF_80" localSheetId="12">#REF!</definedName>
    <definedName name="PF_80" localSheetId="43">#REF!</definedName>
    <definedName name="PF_80" localSheetId="42">#REF!</definedName>
    <definedName name="PF_80" localSheetId="27">#REF!</definedName>
    <definedName name="PF_80" localSheetId="45">#REF!</definedName>
    <definedName name="PF_80">#REF!</definedName>
    <definedName name="PFL" localSheetId="30">#REF!</definedName>
    <definedName name="PFL" localSheetId="25">#REF!</definedName>
    <definedName name="PFL" localSheetId="28">#REF!</definedName>
    <definedName name="PFL" localSheetId="29">#REF!</definedName>
    <definedName name="PFL" localSheetId="12">#REF!</definedName>
    <definedName name="PFL" localSheetId="43">#REF!</definedName>
    <definedName name="PFL" localSheetId="42">#REF!</definedName>
    <definedName name="PFL" localSheetId="27">#REF!</definedName>
    <definedName name="PFL" localSheetId="45">#REF!</definedName>
    <definedName name="PFL">#REF!</definedName>
    <definedName name="PFRate">[27]Rates!$A$85:$E$537</definedName>
    <definedName name="ph" localSheetId="30">#REF!</definedName>
    <definedName name="ph" localSheetId="25">#REF!</definedName>
    <definedName name="ph" localSheetId="28">#REF!</definedName>
    <definedName name="ph" localSheetId="29">#REF!</definedName>
    <definedName name="ph" localSheetId="12">#REF!</definedName>
    <definedName name="ph" localSheetId="43">#REF!</definedName>
    <definedName name="ph" localSheetId="42">#REF!</definedName>
    <definedName name="ph" localSheetId="27">#REF!</definedName>
    <definedName name="ph" localSheetId="45">#REF!</definedName>
    <definedName name="ph">#REF!</definedName>
    <definedName name="PIPE">[45]Sheet1!$A$2:$B$15</definedName>
    <definedName name="Pipe_Data" localSheetId="30">[46]SCREEN!#REF!</definedName>
    <definedName name="Pipe_Data" localSheetId="25">[46]SCREEN!#REF!</definedName>
    <definedName name="Pipe_Data" localSheetId="28">[46]SCREEN!#REF!</definedName>
    <definedName name="Pipe_Data" localSheetId="29">[46]SCREEN!#REF!</definedName>
    <definedName name="Pipe_Data" localSheetId="12">[46]SCREEN!#REF!</definedName>
    <definedName name="Pipe_Data" localSheetId="43">[46]SCREEN!#REF!</definedName>
    <definedName name="Pipe_Data" localSheetId="42">[46]SCREEN!#REF!</definedName>
    <definedName name="Pipe_Data" localSheetId="27">[46]SCREEN!#REF!</definedName>
    <definedName name="Pipe_Data" localSheetId="45">[46]SCREEN!#REF!</definedName>
    <definedName name="Pipe_Data">[46]SCREEN!#REF!</definedName>
    <definedName name="Pipe_f" localSheetId="30">#REF!</definedName>
    <definedName name="Pipe_f" localSheetId="25">#REF!</definedName>
    <definedName name="Pipe_f" localSheetId="28">#REF!</definedName>
    <definedName name="Pipe_f" localSheetId="29">#REF!</definedName>
    <definedName name="Pipe_f" localSheetId="12">#REF!</definedName>
    <definedName name="Pipe_f" localSheetId="43">#REF!</definedName>
    <definedName name="Pipe_f" localSheetId="42">#REF!</definedName>
    <definedName name="Pipe_f" localSheetId="27">#REF!</definedName>
    <definedName name="Pipe_f" localSheetId="45">#REF!</definedName>
    <definedName name="Pipe_f">#REF!</definedName>
    <definedName name="Pipe_Series" localSheetId="30">#REF!</definedName>
    <definedName name="Pipe_Series" localSheetId="25">#REF!</definedName>
    <definedName name="Pipe_Series" localSheetId="28">#REF!</definedName>
    <definedName name="Pipe_Series" localSheetId="29">#REF!</definedName>
    <definedName name="Pipe_Series" localSheetId="12">#REF!</definedName>
    <definedName name="Pipe_Series" localSheetId="43">#REF!</definedName>
    <definedName name="Pipe_Series" localSheetId="42">#REF!</definedName>
    <definedName name="Pipe_Series" localSheetId="27">#REF!</definedName>
    <definedName name="Pipe_Series" localSheetId="45">#REF!</definedName>
    <definedName name="Pipe_Series">#REF!</definedName>
    <definedName name="pipe_Supp_laying_Bidder">[32]TRANS_dist_pipework_Contractor!$A$21:$R$66</definedName>
    <definedName name="pipe_sz" localSheetId="30">#REF!</definedName>
    <definedName name="pipe_sz" localSheetId="25">#REF!</definedName>
    <definedName name="pipe_sz" localSheetId="28">#REF!</definedName>
    <definedName name="pipe_sz" localSheetId="29">#REF!</definedName>
    <definedName name="pipe_sz" localSheetId="12">#REF!</definedName>
    <definedName name="pipe_sz" localSheetId="43">#REF!</definedName>
    <definedName name="pipe_sz" localSheetId="42">#REF!</definedName>
    <definedName name="pipe_sz" localSheetId="27">#REF!</definedName>
    <definedName name="pipe_sz" localSheetId="45">#REF!</definedName>
    <definedName name="pipe_sz">#REF!</definedName>
    <definedName name="PipeData">[27]DataPT!$F$3:$J$44</definedName>
    <definedName name="PipeFitting">[27]Codes!$B$117:$F$879</definedName>
    <definedName name="pkila">'[14]update Rate'!$E$57</definedName>
    <definedName name="plainst28">'[47]update Rate'!$E$93</definedName>
    <definedName name="Plastic">[23]Transport_Cost_F!$D$75</definedName>
    <definedName name="PLen2" hidden="1">[16]PipeList!$I$117</definedName>
    <definedName name="PLen3" hidden="1">[16]PipeList!$K$117</definedName>
    <definedName name="PLen4" hidden="1">[16]PipeList!$M$117</definedName>
    <definedName name="PLen5" hidden="1">[16]PipeList!$O$117</definedName>
    <definedName name="PLen6" hidden="1">[16]PipeList!$Q$117</definedName>
    <definedName name="PLUM" localSheetId="30">#REF!</definedName>
    <definedName name="PLUM" localSheetId="25">#REF!</definedName>
    <definedName name="PLUM" localSheetId="28">#REF!</definedName>
    <definedName name="PLUM" localSheetId="29">#REF!</definedName>
    <definedName name="PLUM" localSheetId="12">#REF!</definedName>
    <definedName name="PLUM" localSheetId="43">#REF!</definedName>
    <definedName name="PLUM" localSheetId="42">#REF!</definedName>
    <definedName name="PLUM" localSheetId="27">#REF!</definedName>
    <definedName name="PLUM" localSheetId="45">#REF!</definedName>
    <definedName name="PLUM">#REF!</definedName>
    <definedName name="plywood4">'[35]update Rate'!$E$67</definedName>
    <definedName name="plywood6">'[14]update Rate'!$E$67</definedName>
    <definedName name="PneumaticRoller_E">'[23]Equipment Rates'!$D$31</definedName>
    <definedName name="prim">[8]DRates!$J$23</definedName>
    <definedName name="Primer">[5]DR!$D$47</definedName>
    <definedName name="Primers">'[22]District Rates'!$E$31</definedName>
    <definedName name="_xlnm.Print_Area" localSheetId="30">ABSTRACT!$A$1:$G$32</definedName>
    <definedName name="_xlnm.Print_Area" localSheetId="37">Analysis!$A$1:$R$281</definedName>
    <definedName name="_xlnm.Print_Area" localSheetId="41">'Analysis (2)'!$A$1:$M$184</definedName>
    <definedName name="_xlnm.Print_Area" localSheetId="17">'CC-DC'!$A$1:$J$103</definedName>
    <definedName name="_xlnm.Print_Area" localSheetId="25">conp!$A$1:$H$33</definedName>
    <definedName name="_xlnm.Print_Area" localSheetId="4">'Cost RVT-400'!$A$1:$G$42</definedName>
    <definedName name="_xlnm.Print_Area" localSheetId="3">COST_ALL!$A$1:$G$455</definedName>
    <definedName name="_xlnm.Print_Area" localSheetId="8">Cost_In_1!$A$1:$G$42</definedName>
    <definedName name="_xlnm.Print_Area" localSheetId="28">'Detail Measurement'!$A$1:$K$141</definedName>
    <definedName name="_xlnm.Print_Area" localSheetId="31">'Estimate '!$A$1:$K$105</definedName>
    <definedName name="_xlnm.Print_Area" localSheetId="35">'Ext. Mat_3'!$A$1:$I$79</definedName>
    <definedName name="_xlnm.Print_Area" localSheetId="48">'fencing quantity'!$A$10:$I$91</definedName>
    <definedName name="_xlnm.Print_Area" localSheetId="21">'fe-tank'!$A$104:$K$205</definedName>
    <definedName name="_xlnm.Print_Area" localSheetId="32">Intake!$A$1:$K$94</definedName>
    <definedName name="_xlnm.Print_Area" localSheetId="29">'Intake (v)'!$A$1:$K$78</definedName>
    <definedName name="_xlnm.Print_Area" localSheetId="36">'Mat-Collect_2'!$A$1:$G$189</definedName>
    <definedName name="_xlnm.Print_Area" localSheetId="40">MR!$A$1:$I$76</definedName>
    <definedName name="_xlnm.Print_Area" localSheetId="13">Pipe!$A$1:$G$93</definedName>
    <definedName name="_xlnm.Print_Area" localSheetId="7">'Pipe Support'!$A$1:$J$57</definedName>
    <definedName name="_xlnm.Print_Area" localSheetId="12">'Pipe-existing'!$A$1:$G$93</definedName>
    <definedName name="_xlnm.Print_Area" localSheetId="15">'pip-line'!$A$1:$I$54</definedName>
    <definedName name="_xlnm.Print_Area" localSheetId="9">Qnty_ALL!$A$1:$H$1030</definedName>
    <definedName name="_xlnm.Print_Area" localSheetId="14">'Qty Truss'!$A$1:$I$42</definedName>
    <definedName name="_xlnm.Print_Area" localSheetId="10">QTY.Reservoir_400m3!$A$1:$H$74</definedName>
    <definedName name="_xlnm.Print_Area" localSheetId="19">Qty_in_1!$A$1:$H$128</definedName>
    <definedName name="_xlnm.Print_Area" localSheetId="38">Rates!$A$1:$H$113</definedName>
    <definedName name="_xlnm.Print_Area" localSheetId="43">'reservoir 150 '!$A$1:$M$102</definedName>
    <definedName name="_xlnm.Print_Area" localSheetId="42">'reservoir 200'!$A$1:$M$104</definedName>
    <definedName name="_xlnm.Print_Area" localSheetId="44">'reservoir 50'!$A$1:$M$146</definedName>
    <definedName name="_xlnm.Print_Area" localSheetId="1">'Salient feature'!$A$1:$E$45</definedName>
    <definedName name="_xlnm.Print_Area" localSheetId="46">Sheet1!$A$1:$G$83</definedName>
    <definedName name="_xlnm.Print_Area" localSheetId="53">Sheet3!$A$1:$M$93</definedName>
    <definedName name="_xlnm.Print_Area" localSheetId="26">Sheet5!$A$1:$M$43</definedName>
    <definedName name="_xlnm.Print_Area" localSheetId="47">'st quantity'!$A$11:$H$275</definedName>
    <definedName name="_xlnm.Print_Area" localSheetId="2">'sum cost_All'!$A$1:$K$62</definedName>
    <definedName name="_xlnm.Print_Area" localSheetId="0">SUMMARY!$A$1:$F$42</definedName>
    <definedName name="_xlnm.Print_Area" localSheetId="33">Transp_1!$A$1:$O$40</definedName>
    <definedName name="_xlnm.Print_Area" localSheetId="27">'Valuated abstract'!$A$1:$G$36</definedName>
    <definedName name="_xlnm.Print_Area" localSheetId="22">'vc-bpt'!$A$1:$J$114</definedName>
    <definedName name="_xlnm.Print_Area" localSheetId="45">wcr!$A$1:$J$82</definedName>
    <definedName name="Print_Area_MI" localSheetId="30">#REF!</definedName>
    <definedName name="Print_Area_MI" localSheetId="25">#REF!</definedName>
    <definedName name="Print_Area_MI" localSheetId="28">#REF!</definedName>
    <definedName name="Print_Area_MI" localSheetId="29">#REF!</definedName>
    <definedName name="Print_Area_MI" localSheetId="7">#REF!</definedName>
    <definedName name="Print_Area_MI" localSheetId="12">#REF!</definedName>
    <definedName name="Print_Area_MI" localSheetId="43">#REF!</definedName>
    <definedName name="Print_Area_MI" localSheetId="42">#REF!</definedName>
    <definedName name="Print_Area_MI" localSheetId="27">#REF!</definedName>
    <definedName name="Print_Area_MI" localSheetId="45">#REF!</definedName>
    <definedName name="Print_Area_MI">#REF!</definedName>
    <definedName name="_xlnm.Print_Titles" localSheetId="30">ABSTRACT!$1:$8</definedName>
    <definedName name="_xlnm.Print_Titles" localSheetId="6">Abstract_TRUSS!$2:$2</definedName>
    <definedName name="_xlnm.Print_Titles" localSheetId="37">Analysis!$4:$9</definedName>
    <definedName name="_xlnm.Print_Titles" localSheetId="25">conp!$1:$8</definedName>
    <definedName name="_xlnm.Print_Titles" localSheetId="3">COST_ALL!$1:$2</definedName>
    <definedName name="_xlnm.Print_Titles" localSheetId="28">'Detail Measurement'!$1:$11</definedName>
    <definedName name="_xlnm.Print_Titles" localSheetId="31">'Estimate '!$1:$8</definedName>
    <definedName name="_xlnm.Print_Titles" localSheetId="48">'fencing quantity'!$1:$12</definedName>
    <definedName name="_xlnm.Print_Titles" localSheetId="24">FittingsSummary!$5:$6</definedName>
    <definedName name="_xlnm.Print_Titles" localSheetId="32">Intake!$1:$3</definedName>
    <definedName name="_xlnm.Print_Titles" localSheetId="29">'Intake (v)'!$1:$3</definedName>
    <definedName name="_xlnm.Print_Titles" localSheetId="36">'Mat-Collect_2'!$1:$3</definedName>
    <definedName name="_xlnm.Print_Titles" localSheetId="13">Pipe!$1:$2</definedName>
    <definedName name="_xlnm.Print_Titles" localSheetId="7">'Pipe Support'!$1:$3</definedName>
    <definedName name="_xlnm.Print_Titles" localSheetId="12">'Pipe-existing'!$1:$2</definedName>
    <definedName name="_xlnm.Print_Titles" localSheetId="9">Qnty_ALL!$1:$1</definedName>
    <definedName name="_xlnm.Print_Titles" localSheetId="19">Qty_in_1!$1:$3</definedName>
    <definedName name="_xlnm.Print_Titles" localSheetId="38">Rates!$1:$5</definedName>
    <definedName name="_xlnm.Print_Titles" localSheetId="43">'reservoir 150 '!$1:$10</definedName>
    <definedName name="_xlnm.Print_Titles" localSheetId="42">'reservoir 200'!$1:$11</definedName>
    <definedName name="_xlnm.Print_Titles" localSheetId="44">'reservoir 50'!$1:$10</definedName>
    <definedName name="_xlnm.Print_Titles" localSheetId="1">'Salient feature'!$1:$9</definedName>
    <definedName name="_xlnm.Print_Titles" localSheetId="46">Sheet1!$1:$10</definedName>
    <definedName name="_xlnm.Print_Titles" localSheetId="26">Sheet5!$1:$13</definedName>
    <definedName name="_xlnm.Print_Titles" localSheetId="47">'st quantity'!$11:$13</definedName>
    <definedName name="_xlnm.Print_Titles" localSheetId="2">'sum cost_All'!$1:$4</definedName>
    <definedName name="_xlnm.Print_Titles" localSheetId="27">'Valuated abstract'!$1:$11</definedName>
    <definedName name="_xlnm.Print_Titles" localSheetId="45">wcr!$1:$10</definedName>
    <definedName name="_xlnm.Print_Titles">[48]RATE_ANL!$A$11:$IV$11</definedName>
    <definedName name="Print_Titles_MI" localSheetId="30">'[1]od-id'!$A$2:$IV$2,'[1]od-id'!#REF!</definedName>
    <definedName name="Print_Titles_MI" localSheetId="25">'[1]od-id'!$A$2:$IV$2,'[1]od-id'!#REF!</definedName>
    <definedName name="Print_Titles_MI" localSheetId="28">'[1]od-id'!$A$2:$IV$2,'[1]od-id'!#REF!</definedName>
    <definedName name="Print_Titles_MI" localSheetId="29">'[1]od-id'!$A$2:$IV$2,'[1]od-id'!#REF!</definedName>
    <definedName name="Print_Titles_MI" localSheetId="12">'[1]od-id'!$A$2:$IV$2,'[1]od-id'!#REF!</definedName>
    <definedName name="Print_Titles_MI" localSheetId="43">'[1]od-id'!$A$2:$IV$2,'[1]od-id'!#REF!</definedName>
    <definedName name="Print_Titles_MI" localSheetId="42">'[1]od-id'!$A$2:$IV$2,'[1]od-id'!#REF!</definedName>
    <definedName name="Print_Titles_MI" localSheetId="27">'[1]od-id'!$A$2:$IV$2,'[1]od-id'!#REF!</definedName>
    <definedName name="Print_Titles_MI" localSheetId="45">'[1]od-id'!$A$2:$IV$2,'[1]od-id'!#REF!</definedName>
    <definedName name="Print_Titles_MI">'[1]od-id'!$A$2:$IV$2,'[1]od-id'!#REF!</definedName>
    <definedName name="prm">[4]Sheet1!$D$52</definedName>
    <definedName name="PVCPIPE_110_M_M">[21]Transport_Cost_F!$D$21</definedName>
    <definedName name="PVCPIPE_160_M_M">[23]Transport_Cost_F!$D$23</definedName>
    <definedName name="Q_AppTrack">[32]F_AppTrack!$B$26:$G$32</definedName>
    <definedName name="Q_AVC">'[32]F_Box Sum'!$A$109:$P$116</definedName>
    <definedName name="Q_AVC_MG">[27]VC!$F$6:$F$69</definedName>
    <definedName name="Q_AVC_MP">[27]VC!$G$6:$G$69</definedName>
    <definedName name="Q_BPT_MG">'[27]CC BPT DC IC'!$H$6:$H$69</definedName>
    <definedName name="Q_BPT_MP">'[27]CC BPT DC IC'!$I$6:$I$69</definedName>
    <definedName name="Q_BPT_PG">'[27]CC BPT DC IC'!$J$6:$J$69</definedName>
    <definedName name="Q_BPT_PP">'[27]CC BPT DC IC'!$K$6:$K$69</definedName>
    <definedName name="Q_CC_G">'[27]CC BPT DC IC'!$F$6:$F$69</definedName>
    <definedName name="Q_CC_P">'[27]CC BPT DC IC'!$G$6:$G$69</definedName>
    <definedName name="Q_CUS_1">[27]Custom!$F$8:$F$70</definedName>
    <definedName name="Q_CUS_10">[27]Custom!$O$8:$O$70</definedName>
    <definedName name="Q_CUS_2">[27]Custom!$G$8:$G$70</definedName>
    <definedName name="Q_CUS_3">[27]Custom!$H$8:$H$70</definedName>
    <definedName name="Q_CUS_4">[27]Custom!$I$8:$I$70</definedName>
    <definedName name="Q_CUS_5">[27]Custom!$J$8:$J$70</definedName>
    <definedName name="Q_CUS_6">[27]Custom!$K$8:$K$70</definedName>
    <definedName name="Q_CUS_7">[27]Custom!$L$8:$L$70</definedName>
    <definedName name="Q_CUS_8">[27]Custom!$M$8:$M$70</definedName>
    <definedName name="Q_CUS_9">[27]Custom!$N$8:$N$70</definedName>
    <definedName name="Q_CUSI_1">[27]Intake!$K$7:$K$69</definedName>
    <definedName name="Q_CUSI_10">[27]Intake!$T$7:$T$69</definedName>
    <definedName name="Q_CUSI_2">[27]Intake!$L$7:$L$69</definedName>
    <definedName name="Q_CUSI_3">[27]Intake!$M$7:$M$69</definedName>
    <definedName name="Q_CUSI_4">[27]Intake!$N$7:$N$69</definedName>
    <definedName name="Q_CUSI_5">[27]Intake!$O$7:$O$69</definedName>
    <definedName name="Q_CUSI_6">[27]Intake!$P$7:$P$69</definedName>
    <definedName name="Q_CUSI_7">[27]Intake!$Q$7:$Q$69</definedName>
    <definedName name="Q_CUSI_8">[27]Intake!$R$7:$R$69</definedName>
    <definedName name="Q_CUSI_9">[27]Intake!$S$7:$S$69</definedName>
    <definedName name="Q_DC_MG">'[27]CC BPT DC IC'!$P$6:$P$69</definedName>
    <definedName name="Q_DC_MP">'[27]CC BPT DC IC'!$Q$6:$Q$69</definedName>
    <definedName name="Q_Drain">[32]F_Drain!$B$12:$L$88</definedName>
    <definedName name="Q_FCTH1_5G">[27]FctH!$E$5:$E$68</definedName>
    <definedName name="Q_FCTH1_5P">[27]FctH!$J$5:$J$68</definedName>
    <definedName name="Q_FCTH10G">[27]FctH!$H$5:$H$68</definedName>
    <definedName name="Q_FCTH10P">[27]FctH!$M$5:$M$68</definedName>
    <definedName name="Q_FCTH2_5G">[27]FctH!$F$5:$F$68</definedName>
    <definedName name="Q_FCTH2_5P">[27]FctH!$K$5:$K$68</definedName>
    <definedName name="Q_FCTH20G">[27]FctH!$I$5:$I$68</definedName>
    <definedName name="Q_FCTH20P">[27]FctH!$N$5:$N$68</definedName>
    <definedName name="Q_FCTH5_0G">[27]FctH!$G$5:$G$68</definedName>
    <definedName name="Q_FCTH5_0P">[27]FctH!$L$5:$L$68</definedName>
    <definedName name="Q_FCTO10G">[27]FctO!$O$5:$O$68</definedName>
    <definedName name="Q_FCTO12G">[27]FctO!$P$5:$P$68</definedName>
    <definedName name="Q_FCTO14G">[27]FctO!$Q$5:$Q$68</definedName>
    <definedName name="Q_FCTO16G">[27]FctO!$R$5:$R$68</definedName>
    <definedName name="Q_FCTO18G">[27]FctO!$S$5:$S$68</definedName>
    <definedName name="Q_FCTO1G">[27]FctO!$F$5:$F$68</definedName>
    <definedName name="Q_FCTO20G">[27]FctO!$T$5:$T$68</definedName>
    <definedName name="Q_FCTO2G">[27]FctO!$G$5:$G$68</definedName>
    <definedName name="Q_FCTO3G">[27]FctO!$H$5:$H$68</definedName>
    <definedName name="Q_FCTO4G">[27]FctO!$I$5:$I$68</definedName>
    <definedName name="Q_FCTO5G">[27]FctO!$J$5:$J$68</definedName>
    <definedName name="Q_FCTO6G">[27]FctO!$K$5:$K$68</definedName>
    <definedName name="Q_FCTO7G">[27]FctO!$L$5:$L$68</definedName>
    <definedName name="Q_FCTO8G">[27]FctO!$M$5:$M$68</definedName>
    <definedName name="Q_FCTO9G">[27]FctO!$N$5:$N$68</definedName>
    <definedName name="Q_FCTT1_5G">[27]FctTap!$F$5:$F$69</definedName>
    <definedName name="Q_FCTT1_5P">[27]FctTap!$I$5:$I$69</definedName>
    <definedName name="Q_FCTT2_5G">[27]FctTap!$G$5:$G$69</definedName>
    <definedName name="Q_FCTT2_5P">[27]FctTap!$J$5:$J$69</definedName>
    <definedName name="Q_FCTT5_0G">[27]FctTap!$H$5:$H$69</definedName>
    <definedName name="Q_FCTT5_0P">[27]FctTap!$K$5:$K$69</definedName>
    <definedName name="Q_GHouse_civil">'[32]F_Guard House'!$B$7:$L$244</definedName>
    <definedName name="Q_GHouse_ele">'[32]F_Guard House'!$B$266:$L$279</definedName>
    <definedName name="Q_GHouse_Fur">'[32]F_Guard House'!$B$282:$L$286</definedName>
    <definedName name="Q_GHouse_ST">'[32]F_Guard House'!$B$344:$L$362</definedName>
    <definedName name="Q_Grit">'[32]F_Grit Chamber'!$B$47:$L$79</definedName>
    <definedName name="Q_HMB">[32]F_Treatment!$B$88:$L$135</definedName>
    <definedName name="Q_HRF">[32]F_Treatment!$B$202:$L$237</definedName>
    <definedName name="Q_IC_MG">'[27]CC BPT DC IC'!$L$6:$L$69</definedName>
    <definedName name="Q_IC_MP">'[27]CC BPT DC IC'!$M$6:$M$69</definedName>
    <definedName name="Q_IC_PG">'[27]CC BPT DC IC'!$N$6:$N$69</definedName>
    <definedName name="Q_IC_PP">'[27]CC BPT DC IC'!$O$6:$O$69</definedName>
    <definedName name="Q_Intake">[32]F_Intake!$B$4:$L$75</definedName>
    <definedName name="Q_JVC">'[32]F_Box Sum'!$A$90:$P$97</definedName>
    <definedName name="Q_MajCross">'[32]Major Cross'!$B$136:$L$144</definedName>
    <definedName name="Q_pipe_WUC">[32]Earhwork_pipe_WUC!$B$20:$S$58</definedName>
    <definedName name="Q_PublicToilet">'[32]F_Public Toilet'!$B$332:$L$373</definedName>
    <definedName name="Q_RC_TRAN_SM">[32]SCross!$B$4:$G$10</definedName>
    <definedName name="Q_reservoir_VC">[32]sum_F_RVT_ALL!$A$36:$O$43</definedName>
    <definedName name="Q_SD_BOU">[32]F_Treatment!$B$242:$L$268</definedName>
    <definedName name="Q_ST">[32]F_Treatment!$B$139:$L$197</definedName>
    <definedName name="Q_STG">[27]STank!$F$5:$F$68</definedName>
    <definedName name="Q_SVC_MG">[27]VC!$H$6:$H$69</definedName>
    <definedName name="Q_SVC_MP">[27]VC!$I$6:$I$69</definedName>
    <definedName name="Q_SVC_PG">[27]VC!$J$6:$J$69</definedName>
    <definedName name="Q_SVC_PP">[27]VC!$K$6:$K$69</definedName>
    <definedName name="Q_TAP_AG">[27]Taps!$F$6:$F$70</definedName>
    <definedName name="Q_TAP_AP">[27]Taps!$J$6:$J$70</definedName>
    <definedName name="Q_TAP_BG">[27]Taps!$G$6:$G$70</definedName>
    <definedName name="Q_TAP_BP">[27]Taps!$K$6:$K$70</definedName>
    <definedName name="Q_TAP_CG">[27]Taps!$H$6:$H$70</definedName>
    <definedName name="Q_TAP_CP">[27]Taps!$L$6:$L$70</definedName>
    <definedName name="Q_TAP_MG">[27]Taps!$I$6:$I$70</definedName>
    <definedName name="Q_TAP_MP">[27]Taps!$M$6:$M$70</definedName>
    <definedName name="Q_TAP_RG">[27]Taps!$N$6:$N$70</definedName>
    <definedName name="Q_TAP_RP">[27]Taps!$O$6:$O$70</definedName>
    <definedName name="Q_thrust_block_total">[32]Misc!$B$59:$U$63</definedName>
    <definedName name="Q_treatment">[32]BOQ!$A$11:$BD$400</definedName>
    <definedName name="Q_TYPI_1">[27]Intake!$F$7:$F$69</definedName>
    <definedName name="Q_TYPI_2">[27]Intake!$G$7:$G$69</definedName>
    <definedName name="Q_TYPI_3">[27]Intake!$H$7:$H$69</definedName>
    <definedName name="Q_TYPI_4">[27]Intake!$I$7:$I$69</definedName>
    <definedName name="Q_TYPI_5">[27]Intake!$J$7:$J$69</definedName>
    <definedName name="Q_WVC">'[32]F_Box Sum'!$A$100:$P$107</definedName>
    <definedName name="Q_WVC_MG">[27]VC!$L$6:$L$69</definedName>
    <definedName name="Q_WVC_MP">[27]VC!$M$6:$M$69</definedName>
    <definedName name="R_">#N/A</definedName>
    <definedName name="RATE">[49]SumRate!$A$8:$J$740</definedName>
    <definedName name="RBD">'[2]Data-Table'!$D$25</definedName>
    <definedName name="rBdgtHd" hidden="1">'[41]CONTROL PANEL'!$C$20:$C$45</definedName>
    <definedName name="RBW">'[2]Data-Table'!$D$24</definedName>
    <definedName name="RCCPIPE_1200_m_M">[23]Transport_Cost_F!$D$29</definedName>
    <definedName name="RCCPIPE_300_M_M">[23]Transport_Cost_F!$D$25</definedName>
    <definedName name="RCCPIPe_600_M_M">[23]Transport_Cost_F!$D$26</definedName>
    <definedName name="RCCPIpe_900_m_M">[23]Transport_Cost_F!$D$28</definedName>
    <definedName name="rDBSD2" hidden="1">[16]PipeDesign!$A$37:$AA$43</definedName>
    <definedName name="rDBSD3" hidden="1">[16]PipeDesign!$A$51:$AA$56</definedName>
    <definedName name="rDBSD4" hidden="1">[16]PipeDesign!$A$61:$AA$77</definedName>
    <definedName name="rDBSD5" hidden="1">[16]PipeDesign!$A$83:$AA$93</definedName>
    <definedName name="rDBSD6" hidden="1">[16]PipeDesign!$A$100:$AA$128</definedName>
    <definedName name="rDBST2" hidden="1">[16]PipeDesign!$A$34:$AA$36</definedName>
    <definedName name="rDBST3" hidden="1">[16]PipeDesign!$A$45:$AA$50</definedName>
    <definedName name="rDBST4" hidden="1">[16]PipeDesign!$A$58:$AA$60</definedName>
    <definedName name="rDBST5" hidden="1">[16]PipeDesign!$A$79:$AA$82</definedName>
    <definedName name="rDBST6" hidden="1">[16]PipeDesign!$A$95:$AA$99</definedName>
    <definedName name="rDCDL2" hidden="1">[16]PipeDesign!$M$38:$M$43</definedName>
    <definedName name="rDCDL3" hidden="1">[16]PipeDesign!$M$52:$M$56</definedName>
    <definedName name="rDCDL4" hidden="1">[16]PipeDesign!$M$62:$M$77</definedName>
    <definedName name="rDCDL5" hidden="1">[16]PipeDesign!$M$84:$M$93</definedName>
    <definedName name="rDCDL6" hidden="1">[16]PipeDesign!$M$101:$M$128</definedName>
    <definedName name="rDCTL2" hidden="1">[16]PipeDesign!$M$35:$M$36</definedName>
    <definedName name="rDCTL3" hidden="1">[16]PipeDesign!$M$46:$M$50</definedName>
    <definedName name="rDCTL4" hidden="1">[16]PipeDesign!$M$59:$M$60</definedName>
    <definedName name="rDCTL5" hidden="1">[16]PipeDesign!$M$80:$M$82</definedName>
    <definedName name="rDCTL6" hidden="1">[16]PipeDesign!$M$96:$M$99</definedName>
    <definedName name="rDistr" hidden="1">'[41]CONTROL PANEL'!$C$357:$C$431</definedName>
    <definedName name="rDJnt2" hidden="1">[17]PipeLineWork!$C$103:$C$138</definedName>
    <definedName name="rDJnt3" localSheetId="30" hidden="1">[8]pipeline!#REF!</definedName>
    <definedName name="rDJnt3" localSheetId="25" hidden="1">[8]pipeline!#REF!</definedName>
    <definedName name="rDJnt3" localSheetId="28" hidden="1">[8]pipeline!#REF!</definedName>
    <definedName name="rDJnt3" localSheetId="29" hidden="1">[8]pipeline!#REF!</definedName>
    <definedName name="rDJnt3" localSheetId="12" hidden="1">[8]pipeline!#REF!</definedName>
    <definedName name="rDJnt3" localSheetId="43" hidden="1">[8]pipeline!#REF!</definedName>
    <definedName name="rDJnt3" localSheetId="42" hidden="1">[8]pipeline!#REF!</definedName>
    <definedName name="rDJnt3" localSheetId="27" hidden="1">[8]pipeline!#REF!</definedName>
    <definedName name="rDJnt3" localSheetId="45" hidden="1">[8]pipeline!#REF!</definedName>
    <definedName name="rDJnt3" hidden="1">[8]pipeline!#REF!</definedName>
    <definedName name="rDJnt4" localSheetId="30" hidden="1">[8]pipeline!#REF!</definedName>
    <definedName name="rDJnt4" localSheetId="25" hidden="1">[8]pipeline!#REF!</definedName>
    <definedName name="rDJnt4" localSheetId="28" hidden="1">[8]pipeline!#REF!</definedName>
    <definedName name="rDJnt4" localSheetId="29" hidden="1">[8]pipeline!#REF!</definedName>
    <definedName name="rDJnt4" localSheetId="12" hidden="1">[8]pipeline!#REF!</definedName>
    <definedName name="rDJnt4" localSheetId="43" hidden="1">[8]pipeline!#REF!</definedName>
    <definedName name="rDJnt4" localSheetId="42" hidden="1">[8]pipeline!#REF!</definedName>
    <definedName name="rDJnt4" localSheetId="27" hidden="1">[8]pipeline!#REF!</definedName>
    <definedName name="rDJnt4" localSheetId="45" hidden="1">[8]pipeline!#REF!</definedName>
    <definedName name="rDJnt4" hidden="1">[8]pipeline!#REF!</definedName>
    <definedName name="rDJnt5" localSheetId="30" hidden="1">[8]pipeline!#REF!</definedName>
    <definedName name="rDJnt5" localSheetId="25" hidden="1">[8]pipeline!#REF!</definedName>
    <definedName name="rDJnt5" localSheetId="28" hidden="1">[8]pipeline!#REF!</definedName>
    <definedName name="rDJnt5" localSheetId="29" hidden="1">[8]pipeline!#REF!</definedName>
    <definedName name="rDJnt5" localSheetId="12" hidden="1">[8]pipeline!#REF!</definedName>
    <definedName name="rDJnt5" localSheetId="43" hidden="1">[8]pipeline!#REF!</definedName>
    <definedName name="rDJnt5" localSheetId="42" hidden="1">[8]pipeline!#REF!</definedName>
    <definedName name="rDJnt5" localSheetId="27" hidden="1">[8]pipeline!#REF!</definedName>
    <definedName name="rDJnt5" localSheetId="45" hidden="1">[8]pipeline!#REF!</definedName>
    <definedName name="rDJnt5" hidden="1">[8]pipeline!#REF!</definedName>
    <definedName name="rDJnt6" localSheetId="30" hidden="1">[8]pipeline!#REF!</definedName>
    <definedName name="rDJnt6" localSheetId="25" hidden="1">[8]pipeline!#REF!</definedName>
    <definedName name="rDJnt6" localSheetId="28" hidden="1">[8]pipeline!#REF!</definedName>
    <definedName name="rDJnt6" localSheetId="29" hidden="1">[8]pipeline!#REF!</definedName>
    <definedName name="rDJnt6" localSheetId="12" hidden="1">[8]pipeline!#REF!</definedName>
    <definedName name="rDJnt6" localSheetId="43" hidden="1">[8]pipeline!#REF!</definedName>
    <definedName name="rDJnt6" localSheetId="42" hidden="1">[8]pipeline!#REF!</definedName>
    <definedName name="rDJnt6" localSheetId="27" hidden="1">[8]pipeline!#REF!</definedName>
    <definedName name="rDJnt6" localSheetId="45" hidden="1">[8]pipeline!#REF!</definedName>
    <definedName name="rDJnt6" hidden="1">[8]pipeline!#REF!</definedName>
    <definedName name="re">[50]Rate!$D$51:$H$73</definedName>
    <definedName name="Re10_25">[5]DR!$D$34</definedName>
    <definedName name="Re28_32">[5]DR!$D$35</definedName>
    <definedName name="Red">[5]DR!$D$28</definedName>
    <definedName name="RedOx" localSheetId="30" hidden="1">[15]DRates!#REF!</definedName>
    <definedName name="RedOx" localSheetId="25" hidden="1">[15]DRates!#REF!</definedName>
    <definedName name="RedOx" localSheetId="28" hidden="1">[15]DRates!#REF!</definedName>
    <definedName name="RedOx" localSheetId="29" hidden="1">[15]DRates!#REF!</definedName>
    <definedName name="RedOx" localSheetId="12" hidden="1">[15]DRates!#REF!</definedName>
    <definedName name="RedOx" localSheetId="43" hidden="1">[15]DRates!#REF!</definedName>
    <definedName name="RedOx" localSheetId="42" hidden="1">[15]DRates!#REF!</definedName>
    <definedName name="RedOx" localSheetId="27" hidden="1">[15]DRates!#REF!</definedName>
    <definedName name="RedOx" localSheetId="45" hidden="1">[15]DRates!#REF!</definedName>
    <definedName name="RedOx" hidden="1">[15]DRates!#REF!</definedName>
    <definedName name="Reinforcement_MT_M">[23]Transport_Cost_F!$D$12</definedName>
    <definedName name="reservoir_tank_bound">[32]sum_F_RVT_ALL!$A$5:$U$32</definedName>
    <definedName name="rFRT18" localSheetId="30" hidden="1">[12]FRT!#REF!</definedName>
    <definedName name="rFRT18" localSheetId="25" hidden="1">[12]FRT!#REF!</definedName>
    <definedName name="rFRT18" localSheetId="28" hidden="1">[12]FRT!#REF!</definedName>
    <definedName name="rFRT18" localSheetId="29" hidden="1">[12]FRT!#REF!</definedName>
    <definedName name="rFRT18" localSheetId="12" hidden="1">[12]FRT!#REF!</definedName>
    <definedName name="rFRT18" localSheetId="43" hidden="1">[12]FRT!#REF!</definedName>
    <definedName name="rFRT18" localSheetId="42" hidden="1">[12]FRT!#REF!</definedName>
    <definedName name="rFRT18" localSheetId="27" hidden="1">[12]FRT!#REF!</definedName>
    <definedName name="rFRT18" localSheetId="45" hidden="1">[12]FRT!#REF!</definedName>
    <definedName name="rFRT18" hidden="1">[12]FRT!#REF!</definedName>
    <definedName name="rFRT3" localSheetId="30" hidden="1">[8]FRT!#REF!</definedName>
    <definedName name="rFRT3" localSheetId="25" hidden="1">[8]FRT!#REF!</definedName>
    <definedName name="rFRT3" localSheetId="28" hidden="1">[8]FRT!#REF!</definedName>
    <definedName name="rFRT3" localSheetId="29" hidden="1">[8]FRT!#REF!</definedName>
    <definedName name="rFRT3" localSheetId="12" hidden="1">[8]FRT!#REF!</definedName>
    <definedName name="rFRT3" localSheetId="43" hidden="1">[8]FRT!#REF!</definedName>
    <definedName name="rFRT3" localSheetId="42" hidden="1">[8]FRT!#REF!</definedName>
    <definedName name="rFRT3" localSheetId="27" hidden="1">[8]FRT!#REF!</definedName>
    <definedName name="rFRT3" localSheetId="45" hidden="1">[8]FRT!#REF!</definedName>
    <definedName name="rFRT3" hidden="1">[8]FRT!#REF!</definedName>
    <definedName name="rl">[50]Rate!$D$16:$H$22</definedName>
    <definedName name="rLDL2" hidden="1">[16]PipeDesign!$D$38:$D$43</definedName>
    <definedName name="rLDL3" hidden="1">[16]PipeDesign!$D$52:$D$56</definedName>
    <definedName name="rLDL4" hidden="1">[16]PipeDesign!$D$62:$D$77</definedName>
    <definedName name="rLDL5" hidden="1">[16]PipeDesign!$D$84:$D$93</definedName>
    <definedName name="rLDL6" hidden="1">[16]PipeDesign!$D$101:$D$128</definedName>
    <definedName name="rLTL2" hidden="1">[16]PipeDesign!$D$35:$D$36</definedName>
    <definedName name="rLTL3" hidden="1">[16]PipeDesign!$D$46:$D$50</definedName>
    <definedName name="rLTL4" hidden="1">[16]PipeDesign!$D$59:$D$60</definedName>
    <definedName name="rLTL5" hidden="1">[16]PipeDesign!$D$80:$D$82</definedName>
    <definedName name="rLTL6" hidden="1">[16]PipeDesign!$D$96:$D$99</definedName>
    <definedName name="rm">[50]Rate!$D$28:$H$48</definedName>
    <definedName name="rNodRLB2" hidden="1">[17]PipeDesign!$B$144:$AA$155</definedName>
    <definedName name="rNodRLC2" hidden="1">[17]PipeDesign!$C$144:$AA$155</definedName>
    <definedName name="rNodRLX2" hidden="1">[17]PipeDesign!$B$144:$B$155</definedName>
    <definedName name="Roller">[5]DR!$D$60</definedName>
    <definedName name="Roller_E">'[23]Equipment Rates'!$D$12</definedName>
    <definedName name="rPrD2" hidden="1">[17]ProfileData!$B$44:$B$49</definedName>
    <definedName name="rPrDtB2" hidden="1">[17]ProfileData!$B$45:$G$49</definedName>
    <definedName name="rPrDtC2" hidden="1">[17]ProfileData!$C$45:$G$49</definedName>
    <definedName name="rPrjList1" localSheetId="30" hidden="1">[28]Data!#REF!</definedName>
    <definedName name="rPrjList1" localSheetId="25" hidden="1">[28]Data!#REF!</definedName>
    <definedName name="rPrjList1" localSheetId="28" hidden="1">[28]Data!#REF!</definedName>
    <definedName name="rPrjList1" localSheetId="29" hidden="1">[28]Data!#REF!</definedName>
    <definedName name="rPrjList1" localSheetId="12" hidden="1">[28]Data!#REF!</definedName>
    <definedName name="rPrjList1" localSheetId="43" hidden="1">[28]Data!#REF!</definedName>
    <definedName name="rPrjList1" localSheetId="42" hidden="1">[28]Data!#REF!</definedName>
    <definedName name="rPrjList1" localSheetId="27" hidden="1">[28]Data!#REF!</definedName>
    <definedName name="rPrjList1" localSheetId="45" hidden="1">[28]Data!#REF!</definedName>
    <definedName name="rPrjList1" hidden="1">[28]Data!#REF!</definedName>
    <definedName name="rPrjList11" localSheetId="30" hidden="1">[28]Data!#REF!</definedName>
    <definedName name="rPrjList11" localSheetId="25" hidden="1">[28]Data!#REF!</definedName>
    <definedName name="rPrjList11" localSheetId="28" hidden="1">[28]Data!#REF!</definedName>
    <definedName name="rPrjList11" localSheetId="29" hidden="1">[28]Data!#REF!</definedName>
    <definedName name="rPrjList11" localSheetId="12" hidden="1">[28]Data!#REF!</definedName>
    <definedName name="rPrjList11" localSheetId="43" hidden="1">[28]Data!#REF!</definedName>
    <definedName name="rPrjList11" localSheetId="42" hidden="1">[28]Data!#REF!</definedName>
    <definedName name="rPrjList11" localSheetId="27" hidden="1">[28]Data!#REF!</definedName>
    <definedName name="rPrjList11" localSheetId="45" hidden="1">[28]Data!#REF!</definedName>
    <definedName name="rPrjList11" hidden="1">[28]Data!#REF!</definedName>
    <definedName name="rRCT25" localSheetId="30" hidden="1">#REF!</definedName>
    <definedName name="rRCT25" localSheetId="25" hidden="1">#REF!</definedName>
    <definedName name="rRCT25" localSheetId="28" hidden="1">#REF!</definedName>
    <definedName name="rRCT25" localSheetId="29" hidden="1">#REF!</definedName>
    <definedName name="rRCT25" localSheetId="7" hidden="1">#REF!</definedName>
    <definedName name="rRCT25" localSheetId="12" hidden="1">#REF!</definedName>
    <definedName name="rRCT25" localSheetId="43" hidden="1">#REF!</definedName>
    <definedName name="rRCT25" localSheetId="42" hidden="1">#REF!</definedName>
    <definedName name="rRCT25" localSheetId="27" hidden="1">#REF!</definedName>
    <definedName name="rRCT25" localSheetId="45" hidden="1">#REF!</definedName>
    <definedName name="rRCT25" hidden="1">#REF!</definedName>
    <definedName name="RS_1" localSheetId="30">#REF!</definedName>
    <definedName name="RS_1" localSheetId="25">#REF!</definedName>
    <definedName name="RS_1" localSheetId="28">#REF!</definedName>
    <definedName name="RS_1" localSheetId="29">#REF!</definedName>
    <definedName name="RS_1" localSheetId="12">#REF!</definedName>
    <definedName name="RS_1" localSheetId="43">#REF!</definedName>
    <definedName name="RS_1" localSheetId="42">#REF!</definedName>
    <definedName name="RS_1" localSheetId="27">#REF!</definedName>
    <definedName name="RS_1" localSheetId="45">#REF!</definedName>
    <definedName name="RS_1">#REF!</definedName>
    <definedName name="RS_10" localSheetId="30">#REF!</definedName>
    <definedName name="RS_10" localSheetId="25">#REF!</definedName>
    <definedName name="RS_10" localSheetId="28">#REF!</definedName>
    <definedName name="RS_10" localSheetId="29">#REF!</definedName>
    <definedName name="RS_10" localSheetId="12">#REF!</definedName>
    <definedName name="RS_10" localSheetId="43">#REF!</definedName>
    <definedName name="RS_10" localSheetId="42">#REF!</definedName>
    <definedName name="RS_10" localSheetId="27">#REF!</definedName>
    <definedName name="RS_10" localSheetId="45">#REF!</definedName>
    <definedName name="RS_10">#REF!</definedName>
    <definedName name="RS_11" localSheetId="30">#REF!</definedName>
    <definedName name="RS_11" localSheetId="25">#REF!</definedName>
    <definedName name="RS_11" localSheetId="28">#REF!</definedName>
    <definedName name="RS_11" localSheetId="29">#REF!</definedName>
    <definedName name="RS_11" localSheetId="12">#REF!</definedName>
    <definedName name="RS_11" localSheetId="43">#REF!</definedName>
    <definedName name="RS_11" localSheetId="42">#REF!</definedName>
    <definedName name="RS_11" localSheetId="27">#REF!</definedName>
    <definedName name="RS_11" localSheetId="45">#REF!</definedName>
    <definedName name="RS_11">#REF!</definedName>
    <definedName name="RS_12" localSheetId="30">#REF!</definedName>
    <definedName name="RS_12" localSheetId="25">#REF!</definedName>
    <definedName name="RS_12" localSheetId="28">#REF!</definedName>
    <definedName name="RS_12" localSheetId="29">#REF!</definedName>
    <definedName name="RS_12" localSheetId="12">#REF!</definedName>
    <definedName name="RS_12" localSheetId="43">#REF!</definedName>
    <definedName name="RS_12" localSheetId="42">#REF!</definedName>
    <definedName name="RS_12" localSheetId="27">#REF!</definedName>
    <definedName name="RS_12" localSheetId="45">#REF!</definedName>
    <definedName name="RS_12">#REF!</definedName>
    <definedName name="RS_13" localSheetId="30">#REF!</definedName>
    <definedName name="RS_13" localSheetId="25">#REF!</definedName>
    <definedName name="RS_13" localSheetId="28">#REF!</definedName>
    <definedName name="RS_13" localSheetId="29">#REF!</definedName>
    <definedName name="RS_13" localSheetId="12">#REF!</definedName>
    <definedName name="RS_13" localSheetId="43">#REF!</definedName>
    <definedName name="RS_13" localSheetId="42">#REF!</definedName>
    <definedName name="RS_13" localSheetId="27">#REF!</definedName>
    <definedName name="RS_13" localSheetId="45">#REF!</definedName>
    <definedName name="RS_13">#REF!</definedName>
    <definedName name="RS_14" localSheetId="30">#REF!</definedName>
    <definedName name="RS_14" localSheetId="25">#REF!</definedName>
    <definedName name="RS_14" localSheetId="28">#REF!</definedName>
    <definedName name="RS_14" localSheetId="29">#REF!</definedName>
    <definedName name="RS_14" localSheetId="12">#REF!</definedName>
    <definedName name="RS_14" localSheetId="43">#REF!</definedName>
    <definedName name="RS_14" localSheetId="42">#REF!</definedName>
    <definedName name="RS_14" localSheetId="27">#REF!</definedName>
    <definedName name="RS_14" localSheetId="45">#REF!</definedName>
    <definedName name="RS_14">#REF!</definedName>
    <definedName name="RS_15" localSheetId="30">#REF!</definedName>
    <definedName name="RS_15" localSheetId="25">#REF!</definedName>
    <definedName name="RS_15" localSheetId="28">#REF!</definedName>
    <definedName name="RS_15" localSheetId="29">#REF!</definedName>
    <definedName name="RS_15" localSheetId="12">#REF!</definedName>
    <definedName name="RS_15" localSheetId="43">#REF!</definedName>
    <definedName name="RS_15" localSheetId="42">#REF!</definedName>
    <definedName name="RS_15" localSheetId="27">#REF!</definedName>
    <definedName name="RS_15" localSheetId="45">#REF!</definedName>
    <definedName name="RS_15">#REF!</definedName>
    <definedName name="RS_2" localSheetId="30">#REF!</definedName>
    <definedName name="RS_2" localSheetId="25">#REF!</definedName>
    <definedName name="RS_2" localSheetId="28">#REF!</definedName>
    <definedName name="RS_2" localSheetId="29">#REF!</definedName>
    <definedName name="RS_2" localSheetId="12">#REF!</definedName>
    <definedName name="RS_2" localSheetId="43">#REF!</definedName>
    <definedName name="RS_2" localSheetId="42">#REF!</definedName>
    <definedName name="RS_2" localSheetId="27">#REF!</definedName>
    <definedName name="RS_2" localSheetId="45">#REF!</definedName>
    <definedName name="RS_2">#REF!</definedName>
    <definedName name="RS_3" localSheetId="30">#REF!</definedName>
    <definedName name="RS_3" localSheetId="25">#REF!</definedName>
    <definedName name="RS_3" localSheetId="28">#REF!</definedName>
    <definedName name="RS_3" localSheetId="29">#REF!</definedName>
    <definedName name="RS_3" localSheetId="12">#REF!</definedName>
    <definedName name="RS_3" localSheetId="43">#REF!</definedName>
    <definedName name="RS_3" localSheetId="42">#REF!</definedName>
    <definedName name="RS_3" localSheetId="27">#REF!</definedName>
    <definedName name="RS_3" localSheetId="45">#REF!</definedName>
    <definedName name="RS_3">#REF!</definedName>
    <definedName name="RS_4" localSheetId="30">#REF!</definedName>
    <definedName name="RS_4" localSheetId="25">#REF!</definedName>
    <definedName name="RS_4" localSheetId="28">#REF!</definedName>
    <definedName name="RS_4" localSheetId="29">#REF!</definedName>
    <definedName name="RS_4" localSheetId="12">#REF!</definedName>
    <definedName name="RS_4" localSheetId="43">#REF!</definedName>
    <definedName name="RS_4" localSheetId="42">#REF!</definedName>
    <definedName name="RS_4" localSheetId="27">#REF!</definedName>
    <definedName name="RS_4" localSheetId="45">#REF!</definedName>
    <definedName name="RS_4">#REF!</definedName>
    <definedName name="RS_5" localSheetId="30">#REF!</definedName>
    <definedName name="RS_5" localSheetId="25">#REF!</definedName>
    <definedName name="RS_5" localSheetId="28">#REF!</definedName>
    <definedName name="RS_5" localSheetId="29">#REF!</definedName>
    <definedName name="RS_5" localSheetId="12">#REF!</definedName>
    <definedName name="RS_5" localSheetId="43">#REF!</definedName>
    <definedName name="RS_5" localSheetId="42">#REF!</definedName>
    <definedName name="RS_5" localSheetId="27">#REF!</definedName>
    <definedName name="RS_5" localSheetId="45">#REF!</definedName>
    <definedName name="RS_5">#REF!</definedName>
    <definedName name="RS_6" localSheetId="30">#REF!</definedName>
    <definedName name="RS_6" localSheetId="25">#REF!</definedName>
    <definedName name="RS_6" localSheetId="28">#REF!</definedName>
    <definedName name="RS_6" localSheetId="29">#REF!</definedName>
    <definedName name="RS_6" localSheetId="12">#REF!</definedName>
    <definedName name="RS_6" localSheetId="43">#REF!</definedName>
    <definedName name="RS_6" localSheetId="42">#REF!</definedName>
    <definedName name="RS_6" localSheetId="27">#REF!</definedName>
    <definedName name="RS_6" localSheetId="45">#REF!</definedName>
    <definedName name="RS_6">#REF!</definedName>
    <definedName name="RS_7" localSheetId="30">#REF!</definedName>
    <definedName name="RS_7" localSheetId="25">#REF!</definedName>
    <definedName name="RS_7" localSheetId="28">#REF!</definedName>
    <definedName name="RS_7" localSheetId="29">#REF!</definedName>
    <definedName name="RS_7" localSheetId="12">#REF!</definedName>
    <definedName name="RS_7" localSheetId="43">#REF!</definedName>
    <definedName name="RS_7" localSheetId="42">#REF!</definedName>
    <definedName name="RS_7" localSheetId="27">#REF!</definedName>
    <definedName name="RS_7" localSheetId="45">#REF!</definedName>
    <definedName name="RS_7">#REF!</definedName>
    <definedName name="RS_8" localSheetId="30">#REF!</definedName>
    <definedName name="RS_8" localSheetId="25">#REF!</definedName>
    <definedName name="RS_8" localSheetId="28">#REF!</definedName>
    <definedName name="RS_8" localSheetId="29">#REF!</definedName>
    <definedName name="RS_8" localSheetId="12">#REF!</definedName>
    <definedName name="RS_8" localSheetId="43">#REF!</definedName>
    <definedName name="RS_8" localSheetId="42">#REF!</definedName>
    <definedName name="RS_8" localSheetId="27">#REF!</definedName>
    <definedName name="RS_8" localSheetId="45">#REF!</definedName>
    <definedName name="RS_8">#REF!</definedName>
    <definedName name="RS_9" localSheetId="30">#REF!</definedName>
    <definedName name="RS_9" localSheetId="25">#REF!</definedName>
    <definedName name="RS_9" localSheetId="28">#REF!</definedName>
    <definedName name="RS_9" localSheetId="29">#REF!</definedName>
    <definedName name="RS_9" localSheetId="12">#REF!</definedName>
    <definedName name="RS_9" localSheetId="43">#REF!</definedName>
    <definedName name="RS_9" localSheetId="42">#REF!</definedName>
    <definedName name="RS_9" localSheetId="27">#REF!</definedName>
    <definedName name="RS_9" localSheetId="45">#REF!</definedName>
    <definedName name="RS_9">#REF!</definedName>
    <definedName name="rSchLen2" hidden="1">[17]PipeDesign!$D$144:$D$155</definedName>
    <definedName name="rSec2" hidden="1">[17]PipeDesign!$A$144:$A$155</definedName>
    <definedName name="rSeg2" hidden="1">[17]ProfileData!$A$45:$A$49</definedName>
    <definedName name="Rsoil">[37]DR!$D$18</definedName>
    <definedName name="s_fea" localSheetId="30">#REF!</definedName>
    <definedName name="s_fea" localSheetId="25">#REF!</definedName>
    <definedName name="s_fea" localSheetId="28">#REF!</definedName>
    <definedName name="s_fea" localSheetId="29">#REF!</definedName>
    <definedName name="s_fea" localSheetId="12">#REF!</definedName>
    <definedName name="s_fea" localSheetId="43">#REF!</definedName>
    <definedName name="s_fea" localSheetId="42">#REF!</definedName>
    <definedName name="s_fea" localSheetId="27">#REF!</definedName>
    <definedName name="s_fea" localSheetId="45">#REF!</definedName>
    <definedName name="s_fea">#REF!</definedName>
    <definedName name="saa">[19]Rates!$D$76</definedName>
    <definedName name="Sad_110x20" localSheetId="30">#REF!</definedName>
    <definedName name="Sad_110x20" localSheetId="25">#REF!</definedName>
    <definedName name="Sad_110x20" localSheetId="28">#REF!</definedName>
    <definedName name="Sad_110x20" localSheetId="29">#REF!</definedName>
    <definedName name="Sad_110x20" localSheetId="12">#REF!</definedName>
    <definedName name="Sad_110x20" localSheetId="43">#REF!</definedName>
    <definedName name="Sad_110x20" localSheetId="42">#REF!</definedName>
    <definedName name="Sad_110x20" localSheetId="27">#REF!</definedName>
    <definedName name="Sad_110x20" localSheetId="45">#REF!</definedName>
    <definedName name="Sad_110x20">#REF!</definedName>
    <definedName name="Sad_125x20" localSheetId="30">#REF!</definedName>
    <definedName name="Sad_125x20" localSheetId="25">#REF!</definedName>
    <definedName name="Sad_125x20" localSheetId="28">#REF!</definedName>
    <definedName name="Sad_125x20" localSheetId="29">#REF!</definedName>
    <definedName name="Sad_125x20" localSheetId="12">#REF!</definedName>
    <definedName name="Sad_125x20" localSheetId="43">#REF!</definedName>
    <definedName name="Sad_125x20" localSheetId="42">#REF!</definedName>
    <definedName name="Sad_125x20" localSheetId="27">#REF!</definedName>
    <definedName name="Sad_125x20" localSheetId="45">#REF!</definedName>
    <definedName name="Sad_125x20">#REF!</definedName>
    <definedName name="Sad_140x20" localSheetId="30">#REF!</definedName>
    <definedName name="Sad_140x20" localSheetId="25">#REF!</definedName>
    <definedName name="Sad_140x20" localSheetId="28">#REF!</definedName>
    <definedName name="Sad_140x20" localSheetId="29">#REF!</definedName>
    <definedName name="Sad_140x20" localSheetId="12">#REF!</definedName>
    <definedName name="Sad_140x20" localSheetId="43">#REF!</definedName>
    <definedName name="Sad_140x20" localSheetId="42">#REF!</definedName>
    <definedName name="Sad_140x20" localSheetId="27">#REF!</definedName>
    <definedName name="Sad_140x20" localSheetId="45">#REF!</definedName>
    <definedName name="Sad_140x20">#REF!</definedName>
    <definedName name="Sad_160x20" localSheetId="30">#REF!</definedName>
    <definedName name="Sad_160x20" localSheetId="25">#REF!</definedName>
    <definedName name="Sad_160x20" localSheetId="28">#REF!</definedName>
    <definedName name="Sad_160x20" localSheetId="29">#REF!</definedName>
    <definedName name="Sad_160x20" localSheetId="12">#REF!</definedName>
    <definedName name="Sad_160x20" localSheetId="43">#REF!</definedName>
    <definedName name="Sad_160x20" localSheetId="42">#REF!</definedName>
    <definedName name="Sad_160x20" localSheetId="27">#REF!</definedName>
    <definedName name="Sad_160x20" localSheetId="45">#REF!</definedName>
    <definedName name="Sad_160x20">#REF!</definedName>
    <definedName name="Sad_180x20" localSheetId="30">#REF!</definedName>
    <definedName name="Sad_180x20" localSheetId="25">#REF!</definedName>
    <definedName name="Sad_180x20" localSheetId="28">#REF!</definedName>
    <definedName name="Sad_180x20" localSheetId="29">#REF!</definedName>
    <definedName name="Sad_180x20" localSheetId="12">#REF!</definedName>
    <definedName name="Sad_180x20" localSheetId="43">#REF!</definedName>
    <definedName name="Sad_180x20" localSheetId="42">#REF!</definedName>
    <definedName name="Sad_180x20" localSheetId="27">#REF!</definedName>
    <definedName name="Sad_180x20" localSheetId="45">#REF!</definedName>
    <definedName name="Sad_180x20">#REF!</definedName>
    <definedName name="Sad_200x20" localSheetId="30">#REF!</definedName>
    <definedName name="Sad_200x20" localSheetId="25">#REF!</definedName>
    <definedName name="Sad_200x20" localSheetId="28">#REF!</definedName>
    <definedName name="Sad_200x20" localSheetId="29">#REF!</definedName>
    <definedName name="Sad_200x20" localSheetId="12">#REF!</definedName>
    <definedName name="Sad_200x20" localSheetId="43">#REF!</definedName>
    <definedName name="Sad_200x20" localSheetId="42">#REF!</definedName>
    <definedName name="Sad_200x20" localSheetId="27">#REF!</definedName>
    <definedName name="Sad_200x20" localSheetId="45">#REF!</definedName>
    <definedName name="Sad_200x20">#REF!</definedName>
    <definedName name="Sad_225x20" localSheetId="30">#REF!</definedName>
    <definedName name="Sad_225x20" localSheetId="25">#REF!</definedName>
    <definedName name="Sad_225x20" localSheetId="28">#REF!</definedName>
    <definedName name="Sad_225x20" localSheetId="29">#REF!</definedName>
    <definedName name="Sad_225x20" localSheetId="12">#REF!</definedName>
    <definedName name="Sad_225x20" localSheetId="43">#REF!</definedName>
    <definedName name="Sad_225x20" localSheetId="42">#REF!</definedName>
    <definedName name="Sad_225x20" localSheetId="27">#REF!</definedName>
    <definedName name="Sad_225x20" localSheetId="45">#REF!</definedName>
    <definedName name="Sad_225x20">#REF!</definedName>
    <definedName name="Sad_250x20" localSheetId="30">#REF!</definedName>
    <definedName name="Sad_250x20" localSheetId="25">#REF!</definedName>
    <definedName name="Sad_250x20" localSheetId="28">#REF!</definedName>
    <definedName name="Sad_250x20" localSheetId="29">#REF!</definedName>
    <definedName name="Sad_250x20" localSheetId="12">#REF!</definedName>
    <definedName name="Sad_250x20" localSheetId="43">#REF!</definedName>
    <definedName name="Sad_250x20" localSheetId="42">#REF!</definedName>
    <definedName name="Sad_250x20" localSheetId="27">#REF!</definedName>
    <definedName name="Sad_250x20" localSheetId="45">#REF!</definedName>
    <definedName name="Sad_250x20">#REF!</definedName>
    <definedName name="Sad_355x20" localSheetId="30">#REF!</definedName>
    <definedName name="Sad_355x20" localSheetId="25">#REF!</definedName>
    <definedName name="Sad_355x20" localSheetId="28">#REF!</definedName>
    <definedName name="Sad_355x20" localSheetId="29">#REF!</definedName>
    <definedName name="Sad_355x20" localSheetId="12">#REF!</definedName>
    <definedName name="Sad_355x20" localSheetId="43">#REF!</definedName>
    <definedName name="Sad_355x20" localSheetId="42">#REF!</definedName>
    <definedName name="Sad_355x20" localSheetId="27">#REF!</definedName>
    <definedName name="Sad_355x20" localSheetId="45">#REF!</definedName>
    <definedName name="Sad_355x20">#REF!</definedName>
    <definedName name="Sad_40x20" localSheetId="30">#REF!</definedName>
    <definedName name="Sad_40x20" localSheetId="25">#REF!</definedName>
    <definedName name="Sad_40x20" localSheetId="28">#REF!</definedName>
    <definedName name="Sad_40x20" localSheetId="29">#REF!</definedName>
    <definedName name="Sad_40x20" localSheetId="12">#REF!</definedName>
    <definedName name="Sad_40x20" localSheetId="43">#REF!</definedName>
    <definedName name="Sad_40x20" localSheetId="42">#REF!</definedName>
    <definedName name="Sad_40x20" localSheetId="27">#REF!</definedName>
    <definedName name="Sad_40x20" localSheetId="45">#REF!</definedName>
    <definedName name="Sad_40x20">#REF!</definedName>
    <definedName name="Sad_50x20" localSheetId="30">#REF!</definedName>
    <definedName name="Sad_50x20" localSheetId="25">#REF!</definedName>
    <definedName name="Sad_50x20" localSheetId="28">#REF!</definedName>
    <definedName name="Sad_50x20" localSheetId="29">#REF!</definedName>
    <definedName name="Sad_50x20" localSheetId="12">#REF!</definedName>
    <definedName name="Sad_50x20" localSheetId="43">#REF!</definedName>
    <definedName name="Sad_50x20" localSheetId="42">#REF!</definedName>
    <definedName name="Sad_50x20" localSheetId="27">#REF!</definedName>
    <definedName name="Sad_50x20" localSheetId="45">#REF!</definedName>
    <definedName name="Sad_50x20">#REF!</definedName>
    <definedName name="Sad_63x20" localSheetId="30">#REF!</definedName>
    <definedName name="Sad_63x20" localSheetId="25">#REF!</definedName>
    <definedName name="Sad_63x20" localSheetId="28">#REF!</definedName>
    <definedName name="Sad_63x20" localSheetId="29">#REF!</definedName>
    <definedName name="Sad_63x20" localSheetId="12">#REF!</definedName>
    <definedName name="Sad_63x20" localSheetId="43">#REF!</definedName>
    <definedName name="Sad_63x20" localSheetId="42">#REF!</definedName>
    <definedName name="Sad_63x20" localSheetId="27">#REF!</definedName>
    <definedName name="Sad_63x20" localSheetId="45">#REF!</definedName>
    <definedName name="Sad_63x20">#REF!</definedName>
    <definedName name="Sad_75x20" localSheetId="30">#REF!</definedName>
    <definedName name="Sad_75x20" localSheetId="25">#REF!</definedName>
    <definedName name="Sad_75x20" localSheetId="28">#REF!</definedName>
    <definedName name="Sad_75x20" localSheetId="29">#REF!</definedName>
    <definedName name="Sad_75x20" localSheetId="12">#REF!</definedName>
    <definedName name="Sad_75x20" localSheetId="43">#REF!</definedName>
    <definedName name="Sad_75x20" localSheetId="42">#REF!</definedName>
    <definedName name="Sad_75x20" localSheetId="27">#REF!</definedName>
    <definedName name="Sad_75x20" localSheetId="45">#REF!</definedName>
    <definedName name="Sad_75x20">#REF!</definedName>
    <definedName name="Sad_90x20" localSheetId="30">#REF!</definedName>
    <definedName name="Sad_90x20" localSheetId="25">#REF!</definedName>
    <definedName name="Sad_90x20" localSheetId="28">#REF!</definedName>
    <definedName name="Sad_90x20" localSheetId="29">#REF!</definedName>
    <definedName name="Sad_90x20" localSheetId="12">#REF!</definedName>
    <definedName name="Sad_90x20" localSheetId="43">#REF!</definedName>
    <definedName name="Sad_90x20" localSheetId="42">#REF!</definedName>
    <definedName name="Sad_90x20" localSheetId="27">#REF!</definedName>
    <definedName name="Sad_90x20" localSheetId="45">#REF!</definedName>
    <definedName name="Sad_90x20">#REF!</definedName>
    <definedName name="sal">[8]MatCol!$K$67</definedName>
    <definedName name="Salwood" hidden="1">[8]MatCol!$U$28</definedName>
    <definedName name="sand">'[22]District Rates'!$E$14</definedName>
    <definedName name="Sand_Cum_M">[21]Transport_Cost_F!$D$39</definedName>
    <definedName name="Sand1">[19]Rates!$D$54</definedName>
    <definedName name="sass" localSheetId="17">[24]Ta403!$J$8</definedName>
    <definedName name="sass">[24]Ta403!$J$8</definedName>
    <definedName name="sb" localSheetId="30">#REF!</definedName>
    <definedName name="sb" localSheetId="25">#REF!</definedName>
    <definedName name="sb" localSheetId="28">#REF!</definedName>
    <definedName name="sb" localSheetId="29">#REF!</definedName>
    <definedName name="sb" localSheetId="12">#REF!</definedName>
    <definedName name="sb" localSheetId="43">#REF!</definedName>
    <definedName name="sb" localSheetId="42">#REF!</definedName>
    <definedName name="sb" localSheetId="27">#REF!</definedName>
    <definedName name="sb" localSheetId="45">#REF!</definedName>
    <definedName name="sb">#REF!</definedName>
    <definedName name="SbSys0102" hidden="1">'[17]Dmand 1'!$A$15:$P$23</definedName>
    <definedName name="SC">'[2]Data-Table'!$D$11</definedName>
    <definedName name="SC_10" localSheetId="30">#REF!</definedName>
    <definedName name="SC_10" localSheetId="25">#REF!</definedName>
    <definedName name="SC_10" localSheetId="28">#REF!</definedName>
    <definedName name="SC_10" localSheetId="29">#REF!</definedName>
    <definedName name="SC_10" localSheetId="12">#REF!</definedName>
    <definedName name="SC_10" localSheetId="43">#REF!</definedName>
    <definedName name="SC_10" localSheetId="42">#REF!</definedName>
    <definedName name="SC_10" localSheetId="27">#REF!</definedName>
    <definedName name="SC_10" localSheetId="45">#REF!</definedName>
    <definedName name="SC_10">#REF!</definedName>
    <definedName name="Sch_Data" localSheetId="30">#REF!</definedName>
    <definedName name="Sch_Data" localSheetId="25">#REF!</definedName>
    <definedName name="Sch_Data" localSheetId="28">#REF!</definedName>
    <definedName name="Sch_Data" localSheetId="29">#REF!</definedName>
    <definedName name="Sch_Data" localSheetId="12">#REF!</definedName>
    <definedName name="Sch_Data" localSheetId="43">#REF!</definedName>
    <definedName name="Sch_Data" localSheetId="42">#REF!</definedName>
    <definedName name="Sch_Data" localSheetId="27">#REF!</definedName>
    <definedName name="Sch_Data" localSheetId="45">#REF!</definedName>
    <definedName name="Sch_Data">#REF!</definedName>
    <definedName name="SchLen2" hidden="1">[17]PipeDesign!$D$142</definedName>
    <definedName name="ScreeningPlant_E">'[23]Equipment Rates'!$D$28</definedName>
    <definedName name="ScrewJack_E">'[21]Equipment Rates'!$D$16</definedName>
    <definedName name="ScS">'[44]District Rate'!$C$17</definedName>
    <definedName name="sd">[4]Sheet1!$D$17</definedName>
    <definedName name="sdsa">[19]Rates!$D$61</definedName>
    <definedName name="sdsad">[19]Rates!$D$58</definedName>
    <definedName name="sdsadsad">[19]Rates!$D$14</definedName>
    <definedName name="SDW_15" localSheetId="30">#REF!</definedName>
    <definedName name="SDW_15" localSheetId="25">#REF!</definedName>
    <definedName name="SDW_15" localSheetId="28">#REF!</definedName>
    <definedName name="SDW_15" localSheetId="29">#REF!</definedName>
    <definedName name="SDW_15" localSheetId="12">#REF!</definedName>
    <definedName name="SDW_15" localSheetId="43">#REF!</definedName>
    <definedName name="SDW_15" localSheetId="42">#REF!</definedName>
    <definedName name="SDW_15" localSheetId="27">#REF!</definedName>
    <definedName name="SDW_15" localSheetId="45">#REF!</definedName>
    <definedName name="SDW_15">#REF!</definedName>
    <definedName name="SDW_20" localSheetId="30">#REF!</definedName>
    <definedName name="SDW_20" localSheetId="25">#REF!</definedName>
    <definedName name="SDW_20" localSheetId="28">#REF!</definedName>
    <definedName name="SDW_20" localSheetId="29">#REF!</definedName>
    <definedName name="SDW_20" localSheetId="12">#REF!</definedName>
    <definedName name="SDW_20" localSheetId="43">#REF!</definedName>
    <definedName name="SDW_20" localSheetId="42">#REF!</definedName>
    <definedName name="SDW_20" localSheetId="27">#REF!</definedName>
    <definedName name="SDW_20" localSheetId="45">#REF!</definedName>
    <definedName name="SDW_20">#REF!</definedName>
    <definedName name="SDW_25" localSheetId="30">#REF!</definedName>
    <definedName name="SDW_25" localSheetId="25">#REF!</definedName>
    <definedName name="SDW_25" localSheetId="28">#REF!</definedName>
    <definedName name="SDW_25" localSheetId="29">#REF!</definedName>
    <definedName name="SDW_25" localSheetId="12">#REF!</definedName>
    <definedName name="SDW_25" localSheetId="43">#REF!</definedName>
    <definedName name="SDW_25" localSheetId="42">#REF!</definedName>
    <definedName name="SDW_25" localSheetId="27">#REF!</definedName>
    <definedName name="SDW_25" localSheetId="45">#REF!</definedName>
    <definedName name="SDW_25">#REF!</definedName>
    <definedName name="Seedling_M">[23]Transport_Cost_F!$D$65</definedName>
    <definedName name="Selvedgewire_Kg_M">[21]Transport_Cost_F!$D$15</definedName>
    <definedName name="semi">[8]DRates!$H$16</definedName>
    <definedName name="Semiskilled">'[22]District Rates'!$E$9</definedName>
    <definedName name="sencount" hidden="1">1</definedName>
    <definedName name="SeS" localSheetId="30">#REF!</definedName>
    <definedName name="SeS" localSheetId="25">#REF!</definedName>
    <definedName name="SeS" localSheetId="28">#REF!</definedName>
    <definedName name="SeS" localSheetId="29">#REF!</definedName>
    <definedName name="SeS" localSheetId="12">#REF!</definedName>
    <definedName name="SeS" localSheetId="43">#REF!</definedName>
    <definedName name="SeS" localSheetId="42">#REF!</definedName>
    <definedName name="SeS" localSheetId="27">#REF!</definedName>
    <definedName name="SeS" localSheetId="45">#REF!</definedName>
    <definedName name="SeS">#REF!</definedName>
    <definedName name="sfafa">[19]Rates!$D$25</definedName>
    <definedName name="sfdsa">[19]Rates!$D$54</definedName>
    <definedName name="sh" localSheetId="30">#REF!</definedName>
    <definedName name="sh" localSheetId="25">#REF!</definedName>
    <definedName name="sh" localSheetId="28">#REF!</definedName>
    <definedName name="sh" localSheetId="29">#REF!</definedName>
    <definedName name="sh" localSheetId="12">#REF!</definedName>
    <definedName name="sh" localSheetId="43">#REF!</definedName>
    <definedName name="sh" localSheetId="42">#REF!</definedName>
    <definedName name="sh" localSheetId="27">#REF!</definedName>
    <definedName name="sh" localSheetId="45">#REF!</definedName>
    <definedName name="sh">#REF!</definedName>
    <definedName name="shandle">'[14]update Rate'!$E$82</definedName>
    <definedName name="SizRCT" hidden="1">[51]Sheets!$J$9:$O$19</definedName>
    <definedName name="sk">[5]DR!$D$13</definedName>
    <definedName name="skil">[8]DRates!$H$17</definedName>
    <definedName name="Skilled">'[22]District Rates'!$E$8</definedName>
    <definedName name="Skilled_L">'[21]Labour Rates_BB'!$E$10</definedName>
    <definedName name="SkilledFab_L">'[23]Labour Rates_BB'!$E$11</definedName>
    <definedName name="sl">[4]Sheet1!$D$10</definedName>
    <definedName name="SMcriteria" localSheetId="30" hidden="1">[52]Data!#REF!</definedName>
    <definedName name="SMcriteria" localSheetId="25" hidden="1">[52]Data!#REF!</definedName>
    <definedName name="SMcriteria" localSheetId="28" hidden="1">[52]Data!#REF!</definedName>
    <definedName name="SMcriteria" localSheetId="29" hidden="1">[52]Data!#REF!</definedName>
    <definedName name="SMcriteria" localSheetId="12" hidden="1">[52]Data!#REF!</definedName>
    <definedName name="SMcriteria" localSheetId="43" hidden="1">[52]Data!#REF!</definedName>
    <definedName name="SMcriteria" localSheetId="42" hidden="1">[52]Data!#REF!</definedName>
    <definedName name="SMcriteria" localSheetId="27" hidden="1">[52]Data!#REF!</definedName>
    <definedName name="SMcriteria" localSheetId="45" hidden="1">[52]Data!#REF!</definedName>
    <definedName name="SMcriteria" hidden="1">[52]Data!#REF!</definedName>
    <definedName name="snow">[8]DRates!$J$21</definedName>
    <definedName name="Snowcem">'[22]District Rates'!$E$28</definedName>
    <definedName name="SO_1" localSheetId="30">#REF!</definedName>
    <definedName name="SO_1" localSheetId="25">#REF!</definedName>
    <definedName name="SO_1" localSheetId="28">#REF!</definedName>
    <definedName name="SO_1" localSheetId="29">#REF!</definedName>
    <definedName name="SO_1" localSheetId="12">#REF!</definedName>
    <definedName name="SO_1" localSheetId="43">#REF!</definedName>
    <definedName name="SO_1" localSheetId="42">#REF!</definedName>
    <definedName name="SO_1" localSheetId="27">#REF!</definedName>
    <definedName name="SO_1" localSheetId="45">#REF!</definedName>
    <definedName name="SO_1">#REF!</definedName>
    <definedName name="SO_2" localSheetId="30">#REF!</definedName>
    <definedName name="SO_2" localSheetId="25">#REF!</definedName>
    <definedName name="SO_2" localSheetId="28">#REF!</definedName>
    <definedName name="SO_2" localSheetId="29">#REF!</definedName>
    <definedName name="SO_2" localSheetId="12">#REF!</definedName>
    <definedName name="SO_2" localSheetId="43">#REF!</definedName>
    <definedName name="SO_2" localSheetId="42">#REF!</definedName>
    <definedName name="SO_2" localSheetId="27">#REF!</definedName>
    <definedName name="SO_2" localSheetId="45">#REF!</definedName>
    <definedName name="SO_2">#REF!</definedName>
    <definedName name="SO_3" localSheetId="30">#REF!</definedName>
    <definedName name="SO_3" localSheetId="25">#REF!</definedName>
    <definedName name="SO_3" localSheetId="28">#REF!</definedName>
    <definedName name="SO_3" localSheetId="29">#REF!</definedName>
    <definedName name="SO_3" localSheetId="12">#REF!</definedName>
    <definedName name="SO_3" localSheetId="43">#REF!</definedName>
    <definedName name="SO_3" localSheetId="42">#REF!</definedName>
    <definedName name="SO_3" localSheetId="27">#REF!</definedName>
    <definedName name="SO_3" localSheetId="45">#REF!</definedName>
    <definedName name="SO_3">#REF!</definedName>
    <definedName name="SO_4" localSheetId="30">#REF!</definedName>
    <definedName name="SO_4" localSheetId="25">#REF!</definedName>
    <definedName name="SO_4" localSheetId="28">#REF!</definedName>
    <definedName name="SO_4" localSheetId="29">#REF!</definedName>
    <definedName name="SO_4" localSheetId="12">#REF!</definedName>
    <definedName name="SO_4" localSheetId="43">#REF!</definedName>
    <definedName name="SO_4" localSheetId="42">#REF!</definedName>
    <definedName name="SO_4" localSheetId="27">#REF!</definedName>
    <definedName name="SO_4" localSheetId="45">#REF!</definedName>
    <definedName name="SO_4">#REF!</definedName>
    <definedName name="SO_5" localSheetId="30">#REF!</definedName>
    <definedName name="SO_5" localSheetId="25">#REF!</definedName>
    <definedName name="SO_5" localSheetId="28">#REF!</definedName>
    <definedName name="SO_5" localSheetId="29">#REF!</definedName>
    <definedName name="SO_5" localSheetId="12">#REF!</definedName>
    <definedName name="SO_5" localSheetId="43">#REF!</definedName>
    <definedName name="SO_5" localSheetId="42">#REF!</definedName>
    <definedName name="SO_5" localSheetId="27">#REF!</definedName>
    <definedName name="SO_5" localSheetId="45">#REF!</definedName>
    <definedName name="SO_5">#REF!</definedName>
    <definedName name="SO_6" localSheetId="30">#REF!</definedName>
    <definedName name="SO_6" localSheetId="25">#REF!</definedName>
    <definedName name="SO_6" localSheetId="28">#REF!</definedName>
    <definedName name="SO_6" localSheetId="29">#REF!</definedName>
    <definedName name="SO_6" localSheetId="12">#REF!</definedName>
    <definedName name="SO_6" localSheetId="43">#REF!</definedName>
    <definedName name="SO_6" localSheetId="42">#REF!</definedName>
    <definedName name="SO_6" localSheetId="27">#REF!</definedName>
    <definedName name="SO_6" localSheetId="45">#REF!</definedName>
    <definedName name="SO_6">#REF!</definedName>
    <definedName name="SO_7" localSheetId="30">#REF!</definedName>
    <definedName name="SO_7" localSheetId="25">#REF!</definedName>
    <definedName name="SO_7" localSheetId="28">#REF!</definedName>
    <definedName name="SO_7" localSheetId="29">#REF!</definedName>
    <definedName name="SO_7" localSheetId="12">#REF!</definedName>
    <definedName name="SO_7" localSheetId="43">#REF!</definedName>
    <definedName name="SO_7" localSheetId="42">#REF!</definedName>
    <definedName name="SO_7" localSheetId="27">#REF!</definedName>
    <definedName name="SO_7" localSheetId="45">#REF!</definedName>
    <definedName name="SO_7">#REF!</definedName>
    <definedName name="SO_8" localSheetId="30">#REF!</definedName>
    <definedName name="SO_8" localSheetId="25">#REF!</definedName>
    <definedName name="SO_8" localSheetId="28">#REF!</definedName>
    <definedName name="SO_8" localSheetId="29">#REF!</definedName>
    <definedName name="SO_8" localSheetId="12">#REF!</definedName>
    <definedName name="SO_8" localSheetId="43">#REF!</definedName>
    <definedName name="SO_8" localSheetId="42">#REF!</definedName>
    <definedName name="SO_8" localSheetId="27">#REF!</definedName>
    <definedName name="SO_8" localSheetId="45">#REF!</definedName>
    <definedName name="SO_8">#REF!</definedName>
    <definedName name="Soil_cum_M">[23]Transport_Cost_F!$D$35</definedName>
    <definedName name="span_thickness">'[18]Slab span-thickness table'!$A$3:$B$8</definedName>
    <definedName name="spr">[4]Sheet1!$D$51</definedName>
    <definedName name="SS" localSheetId="30">#REF!</definedName>
    <definedName name="SS" localSheetId="25">#REF!</definedName>
    <definedName name="SS" localSheetId="28">#REF!</definedName>
    <definedName name="SS" localSheetId="29">#REF!</definedName>
    <definedName name="SS" localSheetId="12">#REF!</definedName>
    <definedName name="SS" localSheetId="43">#REF!</definedName>
    <definedName name="SS" localSheetId="42">#REF!</definedName>
    <definedName name="SS" localSheetId="27">#REF!</definedName>
    <definedName name="SS" localSheetId="45">#REF!</definedName>
    <definedName name="SS">#REF!</definedName>
    <definedName name="ssss" localSheetId="30" hidden="1">[15]DRates!#REF!</definedName>
    <definedName name="ssss" localSheetId="25" hidden="1">[15]DRates!#REF!</definedName>
    <definedName name="ssss" localSheetId="28" hidden="1">[15]DRates!#REF!</definedName>
    <definedName name="ssss" localSheetId="29" hidden="1">[15]DRates!#REF!</definedName>
    <definedName name="ssss" localSheetId="7" hidden="1">[15]DRates!#REF!</definedName>
    <definedName name="ssss" localSheetId="12" hidden="1">[15]DRates!#REF!</definedName>
    <definedName name="ssss" localSheetId="43" hidden="1">[15]DRates!#REF!</definedName>
    <definedName name="ssss" localSheetId="42" hidden="1">[15]DRates!#REF!</definedName>
    <definedName name="ssss" localSheetId="27" hidden="1">[15]DRates!#REF!</definedName>
    <definedName name="ssss" localSheetId="45" hidden="1">[15]DRates!#REF!</definedName>
    <definedName name="ssss" hidden="1">[15]DRates!#REF!</definedName>
    <definedName name="ssssss" localSheetId="30" hidden="1">[15]DRates!#REF!</definedName>
    <definedName name="ssssss" localSheetId="25" hidden="1">[15]DRates!#REF!</definedName>
    <definedName name="ssssss" localSheetId="28" hidden="1">[15]DRates!#REF!</definedName>
    <definedName name="ssssss" localSheetId="29" hidden="1">[15]DRates!#REF!</definedName>
    <definedName name="ssssss" localSheetId="12" hidden="1">[15]DRates!#REF!</definedName>
    <definedName name="ssssss" localSheetId="43" hidden="1">[15]DRates!#REF!</definedName>
    <definedName name="ssssss" localSheetId="42" hidden="1">[15]DRates!#REF!</definedName>
    <definedName name="ssssss" localSheetId="27" hidden="1">[15]DRates!#REF!</definedName>
    <definedName name="ssssss" localSheetId="45" hidden="1">[15]DRates!#REF!</definedName>
    <definedName name="ssssss" hidden="1">[15]DRates!#REF!</definedName>
    <definedName name="sssssss" localSheetId="30" hidden="1">[15]DRates!#REF!</definedName>
    <definedName name="sssssss" localSheetId="25" hidden="1">[15]DRates!#REF!</definedName>
    <definedName name="sssssss" localSheetId="28" hidden="1">[15]DRates!#REF!</definedName>
    <definedName name="sssssss" localSheetId="29" hidden="1">[15]DRates!#REF!</definedName>
    <definedName name="sssssss" localSheetId="12" hidden="1">[15]DRates!#REF!</definedName>
    <definedName name="sssssss" localSheetId="43" hidden="1">[15]DRates!#REF!</definedName>
    <definedName name="sssssss" localSheetId="42" hidden="1">[15]DRates!#REF!</definedName>
    <definedName name="sssssss" localSheetId="27" hidden="1">[15]DRates!#REF!</definedName>
    <definedName name="sssssss" localSheetId="45" hidden="1">[15]DRates!#REF!</definedName>
    <definedName name="sssssss" hidden="1">[15]DRates!#REF!</definedName>
    <definedName name="ST_5" localSheetId="30">#REF!</definedName>
    <definedName name="ST_5" localSheetId="25">#REF!</definedName>
    <definedName name="ST_5" localSheetId="28">#REF!</definedName>
    <definedName name="ST_5" localSheetId="29">#REF!</definedName>
    <definedName name="ST_5" localSheetId="12">#REF!</definedName>
    <definedName name="ST_5" localSheetId="43">#REF!</definedName>
    <definedName name="ST_5" localSheetId="42">#REF!</definedName>
    <definedName name="ST_5" localSheetId="27">#REF!</definedName>
    <definedName name="ST_5" localSheetId="45">#REF!</definedName>
    <definedName name="ST_5">#REF!</definedName>
    <definedName name="ST_6" localSheetId="30">#REF!</definedName>
    <definedName name="ST_6" localSheetId="25">#REF!</definedName>
    <definedName name="ST_6" localSheetId="28">#REF!</definedName>
    <definedName name="ST_6" localSheetId="29">#REF!</definedName>
    <definedName name="ST_6" localSheetId="12">#REF!</definedName>
    <definedName name="ST_6" localSheetId="43">#REF!</definedName>
    <definedName name="ST_6" localSheetId="42">#REF!</definedName>
    <definedName name="ST_6" localSheetId="27">#REF!</definedName>
    <definedName name="ST_6" localSheetId="45">#REF!</definedName>
    <definedName name="ST_6">#REF!</definedName>
    <definedName name="ST_7" localSheetId="30">#REF!</definedName>
    <definedName name="ST_7" localSheetId="25">#REF!</definedName>
    <definedName name="ST_7" localSheetId="28">#REF!</definedName>
    <definedName name="ST_7" localSheetId="29">#REF!</definedName>
    <definedName name="ST_7" localSheetId="12">#REF!</definedName>
    <definedName name="ST_7" localSheetId="43">#REF!</definedName>
    <definedName name="ST_7" localSheetId="42">#REF!</definedName>
    <definedName name="ST_7" localSheetId="27">#REF!</definedName>
    <definedName name="ST_7" localSheetId="45">#REF!</definedName>
    <definedName name="ST_7">#REF!</definedName>
    <definedName name="ST_8" localSheetId="30">#REF!</definedName>
    <definedName name="ST_8" localSheetId="25">#REF!</definedName>
    <definedName name="ST_8" localSheetId="28">#REF!</definedName>
    <definedName name="ST_8" localSheetId="29">#REF!</definedName>
    <definedName name="ST_8" localSheetId="12">#REF!</definedName>
    <definedName name="ST_8" localSheetId="43">#REF!</definedName>
    <definedName name="ST_8" localSheetId="42">#REF!</definedName>
    <definedName name="ST_8" localSheetId="27">#REF!</definedName>
    <definedName name="ST_8" localSheetId="45">#REF!</definedName>
    <definedName name="ST_8">#REF!</definedName>
    <definedName name="ST_9" localSheetId="30">#REF!</definedName>
    <definedName name="ST_9" localSheetId="25">#REF!</definedName>
    <definedName name="ST_9" localSheetId="28">#REF!</definedName>
    <definedName name="ST_9" localSheetId="29">#REF!</definedName>
    <definedName name="ST_9" localSheetId="12">#REF!</definedName>
    <definedName name="ST_9" localSheetId="43">#REF!</definedName>
    <definedName name="ST_9" localSheetId="42">#REF!</definedName>
    <definedName name="ST_9" localSheetId="27">#REF!</definedName>
    <definedName name="ST_9" localSheetId="45">#REF!</definedName>
    <definedName name="ST_9">#REF!</definedName>
    <definedName name="StatRem" localSheetId="30" hidden="1">[28]Data!#REF!</definedName>
    <definedName name="StatRem" localSheetId="25" hidden="1">[28]Data!#REF!</definedName>
    <definedName name="StatRem" localSheetId="28" hidden="1">[28]Data!#REF!</definedName>
    <definedName name="StatRem" localSheetId="29" hidden="1">[28]Data!#REF!</definedName>
    <definedName name="StatRem" localSheetId="12" hidden="1">[28]Data!#REF!</definedName>
    <definedName name="StatRem" localSheetId="43" hidden="1">[28]Data!#REF!</definedName>
    <definedName name="StatRem" localSheetId="42" hidden="1">[28]Data!#REF!</definedName>
    <definedName name="StatRem" localSheetId="27" hidden="1">[28]Data!#REF!</definedName>
    <definedName name="StatRem" localSheetId="45" hidden="1">[28]Data!#REF!</definedName>
    <definedName name="StatRem" hidden="1">[28]Data!#REF!</definedName>
    <definedName name="Steelpipe_50_m_M">[21]Transport_Cost_F!$D$55</definedName>
    <definedName name="SteelPlate_sqm_M">[23]Transport_Cost_F!$D$54</definedName>
    <definedName name="Stone">'[22]District Rates'!$E$16</definedName>
    <definedName name="Stone_cum_M">[23]Transport_Cost_F!$D$38</definedName>
    <definedName name="STR_CUS_1">[27]CusStr!$B$5:$J$173</definedName>
    <definedName name="STR_CUS_10">[27]CusStr!$B$1527:$J$1694</definedName>
    <definedName name="STR_CUS_2">[27]CusStr!$B$175:$J$342</definedName>
    <definedName name="STR_CUS_3">[27]CusStr!$B$344:$J$511</definedName>
    <definedName name="STR_CUS_4">[27]CusStr!$B$513:$J$680</definedName>
    <definedName name="STR_CUS_5">[27]CusStr!$B$682:$J$849</definedName>
    <definedName name="STR_CUS_6">[27]CusStr!$B$851:$J$1018</definedName>
    <definedName name="STR_CUS_7">[27]CusStr!$B$1020:$J$1187</definedName>
    <definedName name="STR_CUS_8">[27]CusStr!$B$1189:$J$1356</definedName>
    <definedName name="STR_CUS_9">[27]CusStr!$B$1358:$J$1525</definedName>
    <definedName name="STR_CUSI_1">[27]CusIn!$B$5:$J$183</definedName>
    <definedName name="STR_CUSI_10">[27]CusIn!$B$1572:$J$1737</definedName>
    <definedName name="STR_CUSI_2">[27]CusIn!$B$185:$J$369</definedName>
    <definedName name="STR_CUSI_3">[27]CusIn!$B$371:$J$539</definedName>
    <definedName name="STR_CUSI_4">[27]CusIn!$B$541:$J$718</definedName>
    <definedName name="STR_CUSI_5">[27]CusIn!$B$720:$J$902</definedName>
    <definedName name="STR_CUSI_6">[27]CusIn!$B$904:$J$1069</definedName>
    <definedName name="STR_CUSI_7">[27]CusIn!$B$1071:$J$1236</definedName>
    <definedName name="STR_CUSI_8">[27]CusIn!$B$1238:$J$1403</definedName>
    <definedName name="STR_CUSI_9">[27]CusIn!$B$1405:$J$1570</definedName>
    <definedName name="STR_DATA">[27]MatInput!$E$6:$BQ$7</definedName>
    <definedName name="STR_MAT">[27]MatInput!$A$34:$BQ$106</definedName>
    <definedName name="STR_TYPI_1">[27]TypIn!$B$5:$J$216</definedName>
    <definedName name="STR_TYPI_2">[27]TypIn!$B$218:$J$429</definedName>
    <definedName name="STR_TYPI_3">[27]TypIn!$B$431:$J$642</definedName>
    <definedName name="STR_TYPI_4">[27]TypIn!$B$644:$J$855</definedName>
    <definedName name="STR_TYPI_5">[27]TypIn!$B$857:$J$1068</definedName>
    <definedName name="stream_minor_SA_9">[32]SCross!$B$91:$G$97</definedName>
    <definedName name="Surveryor_L">'[23]Labour Rates_BB'!$E$16</definedName>
    <definedName name="SVC" localSheetId="30">#REF!</definedName>
    <definedName name="SVC" localSheetId="25">#REF!</definedName>
    <definedName name="SVC" localSheetId="28">#REF!</definedName>
    <definedName name="SVC" localSheetId="29">#REF!</definedName>
    <definedName name="SVC" localSheetId="12">#REF!</definedName>
    <definedName name="SVC" localSheetId="43">#REF!</definedName>
    <definedName name="SVC" localSheetId="42">#REF!</definedName>
    <definedName name="SVC" localSheetId="27">#REF!</definedName>
    <definedName name="SVC" localSheetId="45">#REF!</definedName>
    <definedName name="SVC">#REF!</definedName>
    <definedName name="sw" localSheetId="30">#REF!</definedName>
    <definedName name="sw" localSheetId="25">#REF!</definedName>
    <definedName name="sw" localSheetId="28">#REF!</definedName>
    <definedName name="sw" localSheetId="29">#REF!</definedName>
    <definedName name="sw" localSheetId="12">#REF!</definedName>
    <definedName name="sw" localSheetId="43">#REF!</definedName>
    <definedName name="sw" localSheetId="42">#REF!</definedName>
    <definedName name="sw" localSheetId="27">#REF!</definedName>
    <definedName name="sw" localSheetId="45">#REF!</definedName>
    <definedName name="sw">#REF!</definedName>
    <definedName name="szdcsz">'[19]Abstract Cost'!$A$3</definedName>
    <definedName name="szdfsz">[19]Rates!$D$77</definedName>
    <definedName name="T_A1" localSheetId="30">#REF!</definedName>
    <definedName name="T_A1" localSheetId="25">#REF!</definedName>
    <definedName name="T_A1" localSheetId="28">#REF!</definedName>
    <definedName name="T_A1" localSheetId="29">#REF!</definedName>
    <definedName name="T_A1" localSheetId="12">#REF!</definedName>
    <definedName name="T_A1" localSheetId="43">#REF!</definedName>
    <definedName name="T_A1" localSheetId="42">#REF!</definedName>
    <definedName name="T_A1" localSheetId="27">#REF!</definedName>
    <definedName name="T_A1" localSheetId="45">#REF!</definedName>
    <definedName name="T_A1">#REF!</definedName>
    <definedName name="T_A2" localSheetId="30">#REF!</definedName>
    <definedName name="T_A2" localSheetId="25">#REF!</definedName>
    <definedName name="T_A2" localSheetId="28">#REF!</definedName>
    <definedName name="T_A2" localSheetId="29">#REF!</definedName>
    <definedName name="T_A2" localSheetId="12">#REF!</definedName>
    <definedName name="T_A2" localSheetId="43">#REF!</definedName>
    <definedName name="T_A2" localSheetId="42">#REF!</definedName>
    <definedName name="T_A2" localSheetId="27">#REF!</definedName>
    <definedName name="T_A2" localSheetId="45">#REF!</definedName>
    <definedName name="T_A2">#REF!</definedName>
    <definedName name="T_A3" localSheetId="30">#REF!</definedName>
    <definedName name="T_A3" localSheetId="25">#REF!</definedName>
    <definedName name="T_A3" localSheetId="28">#REF!</definedName>
    <definedName name="T_A3" localSheetId="29">#REF!</definedName>
    <definedName name="T_A3" localSheetId="12">#REF!</definedName>
    <definedName name="T_A3" localSheetId="43">#REF!</definedName>
    <definedName name="T_A3" localSheetId="42">#REF!</definedName>
    <definedName name="T_A3" localSheetId="27">#REF!</definedName>
    <definedName name="T_A3" localSheetId="45">#REF!</definedName>
    <definedName name="T_A3">#REF!</definedName>
    <definedName name="T_A4_1" localSheetId="30">#REF!</definedName>
    <definedName name="T_A4_1" localSheetId="25">#REF!</definedName>
    <definedName name="T_A4_1" localSheetId="28">#REF!</definedName>
    <definedName name="T_A4_1" localSheetId="29">#REF!</definedName>
    <definedName name="T_A4_1" localSheetId="12">#REF!</definedName>
    <definedName name="T_A4_1" localSheetId="43">#REF!</definedName>
    <definedName name="T_A4_1" localSheetId="42">#REF!</definedName>
    <definedName name="T_A4_1" localSheetId="27">#REF!</definedName>
    <definedName name="T_A4_1" localSheetId="45">#REF!</definedName>
    <definedName name="T_A4_1">#REF!</definedName>
    <definedName name="T_A4_2" localSheetId="30">#REF!</definedName>
    <definedName name="T_A4_2" localSheetId="25">#REF!</definedName>
    <definedName name="T_A4_2" localSheetId="28">#REF!</definedName>
    <definedName name="T_A4_2" localSheetId="29">#REF!</definedName>
    <definedName name="T_A4_2" localSheetId="12">#REF!</definedName>
    <definedName name="T_A4_2" localSheetId="43">#REF!</definedName>
    <definedName name="T_A4_2" localSheetId="42">#REF!</definedName>
    <definedName name="T_A4_2" localSheetId="27">#REF!</definedName>
    <definedName name="T_A4_2" localSheetId="45">#REF!</definedName>
    <definedName name="T_A4_2">#REF!</definedName>
    <definedName name="T_A5" localSheetId="30">#REF!</definedName>
    <definedName name="T_A5" localSheetId="25">#REF!</definedName>
    <definedName name="T_A5" localSheetId="28">#REF!</definedName>
    <definedName name="T_A5" localSheetId="29">#REF!</definedName>
    <definedName name="T_A5" localSheetId="12">#REF!</definedName>
    <definedName name="T_A5" localSheetId="43">#REF!</definedName>
    <definedName name="T_A5" localSheetId="42">#REF!</definedName>
    <definedName name="T_A5" localSheetId="27">#REF!</definedName>
    <definedName name="T_A5" localSheetId="45">#REF!</definedName>
    <definedName name="T_A5">#REF!</definedName>
    <definedName name="T_B">'[18]Slab span-thickness table'!$N$37:$Z$42</definedName>
    <definedName name="TA_1" localSheetId="30">#REF!</definedName>
    <definedName name="TA_1" localSheetId="25">#REF!</definedName>
    <definedName name="TA_1" localSheetId="28">#REF!</definedName>
    <definedName name="TA_1" localSheetId="29">#REF!</definedName>
    <definedName name="TA_1" localSheetId="12">#REF!</definedName>
    <definedName name="TA_1" localSheetId="43">#REF!</definedName>
    <definedName name="TA_1" localSheetId="42">#REF!</definedName>
    <definedName name="TA_1" localSheetId="27">#REF!</definedName>
    <definedName name="TA_1" localSheetId="45">#REF!</definedName>
    <definedName name="TA_1">#REF!</definedName>
    <definedName name="Tank" localSheetId="30">#REF!</definedName>
    <definedName name="Tank" localSheetId="25">#REF!</definedName>
    <definedName name="Tank" localSheetId="28">#REF!</definedName>
    <definedName name="Tank" localSheetId="29">#REF!</definedName>
    <definedName name="Tank" localSheetId="12">#REF!</definedName>
    <definedName name="Tank" localSheetId="43">#REF!</definedName>
    <definedName name="Tank" localSheetId="42">#REF!</definedName>
    <definedName name="Tank" localSheetId="27">#REF!</definedName>
    <definedName name="Tank" localSheetId="45">#REF!</definedName>
    <definedName name="Tank">#REF!</definedName>
    <definedName name="Tap_CPN">[27]Taps!$S$247</definedName>
    <definedName name="Tap_MPN">[27]Taps!$S$276</definedName>
    <definedName name="temp">[27]CostMatLab!$CV$10:$CV$20,[27]CostMatLab!$CV$23:$CV$24</definedName>
    <definedName name="terpoil">[4]Sheet1!$D$61</definedName>
    <definedName name="Tikply4">'[14]update Rate'!$E$74</definedName>
    <definedName name="timber">[19]Rates!$D$64</definedName>
    <definedName name="Timber_cum_M">[23]Transport_Cost_F!$D$48</definedName>
    <definedName name="TLCost2" hidden="1">[16]PipeLineWork!$I$139</definedName>
    <definedName name="TLCost3" hidden="1">[16]PipeLineWork!$I$205</definedName>
    <definedName name="TLCost4" hidden="1">[16]PipeLineWork!$I$271</definedName>
    <definedName name="TLCost5" hidden="1">[16]PipeLineWork!$I$337</definedName>
    <definedName name="TLCost6" hidden="1">[16]PipeLineWork!$I$403</definedName>
    <definedName name="TLJ_11006">[53]HDPE!$Q$39</definedName>
    <definedName name="TLJ_11010">[53]HDPE!$Q$40</definedName>
    <definedName name="TLJ_12506">[53]HDPE!$Q$44</definedName>
    <definedName name="TLJ_12510">[53]HDPE!$Q$45</definedName>
    <definedName name="TLJ_14006">[53]HDPE!$Q$49</definedName>
    <definedName name="TLJ_14010">[53]HDPE!$Q$50</definedName>
    <definedName name="TLJ_16006">[53]HDPE!$Q$54</definedName>
    <definedName name="TLJ_16010">[53]HDPE!$Q$55</definedName>
    <definedName name="TLJ_18006">[53]HDPE!$Q$59</definedName>
    <definedName name="TLJ_18010">[53]HDPE!$Q$60</definedName>
    <definedName name="TLJ_20006">[53]HDPE!$Q$64</definedName>
    <definedName name="TLJ_20010">[53]HDPE!$Q$65</definedName>
    <definedName name="TLJ_22506">[53]HDPE!$Q$69</definedName>
    <definedName name="TLJ_22510">[53]HDPE!$Q$70</definedName>
    <definedName name="TLJ_4006">[53]HDPE!$Q$16</definedName>
    <definedName name="TLJ_4010">[53]HDPE!$Q$17</definedName>
    <definedName name="TLJ_5006">[53]HDPE!$Q$19</definedName>
    <definedName name="TLJ_5010">[53]HDPE!$Q$20</definedName>
    <definedName name="TLJ_6306">[53]HDPE!$Q$24</definedName>
    <definedName name="TLJ_6310">[53]HDPE!$Q$25</definedName>
    <definedName name="TLJ_7506">[53]HDPE!$Q$29</definedName>
    <definedName name="TLJ_7510">[53]HDPE!$Q$30</definedName>
    <definedName name="TLJ_9006">[53]HDPE!$Q$34</definedName>
    <definedName name="TLJ_9010">[53]HDPE!$Q$35</definedName>
    <definedName name="Tools">[27]Rates!$B$538:$E$654</definedName>
    <definedName name="torsteel">'[14]update Rate'!$E$44</definedName>
    <definedName name="Torsteel2">[19]Rates!$D$47</definedName>
    <definedName name="torsteel7mm">'[22]District Rates'!$E$19</definedName>
    <definedName name="Torsteel8mm">'[22]District Rates'!$E$18</definedName>
    <definedName name="TotalItems">'[54]All BOQ donot print Sunwal'!$B$10:$AB$496</definedName>
    <definedName name="totcost">[27]CostMatLab!$CU:$CU,[27]CostMatLab!$A:$A</definedName>
    <definedName name="tr">[4]Sheet1!$D$30</definedName>
    <definedName name="TR_GNum">[27]TapRep!$I$4</definedName>
    <definedName name="TR_PNum">[27]TapRep!$I$157</definedName>
    <definedName name="Trans_M1" localSheetId="17">[24]Ta304!$F$6</definedName>
    <definedName name="Trans_M1" localSheetId="7">[25]Ta304!$F$6</definedName>
    <definedName name="Trans_M1">[26]Ta304!$F$6</definedName>
    <definedName name="TransRate2">[8]MatCol!$D$7</definedName>
    <definedName name="truck_jiri_site">[19]Rates!$D$27</definedName>
    <definedName name="Truck_local">[19]Rates!$D$26</definedName>
    <definedName name="Truck_manthali">[19]Rates!$D$25</definedName>
    <definedName name="TruckDumb4_E">'[23]Equipment Rates'!$D$11</definedName>
    <definedName name="TRUCKflatbed6_E">'[23]Equipment Rates'!$D$10</definedName>
    <definedName name="TS" localSheetId="30">#REF!</definedName>
    <definedName name="TS" localSheetId="25">#REF!</definedName>
    <definedName name="TS" localSheetId="28">#REF!</definedName>
    <definedName name="TS" localSheetId="29">#REF!</definedName>
    <definedName name="TS" localSheetId="12">#REF!</definedName>
    <definedName name="TS" localSheetId="43">#REF!</definedName>
    <definedName name="TS" localSheetId="42">#REF!</definedName>
    <definedName name="TS" localSheetId="27">#REF!</definedName>
    <definedName name="TS" localSheetId="45">#REF!</definedName>
    <definedName name="TS">#REF!</definedName>
    <definedName name="Ttile">'[14]update Rate'!$E$42</definedName>
    <definedName name="U">#N/A</definedName>
    <definedName name="UH" localSheetId="30">#REF!</definedName>
    <definedName name="UH" localSheetId="25">#REF!</definedName>
    <definedName name="UH" localSheetId="28">#REF!</definedName>
    <definedName name="UH" localSheetId="29">#REF!</definedName>
    <definedName name="UH" localSheetId="12">#REF!</definedName>
    <definedName name="UH" localSheetId="43">#REF!</definedName>
    <definedName name="UH" localSheetId="42">#REF!</definedName>
    <definedName name="UH" localSheetId="27">#REF!</definedName>
    <definedName name="UH" localSheetId="45">#REF!</definedName>
    <definedName name="UH">#REF!</definedName>
    <definedName name="Un">'[55]District mat Rate'!$F$6</definedName>
    <definedName name="UN_1" localSheetId="30">#REF!</definedName>
    <definedName name="UN_1" localSheetId="25">#REF!</definedName>
    <definedName name="UN_1" localSheetId="28">#REF!</definedName>
    <definedName name="UN_1" localSheetId="29">#REF!</definedName>
    <definedName name="UN_1" localSheetId="12">#REF!</definedName>
    <definedName name="UN_1" localSheetId="43">#REF!</definedName>
    <definedName name="UN_1" localSheetId="42">#REF!</definedName>
    <definedName name="UN_1" localSheetId="27">#REF!</definedName>
    <definedName name="UN_1" localSheetId="45">#REF!</definedName>
    <definedName name="UN_1">#REF!</definedName>
    <definedName name="UN_2" localSheetId="30">#REF!</definedName>
    <definedName name="UN_2" localSheetId="25">#REF!</definedName>
    <definedName name="UN_2" localSheetId="28">#REF!</definedName>
    <definedName name="UN_2" localSheetId="29">#REF!</definedName>
    <definedName name="UN_2" localSheetId="12">#REF!</definedName>
    <definedName name="UN_2" localSheetId="43">#REF!</definedName>
    <definedName name="UN_2" localSheetId="42">#REF!</definedName>
    <definedName name="UN_2" localSheetId="27">#REF!</definedName>
    <definedName name="UN_2" localSheetId="45">#REF!</definedName>
    <definedName name="UN_2">#REF!</definedName>
    <definedName name="UN_3" localSheetId="30">#REF!</definedName>
    <definedName name="UN_3" localSheetId="25">#REF!</definedName>
    <definedName name="UN_3" localSheetId="28">#REF!</definedName>
    <definedName name="UN_3" localSheetId="29">#REF!</definedName>
    <definedName name="UN_3" localSheetId="12">#REF!</definedName>
    <definedName name="UN_3" localSheetId="43">#REF!</definedName>
    <definedName name="UN_3" localSheetId="42">#REF!</definedName>
    <definedName name="UN_3" localSheetId="27">#REF!</definedName>
    <definedName name="UN_3" localSheetId="45">#REF!</definedName>
    <definedName name="UN_3">#REF!</definedName>
    <definedName name="UN_4" localSheetId="30">#REF!</definedName>
    <definedName name="UN_4" localSheetId="25">#REF!</definedName>
    <definedName name="UN_4" localSheetId="28">#REF!</definedName>
    <definedName name="UN_4" localSheetId="29">#REF!</definedName>
    <definedName name="UN_4" localSheetId="12">#REF!</definedName>
    <definedName name="UN_4" localSheetId="43">#REF!</definedName>
    <definedName name="UN_4" localSheetId="42">#REF!</definedName>
    <definedName name="UN_4" localSheetId="27">#REF!</definedName>
    <definedName name="UN_4" localSheetId="45">#REF!</definedName>
    <definedName name="UN_4">#REF!</definedName>
    <definedName name="UN_5" localSheetId="30">#REF!</definedName>
    <definedName name="UN_5" localSheetId="25">#REF!</definedName>
    <definedName name="UN_5" localSheetId="28">#REF!</definedName>
    <definedName name="UN_5" localSheetId="29">#REF!</definedName>
    <definedName name="UN_5" localSheetId="12">#REF!</definedName>
    <definedName name="UN_5" localSheetId="43">#REF!</definedName>
    <definedName name="UN_5" localSheetId="42">#REF!</definedName>
    <definedName name="UN_5" localSheetId="27">#REF!</definedName>
    <definedName name="UN_5" localSheetId="45">#REF!</definedName>
    <definedName name="UN_5">#REF!</definedName>
    <definedName name="UN_6" localSheetId="30">#REF!</definedName>
    <definedName name="UN_6" localSheetId="25">#REF!</definedName>
    <definedName name="UN_6" localSheetId="28">#REF!</definedName>
    <definedName name="UN_6" localSheetId="29">#REF!</definedName>
    <definedName name="UN_6" localSheetId="12">#REF!</definedName>
    <definedName name="UN_6" localSheetId="43">#REF!</definedName>
    <definedName name="UN_6" localSheetId="42">#REF!</definedName>
    <definedName name="UN_6" localSheetId="27">#REF!</definedName>
    <definedName name="UN_6" localSheetId="45">#REF!</definedName>
    <definedName name="UN_6">#REF!</definedName>
    <definedName name="UN_7" localSheetId="30">#REF!</definedName>
    <definedName name="UN_7" localSheetId="25">#REF!</definedName>
    <definedName name="UN_7" localSheetId="28">#REF!</definedName>
    <definedName name="UN_7" localSheetId="29">#REF!</definedName>
    <definedName name="UN_7" localSheetId="12">#REF!</definedName>
    <definedName name="UN_7" localSheetId="43">#REF!</definedName>
    <definedName name="UN_7" localSheetId="42">#REF!</definedName>
    <definedName name="UN_7" localSheetId="27">#REF!</definedName>
    <definedName name="UN_7" localSheetId="45">#REF!</definedName>
    <definedName name="UN_7">#REF!</definedName>
    <definedName name="UN_8" localSheetId="30">#REF!</definedName>
    <definedName name="UN_8" localSheetId="25">#REF!</definedName>
    <definedName name="UN_8" localSheetId="28">#REF!</definedName>
    <definedName name="UN_8" localSheetId="29">#REF!</definedName>
    <definedName name="UN_8" localSheetId="12">#REF!</definedName>
    <definedName name="UN_8" localSheetId="43">#REF!</definedName>
    <definedName name="UN_8" localSheetId="42">#REF!</definedName>
    <definedName name="UN_8" localSheetId="27">#REF!</definedName>
    <definedName name="UN_8" localSheetId="45">#REF!</definedName>
    <definedName name="UN_8">#REF!</definedName>
    <definedName name="Un_skilled" localSheetId="30">#REF!</definedName>
    <definedName name="Un_skilled" localSheetId="25">#REF!</definedName>
    <definedName name="Un_skilled" localSheetId="28">#REF!</definedName>
    <definedName name="Un_skilled" localSheetId="29">#REF!</definedName>
    <definedName name="Un_skilled" localSheetId="12">#REF!</definedName>
    <definedName name="Un_skilled" localSheetId="43">#REF!</definedName>
    <definedName name="Un_skilled" localSheetId="42">#REF!</definedName>
    <definedName name="Un_skilled" localSheetId="27">#REF!</definedName>
    <definedName name="Un_skilled" localSheetId="45">#REF!</definedName>
    <definedName name="Un_skilled">#REF!</definedName>
    <definedName name="unsk">[8]DRates!$H$15</definedName>
    <definedName name="UNskill" localSheetId="30">#REF!</definedName>
    <definedName name="UNskill" localSheetId="25">#REF!</definedName>
    <definedName name="UNskill" localSheetId="28">#REF!</definedName>
    <definedName name="UNskill" localSheetId="29">#REF!</definedName>
    <definedName name="UNskill" localSheetId="12">#REF!</definedName>
    <definedName name="UNskill" localSheetId="43">#REF!</definedName>
    <definedName name="UNskill" localSheetId="42">#REF!</definedName>
    <definedName name="UNskill" localSheetId="27">#REF!</definedName>
    <definedName name="UNskill" localSheetId="45">#REF!</definedName>
    <definedName name="UNskill">#REF!</definedName>
    <definedName name="unskilled" localSheetId="7">'[22]District Rates'!$E$10</definedName>
    <definedName name="unskilled">[27]Rates!$D$79</definedName>
    <definedName name="unskilled_L">'[23]Labour Rates_BB'!$E$9</definedName>
    <definedName name="Urinal" localSheetId="30">#REF!</definedName>
    <definedName name="Urinal" localSheetId="25">#REF!</definedName>
    <definedName name="Urinal" localSheetId="28">#REF!</definedName>
    <definedName name="Urinal" localSheetId="29">#REF!</definedName>
    <definedName name="Urinal" localSheetId="12">#REF!</definedName>
    <definedName name="Urinal" localSheetId="43">#REF!</definedName>
    <definedName name="Urinal" localSheetId="42">#REF!</definedName>
    <definedName name="Urinal" localSheetId="27">#REF!</definedName>
    <definedName name="Urinal" localSheetId="45">#REF!</definedName>
    <definedName name="Urinal">#REF!</definedName>
    <definedName name="usl">[4]Sheet1!$D$11</definedName>
    <definedName name="UTA_2" localSheetId="30">#REF!</definedName>
    <definedName name="UTA_2" localSheetId="25">#REF!</definedName>
    <definedName name="UTA_2" localSheetId="28">#REF!</definedName>
    <definedName name="UTA_2" localSheetId="29">#REF!</definedName>
    <definedName name="UTA_2" localSheetId="12">#REF!</definedName>
    <definedName name="UTA_2" localSheetId="43">#REF!</definedName>
    <definedName name="UTA_2" localSheetId="42">#REF!</definedName>
    <definedName name="UTA_2" localSheetId="27">#REF!</definedName>
    <definedName name="UTA_2" localSheetId="45">#REF!</definedName>
    <definedName name="UTA_2">#REF!</definedName>
    <definedName name="UTA_3" localSheetId="30">#REF!</definedName>
    <definedName name="UTA_3" localSheetId="25">#REF!</definedName>
    <definedName name="UTA_3" localSheetId="28">#REF!</definedName>
    <definedName name="UTA_3" localSheetId="29">#REF!</definedName>
    <definedName name="UTA_3" localSheetId="12">#REF!</definedName>
    <definedName name="UTA_3" localSheetId="43">#REF!</definedName>
    <definedName name="UTA_3" localSheetId="42">#REF!</definedName>
    <definedName name="UTA_3" localSheetId="27">#REF!</definedName>
    <definedName name="UTA_3" localSheetId="45">#REF!</definedName>
    <definedName name="UTA_3">#REF!</definedName>
    <definedName name="UTA_4" localSheetId="30">#REF!</definedName>
    <definedName name="UTA_4" localSheetId="25">#REF!</definedName>
    <definedName name="UTA_4" localSheetId="28">#REF!</definedName>
    <definedName name="UTA_4" localSheetId="29">#REF!</definedName>
    <definedName name="UTA_4" localSheetId="12">#REF!</definedName>
    <definedName name="UTA_4" localSheetId="43">#REF!</definedName>
    <definedName name="UTA_4" localSheetId="42">#REF!</definedName>
    <definedName name="UTA_4" localSheetId="27">#REF!</definedName>
    <definedName name="UTA_4" localSheetId="45">#REF!</definedName>
    <definedName name="UTA_4">#REF!</definedName>
    <definedName name="UTA_5" localSheetId="30">#REF!</definedName>
    <definedName name="UTA_5" localSheetId="25">#REF!</definedName>
    <definedName name="UTA_5" localSheetId="28">#REF!</definedName>
    <definedName name="UTA_5" localSheetId="29">#REF!</definedName>
    <definedName name="UTA_5" localSheetId="12">#REF!</definedName>
    <definedName name="UTA_5" localSheetId="43">#REF!</definedName>
    <definedName name="UTA_5" localSheetId="42">#REF!</definedName>
    <definedName name="UTA_5" localSheetId="27">#REF!</definedName>
    <definedName name="UTA_5" localSheetId="45">#REF!</definedName>
    <definedName name="UTA_5">#REF!</definedName>
    <definedName name="UTA_6" localSheetId="30">#REF!</definedName>
    <definedName name="UTA_6" localSheetId="25">#REF!</definedName>
    <definedName name="UTA_6" localSheetId="28">#REF!</definedName>
    <definedName name="UTA_6" localSheetId="29">#REF!</definedName>
    <definedName name="UTA_6" localSheetId="12">#REF!</definedName>
    <definedName name="UTA_6" localSheetId="43">#REF!</definedName>
    <definedName name="UTA_6" localSheetId="42">#REF!</definedName>
    <definedName name="UTA_6" localSheetId="27">#REF!</definedName>
    <definedName name="UTA_6" localSheetId="45">#REF!</definedName>
    <definedName name="UTA_6">#REF!</definedName>
    <definedName name="UTB_3" localSheetId="30">#REF!</definedName>
    <definedName name="UTB_3" localSheetId="25">#REF!</definedName>
    <definedName name="UTB_3" localSheetId="28">#REF!</definedName>
    <definedName name="UTB_3" localSheetId="29">#REF!</definedName>
    <definedName name="UTB_3" localSheetId="12">#REF!</definedName>
    <definedName name="UTB_3" localSheetId="43">#REF!</definedName>
    <definedName name="UTB_3" localSheetId="42">#REF!</definedName>
    <definedName name="UTB_3" localSheetId="27">#REF!</definedName>
    <definedName name="UTB_3" localSheetId="45">#REF!</definedName>
    <definedName name="UTB_3">#REF!</definedName>
    <definedName name="UTB_4" localSheetId="30">#REF!</definedName>
    <definedName name="UTB_4" localSheetId="25">#REF!</definedName>
    <definedName name="UTB_4" localSheetId="28">#REF!</definedName>
    <definedName name="UTB_4" localSheetId="29">#REF!</definedName>
    <definedName name="UTB_4" localSheetId="12">#REF!</definedName>
    <definedName name="UTB_4" localSheetId="43">#REF!</definedName>
    <definedName name="UTB_4" localSheetId="42">#REF!</definedName>
    <definedName name="UTB_4" localSheetId="27">#REF!</definedName>
    <definedName name="UTB_4" localSheetId="45">#REF!</definedName>
    <definedName name="UTB_4">#REF!</definedName>
    <definedName name="UTB_5" localSheetId="30">#REF!</definedName>
    <definedName name="UTB_5" localSheetId="25">#REF!</definedName>
    <definedName name="UTB_5" localSheetId="28">#REF!</definedName>
    <definedName name="UTB_5" localSheetId="29">#REF!</definedName>
    <definedName name="UTB_5" localSheetId="12">#REF!</definedName>
    <definedName name="UTB_5" localSheetId="43">#REF!</definedName>
    <definedName name="UTB_5" localSheetId="42">#REF!</definedName>
    <definedName name="UTB_5" localSheetId="27">#REF!</definedName>
    <definedName name="UTB_5" localSheetId="45">#REF!</definedName>
    <definedName name="UTB_5">#REF!</definedName>
    <definedName name="UTB_6" localSheetId="30">#REF!</definedName>
    <definedName name="UTB_6" localSheetId="25">#REF!</definedName>
    <definedName name="UTB_6" localSheetId="28">#REF!</definedName>
    <definedName name="UTB_6" localSheetId="29">#REF!</definedName>
    <definedName name="UTB_6" localSheetId="12">#REF!</definedName>
    <definedName name="UTB_6" localSheetId="43">#REF!</definedName>
    <definedName name="UTB_6" localSheetId="42">#REF!</definedName>
    <definedName name="UTB_6" localSheetId="27">#REF!</definedName>
    <definedName name="UTB_6" localSheetId="45">#REF!</definedName>
    <definedName name="UTB_6">#REF!</definedName>
    <definedName name="UTB_7" localSheetId="30">#REF!</definedName>
    <definedName name="UTB_7" localSheetId="25">#REF!</definedName>
    <definedName name="UTB_7" localSheetId="28">#REF!</definedName>
    <definedName name="UTB_7" localSheetId="29">#REF!</definedName>
    <definedName name="UTB_7" localSheetId="12">#REF!</definedName>
    <definedName name="UTB_7" localSheetId="43">#REF!</definedName>
    <definedName name="UTB_7" localSheetId="42">#REF!</definedName>
    <definedName name="UTB_7" localSheetId="27">#REF!</definedName>
    <definedName name="UTB_7" localSheetId="45">#REF!</definedName>
    <definedName name="UTB_7">#REF!</definedName>
    <definedName name="V.Roller_E">'[23]Equipment Rates'!$D$19</definedName>
    <definedName name="VBK" localSheetId="30">#REF!</definedName>
    <definedName name="VBK" localSheetId="25">#REF!</definedName>
    <definedName name="VBK" localSheetId="28">#REF!</definedName>
    <definedName name="VBK" localSheetId="29">#REF!</definedName>
    <definedName name="VBK" localSheetId="12">#REF!</definedName>
    <definedName name="VBK" localSheetId="43">#REF!</definedName>
    <definedName name="VBK" localSheetId="42">#REF!</definedName>
    <definedName name="VBK" localSheetId="27">#REF!</definedName>
    <definedName name="VBK" localSheetId="45">#REF!</definedName>
    <definedName name="VBK">#REF!</definedName>
    <definedName name="Vibrator_E">'[23]Equipment Rates'!$D$14</definedName>
    <definedName name="W">'[2]Data-Table'!$D$4</definedName>
    <definedName name="W_1">'[18]Slab span-thickness table'!$A$25:$E$30</definedName>
    <definedName name="W_110" localSheetId="7" hidden="1">SUM([56]PipeList!S1048520:S1048560)</definedName>
    <definedName name="W_110" hidden="1">SUM([56]PipeList!S1048520:S1048560)</definedName>
    <definedName name="W_2">'[18]Slab span-thickness table'!$F$25:$J$30</definedName>
    <definedName name="W_3">'[18]Slab span-thickness table'!$K$25:$O$30</definedName>
    <definedName name="W16_32" localSheetId="7" hidden="1">SUM([56]PipeList!S2:S6)</definedName>
    <definedName name="W16_32" hidden="1">SUM([56]PipeList!S2:S6)</definedName>
    <definedName name="W40_90" localSheetId="7" hidden="1">SUM([56]PipeList!S1048562:S1048576)</definedName>
    <definedName name="W40_90" hidden="1">SUM([56]PipeList!S1048562:S1048576)</definedName>
    <definedName name="water">'[22]District Rates'!$E$38</definedName>
    <definedName name="Water_Lt_M">[21]Transport_Cost_F!$D$51</definedName>
    <definedName name="WaterBowser_E">'[23]Equipment Rates'!$D$39</definedName>
    <definedName name="wdlistee">[4]Sheet1!$D$45</definedName>
    <definedName name="Wfit" hidden="1">'[57]Fittings-Summary'!XEZ313</definedName>
    <definedName name="Wgip" hidden="1">[56]PipeList!S44</definedName>
    <definedName name="whct">[4]Sheet1!$D$16</definedName>
    <definedName name="WheelLoader_E">'[23]Equipment Rates'!$D$26</definedName>
    <definedName name="WN13R">'[58]Pop Density'!$K$16</definedName>
    <definedName name="WN14R">'[58]Pop Density'!$K$17</definedName>
    <definedName name="WN8M">'[58]Pop Density'!$J$11</definedName>
    <definedName name="wood">[8]DRates!$H$44</definedName>
    <definedName name="WPC">[4]Sheet1!$D$47</definedName>
    <definedName name="wqewq">[19]Rates!$D$47</definedName>
    <definedName name="Wucp" hidden="1">[56]PipeList!S57</definedName>
    <definedName name="WVC" localSheetId="30">#REF!</definedName>
    <definedName name="WVC" localSheetId="25">#REF!</definedName>
    <definedName name="WVC" localSheetId="28">#REF!</definedName>
    <definedName name="WVC" localSheetId="29">#REF!</definedName>
    <definedName name="WVC" localSheetId="12">#REF!</definedName>
    <definedName name="WVC" localSheetId="43">#REF!</definedName>
    <definedName name="WVC" localSheetId="42">#REF!</definedName>
    <definedName name="WVC" localSheetId="27">#REF!</definedName>
    <definedName name="WVC" localSheetId="45">#REF!</definedName>
    <definedName name="WVC">#REF!</definedName>
    <definedName name="WVC_MGN">[27]VC!$T$358</definedName>
    <definedName name="wwwwww" localSheetId="30" hidden="1">[15]DRates!#REF!</definedName>
    <definedName name="wwwwww" localSheetId="25" hidden="1">[15]DRates!#REF!</definedName>
    <definedName name="wwwwww" localSheetId="28" hidden="1">[15]DRates!#REF!</definedName>
    <definedName name="wwwwww" localSheetId="29" hidden="1">[15]DRates!#REF!</definedName>
    <definedName name="wwwwww" localSheetId="7" hidden="1">[15]DRates!#REF!</definedName>
    <definedName name="wwwwww" localSheetId="12" hidden="1">[15]DRates!#REF!</definedName>
    <definedName name="wwwwww" localSheetId="43" hidden="1">[15]DRates!#REF!</definedName>
    <definedName name="wwwwww" localSheetId="42" hidden="1">[15]DRates!#REF!</definedName>
    <definedName name="wwwwww" localSheetId="27" hidden="1">[15]DRates!#REF!</definedName>
    <definedName name="wwwwww" localSheetId="45" hidden="1">[15]DRates!#REF!</definedName>
    <definedName name="wwwwww" hidden="1">[15]DRates!#REF!</definedName>
    <definedName name="X">#N/A</definedName>
    <definedName name="xaxaxzaxax">[19]Rates!$D$64</definedName>
    <definedName name="xdcxzc">[19]Rates!$D$75</definedName>
    <definedName name="YJ" localSheetId="30">#REF!</definedName>
    <definedName name="YJ" localSheetId="25">#REF!</definedName>
    <definedName name="YJ" localSheetId="28">#REF!</definedName>
    <definedName name="YJ" localSheetId="29">#REF!</definedName>
    <definedName name="YJ" localSheetId="12">#REF!</definedName>
    <definedName name="YJ" localSheetId="43">#REF!</definedName>
    <definedName name="YJ" localSheetId="42">#REF!</definedName>
    <definedName name="YJ" localSheetId="27">#REF!</definedName>
    <definedName name="YJ" localSheetId="45">#REF!</definedName>
    <definedName name="YJ">#REF!</definedName>
    <definedName name="Z_22FAFA82_217D_4913_8F8C_8CE9BA9D0D49_.wvu.PrintArea" localSheetId="8" hidden="1">Cost_In_1!$A$1:$G$52</definedName>
    <definedName name="Z_22FAFA82_217D_4913_8F8C_8CE9BA9D0D49_.wvu.PrintArea" localSheetId="19" hidden="1">Qty_in_1!$A$1:$I$128</definedName>
    <definedName name="Z_22FAFA82_217D_4913_8F8C_8CE9BA9D0D49_.wvu.PrintTitles" localSheetId="19" hidden="1">Qty_in_1!$1:$3</definedName>
    <definedName name="Z_22FAFA82_217D_4913_8F8C_8CE9BA9D0D49_.wvu.Rows" localSheetId="8" hidden="1">Cost_In_1!$21:$29</definedName>
    <definedName name="Z_22FAFA82_217D_4913_8F8C_8CE9BA9D0D49_.wvu.Rows" localSheetId="19" hidden="1">Qty_in_1!$79:$87,Qty_in_1!$128:$128</definedName>
    <definedName name="Z_B981182C_06B4_41A9_B36E_959CD6505A63_.wvu.PrintArea" localSheetId="8" hidden="1">Cost_In_1!$A$1:$G$52</definedName>
    <definedName name="Z_B981182C_06B4_41A9_B36E_959CD6505A63_.wvu.PrintArea" localSheetId="19" hidden="1">Qty_in_1!$A$1:$I$128</definedName>
    <definedName name="Z_B981182C_06B4_41A9_B36E_959CD6505A63_.wvu.PrintTitles" localSheetId="19" hidden="1">Qty_in_1!$1:$3</definedName>
    <definedName name="Z_B981182C_06B4_41A9_B36E_959CD6505A63_.wvu.Rows" localSheetId="8" hidden="1">Cost_In_1!$21:$29</definedName>
    <definedName name="Z_B981182C_06B4_41A9_B36E_959CD6505A63_.wvu.Rows" localSheetId="19" hidden="1">Qty_in_1!$79:$87,Qty_in_1!$128:$128</definedName>
    <definedName name="Z_CD170D50_CCB9_481D_A41C_58C73C35319C_.wvu.PrintArea" localSheetId="8" hidden="1">Cost_In_1!$A$1:$G$52</definedName>
    <definedName name="Z_CD170D50_CCB9_481D_A41C_58C73C35319C_.wvu.PrintArea" localSheetId="19" hidden="1">Qty_in_1!$A$1:$I$128</definedName>
    <definedName name="Z_CD170D50_CCB9_481D_A41C_58C73C35319C_.wvu.PrintTitles" localSheetId="19" hidden="1">Qty_in_1!$1:$3</definedName>
    <definedName name="Z_CD170D50_CCB9_481D_A41C_58C73C35319C_.wvu.Rows" localSheetId="8" hidden="1">Cost_In_1!$21:$29</definedName>
    <definedName name="Z_CD170D50_CCB9_481D_A41C_58C73C35319C_.wvu.Rows" localSheetId="19" hidden="1">Qty_in_1!$79:$87,Qty_in_1!$128:$128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35" l="1"/>
  <c r="G9" i="35"/>
  <c r="G10" i="35"/>
  <c r="G11" i="35"/>
  <c r="G12" i="35"/>
  <c r="G13" i="35"/>
  <c r="G14" i="35"/>
  <c r="G15" i="35"/>
  <c r="G16" i="35"/>
  <c r="G17" i="35"/>
  <c r="G18" i="35"/>
  <c r="G19" i="35"/>
  <c r="G20" i="35"/>
  <c r="G21" i="35"/>
  <c r="G22" i="35"/>
  <c r="G23" i="35"/>
  <c r="G24" i="35"/>
  <c r="G25" i="35"/>
  <c r="G26" i="35"/>
  <c r="G27" i="35"/>
  <c r="G28" i="35"/>
  <c r="G29" i="35"/>
  <c r="G30" i="35"/>
  <c r="G31" i="35"/>
  <c r="G32" i="35"/>
  <c r="G33" i="35"/>
  <c r="G34" i="35"/>
  <c r="G35" i="35"/>
  <c r="G36" i="35"/>
  <c r="G37" i="35"/>
  <c r="G38" i="35"/>
  <c r="G39" i="35"/>
  <c r="G40" i="35"/>
  <c r="G41" i="35"/>
  <c r="G42" i="35"/>
  <c r="G43" i="35"/>
  <c r="G44" i="35"/>
  <c r="G45" i="35"/>
  <c r="G46" i="35"/>
  <c r="G47" i="35"/>
  <c r="G48" i="35"/>
  <c r="G49" i="35"/>
  <c r="G50" i="35"/>
  <c r="G51" i="35"/>
  <c r="G52" i="35"/>
  <c r="G53" i="35"/>
  <c r="G54" i="35"/>
  <c r="G55" i="35"/>
  <c r="G56" i="35"/>
  <c r="G57" i="35"/>
  <c r="G58" i="35"/>
  <c r="G59" i="35"/>
  <c r="G60" i="35"/>
  <c r="G61" i="35"/>
  <c r="G62" i="35"/>
  <c r="G63" i="35"/>
  <c r="G64" i="35"/>
  <c r="G65" i="35"/>
  <c r="G66" i="35"/>
  <c r="G67" i="35"/>
  <c r="G68" i="35"/>
  <c r="G69" i="35"/>
  <c r="G70" i="35"/>
  <c r="G71" i="35"/>
  <c r="G72" i="35"/>
  <c r="G73" i="35"/>
  <c r="G74" i="35"/>
  <c r="G75" i="35"/>
  <c r="G76" i="35"/>
  <c r="G77" i="35"/>
  <c r="G78" i="35"/>
  <c r="G79" i="35"/>
  <c r="G80" i="35"/>
  <c r="G81" i="35"/>
  <c r="G82" i="35"/>
  <c r="G83" i="35"/>
  <c r="G84" i="35"/>
  <c r="G85" i="35"/>
  <c r="G86" i="35"/>
  <c r="G87" i="35"/>
  <c r="G88" i="35"/>
  <c r="G89" i="35"/>
  <c r="G90" i="35"/>
  <c r="G91" i="35"/>
  <c r="G92" i="35"/>
  <c r="G93" i="35"/>
  <c r="G94" i="35"/>
  <c r="G95" i="35"/>
  <c r="G96" i="35"/>
  <c r="G97" i="35"/>
  <c r="G98" i="35"/>
  <c r="G99" i="35"/>
  <c r="G100" i="35"/>
  <c r="G101" i="35"/>
  <c r="G102" i="35"/>
  <c r="G103" i="35"/>
  <c r="G104" i="35"/>
  <c r="G105" i="35"/>
  <c r="G106" i="35"/>
  <c r="G107" i="35"/>
  <c r="G108" i="35"/>
  <c r="G109" i="35"/>
  <c r="G110" i="35"/>
  <c r="G111" i="35"/>
  <c r="G112" i="35"/>
  <c r="G113" i="35"/>
  <c r="G7" i="35"/>
  <c r="C45" i="20"/>
  <c r="F80" i="34"/>
  <c r="F27" i="34"/>
  <c r="F25" i="34"/>
  <c r="F22" i="34"/>
  <c r="G50" i="19" l="1"/>
  <c r="G49" i="19"/>
  <c r="F72" i="34"/>
  <c r="F90" i="34"/>
  <c r="F95" i="34"/>
  <c r="I96" i="34"/>
  <c r="F96" i="34" s="1"/>
  <c r="I95" i="34"/>
  <c r="I94" i="34"/>
  <c r="F94" i="34" s="1"/>
  <c r="H71" i="34" l="1"/>
  <c r="H70" i="19" l="1"/>
  <c r="H68" i="19"/>
  <c r="H67" i="19"/>
  <c r="C73" i="20"/>
  <c r="G83" i="71" l="1"/>
  <c r="H83" i="71" s="1"/>
  <c r="G81" i="71"/>
  <c r="K81" i="71" s="1"/>
  <c r="M81" i="71" s="1"/>
  <c r="M82" i="71"/>
  <c r="G84" i="71"/>
  <c r="M84" i="71" s="1"/>
  <c r="M85" i="71"/>
  <c r="M86" i="71"/>
  <c r="J84" i="71"/>
  <c r="F84" i="71"/>
  <c r="J83" i="71"/>
  <c r="F83" i="71"/>
  <c r="J82" i="71"/>
  <c r="F82" i="71"/>
  <c r="J81" i="71"/>
  <c r="F81" i="71"/>
  <c r="M79" i="71"/>
  <c r="M78" i="71"/>
  <c r="M77" i="71"/>
  <c r="I76" i="71"/>
  <c r="J76" i="71" s="1"/>
  <c r="F76" i="71"/>
  <c r="I75" i="71"/>
  <c r="J75" i="71" s="1"/>
  <c r="F75" i="71"/>
  <c r="I74" i="71"/>
  <c r="J74" i="71" s="1"/>
  <c r="F74" i="71"/>
  <c r="I73" i="71"/>
  <c r="F73" i="71"/>
  <c r="I72" i="71"/>
  <c r="J72" i="71" s="1"/>
  <c r="F72" i="71"/>
  <c r="I71" i="71"/>
  <c r="F71" i="71"/>
  <c r="I70" i="71"/>
  <c r="F70" i="71"/>
  <c r="I69" i="71"/>
  <c r="J69" i="71" s="1"/>
  <c r="F69" i="71"/>
  <c r="I68" i="71"/>
  <c r="J68" i="71" s="1"/>
  <c r="F68" i="71"/>
  <c r="I67" i="71"/>
  <c r="J67" i="71" s="1"/>
  <c r="F67" i="71"/>
  <c r="I66" i="71"/>
  <c r="J66" i="71" s="1"/>
  <c r="F66" i="71"/>
  <c r="I65" i="71"/>
  <c r="F65" i="71"/>
  <c r="I64" i="71"/>
  <c r="J64" i="71" s="1"/>
  <c r="F64" i="71"/>
  <c r="I63" i="71"/>
  <c r="F63" i="71"/>
  <c r="I62" i="71"/>
  <c r="F62" i="71"/>
  <c r="I61" i="71"/>
  <c r="J61" i="71" s="1"/>
  <c r="F61" i="71"/>
  <c r="I60" i="71"/>
  <c r="J60" i="71" s="1"/>
  <c r="F60" i="71"/>
  <c r="I59" i="71"/>
  <c r="J59" i="71" s="1"/>
  <c r="F59" i="71"/>
  <c r="I58" i="71"/>
  <c r="J58" i="71" s="1"/>
  <c r="F58" i="71"/>
  <c r="I57" i="71"/>
  <c r="F57" i="71"/>
  <c r="I56" i="71"/>
  <c r="J56" i="71" s="1"/>
  <c r="F56" i="71"/>
  <c r="I55" i="71"/>
  <c r="F55" i="71"/>
  <c r="I54" i="71"/>
  <c r="F54" i="71"/>
  <c r="I53" i="71"/>
  <c r="J53" i="71" s="1"/>
  <c r="F53" i="71"/>
  <c r="I52" i="71"/>
  <c r="J52" i="71" s="1"/>
  <c r="F52" i="71"/>
  <c r="I51" i="71"/>
  <c r="J51" i="71" s="1"/>
  <c r="F51" i="71"/>
  <c r="I50" i="71"/>
  <c r="J50" i="71" s="1"/>
  <c r="F50" i="71"/>
  <c r="I49" i="71"/>
  <c r="J49" i="71" s="1"/>
  <c r="F49" i="71"/>
  <c r="I48" i="71"/>
  <c r="J48" i="71" s="1"/>
  <c r="F48" i="71"/>
  <c r="I47" i="71"/>
  <c r="F47" i="71"/>
  <c r="I46" i="71"/>
  <c r="F46" i="71"/>
  <c r="I45" i="71"/>
  <c r="F45" i="71"/>
  <c r="I44" i="71"/>
  <c r="J44" i="71" s="1"/>
  <c r="F44" i="71"/>
  <c r="I43" i="71"/>
  <c r="J43" i="71" s="1"/>
  <c r="F43" i="71"/>
  <c r="I42" i="71"/>
  <c r="F42" i="71"/>
  <c r="I41" i="71"/>
  <c r="J41" i="71" s="1"/>
  <c r="F41" i="71"/>
  <c r="I40" i="71"/>
  <c r="J40" i="71" s="1"/>
  <c r="F40" i="71"/>
  <c r="I39" i="71"/>
  <c r="F39" i="71"/>
  <c r="I38" i="71"/>
  <c r="F38" i="71"/>
  <c r="I37" i="71"/>
  <c r="J37" i="71" s="1"/>
  <c r="F37" i="71"/>
  <c r="I36" i="71"/>
  <c r="J36" i="71" s="1"/>
  <c r="F36" i="71"/>
  <c r="I35" i="71"/>
  <c r="J35" i="71" s="1"/>
  <c r="F35" i="71"/>
  <c r="I34" i="71"/>
  <c r="J34" i="71" s="1"/>
  <c r="F34" i="71"/>
  <c r="I33" i="71"/>
  <c r="F33" i="71"/>
  <c r="I32" i="71"/>
  <c r="J32" i="71" s="1"/>
  <c r="F32" i="71"/>
  <c r="I31" i="71"/>
  <c r="F31" i="71"/>
  <c r="I30" i="71"/>
  <c r="F30" i="71"/>
  <c r="I29" i="71"/>
  <c r="J29" i="71" s="1"/>
  <c r="F29" i="71"/>
  <c r="I28" i="71"/>
  <c r="J28" i="71" s="1"/>
  <c r="F28" i="71"/>
  <c r="I27" i="71"/>
  <c r="J27" i="71" s="1"/>
  <c r="F27" i="71"/>
  <c r="I26" i="71"/>
  <c r="J26" i="71" s="1"/>
  <c r="F26" i="71"/>
  <c r="I25" i="71"/>
  <c r="F25" i="71"/>
  <c r="I24" i="71"/>
  <c r="J24" i="71" s="1"/>
  <c r="F24" i="71"/>
  <c r="I23" i="71"/>
  <c r="J23" i="71" s="1"/>
  <c r="F23" i="71"/>
  <c r="I22" i="71"/>
  <c r="J22" i="71" s="1"/>
  <c r="F22" i="71"/>
  <c r="I21" i="71"/>
  <c r="F21" i="71"/>
  <c r="I20" i="71"/>
  <c r="J20" i="71" s="1"/>
  <c r="F20" i="71"/>
  <c r="I19" i="71"/>
  <c r="J19" i="71" s="1"/>
  <c r="F19" i="71"/>
  <c r="I18" i="71"/>
  <c r="F18" i="71"/>
  <c r="I17" i="71"/>
  <c r="J17" i="71" s="1"/>
  <c r="F17" i="71"/>
  <c r="I16" i="71"/>
  <c r="J16" i="71" s="1"/>
  <c r="F16" i="71"/>
  <c r="I15" i="71"/>
  <c r="J15" i="71" s="1"/>
  <c r="F15" i="71"/>
  <c r="I14" i="71"/>
  <c r="J14" i="71" s="1"/>
  <c r="F14" i="71"/>
  <c r="J13" i="71"/>
  <c r="I13" i="71"/>
  <c r="G9" i="68"/>
  <c r="H78" i="69"/>
  <c r="H79" i="69"/>
  <c r="H80" i="69"/>
  <c r="F79" i="69"/>
  <c r="F80" i="69"/>
  <c r="F81" i="69"/>
  <c r="F78" i="69"/>
  <c r="F33" i="70"/>
  <c r="H82" i="71" l="1"/>
  <c r="L82" i="71" s="1"/>
  <c r="L83" i="71"/>
  <c r="K83" i="71"/>
  <c r="M83" i="71" s="1"/>
  <c r="H81" i="71"/>
  <c r="L81" i="71" s="1"/>
  <c r="J42" i="71"/>
  <c r="J73" i="71"/>
  <c r="F77" i="71"/>
  <c r="F78" i="71" s="1"/>
  <c r="F79" i="71" s="1"/>
  <c r="F86" i="71" s="1"/>
  <c r="J21" i="71"/>
  <c r="J25" i="71"/>
  <c r="J46" i="71"/>
  <c r="J65" i="71"/>
  <c r="J54" i="71"/>
  <c r="J57" i="71"/>
  <c r="J45" i="71"/>
  <c r="J33" i="71"/>
  <c r="J39" i="71"/>
  <c r="J47" i="71"/>
  <c r="J31" i="71"/>
  <c r="J38" i="71"/>
  <c r="J71" i="71"/>
  <c r="J18" i="71"/>
  <c r="J30" i="71"/>
  <c r="J63" i="71"/>
  <c r="J70" i="71"/>
  <c r="J55" i="71"/>
  <c r="J62" i="71"/>
  <c r="I78" i="69"/>
  <c r="I79" i="69"/>
  <c r="I80" i="69"/>
  <c r="J77" i="71" l="1"/>
  <c r="J78" i="71" s="1"/>
  <c r="J79" i="71" l="1"/>
  <c r="J86" i="71" s="1"/>
  <c r="N86" i="71" l="1"/>
  <c r="D89" i="71"/>
  <c r="F6" i="70"/>
  <c r="F7" i="70"/>
  <c r="F8" i="70"/>
  <c r="F9" i="70"/>
  <c r="F10" i="70"/>
  <c r="F11" i="70"/>
  <c r="F12" i="70"/>
  <c r="F13" i="70"/>
  <c r="F14" i="70"/>
  <c r="F15" i="70"/>
  <c r="F16" i="70"/>
  <c r="F17" i="70"/>
  <c r="F18" i="70"/>
  <c r="F19" i="70"/>
  <c r="F20" i="70"/>
  <c r="F21" i="70"/>
  <c r="F22" i="70"/>
  <c r="F23" i="70"/>
  <c r="F24" i="70"/>
  <c r="F25" i="70"/>
  <c r="F26" i="70"/>
  <c r="F27" i="70"/>
  <c r="F28" i="70"/>
  <c r="F29" i="70"/>
  <c r="F5" i="70"/>
  <c r="A6" i="70"/>
  <c r="A7" i="70" s="1"/>
  <c r="A8" i="70" s="1"/>
  <c r="A9" i="70" s="1"/>
  <c r="A10" i="70" s="1"/>
  <c r="A11" i="70" s="1"/>
  <c r="A12" i="70" s="1"/>
  <c r="A13" i="70" s="1"/>
  <c r="A14" i="70" s="1"/>
  <c r="A15" i="70" s="1"/>
  <c r="A16" i="70" s="1"/>
  <c r="A17" i="70" s="1"/>
  <c r="A18" i="70" s="1"/>
  <c r="A19" i="70" s="1"/>
  <c r="A20" i="70" s="1"/>
  <c r="A21" i="70" s="1"/>
  <c r="A22" i="70" s="1"/>
  <c r="A23" i="70" s="1"/>
  <c r="A24" i="70" s="1"/>
  <c r="A25" i="70" s="1"/>
  <c r="A26" i="70" s="1"/>
  <c r="A27" i="70" s="1"/>
  <c r="A28" i="70" s="1"/>
  <c r="A29" i="70" s="1"/>
  <c r="F30" i="70" l="1"/>
  <c r="F31" i="70" s="1"/>
  <c r="F32" i="70" s="1"/>
  <c r="D72" i="62"/>
  <c r="F34" i="70" l="1"/>
  <c r="E81" i="68" s="1"/>
  <c r="H81" i="69" s="1"/>
  <c r="I81" i="69" s="1"/>
  <c r="H84" i="71"/>
  <c r="L84" i="71" s="1"/>
  <c r="G25" i="65"/>
  <c r="D33" i="68"/>
  <c r="G35" i="71" s="1"/>
  <c r="D73" i="68"/>
  <c r="G75" i="71" s="1"/>
  <c r="G34" i="69"/>
  <c r="D34" i="68" s="1"/>
  <c r="G36" i="71" s="1"/>
  <c r="G35" i="69"/>
  <c r="D35" i="68" s="1"/>
  <c r="G37" i="71" s="1"/>
  <c r="G36" i="69"/>
  <c r="D36" i="68" s="1"/>
  <c r="G38" i="71" s="1"/>
  <c r="G37" i="69"/>
  <c r="D37" i="68" s="1"/>
  <c r="G39" i="71" s="1"/>
  <c r="G38" i="69"/>
  <c r="D38" i="68" s="1"/>
  <c r="G40" i="71" s="1"/>
  <c r="G39" i="69"/>
  <c r="D39" i="68" s="1"/>
  <c r="G41" i="71" s="1"/>
  <c r="G40" i="69"/>
  <c r="D40" i="68" s="1"/>
  <c r="G42" i="71" s="1"/>
  <c r="G41" i="69"/>
  <c r="D41" i="68" s="1"/>
  <c r="G43" i="71" s="1"/>
  <c r="G42" i="69"/>
  <c r="D42" i="68" s="1"/>
  <c r="G44" i="71" s="1"/>
  <c r="G43" i="69"/>
  <c r="D43" i="68" s="1"/>
  <c r="G45" i="71" s="1"/>
  <c r="G44" i="69"/>
  <c r="D44" i="68" s="1"/>
  <c r="G46" i="71" s="1"/>
  <c r="G45" i="69"/>
  <c r="D45" i="68" s="1"/>
  <c r="G47" i="71" s="1"/>
  <c r="G46" i="69"/>
  <c r="D46" i="68" s="1"/>
  <c r="G48" i="71" s="1"/>
  <c r="G47" i="69"/>
  <c r="D47" i="68" s="1"/>
  <c r="G49" i="71" s="1"/>
  <c r="G48" i="69"/>
  <c r="D48" i="68" s="1"/>
  <c r="G50" i="71" s="1"/>
  <c r="G49" i="69"/>
  <c r="D49" i="68" s="1"/>
  <c r="G51" i="71" s="1"/>
  <c r="G50" i="69"/>
  <c r="D50" i="68" s="1"/>
  <c r="G52" i="71" s="1"/>
  <c r="G51" i="69"/>
  <c r="D51" i="68" s="1"/>
  <c r="G53" i="71" s="1"/>
  <c r="G52" i="69"/>
  <c r="D52" i="68" s="1"/>
  <c r="G54" i="71" s="1"/>
  <c r="G53" i="69"/>
  <c r="D53" i="68" s="1"/>
  <c r="G55" i="71" s="1"/>
  <c r="G54" i="69"/>
  <c r="D54" i="68" s="1"/>
  <c r="G56" i="71" s="1"/>
  <c r="G55" i="69"/>
  <c r="D55" i="68" s="1"/>
  <c r="G57" i="71" s="1"/>
  <c r="G56" i="69"/>
  <c r="D56" i="68" s="1"/>
  <c r="G58" i="71" s="1"/>
  <c r="G57" i="69"/>
  <c r="D57" i="68" s="1"/>
  <c r="G59" i="71" s="1"/>
  <c r="G58" i="69"/>
  <c r="D58" i="68" s="1"/>
  <c r="G60" i="71" s="1"/>
  <c r="G59" i="69"/>
  <c r="D59" i="68" s="1"/>
  <c r="G61" i="71" s="1"/>
  <c r="G60" i="69"/>
  <c r="D60" i="68" s="1"/>
  <c r="G62" i="71" s="1"/>
  <c r="G61" i="69"/>
  <c r="D61" i="68" s="1"/>
  <c r="G63" i="71" s="1"/>
  <c r="G62" i="69"/>
  <c r="D62" i="68" s="1"/>
  <c r="G64" i="71" s="1"/>
  <c r="G63" i="69"/>
  <c r="D63" i="68" s="1"/>
  <c r="G65" i="71" s="1"/>
  <c r="G64" i="69"/>
  <c r="D64" i="68" s="1"/>
  <c r="G66" i="71" s="1"/>
  <c r="G65" i="69"/>
  <c r="D65" i="68" s="1"/>
  <c r="G67" i="71" s="1"/>
  <c r="G66" i="69"/>
  <c r="D66" i="68" s="1"/>
  <c r="G68" i="71" s="1"/>
  <c r="G67" i="69"/>
  <c r="D67" i="68" s="1"/>
  <c r="G69" i="71" s="1"/>
  <c r="G68" i="69"/>
  <c r="D68" i="68" s="1"/>
  <c r="G70" i="71" s="1"/>
  <c r="G69" i="69"/>
  <c r="D69" i="68" s="1"/>
  <c r="G71" i="71" s="1"/>
  <c r="H73" i="69"/>
  <c r="H33" i="69"/>
  <c r="F13" i="69"/>
  <c r="F14" i="69"/>
  <c r="F15" i="69"/>
  <c r="F16" i="69"/>
  <c r="F17" i="69"/>
  <c r="F18" i="69"/>
  <c r="F19" i="69"/>
  <c r="F20" i="69"/>
  <c r="F21" i="69"/>
  <c r="F22" i="69"/>
  <c r="F23" i="69"/>
  <c r="F24" i="69"/>
  <c r="F25" i="69"/>
  <c r="F26" i="69"/>
  <c r="F27" i="69"/>
  <c r="F28" i="69"/>
  <c r="F29" i="69"/>
  <c r="F30" i="69"/>
  <c r="F31" i="69"/>
  <c r="F32" i="69"/>
  <c r="F33" i="69"/>
  <c r="F34" i="69"/>
  <c r="F35" i="69"/>
  <c r="F36" i="69"/>
  <c r="F37" i="69"/>
  <c r="F38" i="69"/>
  <c r="F39" i="69"/>
  <c r="F40" i="69"/>
  <c r="F41" i="69"/>
  <c r="F42" i="69"/>
  <c r="F43" i="69"/>
  <c r="F44" i="69"/>
  <c r="F45" i="69"/>
  <c r="F46" i="69"/>
  <c r="F47" i="69"/>
  <c r="F48" i="69"/>
  <c r="F49" i="69"/>
  <c r="F50" i="69"/>
  <c r="F51" i="69"/>
  <c r="F52" i="69"/>
  <c r="F53" i="69"/>
  <c r="F54" i="69"/>
  <c r="F55" i="69"/>
  <c r="F56" i="69"/>
  <c r="F57" i="69"/>
  <c r="F58" i="69"/>
  <c r="F59" i="69"/>
  <c r="F60" i="69"/>
  <c r="F61" i="69"/>
  <c r="F62" i="69"/>
  <c r="F63" i="69"/>
  <c r="F64" i="69"/>
  <c r="F65" i="69"/>
  <c r="F66" i="69"/>
  <c r="F67" i="69"/>
  <c r="F68" i="69"/>
  <c r="F69" i="69"/>
  <c r="F70" i="69"/>
  <c r="F71" i="69"/>
  <c r="F72" i="69"/>
  <c r="F73" i="69"/>
  <c r="F74" i="69"/>
  <c r="F12" i="69"/>
  <c r="G74" i="69"/>
  <c r="D74" i="68" s="1"/>
  <c r="G76" i="71" s="1"/>
  <c r="C69" i="69"/>
  <c r="C68" i="69"/>
  <c r="C67" i="69"/>
  <c r="C66" i="69"/>
  <c r="C65" i="69"/>
  <c r="C64" i="69"/>
  <c r="C63" i="69"/>
  <c r="C62" i="69"/>
  <c r="C61" i="69"/>
  <c r="C60" i="69"/>
  <c r="C59" i="69"/>
  <c r="C58" i="69"/>
  <c r="C57" i="69"/>
  <c r="C56" i="69"/>
  <c r="C55" i="69"/>
  <c r="C54" i="69"/>
  <c r="C53" i="69"/>
  <c r="C52" i="69"/>
  <c r="C51" i="69"/>
  <c r="C50" i="69"/>
  <c r="C49" i="69"/>
  <c r="C48" i="69"/>
  <c r="C47" i="69"/>
  <c r="C46" i="69"/>
  <c r="C45" i="69"/>
  <c r="C44" i="69"/>
  <c r="C43" i="69"/>
  <c r="C42" i="69"/>
  <c r="C41" i="69"/>
  <c r="C40" i="69"/>
  <c r="C39" i="69"/>
  <c r="C38" i="69"/>
  <c r="C37" i="69"/>
  <c r="C36" i="69"/>
  <c r="C35" i="69"/>
  <c r="C34" i="69"/>
  <c r="G32" i="69"/>
  <c r="D32" i="68" s="1"/>
  <c r="G34" i="71" s="1"/>
  <c r="G30" i="69"/>
  <c r="D30" i="68" s="1"/>
  <c r="G32" i="71" s="1"/>
  <c r="G21" i="69"/>
  <c r="H21" i="69" s="1"/>
  <c r="A13" i="69"/>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A35" i="69" s="1"/>
  <c r="A36" i="69" s="1"/>
  <c r="A37" i="69" s="1"/>
  <c r="A38" i="69" s="1"/>
  <c r="A39" i="69" s="1"/>
  <c r="A40" i="69" s="1"/>
  <c r="A41" i="69" s="1"/>
  <c r="A42" i="69" s="1"/>
  <c r="A43" i="69" s="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I33" i="69" l="1"/>
  <c r="K33" i="69" s="1"/>
  <c r="H52" i="71"/>
  <c r="L52" i="71" s="1"/>
  <c r="K52" i="71"/>
  <c r="M52" i="71" s="1"/>
  <c r="H68" i="71"/>
  <c r="L68" i="71" s="1"/>
  <c r="K68" i="71"/>
  <c r="M68" i="71" s="1"/>
  <c r="H60" i="71"/>
  <c r="L60" i="71" s="1"/>
  <c r="K60" i="71"/>
  <c r="M60" i="71" s="1"/>
  <c r="K44" i="71"/>
  <c r="M44" i="71" s="1"/>
  <c r="H44" i="71"/>
  <c r="L44" i="71" s="1"/>
  <c r="K36" i="71"/>
  <c r="M36" i="71" s="1"/>
  <c r="H36" i="71"/>
  <c r="L36" i="71" s="1"/>
  <c r="H50" i="71"/>
  <c r="L50" i="71" s="1"/>
  <c r="K50" i="71"/>
  <c r="M50" i="71" s="1"/>
  <c r="K67" i="71"/>
  <c r="M67" i="71" s="1"/>
  <c r="H67" i="71"/>
  <c r="L67" i="71" s="1"/>
  <c r="K51" i="71"/>
  <c r="M51" i="71" s="1"/>
  <c r="H51" i="71"/>
  <c r="L51" i="71" s="1"/>
  <c r="H69" i="71"/>
  <c r="L69" i="71" s="1"/>
  <c r="K69" i="71"/>
  <c r="M69" i="71" s="1"/>
  <c r="K61" i="71"/>
  <c r="M61" i="71" s="1"/>
  <c r="H61" i="71"/>
  <c r="L61" i="71" s="1"/>
  <c r="H53" i="71"/>
  <c r="L53" i="71" s="1"/>
  <c r="K53" i="71"/>
  <c r="M53" i="71" s="1"/>
  <c r="H45" i="71"/>
  <c r="L45" i="71" s="1"/>
  <c r="K45" i="71"/>
  <c r="M45" i="71" s="1"/>
  <c r="K37" i="71"/>
  <c r="M37" i="71" s="1"/>
  <c r="H37" i="71"/>
  <c r="L37" i="71" s="1"/>
  <c r="H58" i="71"/>
  <c r="L58" i="71" s="1"/>
  <c r="K58" i="71"/>
  <c r="M58" i="71" s="1"/>
  <c r="K35" i="71"/>
  <c r="M35" i="71" s="1"/>
  <c r="H35" i="71"/>
  <c r="L35" i="71" s="1"/>
  <c r="K70" i="71"/>
  <c r="M70" i="71" s="1"/>
  <c r="H70" i="71"/>
  <c r="L70" i="71" s="1"/>
  <c r="K62" i="71"/>
  <c r="M62" i="71" s="1"/>
  <c r="H62" i="71"/>
  <c r="L62" i="71" s="1"/>
  <c r="H54" i="71"/>
  <c r="L54" i="71" s="1"/>
  <c r="K54" i="71"/>
  <c r="M54" i="71" s="1"/>
  <c r="H46" i="71"/>
  <c r="L46" i="71" s="1"/>
  <c r="K46" i="71"/>
  <c r="M46" i="71" s="1"/>
  <c r="K38" i="71"/>
  <c r="M38" i="71" s="1"/>
  <c r="H38" i="71"/>
  <c r="L38" i="71" s="1"/>
  <c r="K59" i="71"/>
  <c r="M59" i="71" s="1"/>
  <c r="H59" i="71"/>
  <c r="L59" i="71" s="1"/>
  <c r="H34" i="71"/>
  <c r="L34" i="71" s="1"/>
  <c r="K34" i="71"/>
  <c r="M34" i="71" s="1"/>
  <c r="H71" i="71"/>
  <c r="L71" i="71" s="1"/>
  <c r="K71" i="71"/>
  <c r="M71" i="71" s="1"/>
  <c r="H63" i="71"/>
  <c r="L63" i="71" s="1"/>
  <c r="K63" i="71"/>
  <c r="M63" i="71" s="1"/>
  <c r="H55" i="71"/>
  <c r="L55" i="71" s="1"/>
  <c r="K55" i="71"/>
  <c r="M55" i="71" s="1"/>
  <c r="H47" i="71"/>
  <c r="L47" i="71" s="1"/>
  <c r="K47" i="71"/>
  <c r="M47" i="71" s="1"/>
  <c r="K39" i="71"/>
  <c r="M39" i="71" s="1"/>
  <c r="H39" i="71"/>
  <c r="L39" i="71" s="1"/>
  <c r="H42" i="71"/>
  <c r="L42" i="71" s="1"/>
  <c r="K42" i="71"/>
  <c r="M42" i="71" s="1"/>
  <c r="H32" i="71"/>
  <c r="L32" i="71" s="1"/>
  <c r="K32" i="71"/>
  <c r="M32" i="71" s="1"/>
  <c r="K64" i="71"/>
  <c r="M64" i="71" s="1"/>
  <c r="H64" i="71"/>
  <c r="L64" i="71" s="1"/>
  <c r="K56" i="71"/>
  <c r="M56" i="71" s="1"/>
  <c r="H56" i="71"/>
  <c r="L56" i="71" s="1"/>
  <c r="K48" i="71"/>
  <c r="M48" i="71" s="1"/>
  <c r="H48" i="71"/>
  <c r="L48" i="71" s="1"/>
  <c r="K40" i="71"/>
  <c r="M40" i="71" s="1"/>
  <c r="H40" i="71"/>
  <c r="L40" i="71" s="1"/>
  <c r="H66" i="71"/>
  <c r="L66" i="71" s="1"/>
  <c r="K66" i="71"/>
  <c r="M66" i="71" s="1"/>
  <c r="K43" i="71"/>
  <c r="M43" i="71" s="1"/>
  <c r="H43" i="71"/>
  <c r="L43" i="71" s="1"/>
  <c r="H76" i="71"/>
  <c r="L76" i="71" s="1"/>
  <c r="K76" i="71"/>
  <c r="M76" i="71" s="1"/>
  <c r="K65" i="71"/>
  <c r="M65" i="71" s="1"/>
  <c r="H65" i="71"/>
  <c r="L65" i="71" s="1"/>
  <c r="K57" i="71"/>
  <c r="M57" i="71" s="1"/>
  <c r="H57" i="71"/>
  <c r="L57" i="71" s="1"/>
  <c r="K49" i="71"/>
  <c r="M49" i="71" s="1"/>
  <c r="H49" i="71"/>
  <c r="L49" i="71" s="1"/>
  <c r="K41" i="71"/>
  <c r="M41" i="71" s="1"/>
  <c r="H41" i="71"/>
  <c r="L41" i="71" s="1"/>
  <c r="K75" i="71"/>
  <c r="M75" i="71" s="1"/>
  <c r="H75" i="71"/>
  <c r="L75" i="71" s="1"/>
  <c r="F75" i="69"/>
  <c r="F76" i="69" s="1"/>
  <c r="F77" i="69" s="1"/>
  <c r="F82" i="69" s="1"/>
  <c r="I73" i="69"/>
  <c r="K73" i="69" s="1"/>
  <c r="H74" i="69"/>
  <c r="D21" i="68"/>
  <c r="G23" i="71" s="1"/>
  <c r="H30" i="69"/>
  <c r="I30" i="69" s="1"/>
  <c r="K30" i="69" s="1"/>
  <c r="H32" i="69"/>
  <c r="I32" i="69" s="1"/>
  <c r="K32" i="69" s="1"/>
  <c r="I74" i="69"/>
  <c r="K74" i="69" s="1"/>
  <c r="I21" i="69"/>
  <c r="K21" i="69" s="1"/>
  <c r="H23" i="71" l="1"/>
  <c r="L23" i="71" s="1"/>
  <c r="K23" i="71"/>
  <c r="M23" i="71" s="1"/>
  <c r="N23" i="71" s="1"/>
  <c r="F51" i="67"/>
  <c r="G50" i="67"/>
  <c r="F50" i="67"/>
  <c r="F30" i="67"/>
  <c r="F49" i="66"/>
  <c r="G48" i="66"/>
  <c r="F48" i="66"/>
  <c r="F31" i="66"/>
  <c r="F49" i="65"/>
  <c r="G48" i="65"/>
  <c r="F48" i="65"/>
  <c r="I37" i="65"/>
  <c r="F29" i="65"/>
  <c r="F25" i="65"/>
  <c r="G34" i="64"/>
  <c r="G31" i="64"/>
  <c r="G28" i="64"/>
  <c r="G77" i="64"/>
  <c r="G76" i="64"/>
  <c r="G75" i="64"/>
  <c r="G62" i="64"/>
  <c r="G60" i="64"/>
  <c r="G61" i="64"/>
  <c r="G250" i="64"/>
  <c r="G254" i="64"/>
  <c r="G258" i="64"/>
  <c r="F257" i="64"/>
  <c r="G257" i="64" s="1"/>
  <c r="F253" i="64"/>
  <c r="G253" i="64" s="1"/>
  <c r="F249" i="64"/>
  <c r="G249" i="64" s="1"/>
  <c r="F237" i="64"/>
  <c r="D243" i="64" s="1"/>
  <c r="D237" i="64"/>
  <c r="G244" i="64"/>
  <c r="G241" i="64"/>
  <c r="G240" i="64"/>
  <c r="G234" i="64"/>
  <c r="G232" i="64"/>
  <c r="G231" i="64"/>
  <c r="G230" i="64"/>
  <c r="G229" i="64"/>
  <c r="G228" i="64"/>
  <c r="G227" i="64"/>
  <c r="G222" i="64"/>
  <c r="G218" i="64"/>
  <c r="G219" i="64"/>
  <c r="G220" i="64"/>
  <c r="G221" i="64"/>
  <c r="G224" i="64"/>
  <c r="D217" i="64"/>
  <c r="G217" i="64" s="1"/>
  <c r="G237" i="64" l="1"/>
  <c r="D242" i="64"/>
  <c r="G242" i="64" s="1"/>
  <c r="D238" i="64"/>
  <c r="G238" i="64" s="1"/>
  <c r="G259" i="64"/>
  <c r="G268" i="64" s="1"/>
  <c r="G29" i="69" s="1"/>
  <c r="D239" i="64"/>
  <c r="G239" i="64" s="1"/>
  <c r="J176" i="64"/>
  <c r="G203" i="64"/>
  <c r="G201" i="64"/>
  <c r="G200" i="64"/>
  <c r="G197" i="64"/>
  <c r="G196" i="64"/>
  <c r="G194" i="64"/>
  <c r="G192" i="64"/>
  <c r="G191" i="64"/>
  <c r="G190" i="64"/>
  <c r="G189" i="64"/>
  <c r="G186" i="64"/>
  <c r="G185" i="64"/>
  <c r="G184" i="64"/>
  <c r="G183" i="64"/>
  <c r="G180" i="64"/>
  <c r="G179" i="64"/>
  <c r="G177" i="64"/>
  <c r="G176" i="64"/>
  <c r="G175" i="64"/>
  <c r="G174" i="64"/>
  <c r="G166" i="64"/>
  <c r="D125" i="64"/>
  <c r="D127" i="64" s="1"/>
  <c r="G127" i="64" s="1"/>
  <c r="D126" i="64"/>
  <c r="D128" i="64" s="1"/>
  <c r="G128" i="64" s="1"/>
  <c r="D130" i="64"/>
  <c r="G130" i="64" s="1"/>
  <c r="D129" i="64"/>
  <c r="G129" i="64" s="1"/>
  <c r="G124" i="64"/>
  <c r="D123" i="64"/>
  <c r="G123" i="64" s="1"/>
  <c r="D122" i="64"/>
  <c r="G122" i="64" s="1"/>
  <c r="G121" i="64"/>
  <c r="G120" i="64"/>
  <c r="D117" i="64"/>
  <c r="G117" i="64" s="1"/>
  <c r="D116" i="64"/>
  <c r="G116" i="64" s="1"/>
  <c r="G115" i="64"/>
  <c r="G114" i="64"/>
  <c r="G113" i="64"/>
  <c r="D112" i="64"/>
  <c r="G112" i="64" s="1"/>
  <c r="G111" i="64"/>
  <c r="D110" i="64"/>
  <c r="G110" i="64" s="1"/>
  <c r="D109" i="64"/>
  <c r="G109" i="64" s="1"/>
  <c r="G108" i="64"/>
  <c r="G107" i="64"/>
  <c r="G95" i="64"/>
  <c r="G98" i="64"/>
  <c r="G100" i="64"/>
  <c r="G101" i="64"/>
  <c r="G102" i="64"/>
  <c r="D104" i="64"/>
  <c r="G104" i="64" s="1"/>
  <c r="D97" i="64"/>
  <c r="G97" i="64" s="1"/>
  <c r="G94" i="64"/>
  <c r="D103" i="64"/>
  <c r="G103" i="64" s="1"/>
  <c r="D99" i="64"/>
  <c r="G99" i="64" s="1"/>
  <c r="D96" i="64"/>
  <c r="G96" i="64" s="1"/>
  <c r="D89" i="64"/>
  <c r="G89" i="64" s="1"/>
  <c r="D88" i="64"/>
  <c r="G88" i="64" s="1"/>
  <c r="D74" i="64"/>
  <c r="G74" i="64" s="1"/>
  <c r="D73" i="64"/>
  <c r="G73" i="64" s="1"/>
  <c r="D59" i="64"/>
  <c r="G59" i="64" s="1"/>
  <c r="D58" i="64"/>
  <c r="G58" i="64" s="1"/>
  <c r="D85" i="64"/>
  <c r="G85" i="64" s="1"/>
  <c r="D84" i="64"/>
  <c r="D86" i="64" s="1"/>
  <c r="G86" i="64" s="1"/>
  <c r="J82" i="64"/>
  <c r="J83" i="64" s="1"/>
  <c r="G83" i="64"/>
  <c r="D82" i="64"/>
  <c r="G82" i="64" s="1"/>
  <c r="D81" i="64"/>
  <c r="G81" i="64" s="1"/>
  <c r="G80" i="64"/>
  <c r="D52" i="64"/>
  <c r="D51" i="64"/>
  <c r="D54" i="64"/>
  <c r="G54" i="64" s="1"/>
  <c r="D69" i="64"/>
  <c r="G69" i="64" s="1"/>
  <c r="D67" i="64"/>
  <c r="G67" i="64" s="1"/>
  <c r="D66" i="64"/>
  <c r="G66" i="64" s="1"/>
  <c r="G72" i="64"/>
  <c r="G71" i="64"/>
  <c r="G70" i="64"/>
  <c r="G68" i="64"/>
  <c r="G65" i="64"/>
  <c r="G57" i="64"/>
  <c r="G56" i="64"/>
  <c r="G55" i="64"/>
  <c r="D29" i="68" l="1"/>
  <c r="G31" i="71" s="1"/>
  <c r="H29" i="69"/>
  <c r="I29" i="69" s="1"/>
  <c r="K29" i="69" s="1"/>
  <c r="G245" i="64"/>
  <c r="G261" i="64" s="1"/>
  <c r="G265" i="64" s="1"/>
  <c r="G193" i="64"/>
  <c r="G202" i="64"/>
  <c r="G187" i="64"/>
  <c r="G181" i="64"/>
  <c r="G126" i="64"/>
  <c r="G84" i="64"/>
  <c r="G125" i="64"/>
  <c r="D87" i="64"/>
  <c r="G87" i="64" s="1"/>
  <c r="G53" i="64"/>
  <c r="G52" i="64"/>
  <c r="G51" i="64"/>
  <c r="G41" i="64"/>
  <c r="G39" i="64"/>
  <c r="G37" i="64"/>
  <c r="G33" i="64"/>
  <c r="G18" i="64"/>
  <c r="G17" i="64"/>
  <c r="G30" i="64"/>
  <c r="G22" i="64"/>
  <c r="D21" i="64"/>
  <c r="G21" i="64" s="1"/>
  <c r="G14" i="64"/>
  <c r="D75" i="62"/>
  <c r="G75" i="62" s="1"/>
  <c r="G87" i="62"/>
  <c r="D65" i="62"/>
  <c r="D74" i="62" s="1"/>
  <c r="G74" i="62" s="1"/>
  <c r="D50" i="62"/>
  <c r="G50" i="62" s="1"/>
  <c r="D36" i="62"/>
  <c r="G36" i="62" s="1"/>
  <c r="D23" i="62"/>
  <c r="G23" i="62" s="1"/>
  <c r="G82" i="62"/>
  <c r="G71" i="69" s="1"/>
  <c r="G58" i="62"/>
  <c r="G61" i="62"/>
  <c r="G62" i="62"/>
  <c r="G57" i="62"/>
  <c r="G59" i="62"/>
  <c r="D60" i="62"/>
  <c r="G60" i="62" s="1"/>
  <c r="G44" i="62"/>
  <c r="G45" i="62"/>
  <c r="G47" i="62"/>
  <c r="G48" i="62"/>
  <c r="G43" i="62"/>
  <c r="D46" i="62"/>
  <c r="G46" i="62" s="1"/>
  <c r="G30" i="62"/>
  <c r="G31" i="62"/>
  <c r="G33" i="62"/>
  <c r="G34" i="62"/>
  <c r="G29" i="62"/>
  <c r="D32" i="62"/>
  <c r="G32" i="62" s="1"/>
  <c r="G17" i="62"/>
  <c r="G18" i="62"/>
  <c r="G20" i="62"/>
  <c r="G21" i="62"/>
  <c r="G16" i="62"/>
  <c r="D19" i="62"/>
  <c r="G19" i="62" s="1"/>
  <c r="H31" i="71" l="1"/>
  <c r="L31" i="71" s="1"/>
  <c r="K31" i="71"/>
  <c r="M31" i="71" s="1"/>
  <c r="G65" i="62"/>
  <c r="G67" i="62" s="1"/>
  <c r="D71" i="68"/>
  <c r="G73" i="71" s="1"/>
  <c r="H71" i="69"/>
  <c r="I71" i="69" s="1"/>
  <c r="K71" i="69" s="1"/>
  <c r="D63" i="62"/>
  <c r="G131" i="64"/>
  <c r="G205" i="64"/>
  <c r="G53" i="62"/>
  <c r="G39" i="62"/>
  <c r="F74" i="68"/>
  <c r="F81" i="68"/>
  <c r="F80" i="68"/>
  <c r="F79" i="68"/>
  <c r="F78" i="68"/>
  <c r="K73" i="71" l="1"/>
  <c r="M73" i="71" s="1"/>
  <c r="H73" i="71"/>
  <c r="L73" i="71" s="1"/>
  <c r="G72" i="62"/>
  <c r="D71" i="62"/>
  <c r="G71" i="62" s="1"/>
  <c r="F73" i="68"/>
  <c r="G76" i="62" l="1"/>
  <c r="G70" i="69" s="1"/>
  <c r="C34" i="68"/>
  <c r="C35" i="68"/>
  <c r="C36" i="68"/>
  <c r="C37" i="68"/>
  <c r="C38" i="68"/>
  <c r="C39" i="68"/>
  <c r="C40" i="68"/>
  <c r="C41" i="68"/>
  <c r="C42" i="68"/>
  <c r="C43" i="68"/>
  <c r="C44" i="68"/>
  <c r="C45" i="68"/>
  <c r="C46" i="68"/>
  <c r="C47" i="68"/>
  <c r="C48" i="68"/>
  <c r="C49" i="68"/>
  <c r="C50" i="68"/>
  <c r="C51" i="68"/>
  <c r="C52" i="68"/>
  <c r="C53" i="68"/>
  <c r="C54" i="68"/>
  <c r="C55" i="68"/>
  <c r="C56" i="68"/>
  <c r="C57" i="68"/>
  <c r="C58" i="68"/>
  <c r="C59" i="68"/>
  <c r="C60" i="68"/>
  <c r="C61" i="68"/>
  <c r="C62" i="68"/>
  <c r="C63" i="68"/>
  <c r="C64" i="68"/>
  <c r="C65" i="68"/>
  <c r="C66" i="68"/>
  <c r="C67" i="68"/>
  <c r="C68" i="68"/>
  <c r="C69" i="68"/>
  <c r="H70" i="69" l="1"/>
  <c r="I70" i="69" s="1"/>
  <c r="K70" i="69" s="1"/>
  <c r="D70" i="68"/>
  <c r="G72" i="71" s="1"/>
  <c r="F39" i="68"/>
  <c r="F67" i="68"/>
  <c r="F41" i="68"/>
  <c r="F35" i="68"/>
  <c r="F61" i="68"/>
  <c r="F54" i="68"/>
  <c r="F47" i="68"/>
  <c r="F43" i="68"/>
  <c r="F55" i="68"/>
  <c r="F68" i="68"/>
  <c r="F62" i="68"/>
  <c r="F48" i="68"/>
  <c r="F40" i="68"/>
  <c r="F36" i="68"/>
  <c r="F63" i="68"/>
  <c r="F59" i="68"/>
  <c r="F56" i="68"/>
  <c r="F49" i="68"/>
  <c r="F37" i="68"/>
  <c r="F69" i="68"/>
  <c r="F66" i="68"/>
  <c r="F64" i="68"/>
  <c r="F60" i="68"/>
  <c r="F53" i="68"/>
  <c r="F50" i="68"/>
  <c r="F42" i="68"/>
  <c r="F21" i="68"/>
  <c r="F33" i="68"/>
  <c r="A13" i="68"/>
  <c r="A14" i="68" s="1"/>
  <c r="A15" i="68" s="1"/>
  <c r="A16" i="68" s="1"/>
  <c r="A17" i="68" s="1"/>
  <c r="A18" i="68" s="1"/>
  <c r="A19" i="68" s="1"/>
  <c r="A20" i="68" s="1"/>
  <c r="A21" i="68" s="1"/>
  <c r="A22" i="68" s="1"/>
  <c r="A23" i="68" s="1"/>
  <c r="A24" i="68" s="1"/>
  <c r="A25" i="68" s="1"/>
  <c r="A26" i="68" s="1"/>
  <c r="A27" i="68" s="1"/>
  <c r="A28" i="68" s="1"/>
  <c r="A29" i="68" s="1"/>
  <c r="A30" i="68" s="1"/>
  <c r="A31" i="68" s="1"/>
  <c r="A32" i="68" s="1"/>
  <c r="A33" i="68" s="1"/>
  <c r="A34" i="68" s="1"/>
  <c r="A35" i="68" s="1"/>
  <c r="A36" i="68" s="1"/>
  <c r="A37" i="68" s="1"/>
  <c r="A38" i="68" s="1"/>
  <c r="A39" i="68" s="1"/>
  <c r="A40" i="68" s="1"/>
  <c r="A41" i="68" s="1"/>
  <c r="A42" i="68" s="1"/>
  <c r="A43" i="68" s="1"/>
  <c r="A44" i="68" s="1"/>
  <c r="A45" i="68" s="1"/>
  <c r="A46" i="68" s="1"/>
  <c r="A47" i="68" s="1"/>
  <c r="A48" i="68" s="1"/>
  <c r="A49" i="68" s="1"/>
  <c r="A50" i="68" s="1"/>
  <c r="A51" i="68" s="1"/>
  <c r="A52" i="68" s="1"/>
  <c r="A53" i="68" s="1"/>
  <c r="A54" i="68" s="1"/>
  <c r="A55" i="68" s="1"/>
  <c r="A56" i="68" s="1"/>
  <c r="A57" i="68" s="1"/>
  <c r="A58" i="68" s="1"/>
  <c r="A59" i="68" s="1"/>
  <c r="A60" i="68" s="1"/>
  <c r="A61" i="68" s="1"/>
  <c r="A62" i="68" s="1"/>
  <c r="A63" i="68" s="1"/>
  <c r="A64" i="68" s="1"/>
  <c r="A65" i="68" s="1"/>
  <c r="A66" i="68" s="1"/>
  <c r="A67" i="68" s="1"/>
  <c r="A68" i="68" s="1"/>
  <c r="A69" i="68" s="1"/>
  <c r="A70" i="68" s="1"/>
  <c r="A71" i="68" s="1"/>
  <c r="A72" i="68" s="1"/>
  <c r="A73" i="68" s="1"/>
  <c r="A74" i="68" s="1"/>
  <c r="H72" i="71" l="1"/>
  <c r="L72" i="71" s="1"/>
  <c r="K72" i="71"/>
  <c r="M72" i="71" s="1"/>
  <c r="F32" i="68"/>
  <c r="F30" i="68"/>
  <c r="L148" i="67"/>
  <c r="L147" i="67"/>
  <c r="L146" i="67"/>
  <c r="L145" i="67"/>
  <c r="L144" i="67"/>
  <c r="K143" i="67"/>
  <c r="L141" i="67"/>
  <c r="L140" i="67"/>
  <c r="L139" i="67"/>
  <c r="L138" i="67"/>
  <c r="L137" i="67"/>
  <c r="L136" i="67"/>
  <c r="K135" i="67"/>
  <c r="K134" i="67"/>
  <c r="L132" i="67"/>
  <c r="L131" i="67"/>
  <c r="L130" i="67"/>
  <c r="L129" i="67"/>
  <c r="K128" i="67"/>
  <c r="K127" i="67"/>
  <c r="L125" i="67"/>
  <c r="L124" i="67"/>
  <c r="L123" i="67"/>
  <c r="L122" i="67"/>
  <c r="K121" i="67"/>
  <c r="K120" i="67"/>
  <c r="K119" i="67"/>
  <c r="L118" i="67"/>
  <c r="L117" i="67"/>
  <c r="L116" i="67"/>
  <c r="L115" i="67"/>
  <c r="L114" i="67"/>
  <c r="K113" i="67"/>
  <c r="F38" i="68" s="1"/>
  <c r="L112" i="67"/>
  <c r="L111" i="67"/>
  <c r="L110" i="67"/>
  <c r="K109" i="67"/>
  <c r="I102" i="67"/>
  <c r="L102" i="67" s="1"/>
  <c r="L100" i="67"/>
  <c r="L98" i="67"/>
  <c r="B98" i="67"/>
  <c r="B100" i="67" s="1"/>
  <c r="B102" i="67" s="1"/>
  <c r="L96" i="67"/>
  <c r="I81" i="67"/>
  <c r="D72" i="67"/>
  <c r="I72" i="67" s="1"/>
  <c r="F67" i="67"/>
  <c r="D64" i="67"/>
  <c r="F62" i="67"/>
  <c r="L58" i="67"/>
  <c r="I55" i="67"/>
  <c r="H52" i="67"/>
  <c r="I51" i="67"/>
  <c r="I50" i="67"/>
  <c r="I47" i="67"/>
  <c r="I36" i="67"/>
  <c r="B33" i="67"/>
  <c r="B35" i="67" s="1"/>
  <c r="B41" i="67" s="1"/>
  <c r="B49" i="67" s="1"/>
  <c r="B58" i="67" s="1"/>
  <c r="B60" i="67" s="1"/>
  <c r="B74" i="67" s="1"/>
  <c r="B78" i="67" s="1"/>
  <c r="B83" i="67" s="1"/>
  <c r="B87" i="67" s="1"/>
  <c r="B91" i="67" s="1"/>
  <c r="B96" i="67" s="1"/>
  <c r="I30" i="67"/>
  <c r="D25" i="67"/>
  <c r="I25" i="67" s="1"/>
  <c r="I20" i="67"/>
  <c r="I18" i="67"/>
  <c r="B17" i="67"/>
  <c r="B22" i="67" s="1"/>
  <c r="M13" i="67"/>
  <c r="H13" i="67"/>
  <c r="E93" i="67"/>
  <c r="D12" i="67"/>
  <c r="F63" i="67" s="1"/>
  <c r="L146" i="66"/>
  <c r="L145" i="66"/>
  <c r="L144" i="66"/>
  <c r="L143" i="66"/>
  <c r="L142" i="66"/>
  <c r="K141" i="66"/>
  <c r="L141" i="66" s="1"/>
  <c r="L139" i="66"/>
  <c r="L138" i="66"/>
  <c r="L137" i="66"/>
  <c r="L136" i="66"/>
  <c r="L135" i="66"/>
  <c r="L134" i="66"/>
  <c r="K133" i="66"/>
  <c r="L133" i="66" s="1"/>
  <c r="K132" i="66"/>
  <c r="L132" i="66" s="1"/>
  <c r="L130" i="66"/>
  <c r="L129" i="66"/>
  <c r="L128" i="66"/>
  <c r="L127" i="66"/>
  <c r="K126" i="66"/>
  <c r="L126" i="66" s="1"/>
  <c r="K125" i="66"/>
  <c r="L125" i="66" s="1"/>
  <c r="L123" i="66"/>
  <c r="L122" i="66"/>
  <c r="L121" i="66"/>
  <c r="L120" i="66"/>
  <c r="K119" i="66"/>
  <c r="L119" i="66" s="1"/>
  <c r="K118" i="66"/>
  <c r="L118" i="66" s="1"/>
  <c r="K117" i="66"/>
  <c r="L117" i="66" s="1"/>
  <c r="L116" i="66"/>
  <c r="L115" i="66"/>
  <c r="L114" i="66"/>
  <c r="L113" i="66"/>
  <c r="L112" i="66"/>
  <c r="K111" i="66"/>
  <c r="L111" i="66" s="1"/>
  <c r="L110" i="66"/>
  <c r="L109" i="66"/>
  <c r="L108" i="66"/>
  <c r="K107" i="66"/>
  <c r="L107" i="66" s="1"/>
  <c r="I100" i="66"/>
  <c r="L100" i="66" s="1"/>
  <c r="L98" i="66"/>
  <c r="L96" i="66"/>
  <c r="B96" i="66"/>
  <c r="B98" i="66" s="1"/>
  <c r="B100" i="66" s="1"/>
  <c r="L94" i="66"/>
  <c r="I79" i="66"/>
  <c r="D70" i="66"/>
  <c r="I70" i="66" s="1"/>
  <c r="F65" i="66"/>
  <c r="D62" i="66"/>
  <c r="F60" i="66"/>
  <c r="L56" i="66"/>
  <c r="I53" i="66"/>
  <c r="H50" i="66"/>
  <c r="I49" i="66"/>
  <c r="I48" i="66"/>
  <c r="I45" i="66"/>
  <c r="I37" i="66"/>
  <c r="B34" i="66"/>
  <c r="B36" i="66" s="1"/>
  <c r="B39" i="66" s="1"/>
  <c r="B47" i="66" s="1"/>
  <c r="B56" i="66" s="1"/>
  <c r="B58" i="66" s="1"/>
  <c r="B72" i="66" s="1"/>
  <c r="B76" i="66" s="1"/>
  <c r="B81" i="66" s="1"/>
  <c r="B85" i="66" s="1"/>
  <c r="B89" i="66" s="1"/>
  <c r="B94" i="66" s="1"/>
  <c r="I31" i="66"/>
  <c r="I32" i="66" s="1"/>
  <c r="D26" i="66"/>
  <c r="I26" i="66" s="1"/>
  <c r="I21" i="66"/>
  <c r="I19" i="66"/>
  <c r="B18" i="66"/>
  <c r="B23" i="66" s="1"/>
  <c r="M14" i="66"/>
  <c r="H14" i="66"/>
  <c r="D14" i="66"/>
  <c r="E91" i="66" s="1"/>
  <c r="D13" i="66"/>
  <c r="H83" i="66" s="1"/>
  <c r="I38" i="66" l="1"/>
  <c r="I31" i="67"/>
  <c r="L113" i="67"/>
  <c r="L121" i="67"/>
  <c r="F46" i="68"/>
  <c r="L135" i="67"/>
  <c r="F58" i="68"/>
  <c r="L127" i="67"/>
  <c r="F51" i="68"/>
  <c r="I40" i="67"/>
  <c r="L119" i="67"/>
  <c r="F44" i="68"/>
  <c r="L128" i="67"/>
  <c r="F52" i="68"/>
  <c r="L109" i="67"/>
  <c r="F34" i="68"/>
  <c r="L120" i="67"/>
  <c r="F45" i="68"/>
  <c r="L134" i="67"/>
  <c r="F57" i="68"/>
  <c r="L143" i="67"/>
  <c r="F65" i="68"/>
  <c r="E43" i="67"/>
  <c r="E46" i="67" s="1"/>
  <c r="I46" i="67" s="1"/>
  <c r="E79" i="67"/>
  <c r="E85" i="67"/>
  <c r="F69" i="67"/>
  <c r="D70" i="67" s="1"/>
  <c r="E15" i="67"/>
  <c r="I15" i="67" s="1"/>
  <c r="E19" i="67"/>
  <c r="E26" i="67" s="1"/>
  <c r="I26" i="67" s="1"/>
  <c r="I27" i="67" s="1"/>
  <c r="E54" i="67"/>
  <c r="I54" i="67" s="1"/>
  <c r="F61" i="67"/>
  <c r="E76" i="67"/>
  <c r="I76" i="67" s="1"/>
  <c r="E89" i="67"/>
  <c r="I89" i="67" s="1"/>
  <c r="E42" i="67"/>
  <c r="I42" i="67" s="1"/>
  <c r="D62" i="67"/>
  <c r="I62" i="67" s="1"/>
  <c r="F66" i="67"/>
  <c r="E84" i="67"/>
  <c r="I84" i="67" s="1"/>
  <c r="B28" i="67"/>
  <c r="B24" i="67"/>
  <c r="H53" i="67"/>
  <c r="H75" i="67"/>
  <c r="H88" i="67"/>
  <c r="H93" i="67"/>
  <c r="I93" i="67" s="1"/>
  <c r="E33" i="67"/>
  <c r="I33" i="67" s="1"/>
  <c r="H43" i="67"/>
  <c r="F45" i="67"/>
  <c r="I45" i="67" s="1"/>
  <c r="D63" i="67"/>
  <c r="I63" i="67" s="1"/>
  <c r="F64" i="67"/>
  <c r="I64" i="67" s="1"/>
  <c r="D66" i="67"/>
  <c r="D69" i="67"/>
  <c r="F70" i="67"/>
  <c r="H79" i="67"/>
  <c r="H85" i="67"/>
  <c r="E92" i="67"/>
  <c r="I92" i="67" s="1"/>
  <c r="I22" i="67"/>
  <c r="F44" i="67"/>
  <c r="I44" i="67" s="1"/>
  <c r="D61" i="67"/>
  <c r="D65" i="67"/>
  <c r="I65" i="67" s="1"/>
  <c r="F68" i="67"/>
  <c r="D71" i="67"/>
  <c r="I71" i="67" s="1"/>
  <c r="E75" i="67"/>
  <c r="E80" i="67"/>
  <c r="I80" i="67" s="1"/>
  <c r="E88" i="67"/>
  <c r="H89" i="67"/>
  <c r="E34" i="66"/>
  <c r="I34" i="66" s="1"/>
  <c r="E83" i="66"/>
  <c r="I83" i="66" s="1"/>
  <c r="F62" i="66"/>
  <c r="I62" i="66" s="1"/>
  <c r="D61" i="66"/>
  <c r="F68" i="66"/>
  <c r="F59" i="66"/>
  <c r="E90" i="66"/>
  <c r="I90" i="66" s="1"/>
  <c r="H86" i="66"/>
  <c r="E41" i="66"/>
  <c r="E44" i="66" s="1"/>
  <c r="I44" i="66" s="1"/>
  <c r="D67" i="66"/>
  <c r="H73" i="66"/>
  <c r="H41" i="66"/>
  <c r="H51" i="66"/>
  <c r="E20" i="66"/>
  <c r="I20" i="66" s="1"/>
  <c r="I22" i="66" s="1"/>
  <c r="F43" i="66"/>
  <c r="I43" i="66" s="1"/>
  <c r="D64" i="66"/>
  <c r="E77" i="66"/>
  <c r="H91" i="66"/>
  <c r="I91" i="66" s="1"/>
  <c r="B29" i="66"/>
  <c r="B25" i="66"/>
  <c r="L147" i="66"/>
  <c r="E16" i="66"/>
  <c r="I16" i="66" s="1"/>
  <c r="E40" i="66"/>
  <c r="E52" i="66"/>
  <c r="I52" i="66" s="1"/>
  <c r="D60" i="66"/>
  <c r="I60" i="66" s="1"/>
  <c r="F61" i="66"/>
  <c r="F64" i="66"/>
  <c r="F67" i="66"/>
  <c r="D68" i="66" s="1"/>
  <c r="E74" i="66"/>
  <c r="I74" i="66" s="1"/>
  <c r="E82" i="66"/>
  <c r="I82" i="66" s="1"/>
  <c r="E87" i="66"/>
  <c r="I87" i="66" s="1"/>
  <c r="H77" i="66"/>
  <c r="I23" i="66"/>
  <c r="F42" i="66"/>
  <c r="I42" i="66" s="1"/>
  <c r="D59" i="66"/>
  <c r="D63" i="66"/>
  <c r="I63" i="66" s="1"/>
  <c r="F66" i="66"/>
  <c r="D69" i="66"/>
  <c r="I69" i="66" s="1"/>
  <c r="E73" i="66"/>
  <c r="E78" i="66"/>
  <c r="I78" i="66" s="1"/>
  <c r="E86" i="66"/>
  <c r="H87" i="66"/>
  <c r="L107" i="65"/>
  <c r="L108" i="65"/>
  <c r="L109" i="65"/>
  <c r="L111" i="65"/>
  <c r="L112" i="65"/>
  <c r="L113" i="65"/>
  <c r="L114" i="65"/>
  <c r="L115" i="65"/>
  <c r="L119" i="65"/>
  <c r="L120" i="65"/>
  <c r="L121" i="65"/>
  <c r="L122" i="65"/>
  <c r="L126" i="65"/>
  <c r="L127" i="65"/>
  <c r="L128" i="65"/>
  <c r="L129" i="65"/>
  <c r="L133" i="65"/>
  <c r="L134" i="65"/>
  <c r="L135" i="65"/>
  <c r="L136" i="65"/>
  <c r="L137" i="65"/>
  <c r="L138" i="65"/>
  <c r="L141" i="65"/>
  <c r="L142" i="65"/>
  <c r="L143" i="65"/>
  <c r="L144" i="65"/>
  <c r="L145" i="65"/>
  <c r="L95" i="65"/>
  <c r="K140" i="65"/>
  <c r="L140" i="65" s="1"/>
  <c r="K132" i="65"/>
  <c r="L132" i="65" s="1"/>
  <c r="K131" i="65"/>
  <c r="L131" i="65" s="1"/>
  <c r="K125" i="65"/>
  <c r="L125" i="65" s="1"/>
  <c r="K124" i="65"/>
  <c r="L124" i="65" s="1"/>
  <c r="K118" i="65"/>
  <c r="L118" i="65" s="1"/>
  <c r="K117" i="65"/>
  <c r="L117" i="65" s="1"/>
  <c r="K116" i="65"/>
  <c r="L116" i="65" s="1"/>
  <c r="K110" i="65"/>
  <c r="L110" i="65" s="1"/>
  <c r="K106" i="65"/>
  <c r="L106" i="65" s="1"/>
  <c r="I99" i="65"/>
  <c r="L99" i="65" s="1"/>
  <c r="L97" i="65"/>
  <c r="B95" i="65"/>
  <c r="B97" i="65" s="1"/>
  <c r="B99" i="65" s="1"/>
  <c r="L93" i="65"/>
  <c r="I79" i="65"/>
  <c r="D70" i="65"/>
  <c r="I70" i="65" s="1"/>
  <c r="F65" i="65"/>
  <c r="D62" i="65"/>
  <c r="F60" i="65"/>
  <c r="L56" i="65"/>
  <c r="O58" i="67" s="1"/>
  <c r="I53" i="65"/>
  <c r="I49" i="65"/>
  <c r="I48" i="65"/>
  <c r="I45" i="65"/>
  <c r="I35" i="65"/>
  <c r="B32" i="65"/>
  <c r="B34" i="65" s="1"/>
  <c r="B39" i="65" s="1"/>
  <c r="B47" i="65" s="1"/>
  <c r="B56" i="65" s="1"/>
  <c r="B58" i="65" s="1"/>
  <c r="B72" i="65" s="1"/>
  <c r="B76" i="65" s="1"/>
  <c r="B81" i="65" s="1"/>
  <c r="B85" i="65" s="1"/>
  <c r="B89" i="65" s="1"/>
  <c r="B93" i="65" s="1"/>
  <c r="I29" i="65"/>
  <c r="D25" i="65"/>
  <c r="I25" i="65" s="1"/>
  <c r="I19" i="65"/>
  <c r="B18" i="65"/>
  <c r="B22" i="65" s="1"/>
  <c r="M14" i="65"/>
  <c r="H14" i="65"/>
  <c r="D14" i="65"/>
  <c r="E83" i="65" s="1"/>
  <c r="D13" i="65"/>
  <c r="I86" i="66" l="1"/>
  <c r="I88" i="66" s="1"/>
  <c r="I61" i="66"/>
  <c r="I30" i="65"/>
  <c r="G16" i="69" s="1"/>
  <c r="I92" i="66"/>
  <c r="I70" i="67"/>
  <c r="I61" i="67"/>
  <c r="L146" i="65"/>
  <c r="L149" i="67"/>
  <c r="I69" i="67"/>
  <c r="I38" i="65"/>
  <c r="G18" i="69" s="1"/>
  <c r="H18" i="69" s="1"/>
  <c r="I18" i="69" s="1"/>
  <c r="K18" i="69" s="1"/>
  <c r="I79" i="67"/>
  <c r="I82" i="67" s="1"/>
  <c r="I88" i="67"/>
  <c r="I90" i="67" s="1"/>
  <c r="I85" i="67"/>
  <c r="I86" i="67" s="1"/>
  <c r="I66" i="67"/>
  <c r="I43" i="67"/>
  <c r="I48" i="67" s="1"/>
  <c r="I59" i="66"/>
  <c r="I64" i="66"/>
  <c r="I77" i="66"/>
  <c r="I80" i="66" s="1"/>
  <c r="I19" i="67"/>
  <c r="I21" i="67" s="1"/>
  <c r="E52" i="67"/>
  <c r="F52" i="67" s="1"/>
  <c r="I52" i="67" s="1"/>
  <c r="F43" i="65"/>
  <c r="I43" i="65" s="1"/>
  <c r="I84" i="66"/>
  <c r="I75" i="67"/>
  <c r="I77" i="67" s="1"/>
  <c r="I94" i="67"/>
  <c r="E32" i="65"/>
  <c r="I32" i="65" s="1"/>
  <c r="H83" i="65"/>
  <c r="I83" i="65" s="1"/>
  <c r="I68" i="67"/>
  <c r="D67" i="67"/>
  <c r="I67" i="67" s="1"/>
  <c r="I73" i="66"/>
  <c r="I75" i="66" s="1"/>
  <c r="I41" i="66"/>
  <c r="I68" i="66"/>
  <c r="E27" i="66"/>
  <c r="I27" i="66" s="1"/>
  <c r="I28" i="66" s="1"/>
  <c r="I66" i="66"/>
  <c r="D65" i="66"/>
  <c r="I65" i="66" s="1"/>
  <c r="H77" i="65"/>
  <c r="I67" i="66"/>
  <c r="H41" i="65"/>
  <c r="D64" i="65"/>
  <c r="I40" i="66"/>
  <c r="E50" i="66"/>
  <c r="B28" i="65"/>
  <c r="B24" i="65"/>
  <c r="D61" i="65"/>
  <c r="F62" i="65"/>
  <c r="I62" i="65" s="1"/>
  <c r="D67" i="65"/>
  <c r="F68" i="65"/>
  <c r="E90" i="65"/>
  <c r="I90" i="65" s="1"/>
  <c r="E16" i="65"/>
  <c r="I16" i="65" s="1"/>
  <c r="G12" i="69" s="1"/>
  <c r="D12" i="68" s="1"/>
  <c r="G14" i="71" s="1"/>
  <c r="E40" i="65"/>
  <c r="E52" i="65"/>
  <c r="I52" i="65" s="1"/>
  <c r="D60" i="65"/>
  <c r="I60" i="65" s="1"/>
  <c r="F61" i="65"/>
  <c r="F64" i="65"/>
  <c r="F67" i="65"/>
  <c r="D68" i="65" s="1"/>
  <c r="E74" i="65"/>
  <c r="I74" i="65" s="1"/>
  <c r="E82" i="65"/>
  <c r="I82" i="65" s="1"/>
  <c r="E87" i="65"/>
  <c r="I87" i="65" s="1"/>
  <c r="F42" i="65"/>
  <c r="I42" i="65" s="1"/>
  <c r="D59" i="65"/>
  <c r="E73" i="65"/>
  <c r="E78" i="65"/>
  <c r="I78" i="65" s="1"/>
  <c r="E86" i="65"/>
  <c r="H87" i="65"/>
  <c r="I22" i="65"/>
  <c r="D63" i="65"/>
  <c r="I63" i="65" s="1"/>
  <c r="F66" i="65"/>
  <c r="D69" i="65"/>
  <c r="I69" i="65" s="1"/>
  <c r="E20" i="65"/>
  <c r="E41" i="65"/>
  <c r="H51" i="65"/>
  <c r="F59" i="65"/>
  <c r="H73" i="65"/>
  <c r="E77" i="65"/>
  <c r="H86" i="65"/>
  <c r="H14" i="71" l="1"/>
  <c r="K14" i="71"/>
  <c r="M14" i="71" s="1"/>
  <c r="N14" i="71" s="1"/>
  <c r="I68" i="65"/>
  <c r="D18" i="68"/>
  <c r="G20" i="71" s="1"/>
  <c r="I46" i="66"/>
  <c r="D16" i="68"/>
  <c r="G18" i="71" s="1"/>
  <c r="H16" i="69"/>
  <c r="I16" i="69" s="1"/>
  <c r="K16" i="69" s="1"/>
  <c r="H12" i="69"/>
  <c r="I12" i="69" s="1"/>
  <c r="K12" i="69" s="1"/>
  <c r="I77" i="65"/>
  <c r="I80" i="65" s="1"/>
  <c r="G25" i="69" s="1"/>
  <c r="I64" i="65"/>
  <c r="I73" i="67"/>
  <c r="I84" i="65"/>
  <c r="E53" i="67"/>
  <c r="F53" i="67" s="1"/>
  <c r="I53" i="67" s="1"/>
  <c r="I56" i="67" s="1"/>
  <c r="I91" i="65"/>
  <c r="G28" i="69" s="1"/>
  <c r="I71" i="66"/>
  <c r="I61" i="65"/>
  <c r="F50" i="66"/>
  <c r="I50" i="66" s="1"/>
  <c r="E51" i="66"/>
  <c r="F51" i="66" s="1"/>
  <c r="I51" i="66" s="1"/>
  <c r="I59" i="65"/>
  <c r="I67" i="65"/>
  <c r="I66" i="65"/>
  <c r="D65" i="65"/>
  <c r="I65" i="65" s="1"/>
  <c r="E44" i="65"/>
  <c r="I44" i="65" s="1"/>
  <c r="I41" i="65"/>
  <c r="I86" i="65"/>
  <c r="I88" i="65" s="1"/>
  <c r="G27" i="69" s="1"/>
  <c r="E26" i="65"/>
  <c r="I26" i="65" s="1"/>
  <c r="I27" i="65" s="1"/>
  <c r="I20" i="65"/>
  <c r="I21" i="65" s="1"/>
  <c r="I40" i="65"/>
  <c r="E50" i="65"/>
  <c r="I73" i="65"/>
  <c r="I75" i="65" s="1"/>
  <c r="G24" i="69" s="1"/>
  <c r="L14" i="71" l="1"/>
  <c r="H20" i="71"/>
  <c r="L20" i="71" s="1"/>
  <c r="K20" i="71"/>
  <c r="M20" i="71" s="1"/>
  <c r="N20" i="71" s="1"/>
  <c r="H18" i="71"/>
  <c r="L18" i="71" s="1"/>
  <c r="K18" i="71"/>
  <c r="M18" i="71" s="1"/>
  <c r="N18" i="71" s="1"/>
  <c r="D24" i="68"/>
  <c r="G26" i="71" s="1"/>
  <c r="H24" i="69"/>
  <c r="I24" i="69" s="1"/>
  <c r="K24" i="69" s="1"/>
  <c r="H25" i="69"/>
  <c r="I25" i="69" s="1"/>
  <c r="K25" i="69" s="1"/>
  <c r="D25" i="68"/>
  <c r="G27" i="71" s="1"/>
  <c r="D28" i="68"/>
  <c r="G30" i="71" s="1"/>
  <c r="H28" i="69"/>
  <c r="I28" i="69" s="1"/>
  <c r="K28" i="69" s="1"/>
  <c r="H27" i="69"/>
  <c r="I27" i="69" s="1"/>
  <c r="K27" i="69" s="1"/>
  <c r="D27" i="68"/>
  <c r="G29" i="71" s="1"/>
  <c r="G26" i="69"/>
  <c r="O90" i="67"/>
  <c r="I71" i="65"/>
  <c r="I46" i="65"/>
  <c r="I54" i="66"/>
  <c r="F50" i="65"/>
  <c r="I50" i="65" s="1"/>
  <c r="E51" i="65"/>
  <c r="F51" i="65" s="1"/>
  <c r="I51" i="65" s="1"/>
  <c r="K27" i="71" l="1"/>
  <c r="M27" i="71" s="1"/>
  <c r="H27" i="71"/>
  <c r="L27" i="71" s="1"/>
  <c r="K30" i="71"/>
  <c r="M30" i="71" s="1"/>
  <c r="H30" i="71"/>
  <c r="L30" i="71" s="1"/>
  <c r="H29" i="71"/>
  <c r="L29" i="71" s="1"/>
  <c r="K29" i="71"/>
  <c r="M29" i="71" s="1"/>
  <c r="K26" i="71"/>
  <c r="M26" i="71" s="1"/>
  <c r="H26" i="71"/>
  <c r="L26" i="71" s="1"/>
  <c r="D26" i="68"/>
  <c r="G28" i="71" s="1"/>
  <c r="H26" i="69"/>
  <c r="I26" i="69" s="1"/>
  <c r="K26" i="69" s="1"/>
  <c r="I54" i="65"/>
  <c r="G20" i="69" s="1"/>
  <c r="K28" i="71" l="1"/>
  <c r="M28" i="71" s="1"/>
  <c r="H28" i="71"/>
  <c r="L28" i="71" s="1"/>
  <c r="D20" i="68"/>
  <c r="G22" i="71" s="1"/>
  <c r="H20" i="69"/>
  <c r="I20" i="69" s="1"/>
  <c r="K20" i="69" s="1"/>
  <c r="G275" i="64"/>
  <c r="G31" i="69" s="1"/>
  <c r="G164" i="64"/>
  <c r="G163" i="64"/>
  <c r="G160" i="64"/>
  <c r="G159" i="64"/>
  <c r="G157" i="64"/>
  <c r="G155" i="64"/>
  <c r="G154" i="64"/>
  <c r="G153" i="64"/>
  <c r="G152" i="64"/>
  <c r="G149" i="64"/>
  <c r="G148" i="64"/>
  <c r="G147" i="64"/>
  <c r="G146" i="64"/>
  <c r="G143" i="64"/>
  <c r="G142" i="64"/>
  <c r="G140" i="64"/>
  <c r="G139" i="64"/>
  <c r="G138" i="64"/>
  <c r="G137" i="64"/>
  <c r="G50" i="64"/>
  <c r="G90" i="64" s="1"/>
  <c r="G19" i="69" s="1"/>
  <c r="D19" i="68" s="1"/>
  <c r="G21" i="71" s="1"/>
  <c r="G47" i="64"/>
  <c r="G27" i="64"/>
  <c r="G35" i="64" s="1"/>
  <c r="G15" i="69" s="1"/>
  <c r="G16" i="64"/>
  <c r="J61" i="62"/>
  <c r="G85" i="62"/>
  <c r="G90" i="62" s="1"/>
  <c r="G72" i="69" s="1"/>
  <c r="I40" i="36"/>
  <c r="H21" i="71" l="1"/>
  <c r="L21" i="71" s="1"/>
  <c r="K21" i="71"/>
  <c r="M21" i="71" s="1"/>
  <c r="N21" i="71" s="1"/>
  <c r="H22" i="71"/>
  <c r="L22" i="71" s="1"/>
  <c r="K22" i="71"/>
  <c r="M22" i="71" s="1"/>
  <c r="N22" i="71" s="1"/>
  <c r="D31" i="68"/>
  <c r="H31" i="69"/>
  <c r="I31" i="69" s="1"/>
  <c r="K31" i="69" s="1"/>
  <c r="H19" i="69"/>
  <c r="I19" i="69" s="1"/>
  <c r="K19" i="69" s="1"/>
  <c r="D15" i="68"/>
  <c r="G17" i="71" s="1"/>
  <c r="H15" i="69"/>
  <c r="I15" i="69" s="1"/>
  <c r="K15" i="69" s="1"/>
  <c r="D72" i="68"/>
  <c r="G74" i="71" s="1"/>
  <c r="H72" i="69"/>
  <c r="I72" i="69" s="1"/>
  <c r="K72" i="69" s="1"/>
  <c r="G24" i="64"/>
  <c r="G14" i="69" s="1"/>
  <c r="G44" i="64"/>
  <c r="G17" i="69" s="1"/>
  <c r="G165" i="64"/>
  <c r="G213" i="64"/>
  <c r="G23" i="69" s="1"/>
  <c r="G19" i="64"/>
  <c r="G144" i="64"/>
  <c r="G150" i="64"/>
  <c r="G156" i="64"/>
  <c r="J56" i="62"/>
  <c r="L56" i="62" s="1"/>
  <c r="L61" i="62" s="1"/>
  <c r="G25" i="62"/>
  <c r="F70" i="68"/>
  <c r="G13" i="69" l="1"/>
  <c r="F31" i="68"/>
  <c r="G33" i="71"/>
  <c r="K74" i="71"/>
  <c r="M74" i="71" s="1"/>
  <c r="H74" i="71"/>
  <c r="L74" i="71" s="1"/>
  <c r="K17" i="71"/>
  <c r="M17" i="71" s="1"/>
  <c r="N17" i="71" s="1"/>
  <c r="H17" i="71"/>
  <c r="L17" i="71" s="1"/>
  <c r="H17" i="69"/>
  <c r="I17" i="69" s="1"/>
  <c r="K17" i="69" s="1"/>
  <c r="D17" i="68"/>
  <c r="G19" i="71" s="1"/>
  <c r="D23" i="68"/>
  <c r="G25" i="71" s="1"/>
  <c r="H23" i="69"/>
  <c r="I23" i="69" s="1"/>
  <c r="K23" i="69" s="1"/>
  <c r="D14" i="68"/>
  <c r="G16" i="71" s="1"/>
  <c r="H14" i="69"/>
  <c r="I14" i="69" s="1"/>
  <c r="K14" i="69" s="1"/>
  <c r="H13" i="69"/>
  <c r="I13" i="69" s="1"/>
  <c r="K13" i="69" s="1"/>
  <c r="D13" i="68"/>
  <c r="G15" i="71" s="1"/>
  <c r="G168" i="64"/>
  <c r="G170" i="64" s="1"/>
  <c r="G206" i="64" s="1"/>
  <c r="G22" i="69" s="1"/>
  <c r="J67" i="62"/>
  <c r="K33" i="71" l="1"/>
  <c r="M33" i="71" s="1"/>
  <c r="H33" i="71"/>
  <c r="L33" i="71" s="1"/>
  <c r="K25" i="71"/>
  <c r="M25" i="71" s="1"/>
  <c r="H25" i="71"/>
  <c r="L25" i="71" s="1"/>
  <c r="K16" i="71"/>
  <c r="M16" i="71" s="1"/>
  <c r="N16" i="71" s="1"/>
  <c r="H16" i="71"/>
  <c r="L16" i="71" s="1"/>
  <c r="K15" i="71"/>
  <c r="M15" i="71" s="1"/>
  <c r="N15" i="71" s="1"/>
  <c r="H15" i="71"/>
  <c r="H19" i="71"/>
  <c r="L19" i="71" s="1"/>
  <c r="K19" i="71"/>
  <c r="M19" i="71" s="1"/>
  <c r="N19" i="71" s="1"/>
  <c r="D22" i="68"/>
  <c r="G24" i="71" s="1"/>
  <c r="H22" i="69"/>
  <c r="I22" i="69" s="1"/>
  <c r="K22" i="69" s="1"/>
  <c r="G45" i="19"/>
  <c r="G44" i="19"/>
  <c r="G41" i="19"/>
  <c r="G40" i="19"/>
  <c r="G39" i="19"/>
  <c r="G38" i="19"/>
  <c r="G37" i="19"/>
  <c r="G36" i="19"/>
  <c r="G35" i="19"/>
  <c r="G34" i="19"/>
  <c r="G31" i="19"/>
  <c r="G29" i="19"/>
  <c r="G26" i="19"/>
  <c r="G25" i="19"/>
  <c r="G24" i="19"/>
  <c r="G23" i="19"/>
  <c r="G22" i="19"/>
  <c r="G19" i="19"/>
  <c r="G20" i="19"/>
  <c r="G18" i="19"/>
  <c r="G15" i="19"/>
  <c r="G14" i="19"/>
  <c r="G48" i="19" s="1"/>
  <c r="G13" i="19"/>
  <c r="G10" i="19"/>
  <c r="K24" i="71" l="1"/>
  <c r="M24" i="71" s="1"/>
  <c r="H24" i="71"/>
  <c r="L24" i="71" s="1"/>
  <c r="L15" i="71"/>
  <c r="G30" i="19"/>
  <c r="F71" i="34"/>
  <c r="G17" i="19" s="1"/>
  <c r="L77" i="71" l="1"/>
  <c r="L78" i="71" s="1"/>
  <c r="L79" i="71" s="1"/>
  <c r="L86" i="71" s="1"/>
  <c r="D88" i="71" s="1"/>
  <c r="D90" i="71" s="1"/>
  <c r="H77" i="71"/>
  <c r="H30" i="58"/>
  <c r="M26" i="58"/>
  <c r="M27" i="58"/>
  <c r="M28" i="58"/>
  <c r="C27" i="56"/>
  <c r="F27" i="56" s="1"/>
  <c r="C28" i="56"/>
  <c r="F28" i="56" s="1"/>
  <c r="C29" i="56"/>
  <c r="C30" i="56"/>
  <c r="F30" i="56" s="1"/>
  <c r="C33" i="58"/>
  <c r="D33" i="58"/>
  <c r="F33" i="58" s="1"/>
  <c r="G33" i="58"/>
  <c r="K33" i="58" s="1"/>
  <c r="L33" i="58"/>
  <c r="E14" i="58"/>
  <c r="E15" i="58"/>
  <c r="E16" i="58"/>
  <c r="E17" i="58"/>
  <c r="E18" i="58"/>
  <c r="E19" i="58"/>
  <c r="E20" i="58"/>
  <c r="E21" i="58"/>
  <c r="E22" i="58"/>
  <c r="E23" i="58"/>
  <c r="E24" i="58"/>
  <c r="E25" i="58"/>
  <c r="D14" i="58"/>
  <c r="D15" i="58"/>
  <c r="D16" i="58"/>
  <c r="D17" i="58"/>
  <c r="D18" i="58"/>
  <c r="D19" i="58"/>
  <c r="D20" i="58"/>
  <c r="D21" i="58"/>
  <c r="D22" i="58"/>
  <c r="D23" i="58"/>
  <c r="D24" i="58"/>
  <c r="D25" i="58"/>
  <c r="C14" i="58"/>
  <c r="C15" i="58"/>
  <c r="C16" i="58"/>
  <c r="C17" i="58"/>
  <c r="C18" i="58"/>
  <c r="C19" i="58"/>
  <c r="C20" i="58"/>
  <c r="C21" i="58"/>
  <c r="C22" i="58"/>
  <c r="C23" i="58"/>
  <c r="C24" i="58"/>
  <c r="C25" i="58"/>
  <c r="D38" i="58"/>
  <c r="L32" i="58"/>
  <c r="G32" i="58"/>
  <c r="K32" i="58" s="1"/>
  <c r="D32" i="58"/>
  <c r="F32" i="58" s="1"/>
  <c r="C32" i="58"/>
  <c r="L31" i="58"/>
  <c r="G31" i="58"/>
  <c r="K31" i="58" s="1"/>
  <c r="D31" i="58"/>
  <c r="F31" i="58" s="1"/>
  <c r="C31" i="58"/>
  <c r="L30" i="58"/>
  <c r="G30" i="58"/>
  <c r="K30" i="58" s="1"/>
  <c r="D30" i="58"/>
  <c r="F30" i="58" s="1"/>
  <c r="C30" i="58"/>
  <c r="H13" i="58"/>
  <c r="J13" i="58" s="1"/>
  <c r="G13" i="58"/>
  <c r="I13" i="58" s="1"/>
  <c r="L88" i="71" l="1"/>
  <c r="H78" i="71"/>
  <c r="H79" i="71" s="1"/>
  <c r="H86" i="71" s="1"/>
  <c r="F22" i="58"/>
  <c r="F18" i="58"/>
  <c r="F14" i="58"/>
  <c r="F19" i="58"/>
  <c r="F25" i="58"/>
  <c r="F21" i="58"/>
  <c r="F17" i="58"/>
  <c r="F24" i="58"/>
  <c r="F20" i="58"/>
  <c r="F16" i="58"/>
  <c r="F23" i="58"/>
  <c r="F15" i="58"/>
  <c r="F26" i="58" l="1"/>
  <c r="F27" i="58" s="1"/>
  <c r="F28" i="58" s="1"/>
  <c r="F35" i="58" s="1"/>
  <c r="E24" i="57" l="1"/>
  <c r="H24" i="57" s="1"/>
  <c r="E25" i="57"/>
  <c r="H25" i="57" s="1"/>
  <c r="E26" i="57"/>
  <c r="F26" i="57" s="1"/>
  <c r="E27" i="57"/>
  <c r="F27" i="57" s="1"/>
  <c r="F10" i="57"/>
  <c r="F11" i="57"/>
  <c r="F12" i="57"/>
  <c r="F13" i="57"/>
  <c r="F14" i="57"/>
  <c r="F15" i="57"/>
  <c r="F16" i="57"/>
  <c r="F17" i="57"/>
  <c r="F18" i="57"/>
  <c r="F19" i="57"/>
  <c r="F20" i="57"/>
  <c r="F9" i="57"/>
  <c r="G27" i="57"/>
  <c r="G26" i="57"/>
  <c r="G25" i="57"/>
  <c r="G24" i="57"/>
  <c r="E95" i="55"/>
  <c r="D95" i="55"/>
  <c r="D104" i="55" s="1"/>
  <c r="G72" i="55"/>
  <c r="G73" i="55"/>
  <c r="G74" i="55"/>
  <c r="G75" i="55"/>
  <c r="G76" i="55"/>
  <c r="G77" i="55"/>
  <c r="G78" i="55"/>
  <c r="G79" i="55"/>
  <c r="G80" i="55"/>
  <c r="G81" i="55"/>
  <c r="G82" i="55"/>
  <c r="G83" i="55"/>
  <c r="G84" i="55"/>
  <c r="G85" i="55"/>
  <c r="G86" i="55"/>
  <c r="G87" i="55"/>
  <c r="G88" i="55"/>
  <c r="G89" i="55"/>
  <c r="G90" i="55"/>
  <c r="G91" i="55"/>
  <c r="G92" i="55"/>
  <c r="G93" i="55"/>
  <c r="G94" i="55"/>
  <c r="G71" i="55"/>
  <c r="C123" i="55"/>
  <c r="G123" i="55" s="1"/>
  <c r="G125" i="55" s="1"/>
  <c r="G20" i="57" s="1"/>
  <c r="C115" i="55"/>
  <c r="D115" i="55"/>
  <c r="C116" i="55"/>
  <c r="D116" i="55"/>
  <c r="C117" i="55"/>
  <c r="D117" i="55"/>
  <c r="C35" i="55"/>
  <c r="E35" i="55"/>
  <c r="C36" i="55"/>
  <c r="D36" i="55"/>
  <c r="E36" i="55"/>
  <c r="C37" i="55"/>
  <c r="D37" i="55"/>
  <c r="E37" i="55"/>
  <c r="G21" i="55"/>
  <c r="G22" i="55"/>
  <c r="E113" i="55"/>
  <c r="D113" i="55"/>
  <c r="D17" i="55"/>
  <c r="D34" i="55" s="1"/>
  <c r="D112" i="55" s="1"/>
  <c r="D15" i="55"/>
  <c r="J136" i="55"/>
  <c r="J132" i="55"/>
  <c r="J130" i="55"/>
  <c r="G114" i="55"/>
  <c r="C104" i="55"/>
  <c r="B70" i="55"/>
  <c r="B64" i="55"/>
  <c r="B46" i="55"/>
  <c r="B44" i="55"/>
  <c r="B35" i="55"/>
  <c r="B48" i="55" s="1"/>
  <c r="E34" i="55"/>
  <c r="E46" i="55" s="1"/>
  <c r="E112" i="55" s="1"/>
  <c r="C34" i="55"/>
  <c r="C112" i="55" s="1"/>
  <c r="C33" i="55"/>
  <c r="C111" i="55" s="1"/>
  <c r="E32" i="55"/>
  <c r="E42" i="55" s="1"/>
  <c r="H61" i="54"/>
  <c r="H62" i="54"/>
  <c r="H60" i="54"/>
  <c r="H45" i="54"/>
  <c r="H46" i="54"/>
  <c r="H23" i="54"/>
  <c r="H27" i="54"/>
  <c r="H28" i="54"/>
  <c r="H29" i="54"/>
  <c r="H30" i="54"/>
  <c r="H22" i="54"/>
  <c r="H17" i="54"/>
  <c r="H18" i="54"/>
  <c r="H19" i="54"/>
  <c r="H12" i="54"/>
  <c r="H7" i="54"/>
  <c r="H8" i="54"/>
  <c r="E47" i="54"/>
  <c r="D47" i="54"/>
  <c r="D44" i="54"/>
  <c r="H44" i="54" s="1"/>
  <c r="E43" i="54"/>
  <c r="H43" i="54" s="1"/>
  <c r="D42" i="54"/>
  <c r="H42" i="54" s="1"/>
  <c r="E41" i="54"/>
  <c r="H41" i="54" s="1"/>
  <c r="E40" i="54"/>
  <c r="H40" i="54" s="1"/>
  <c r="E39" i="54"/>
  <c r="D39" i="54"/>
  <c r="D38" i="54"/>
  <c r="H38" i="54" s="1"/>
  <c r="D37" i="54"/>
  <c r="H37" i="54" s="1"/>
  <c r="E33" i="54"/>
  <c r="H33" i="54" s="1"/>
  <c r="F32" i="54"/>
  <c r="H32" i="54" s="1"/>
  <c r="F31" i="54"/>
  <c r="H31" i="54" s="1"/>
  <c r="E26" i="54"/>
  <c r="H26" i="54" s="1"/>
  <c r="E25" i="54"/>
  <c r="H25" i="54" s="1"/>
  <c r="E24" i="54"/>
  <c r="H24" i="54" s="1"/>
  <c r="E16" i="54"/>
  <c r="H16" i="54" s="1"/>
  <c r="E11" i="54"/>
  <c r="H11" i="54" s="1"/>
  <c r="G6" i="54"/>
  <c r="H6" i="54" s="1"/>
  <c r="N6" i="54"/>
  <c r="O6" i="54"/>
  <c r="H39" i="54" l="1"/>
  <c r="F24" i="57"/>
  <c r="F25" i="57"/>
  <c r="H47" i="54"/>
  <c r="F21" i="57"/>
  <c r="F29" i="57" s="1"/>
  <c r="C103" i="55"/>
  <c r="D13" i="55"/>
  <c r="G13" i="55" s="1"/>
  <c r="G19" i="57"/>
  <c r="G24" i="58" s="1"/>
  <c r="C22" i="56"/>
  <c r="F22" i="56" s="1"/>
  <c r="H20" i="57"/>
  <c r="I20" i="57" s="1"/>
  <c r="G25" i="58"/>
  <c r="H19" i="57"/>
  <c r="I19" i="57" s="1"/>
  <c r="C23" i="56"/>
  <c r="F23" i="56" s="1"/>
  <c r="H27" i="57"/>
  <c r="H26" i="57"/>
  <c r="G113" i="55"/>
  <c r="G117" i="55"/>
  <c r="G115" i="55"/>
  <c r="G116" i="55"/>
  <c r="G17" i="55"/>
  <c r="G28" i="55"/>
  <c r="G36" i="55"/>
  <c r="G37" i="55"/>
  <c r="G35" i="55"/>
  <c r="C44" i="55"/>
  <c r="C45" i="55" s="1"/>
  <c r="C46" i="55"/>
  <c r="C47" i="55" s="1"/>
  <c r="D33" i="55"/>
  <c r="D111" i="55" s="1"/>
  <c r="G15" i="55"/>
  <c r="G112" i="55"/>
  <c r="E33" i="55"/>
  <c r="E44" i="55" s="1"/>
  <c r="E111" i="55" s="1"/>
  <c r="G20" i="55"/>
  <c r="G34" i="55"/>
  <c r="D46" i="55"/>
  <c r="D47" i="55" s="1"/>
  <c r="D115" i="54"/>
  <c r="H115" i="54" s="1"/>
  <c r="H116" i="54" s="1"/>
  <c r="G109" i="54"/>
  <c r="E109" i="54"/>
  <c r="E112" i="54" s="1"/>
  <c r="H112" i="54" s="1"/>
  <c r="H113" i="54" s="1"/>
  <c r="G106" i="54"/>
  <c r="G105" i="54"/>
  <c r="F102" i="54"/>
  <c r="F97" i="54"/>
  <c r="D97" i="54"/>
  <c r="D102" i="54" s="1"/>
  <c r="H93" i="54"/>
  <c r="O92" i="54"/>
  <c r="N92" i="54"/>
  <c r="E89" i="54"/>
  <c r="E92" i="54" s="1"/>
  <c r="G85" i="54"/>
  <c r="E85" i="54"/>
  <c r="F82" i="54"/>
  <c r="H82" i="54" s="1"/>
  <c r="H83" i="54" s="1"/>
  <c r="H77" i="54"/>
  <c r="H76" i="54"/>
  <c r="H75" i="54"/>
  <c r="H74" i="54"/>
  <c r="H73" i="54"/>
  <c r="H72" i="54"/>
  <c r="H71" i="54"/>
  <c r="H70" i="54"/>
  <c r="H68" i="54"/>
  <c r="C121" i="55" s="1"/>
  <c r="G121" i="55" s="1"/>
  <c r="H66" i="54"/>
  <c r="E57" i="54"/>
  <c r="H56" i="54"/>
  <c r="E55" i="54"/>
  <c r="H54" i="54"/>
  <c r="G57" i="54"/>
  <c r="H6" i="52"/>
  <c r="E7" i="52"/>
  <c r="F7" i="52"/>
  <c r="G8" i="52"/>
  <c r="F10" i="52"/>
  <c r="G10" i="52"/>
  <c r="H11" i="52"/>
  <c r="D32" i="55" l="1"/>
  <c r="D42" i="55" s="1"/>
  <c r="D65" i="55" s="1"/>
  <c r="D64" i="55" s="1"/>
  <c r="G64" i="55" s="1"/>
  <c r="H10" i="52"/>
  <c r="F22" i="57"/>
  <c r="F23" i="57" s="1"/>
  <c r="F28" i="57" s="1"/>
  <c r="F30" i="57" s="1"/>
  <c r="H7" i="52"/>
  <c r="G42" i="55"/>
  <c r="G32" i="55"/>
  <c r="C13" i="56"/>
  <c r="F13" i="56" s="1"/>
  <c r="G10" i="57"/>
  <c r="G18" i="57"/>
  <c r="C21" i="56"/>
  <c r="F21" i="56" s="1"/>
  <c r="K25" i="58"/>
  <c r="M25" i="58" s="1"/>
  <c r="H25" i="58"/>
  <c r="L25" i="58" s="1"/>
  <c r="J121" i="55"/>
  <c r="K24" i="58"/>
  <c r="M24" i="58" s="1"/>
  <c r="H24" i="58"/>
  <c r="L24" i="58" s="1"/>
  <c r="G111" i="55"/>
  <c r="G118" i="55" s="1"/>
  <c r="D44" i="55"/>
  <c r="D45" i="55" s="1"/>
  <c r="G45" i="55" s="1"/>
  <c r="G33" i="55"/>
  <c r="G47" i="55"/>
  <c r="G46" i="55"/>
  <c r="G65" i="55"/>
  <c r="H85" i="54"/>
  <c r="H86" i="54" s="1"/>
  <c r="H109" i="54"/>
  <c r="H110" i="54" s="1"/>
  <c r="E97" i="54"/>
  <c r="D98" i="54"/>
  <c r="H92" i="54"/>
  <c r="H94" i="54" s="1"/>
  <c r="H57" i="54"/>
  <c r="H9" i="54"/>
  <c r="G23" i="55" s="1"/>
  <c r="G24" i="55" s="1"/>
  <c r="H55" i="54"/>
  <c r="H89" i="54"/>
  <c r="H90" i="54" s="1"/>
  <c r="H13" i="54"/>
  <c r="G38" i="55" s="1"/>
  <c r="E8" i="52"/>
  <c r="G39" i="55" l="1"/>
  <c r="H10" i="57"/>
  <c r="I10" i="57" s="1"/>
  <c r="G15" i="58"/>
  <c r="G17" i="57"/>
  <c r="C20" i="56"/>
  <c r="F20" i="56" s="1"/>
  <c r="H18" i="57"/>
  <c r="I18" i="57" s="1"/>
  <c r="G23" i="58"/>
  <c r="G9" i="57"/>
  <c r="C12" i="56"/>
  <c r="F12" i="56" s="1"/>
  <c r="G44" i="55"/>
  <c r="G103" i="55"/>
  <c r="H63" i="54"/>
  <c r="G58" i="55" s="1"/>
  <c r="G59" i="55" s="1"/>
  <c r="H58" i="54"/>
  <c r="H20" i="54"/>
  <c r="G50" i="55" s="1"/>
  <c r="E105" i="54"/>
  <c r="H105" i="54" s="1"/>
  <c r="E102" i="54"/>
  <c r="H97" i="54"/>
  <c r="D99" i="54"/>
  <c r="H99" i="54" s="1"/>
  <c r="H98" i="54"/>
  <c r="H8" i="52"/>
  <c r="E9" i="52"/>
  <c r="H9" i="52" s="1"/>
  <c r="G11" i="57" l="1"/>
  <c r="H11" i="57" s="1"/>
  <c r="I11" i="57" s="1"/>
  <c r="C14" i="56"/>
  <c r="F14" i="56" s="1"/>
  <c r="C16" i="56"/>
  <c r="F16" i="56" s="1"/>
  <c r="G13" i="57"/>
  <c r="G52" i="55"/>
  <c r="G12" i="57" s="1"/>
  <c r="H17" i="57"/>
  <c r="I17" i="57" s="1"/>
  <c r="G22" i="58"/>
  <c r="H15" i="58"/>
  <c r="L15" i="58" s="1"/>
  <c r="K15" i="58"/>
  <c r="M15" i="58" s="1"/>
  <c r="G16" i="58"/>
  <c r="K23" i="58"/>
  <c r="M23" i="58" s="1"/>
  <c r="H23" i="58"/>
  <c r="L23" i="58" s="1"/>
  <c r="H9" i="57"/>
  <c r="G14" i="58"/>
  <c r="G104" i="55"/>
  <c r="H100" i="54"/>
  <c r="E106" i="54"/>
  <c r="H106" i="54" s="1"/>
  <c r="H107" i="54" s="1"/>
  <c r="H102" i="54"/>
  <c r="H103" i="54" s="1"/>
  <c r="C15" i="56" l="1"/>
  <c r="F15" i="56" s="1"/>
  <c r="H13" i="57"/>
  <c r="I13" i="57" s="1"/>
  <c r="G18" i="58"/>
  <c r="K22" i="58"/>
  <c r="M22" i="58" s="1"/>
  <c r="H22" i="58"/>
  <c r="L22" i="58" s="1"/>
  <c r="H12" i="57"/>
  <c r="I12" i="57" s="1"/>
  <c r="G17" i="58"/>
  <c r="K14" i="58"/>
  <c r="M14" i="58" s="1"/>
  <c r="H14" i="58"/>
  <c r="I9" i="57"/>
  <c r="K16" i="58"/>
  <c r="M16" i="58" s="1"/>
  <c r="H16" i="58"/>
  <c r="L16" i="58" s="1"/>
  <c r="C27" i="53"/>
  <c r="F27" i="53" s="1"/>
  <c r="C26" i="53"/>
  <c r="C25" i="53"/>
  <c r="F25" i="53" s="1"/>
  <c r="C24" i="53"/>
  <c r="F24" i="53" s="1"/>
  <c r="K18" i="58" l="1"/>
  <c r="M18" i="58" s="1"/>
  <c r="H18" i="58"/>
  <c r="L18" i="58" s="1"/>
  <c r="H17" i="58"/>
  <c r="L17" i="58" s="1"/>
  <c r="K17" i="58"/>
  <c r="M17" i="58" s="1"/>
  <c r="L14" i="58"/>
  <c r="H34" i="54"/>
  <c r="H49" i="54"/>
  <c r="G66" i="55" s="1"/>
  <c r="G67" i="55" s="1"/>
  <c r="J96" i="51"/>
  <c r="J100" i="51"/>
  <c r="C17" i="56" l="1"/>
  <c r="F17" i="56" s="1"/>
  <c r="G14" i="57"/>
  <c r="H51" i="54"/>
  <c r="G106" i="55" s="1"/>
  <c r="G107" i="55" s="1"/>
  <c r="G108" i="55" s="1"/>
  <c r="G95" i="55"/>
  <c r="G96" i="55" s="1"/>
  <c r="G87" i="51"/>
  <c r="G85" i="51"/>
  <c r="H26" i="52"/>
  <c r="H25" i="52"/>
  <c r="G16" i="57" l="1"/>
  <c r="C19" i="56"/>
  <c r="F19" i="56" s="1"/>
  <c r="H14" i="57"/>
  <c r="G19" i="58"/>
  <c r="C18" i="56"/>
  <c r="F18" i="56" s="1"/>
  <c r="G15" i="57"/>
  <c r="J85" i="51"/>
  <c r="C18" i="53"/>
  <c r="F18" i="53" s="1"/>
  <c r="G89" i="51"/>
  <c r="C20" i="53" s="1"/>
  <c r="C19" i="53"/>
  <c r="H24" i="52"/>
  <c r="H17" i="52"/>
  <c r="D131" i="52"/>
  <c r="H131" i="52" s="1"/>
  <c r="H132" i="52" s="1"/>
  <c r="G125" i="52"/>
  <c r="E125" i="52"/>
  <c r="E128" i="52" s="1"/>
  <c r="H128" i="52" s="1"/>
  <c r="H129" i="52" s="1"/>
  <c r="G122" i="52"/>
  <c r="G121" i="52"/>
  <c r="F118" i="52"/>
  <c r="F113" i="52"/>
  <c r="D113" i="52"/>
  <c r="D118" i="52" s="1"/>
  <c r="H109" i="52"/>
  <c r="O108" i="52"/>
  <c r="N108" i="52"/>
  <c r="E105" i="52"/>
  <c r="E108" i="52" s="1"/>
  <c r="G101" i="52"/>
  <c r="E101" i="52"/>
  <c r="F98" i="52"/>
  <c r="H98" i="52" s="1"/>
  <c r="H99" i="52" s="1"/>
  <c r="H93" i="52"/>
  <c r="H92" i="52"/>
  <c r="H91" i="52"/>
  <c r="H90" i="52"/>
  <c r="H89" i="52"/>
  <c r="H88" i="52"/>
  <c r="H87" i="52"/>
  <c r="H86" i="52"/>
  <c r="H84" i="52"/>
  <c r="H82" i="52"/>
  <c r="G73" i="52"/>
  <c r="D60" i="52"/>
  <c r="D78" i="52" s="1"/>
  <c r="F59" i="52"/>
  <c r="F77" i="52" s="1"/>
  <c r="E59" i="52"/>
  <c r="D59" i="52"/>
  <c r="D58" i="52"/>
  <c r="E56" i="52"/>
  <c r="E74" i="52" s="1"/>
  <c r="D56" i="52"/>
  <c r="G55" i="52"/>
  <c r="E55" i="52"/>
  <c r="G54" i="52"/>
  <c r="G53" i="52"/>
  <c r="G51" i="52"/>
  <c r="G50" i="52"/>
  <c r="G49" i="52"/>
  <c r="H45" i="52"/>
  <c r="E43" i="52"/>
  <c r="H43" i="52" s="1"/>
  <c r="H42" i="52"/>
  <c r="G41" i="52"/>
  <c r="G58" i="52" s="1"/>
  <c r="G69" i="52" s="1"/>
  <c r="G76" i="52" s="1"/>
  <c r="E41" i="52"/>
  <c r="E58" i="52" s="1"/>
  <c r="F37" i="52"/>
  <c r="F56" i="52" s="1"/>
  <c r="F74" i="52" s="1"/>
  <c r="H36" i="52"/>
  <c r="H35" i="52"/>
  <c r="D34" i="52"/>
  <c r="D55" i="52" s="1"/>
  <c r="G31" i="52"/>
  <c r="G52" i="52" s="1"/>
  <c r="D31" i="52"/>
  <c r="D32" i="52" s="1"/>
  <c r="F30" i="52"/>
  <c r="F23" i="52"/>
  <c r="F34" i="52" s="1"/>
  <c r="F22" i="52"/>
  <c r="G16" i="52"/>
  <c r="E16" i="52"/>
  <c r="E15" i="52"/>
  <c r="E22" i="52" s="1"/>
  <c r="F14" i="52"/>
  <c r="F21" i="52" s="1"/>
  <c r="E14" i="52"/>
  <c r="E21" i="52" s="1"/>
  <c r="E29" i="52" s="1"/>
  <c r="E30" i="52" s="1"/>
  <c r="O6" i="52"/>
  <c r="N6" i="52"/>
  <c r="F4" i="52"/>
  <c r="E4" i="52"/>
  <c r="F24" i="56" l="1"/>
  <c r="F25" i="56" s="1"/>
  <c r="F26" i="56" s="1"/>
  <c r="F31" i="56" s="1"/>
  <c r="H15" i="57"/>
  <c r="I15" i="57" s="1"/>
  <c r="G20" i="58"/>
  <c r="G21" i="58"/>
  <c r="H16" i="57"/>
  <c r="I16" i="57" s="1"/>
  <c r="K19" i="58"/>
  <c r="M19" i="58" s="1"/>
  <c r="H19" i="58"/>
  <c r="I14" i="57"/>
  <c r="H101" i="52"/>
  <c r="H102" i="52" s="1"/>
  <c r="H22" i="52"/>
  <c r="H58" i="52"/>
  <c r="H16" i="52"/>
  <c r="E60" i="52"/>
  <c r="E78" i="52" s="1"/>
  <c r="H78" i="52" s="1"/>
  <c r="H55" i="52"/>
  <c r="H74" i="52"/>
  <c r="E67" i="52"/>
  <c r="E73" i="52" s="1"/>
  <c r="H73" i="52" s="1"/>
  <c r="E69" i="52"/>
  <c r="H69" i="52" s="1"/>
  <c r="H41" i="52"/>
  <c r="H14" i="52"/>
  <c r="E23" i="52"/>
  <c r="E34" i="52" s="1"/>
  <c r="E54" i="52" s="1"/>
  <c r="H54" i="52" s="1"/>
  <c r="H125" i="52"/>
  <c r="H126" i="52" s="1"/>
  <c r="H59" i="52"/>
  <c r="H4" i="52"/>
  <c r="H66" i="52"/>
  <c r="H21" i="52"/>
  <c r="E49" i="52"/>
  <c r="H49" i="52" s="1"/>
  <c r="E51" i="52"/>
  <c r="H51" i="52" s="1"/>
  <c r="E31" i="52"/>
  <c r="H30" i="52"/>
  <c r="E113" i="52"/>
  <c r="D114" i="52"/>
  <c r="H108" i="52"/>
  <c r="H110" i="52" s="1"/>
  <c r="E50" i="52"/>
  <c r="H50" i="52" s="1"/>
  <c r="E77" i="52"/>
  <c r="H77" i="52" s="1"/>
  <c r="H15" i="52"/>
  <c r="H29" i="52"/>
  <c r="H37" i="52"/>
  <c r="H105" i="52"/>
  <c r="H106" i="52" s="1"/>
  <c r="H12" i="52"/>
  <c r="G14" i="51" s="1"/>
  <c r="H56" i="52"/>
  <c r="H68" i="52"/>
  <c r="F32" i="56" l="1"/>
  <c r="F33" i="56" s="1"/>
  <c r="H33" i="56" s="1"/>
  <c r="H21" i="57"/>
  <c r="L19" i="58"/>
  <c r="K21" i="58"/>
  <c r="M21" i="58" s="1"/>
  <c r="H21" i="58"/>
  <c r="L21" i="58" s="1"/>
  <c r="K20" i="58"/>
  <c r="M20" i="58" s="1"/>
  <c r="H20" i="58"/>
  <c r="L20" i="58" s="1"/>
  <c r="H60" i="52"/>
  <c r="E76" i="52"/>
  <c r="H76" i="52" s="1"/>
  <c r="H79" i="52" s="1"/>
  <c r="G46" i="51" s="1"/>
  <c r="H67" i="52"/>
  <c r="H70" i="52" s="1"/>
  <c r="H18" i="52"/>
  <c r="G27" i="51" s="1"/>
  <c r="H34" i="52"/>
  <c r="H23" i="52"/>
  <c r="H27" i="52" s="1"/>
  <c r="H31" i="52"/>
  <c r="E52" i="52"/>
  <c r="H52" i="52" s="1"/>
  <c r="E32" i="52"/>
  <c r="D115" i="52"/>
  <c r="H115" i="52" s="1"/>
  <c r="H114" i="52"/>
  <c r="E121" i="52"/>
  <c r="H121" i="52" s="1"/>
  <c r="E118" i="52"/>
  <c r="H113" i="52"/>
  <c r="H26" i="58" l="1"/>
  <c r="H27" i="58" s="1"/>
  <c r="H28" i="58" s="1"/>
  <c r="H35" i="58" s="1"/>
  <c r="L26" i="58"/>
  <c r="L27" i="58" s="1"/>
  <c r="L28" i="58" s="1"/>
  <c r="L35" i="58" s="1"/>
  <c r="D37" i="58" s="1"/>
  <c r="D39" i="58" s="1"/>
  <c r="H29" i="57"/>
  <c r="I21" i="57"/>
  <c r="H22" i="57"/>
  <c r="H23" i="57" s="1"/>
  <c r="H28" i="57" s="1"/>
  <c r="L37" i="58"/>
  <c r="H116" i="52"/>
  <c r="G38" i="51"/>
  <c r="E53" i="52"/>
  <c r="H53" i="52" s="1"/>
  <c r="H61" i="52" s="1"/>
  <c r="G54" i="51" s="1"/>
  <c r="E33" i="52"/>
  <c r="H33" i="52" s="1"/>
  <c r="H32" i="52"/>
  <c r="E122" i="52"/>
  <c r="H122" i="52" s="1"/>
  <c r="H123" i="52" s="1"/>
  <c r="H118" i="52"/>
  <c r="H119" i="52" s="1"/>
  <c r="H30" i="57" l="1"/>
  <c r="H46" i="52"/>
  <c r="H63" i="52" l="1"/>
  <c r="G72" i="51" s="1"/>
  <c r="G61" i="51"/>
  <c r="E45" i="51"/>
  <c r="D45" i="51"/>
  <c r="B26" i="51"/>
  <c r="B36" i="51" s="1"/>
  <c r="C26" i="51"/>
  <c r="D26" i="51"/>
  <c r="D36" i="51" s="1"/>
  <c r="D37" i="51" s="1"/>
  <c r="D80" i="51" s="1"/>
  <c r="E13" i="51"/>
  <c r="E26" i="51" s="1"/>
  <c r="E36" i="51" s="1"/>
  <c r="E80" i="51" s="1"/>
  <c r="G79" i="51"/>
  <c r="B32" i="51"/>
  <c r="B34" i="51"/>
  <c r="C24" i="51"/>
  <c r="C77" i="51" s="1"/>
  <c r="C25" i="51"/>
  <c r="C34" i="51" s="1"/>
  <c r="E11" i="51"/>
  <c r="E24" i="51" s="1"/>
  <c r="E32" i="51" s="1"/>
  <c r="E77" i="51" s="1"/>
  <c r="E12" i="51"/>
  <c r="E25" i="51" s="1"/>
  <c r="D25" i="51"/>
  <c r="D34" i="51" s="1"/>
  <c r="D35" i="51" s="1"/>
  <c r="C70" i="51"/>
  <c r="D23" i="51"/>
  <c r="D31" i="51" s="1"/>
  <c r="D53" i="51" s="1"/>
  <c r="E10" i="51"/>
  <c r="E23" i="51" s="1"/>
  <c r="E31" i="51" s="1"/>
  <c r="E59" i="51" s="1"/>
  <c r="D59" i="51" l="1"/>
  <c r="C69" i="51" s="1"/>
  <c r="G53" i="51"/>
  <c r="G80" i="51"/>
  <c r="G45" i="51"/>
  <c r="G47" i="51" s="1"/>
  <c r="C13" i="53" s="1"/>
  <c r="C36" i="51"/>
  <c r="C37" i="51" s="1"/>
  <c r="G37" i="51" s="1"/>
  <c r="G26" i="51"/>
  <c r="G36" i="51"/>
  <c r="G13" i="51"/>
  <c r="C32" i="51"/>
  <c r="C33" i="51" s="1"/>
  <c r="G12" i="51"/>
  <c r="G11" i="51"/>
  <c r="D24" i="51"/>
  <c r="G24" i="51" s="1"/>
  <c r="C78" i="51"/>
  <c r="D18" i="51"/>
  <c r="G18" i="51" s="1"/>
  <c r="C35" i="51"/>
  <c r="G35" i="51" s="1"/>
  <c r="D78" i="51"/>
  <c r="G25" i="51"/>
  <c r="E34" i="51"/>
  <c r="E78" i="51" s="1"/>
  <c r="D60" i="51" l="1"/>
  <c r="D70" i="51" s="1"/>
  <c r="G59" i="51"/>
  <c r="D32" i="51"/>
  <c r="D77" i="51"/>
  <c r="G77" i="51" s="1"/>
  <c r="G34" i="51"/>
  <c r="G78" i="51"/>
  <c r="P33" i="17"/>
  <c r="P34" i="17"/>
  <c r="P35" i="17"/>
  <c r="P37" i="17"/>
  <c r="P38" i="17"/>
  <c r="P41" i="17"/>
  <c r="P42" i="17"/>
  <c r="P44" i="17"/>
  <c r="P45" i="17"/>
  <c r="P46" i="17"/>
  <c r="P48" i="17"/>
  <c r="P49" i="17"/>
  <c r="P50" i="17"/>
  <c r="P52" i="17"/>
  <c r="P53" i="17"/>
  <c r="P54" i="17"/>
  <c r="P56" i="17"/>
  <c r="P57" i="17"/>
  <c r="P79" i="17"/>
  <c r="P80" i="17"/>
  <c r="P87" i="17"/>
  <c r="P88" i="17"/>
  <c r="P89" i="17"/>
  <c r="P91" i="17"/>
  <c r="P92" i="17"/>
  <c r="P94" i="17"/>
  <c r="P95" i="17"/>
  <c r="P96" i="17"/>
  <c r="P98" i="17"/>
  <c r="P99" i="17"/>
  <c r="P100" i="17"/>
  <c r="P101" i="17"/>
  <c r="P102" i="17"/>
  <c r="P103" i="17"/>
  <c r="P105" i="17"/>
  <c r="P106" i="17"/>
  <c r="P108" i="17"/>
  <c r="P109" i="17"/>
  <c r="P110" i="17"/>
  <c r="P111" i="17"/>
  <c r="P113" i="17"/>
  <c r="P114" i="17"/>
  <c r="P115" i="17"/>
  <c r="P117" i="17"/>
  <c r="P118" i="17"/>
  <c r="P119" i="17"/>
  <c r="P120" i="17"/>
  <c r="P121" i="17"/>
  <c r="P122" i="17"/>
  <c r="P123" i="17"/>
  <c r="P124" i="17"/>
  <c r="P125" i="17"/>
  <c r="P126" i="17"/>
  <c r="P128" i="17"/>
  <c r="P129" i="17"/>
  <c r="P130" i="17"/>
  <c r="P131" i="17"/>
  <c r="P132" i="17"/>
  <c r="P133" i="17"/>
  <c r="P134" i="17"/>
  <c r="P135" i="17"/>
  <c r="P136" i="17"/>
  <c r="P138" i="17"/>
  <c r="P139" i="17"/>
  <c r="P140" i="17"/>
  <c r="P141" i="17"/>
  <c r="P142" i="17"/>
  <c r="P143" i="17"/>
  <c r="P144" i="17"/>
  <c r="P145" i="17"/>
  <c r="P147" i="17"/>
  <c r="P148" i="17"/>
  <c r="P150" i="17"/>
  <c r="P151" i="17"/>
  <c r="P152" i="17"/>
  <c r="P154" i="17"/>
  <c r="P155" i="17"/>
  <c r="P157" i="17"/>
  <c r="P158" i="17"/>
  <c r="P160" i="17"/>
  <c r="P161" i="17"/>
  <c r="P163" i="17"/>
  <c r="P164" i="17"/>
  <c r="P166" i="17"/>
  <c r="P167" i="17"/>
  <c r="P169" i="17"/>
  <c r="P170" i="17"/>
  <c r="P172" i="17"/>
  <c r="P173" i="17"/>
  <c r="P175" i="17"/>
  <c r="P176" i="17"/>
  <c r="P177" i="17"/>
  <c r="P179" i="17"/>
  <c r="P180" i="17"/>
  <c r="P182" i="17"/>
  <c r="P183" i="17"/>
  <c r="P185" i="17"/>
  <c r="P186" i="17"/>
  <c r="P188" i="17"/>
  <c r="P189" i="17"/>
  <c r="P190" i="17"/>
  <c r="P191" i="17"/>
  <c r="P193" i="17"/>
  <c r="P194" i="17"/>
  <c r="P195" i="17"/>
  <c r="P197" i="17"/>
  <c r="P198" i="17"/>
  <c r="P201" i="17"/>
  <c r="P202" i="17"/>
  <c r="P203" i="17"/>
  <c r="P204" i="17"/>
  <c r="P205" i="17"/>
  <c r="P207" i="17"/>
  <c r="P208" i="17"/>
  <c r="P209" i="17"/>
  <c r="P211" i="17"/>
  <c r="P212" i="17"/>
  <c r="P213" i="17"/>
  <c r="P215" i="17"/>
  <c r="P216" i="17"/>
  <c r="P217" i="17"/>
  <c r="P219" i="17"/>
  <c r="P220" i="17"/>
  <c r="P221" i="17"/>
  <c r="P223" i="17"/>
  <c r="P224" i="17"/>
  <c r="P225" i="17"/>
  <c r="P227" i="17"/>
  <c r="P228" i="17"/>
  <c r="P229" i="17"/>
  <c r="P231" i="17"/>
  <c r="P232" i="17"/>
  <c r="P233" i="17"/>
  <c r="P235" i="17"/>
  <c r="P236" i="17"/>
  <c r="P237" i="17"/>
  <c r="P239" i="17"/>
  <c r="P240" i="17"/>
  <c r="P241" i="17"/>
  <c r="P243" i="17"/>
  <c r="P244" i="17"/>
  <c r="P245" i="17"/>
  <c r="P247" i="17"/>
  <c r="P248" i="17"/>
  <c r="P249" i="17"/>
  <c r="P251" i="17"/>
  <c r="P252" i="17"/>
  <c r="P253" i="17"/>
  <c r="P255" i="17"/>
  <c r="P256" i="17"/>
  <c r="P257" i="17"/>
  <c r="P258" i="17"/>
  <c r="P260" i="17"/>
  <c r="P261" i="17"/>
  <c r="P263" i="17"/>
  <c r="P264" i="17"/>
  <c r="P265" i="17"/>
  <c r="P266" i="17"/>
  <c r="P267" i="17"/>
  <c r="P268" i="17"/>
  <c r="P270" i="17"/>
  <c r="P271" i="17"/>
  <c r="P272" i="17"/>
  <c r="P274" i="17"/>
  <c r="P275" i="17"/>
  <c r="P276" i="17"/>
  <c r="P278" i="17"/>
  <c r="P279" i="17"/>
  <c r="P280" i="17"/>
  <c r="G82" i="51" l="1"/>
  <c r="C17" i="53" s="1"/>
  <c r="D33" i="51"/>
  <c r="G33" i="51" s="1"/>
  <c r="G32" i="51"/>
  <c r="G10" i="51"/>
  <c r="G15" i="51" s="1"/>
  <c r="C9" i="53" s="1"/>
  <c r="G19" i="51" l="1"/>
  <c r="C10" i="53" s="1"/>
  <c r="J94" i="51" l="1"/>
  <c r="G70" i="51"/>
  <c r="G69" i="51"/>
  <c r="B58" i="51"/>
  <c r="B52" i="51"/>
  <c r="B45" i="51"/>
  <c r="G31" i="51"/>
  <c r="G40" i="51" s="1"/>
  <c r="C12" i="53" s="1"/>
  <c r="G23" i="51"/>
  <c r="G28" i="51" s="1"/>
  <c r="C11" i="53" s="1"/>
  <c r="G73" i="51" l="1"/>
  <c r="G60" i="51"/>
  <c r="G55" i="51" l="1"/>
  <c r="C14" i="53" s="1"/>
  <c r="G74" i="51"/>
  <c r="C16" i="53" s="1"/>
  <c r="G62" i="51"/>
  <c r="C15" i="53" s="1"/>
  <c r="I54" i="50"/>
  <c r="I52" i="50"/>
  <c r="I48" i="50"/>
  <c r="I46" i="50"/>
  <c r="G41" i="49" l="1"/>
  <c r="G42" i="49" s="1"/>
  <c r="D12" i="48" s="1"/>
  <c r="G38" i="49"/>
  <c r="G39" i="49" s="1"/>
  <c r="D13" i="48" s="1"/>
  <c r="G35" i="49"/>
  <c r="G36" i="49" s="1"/>
  <c r="D11" i="48" s="1"/>
  <c r="G32" i="49"/>
  <c r="G31" i="49"/>
  <c r="G30" i="49"/>
  <c r="G29" i="49"/>
  <c r="D28" i="49"/>
  <c r="G28" i="49" s="1"/>
  <c r="G25" i="49"/>
  <c r="G24" i="49"/>
  <c r="G20" i="49"/>
  <c r="G21" i="49" s="1"/>
  <c r="D8" i="48" s="1"/>
  <c r="G17" i="49"/>
  <c r="G16" i="49"/>
  <c r="G13" i="49"/>
  <c r="G14" i="49" s="1"/>
  <c r="D6" i="48" s="1"/>
  <c r="G8" i="49"/>
  <c r="G7" i="49"/>
  <c r="G4" i="49"/>
  <c r="F14" i="48"/>
  <c r="F3" i="48"/>
  <c r="G33" i="49" l="1"/>
  <c r="D10" i="48" s="1"/>
  <c r="G9" i="49"/>
  <c r="D4" i="48" s="1"/>
  <c r="G18" i="49"/>
  <c r="D7" i="48" s="1"/>
  <c r="G26" i="49"/>
  <c r="D9" i="48" s="1"/>
  <c r="G11" i="49" l="1"/>
  <c r="D5" i="48" s="1"/>
  <c r="D9" i="21"/>
  <c r="D89" i="47" l="1"/>
  <c r="C89" i="47"/>
  <c r="B89" i="47"/>
  <c r="D88" i="47"/>
  <c r="C88" i="47"/>
  <c r="B88" i="47"/>
  <c r="D87" i="47"/>
  <c r="C87" i="47"/>
  <c r="F87" i="47" s="1"/>
  <c r="B87" i="47"/>
  <c r="D86" i="47"/>
  <c r="C86" i="47"/>
  <c r="B86" i="47"/>
  <c r="D85" i="47"/>
  <c r="C85" i="47"/>
  <c r="B85" i="47"/>
  <c r="D84" i="47"/>
  <c r="C84" i="47"/>
  <c r="B84" i="47"/>
  <c r="D83" i="47"/>
  <c r="C83" i="47"/>
  <c r="B83" i="47"/>
  <c r="D82" i="47"/>
  <c r="C82" i="47"/>
  <c r="B82" i="47"/>
  <c r="D81" i="47"/>
  <c r="C81" i="47"/>
  <c r="B81" i="47"/>
  <c r="E77" i="47"/>
  <c r="D77" i="47"/>
  <c r="C77" i="47"/>
  <c r="B77" i="47"/>
  <c r="E76" i="47"/>
  <c r="D76" i="47"/>
  <c r="C76" i="47"/>
  <c r="B76" i="47"/>
  <c r="D75" i="47"/>
  <c r="C75" i="47"/>
  <c r="B75" i="47"/>
  <c r="D74" i="47"/>
  <c r="C74" i="47"/>
  <c r="B74" i="47"/>
  <c r="D73" i="47"/>
  <c r="C73" i="47"/>
  <c r="B73" i="47"/>
  <c r="D72" i="47"/>
  <c r="C72" i="47"/>
  <c r="B72" i="47"/>
  <c r="D71" i="47"/>
  <c r="C71" i="47"/>
  <c r="B71" i="47"/>
  <c r="D70" i="47"/>
  <c r="C70" i="47"/>
  <c r="B70" i="47"/>
  <c r="D69" i="47"/>
  <c r="C69" i="47"/>
  <c r="B69" i="47"/>
  <c r="D68" i="47"/>
  <c r="C68" i="47"/>
  <c r="B68" i="47"/>
  <c r="D67" i="47"/>
  <c r="C67" i="47"/>
  <c r="B67" i="47"/>
  <c r="D66" i="47"/>
  <c r="C66" i="47"/>
  <c r="B66" i="47"/>
  <c r="D65" i="47"/>
  <c r="C65" i="47"/>
  <c r="B65" i="47"/>
  <c r="D64" i="47"/>
  <c r="C64" i="47"/>
  <c r="B64" i="47"/>
  <c r="D63" i="47"/>
  <c r="C63" i="47"/>
  <c r="B63" i="47"/>
  <c r="D62" i="47"/>
  <c r="C62" i="47"/>
  <c r="B62" i="47"/>
  <c r="D61" i="47"/>
  <c r="C61" i="47"/>
  <c r="B61" i="47"/>
  <c r="D60" i="47"/>
  <c r="C60" i="47"/>
  <c r="B60" i="47"/>
  <c r="D59" i="47"/>
  <c r="C59" i="47"/>
  <c r="B59" i="47"/>
  <c r="D58" i="47"/>
  <c r="C58" i="47"/>
  <c r="B58" i="47"/>
  <c r="D57" i="47"/>
  <c r="C57" i="47"/>
  <c r="B57" i="47"/>
  <c r="F48" i="47"/>
  <c r="F44" i="47"/>
  <c r="M43" i="47"/>
  <c r="N43" i="47" s="1"/>
  <c r="E28" i="47" s="1"/>
  <c r="F43" i="47"/>
  <c r="M42" i="47"/>
  <c r="N42" i="47" s="1"/>
  <c r="F42" i="47"/>
  <c r="M41" i="47"/>
  <c r="N41" i="47" s="1"/>
  <c r="F41" i="47"/>
  <c r="M40" i="47"/>
  <c r="N40" i="47" s="1"/>
  <c r="F40" i="47"/>
  <c r="M39" i="47"/>
  <c r="N39" i="47" s="1"/>
  <c r="F39" i="47"/>
  <c r="M38" i="47"/>
  <c r="N38" i="47" s="1"/>
  <c r="F38" i="47"/>
  <c r="M37" i="47"/>
  <c r="N37" i="47" s="1"/>
  <c r="E25" i="47" s="1"/>
  <c r="E75" i="47" s="1"/>
  <c r="F37" i="47"/>
  <c r="M36" i="47"/>
  <c r="N36" i="47" s="1"/>
  <c r="E24" i="47" s="1"/>
  <c r="F36" i="47"/>
  <c r="M35" i="47"/>
  <c r="N35" i="47" s="1"/>
  <c r="E23" i="47" s="1"/>
  <c r="M34" i="47"/>
  <c r="N34" i="47" s="1"/>
  <c r="E22" i="47" s="1"/>
  <c r="E72" i="47" s="1"/>
  <c r="M33" i="47"/>
  <c r="N33" i="47" s="1"/>
  <c r="E21" i="47" s="1"/>
  <c r="F33" i="47"/>
  <c r="M32" i="47"/>
  <c r="N32" i="47" s="1"/>
  <c r="E20" i="47" s="1"/>
  <c r="M31" i="47"/>
  <c r="N31" i="47" s="1"/>
  <c r="E19" i="47" s="1"/>
  <c r="E69" i="47" s="1"/>
  <c r="M30" i="47"/>
  <c r="N30" i="47" s="1"/>
  <c r="E18" i="47" s="1"/>
  <c r="M29" i="47"/>
  <c r="N29" i="47" s="1"/>
  <c r="E17" i="47" s="1"/>
  <c r="M28" i="47"/>
  <c r="N28" i="47" s="1"/>
  <c r="E16" i="47" s="1"/>
  <c r="E66" i="47" s="1"/>
  <c r="M27" i="47"/>
  <c r="N27" i="47" s="1"/>
  <c r="E15" i="47" s="1"/>
  <c r="E65" i="47" s="1"/>
  <c r="M26" i="47"/>
  <c r="N26" i="47" s="1"/>
  <c r="E14" i="47" s="1"/>
  <c r="E64" i="47" s="1"/>
  <c r="M25" i="47"/>
  <c r="N25" i="47" s="1"/>
  <c r="E13" i="47" s="1"/>
  <c r="M24" i="47"/>
  <c r="N24" i="47" s="1"/>
  <c r="E12" i="47" s="1"/>
  <c r="M23" i="47"/>
  <c r="N23" i="47" s="1"/>
  <c r="E11" i="47" s="1"/>
  <c r="M22" i="47"/>
  <c r="N22" i="47" s="1"/>
  <c r="E10" i="47" s="1"/>
  <c r="M21" i="47"/>
  <c r="N21" i="47" s="1"/>
  <c r="E9" i="47" s="1"/>
  <c r="M20" i="47"/>
  <c r="N20" i="47" s="1"/>
  <c r="E8" i="47" s="1"/>
  <c r="M19" i="47"/>
  <c r="N19" i="47" s="1"/>
  <c r="E7" i="47" s="1"/>
  <c r="M18" i="47"/>
  <c r="N18" i="47" s="1"/>
  <c r="E44" i="47" s="1"/>
  <c r="M17" i="47"/>
  <c r="N17" i="47" s="1"/>
  <c r="E43" i="47" s="1"/>
  <c r="E88" i="47" s="1"/>
  <c r="M16" i="47"/>
  <c r="N16" i="47" s="1"/>
  <c r="E42" i="47" s="1"/>
  <c r="M15" i="47"/>
  <c r="N15" i="47" s="1"/>
  <c r="M14" i="47"/>
  <c r="N14" i="47" s="1"/>
  <c r="E41" i="47" s="1"/>
  <c r="M13" i="47"/>
  <c r="N13" i="47" s="1"/>
  <c r="E40" i="47" s="1"/>
  <c r="M12" i="47"/>
  <c r="N12" i="47" s="1"/>
  <c r="E39" i="47" s="1"/>
  <c r="M11" i="47"/>
  <c r="N11" i="47" s="1"/>
  <c r="E38" i="47" s="1"/>
  <c r="M10" i="47"/>
  <c r="N10" i="47" s="1"/>
  <c r="E37" i="47" s="1"/>
  <c r="M9" i="47"/>
  <c r="N9" i="47" s="1"/>
  <c r="M8" i="47"/>
  <c r="N8" i="47" s="1"/>
  <c r="F81" i="47" l="1"/>
  <c r="F88" i="47"/>
  <c r="G88" i="47" s="1"/>
  <c r="F82" i="47"/>
  <c r="F86" i="47"/>
  <c r="F89" i="47"/>
  <c r="F84" i="47"/>
  <c r="F85" i="47"/>
  <c r="F83" i="47"/>
  <c r="E78" i="47"/>
  <c r="G39" i="47"/>
  <c r="E84" i="47"/>
  <c r="E58" i="47"/>
  <c r="E67" i="47"/>
  <c r="E68" i="47"/>
  <c r="G40" i="47"/>
  <c r="E85" i="47"/>
  <c r="E62" i="47"/>
  <c r="E73" i="47"/>
  <c r="E71" i="47"/>
  <c r="E61" i="47"/>
  <c r="G44" i="47"/>
  <c r="E89" i="47"/>
  <c r="E59" i="47"/>
  <c r="N47" i="47"/>
  <c r="E36" i="47"/>
  <c r="E82" i="47"/>
  <c r="G37" i="47"/>
  <c r="E70" i="47"/>
  <c r="E74" i="47"/>
  <c r="E87" i="47"/>
  <c r="G87" i="47" s="1"/>
  <c r="G42" i="47"/>
  <c r="E83" i="47"/>
  <c r="G38" i="47"/>
  <c r="E86" i="47"/>
  <c r="G41" i="47"/>
  <c r="E57" i="47"/>
  <c r="E30" i="47"/>
  <c r="E60" i="47"/>
  <c r="E63" i="47"/>
  <c r="G43" i="47"/>
  <c r="M47" i="47"/>
  <c r="G85" i="47" l="1"/>
  <c r="G86" i="47"/>
  <c r="G82" i="47"/>
  <c r="G89" i="47"/>
  <c r="G84" i="47"/>
  <c r="G83" i="47"/>
  <c r="G30" i="47"/>
  <c r="G36" i="47"/>
  <c r="G45" i="47" s="1"/>
  <c r="E45" i="47"/>
  <c r="E50" i="47" s="1"/>
  <c r="E81" i="47"/>
  <c r="E79" i="47"/>
  <c r="G401" i="4"/>
  <c r="A2" i="46"/>
  <c r="N43" i="25"/>
  <c r="P43" i="25" s="1"/>
  <c r="C36" i="25" s="1"/>
  <c r="F36" i="25" s="1"/>
  <c r="M43" i="25"/>
  <c r="O43" i="25" s="1"/>
  <c r="L43" i="25"/>
  <c r="L41" i="25"/>
  <c r="L42" i="25"/>
  <c r="M18" i="24"/>
  <c r="N18" i="24" s="1"/>
  <c r="L16" i="24"/>
  <c r="M17" i="24"/>
  <c r="N17" i="24" s="1"/>
  <c r="M19" i="24"/>
  <c r="N19" i="24" s="1"/>
  <c r="M20" i="24"/>
  <c r="N20" i="24" s="1"/>
  <c r="M21" i="24"/>
  <c r="N21" i="24" s="1"/>
  <c r="M22" i="24"/>
  <c r="N22" i="24" s="1"/>
  <c r="M23" i="24"/>
  <c r="N23" i="24" s="1"/>
  <c r="M24" i="24"/>
  <c r="N24" i="24" s="1"/>
  <c r="M25" i="24"/>
  <c r="N25" i="24" s="1"/>
  <c r="M26" i="24"/>
  <c r="N26" i="24" s="1"/>
  <c r="M27" i="24"/>
  <c r="N27" i="24" s="1"/>
  <c r="M28" i="24"/>
  <c r="N28" i="24" s="1"/>
  <c r="M29" i="24"/>
  <c r="N29" i="24" s="1"/>
  <c r="M30" i="24"/>
  <c r="N30" i="24" s="1"/>
  <c r="M31" i="24"/>
  <c r="N31" i="24" s="1"/>
  <c r="M32" i="24"/>
  <c r="N32" i="24" s="1"/>
  <c r="M33" i="24"/>
  <c r="N33" i="24" s="1"/>
  <c r="M34" i="24"/>
  <c r="N34" i="24" s="1"/>
  <c r="M35" i="24"/>
  <c r="N35" i="24" s="1"/>
  <c r="M36" i="24"/>
  <c r="N36" i="24" s="1"/>
  <c r="M37" i="24"/>
  <c r="N37" i="24" s="1"/>
  <c r="M38" i="24"/>
  <c r="N38" i="24" s="1"/>
  <c r="M39" i="24"/>
  <c r="N39" i="24" s="1"/>
  <c r="M40" i="24"/>
  <c r="N40" i="24" s="1"/>
  <c r="M41" i="24"/>
  <c r="N41" i="24" s="1"/>
  <c r="M42" i="24"/>
  <c r="N42" i="24" s="1"/>
  <c r="M43" i="24"/>
  <c r="N43" i="24" s="1"/>
  <c r="E28" i="24" s="1"/>
  <c r="G31" i="47" l="1"/>
  <c r="G32" i="47" s="1"/>
  <c r="G33" i="47" s="1"/>
  <c r="G34" i="47" s="1"/>
  <c r="G48" i="47"/>
  <c r="G46" i="47"/>
  <c r="G47" i="47" s="1"/>
  <c r="E90" i="47"/>
  <c r="G81" i="47"/>
  <c r="G90" i="47" s="1"/>
  <c r="E78" i="24"/>
  <c r="Q43" i="25"/>
  <c r="R43" i="25" s="1"/>
  <c r="J57" i="46"/>
  <c r="G49" i="47" l="1"/>
  <c r="G50" i="47" s="1"/>
  <c r="G90" i="45" l="1"/>
  <c r="G88" i="45"/>
  <c r="G86" i="45"/>
  <c r="G87" i="45" s="1"/>
  <c r="D84" i="45"/>
  <c r="G84" i="45" s="1"/>
  <c r="G85" i="45" s="1"/>
  <c r="G81" i="45"/>
  <c r="G82" i="45" s="1"/>
  <c r="D79" i="45"/>
  <c r="G79" i="45" s="1"/>
  <c r="G80" i="45" s="1"/>
  <c r="G77" i="45"/>
  <c r="G78" i="45" s="1"/>
  <c r="G74" i="45"/>
  <c r="G73" i="45"/>
  <c r="G72" i="45"/>
  <c r="G71" i="45"/>
  <c r="D65" i="45"/>
  <c r="G65" i="45" s="1"/>
  <c r="D63" i="45"/>
  <c r="G63" i="45" s="1"/>
  <c r="D62" i="45"/>
  <c r="G62" i="45" s="1"/>
  <c r="D57" i="45"/>
  <c r="G57" i="45" s="1"/>
  <c r="G58" i="45" s="1"/>
  <c r="D54" i="45"/>
  <c r="G54" i="45" s="1"/>
  <c r="D53" i="45"/>
  <c r="G53" i="45" s="1"/>
  <c r="P52" i="45"/>
  <c r="P51" i="45"/>
  <c r="Q51" i="45" s="1"/>
  <c r="R51" i="45" s="1"/>
  <c r="D50" i="45"/>
  <c r="G50" i="45" s="1"/>
  <c r="D49" i="45"/>
  <c r="G49" i="45" s="1"/>
  <c r="D48" i="45"/>
  <c r="G48" i="45" s="1"/>
  <c r="D47" i="45"/>
  <c r="G47" i="45" s="1"/>
  <c r="D46" i="45"/>
  <c r="G46" i="45" s="1"/>
  <c r="D45" i="45"/>
  <c r="G45" i="45" s="1"/>
  <c r="D43" i="45"/>
  <c r="G43" i="45" s="1"/>
  <c r="P42" i="45"/>
  <c r="D40" i="45"/>
  <c r="G40" i="45" s="1"/>
  <c r="D39" i="45"/>
  <c r="G39" i="45" s="1"/>
  <c r="D37" i="45"/>
  <c r="G37" i="45" s="1"/>
  <c r="D36" i="45"/>
  <c r="G36" i="45" s="1"/>
  <c r="D35" i="45"/>
  <c r="G35" i="45" s="1"/>
  <c r="D34" i="45"/>
  <c r="G34" i="45" s="1"/>
  <c r="D33" i="45"/>
  <c r="G33" i="45" s="1"/>
  <c r="F32" i="45"/>
  <c r="F44" i="45" s="1"/>
  <c r="D32" i="45"/>
  <c r="D44" i="45" s="1"/>
  <c r="D31" i="45"/>
  <c r="G31" i="45" s="1"/>
  <c r="D30" i="45"/>
  <c r="G30" i="45" s="1"/>
  <c r="D29" i="45"/>
  <c r="G29" i="45" s="1"/>
  <c r="D28" i="45"/>
  <c r="G28" i="45" s="1"/>
  <c r="D24" i="45"/>
  <c r="G24" i="45" s="1"/>
  <c r="D23" i="45"/>
  <c r="G23" i="45" s="1"/>
  <c r="D22" i="45"/>
  <c r="G22" i="45" s="1"/>
  <c r="D21" i="45"/>
  <c r="G21" i="45" s="1"/>
  <c r="D20" i="45"/>
  <c r="G20" i="45" s="1"/>
  <c r="G19" i="45"/>
  <c r="D18" i="45"/>
  <c r="G18" i="45" s="1"/>
  <c r="E17" i="45"/>
  <c r="D17" i="45"/>
  <c r="D16" i="45"/>
  <c r="G16" i="45" s="1"/>
  <c r="D10" i="45"/>
  <c r="D13" i="45" s="1"/>
  <c r="G13" i="45" s="1"/>
  <c r="G14" i="45" s="1"/>
  <c r="D8" i="45"/>
  <c r="G8" i="45" s="1"/>
  <c r="G9" i="45" s="1"/>
  <c r="D6" i="45"/>
  <c r="G6" i="45" s="1"/>
  <c r="G7" i="45" s="1"/>
  <c r="K5" i="45"/>
  <c r="H126" i="44"/>
  <c r="L120" i="44"/>
  <c r="L119" i="44"/>
  <c r="J114" i="44"/>
  <c r="J116" i="44" s="1"/>
  <c r="H108" i="44"/>
  <c r="H107" i="44"/>
  <c r="H106" i="44"/>
  <c r="H105" i="44"/>
  <c r="H104" i="44"/>
  <c r="H103" i="44"/>
  <c r="H102" i="44"/>
  <c r="H101" i="44"/>
  <c r="H100" i="44"/>
  <c r="H99" i="44"/>
  <c r="H98" i="44"/>
  <c r="H97" i="44"/>
  <c r="H96" i="44"/>
  <c r="H95" i="44"/>
  <c r="H94" i="44"/>
  <c r="H93" i="44"/>
  <c r="H92" i="44"/>
  <c r="L91" i="44"/>
  <c r="H91" i="44"/>
  <c r="L90" i="44"/>
  <c r="H90" i="44"/>
  <c r="H89" i="44"/>
  <c r="H88" i="44"/>
  <c r="H87" i="44"/>
  <c r="H86" i="44"/>
  <c r="H85" i="44"/>
  <c r="H84" i="44"/>
  <c r="H83" i="44"/>
  <c r="H82" i="44"/>
  <c r="H81" i="44"/>
  <c r="H80" i="44"/>
  <c r="H79" i="44"/>
  <c r="H78" i="44"/>
  <c r="H77" i="44"/>
  <c r="H76" i="44"/>
  <c r="H75" i="44"/>
  <c r="H74" i="44"/>
  <c r="H73" i="44"/>
  <c r="H72" i="44"/>
  <c r="H71" i="44"/>
  <c r="H70" i="44"/>
  <c r="H69" i="44"/>
  <c r="H68" i="44"/>
  <c r="H67" i="44"/>
  <c r="H66" i="44"/>
  <c r="H65" i="44"/>
  <c r="H64" i="44"/>
  <c r="H63" i="44"/>
  <c r="H62" i="44"/>
  <c r="H61" i="44"/>
  <c r="H60" i="44"/>
  <c r="H59" i="44"/>
  <c r="H58" i="44"/>
  <c r="H57" i="44"/>
  <c r="H56" i="44"/>
  <c r="H55" i="44"/>
  <c r="H54" i="44"/>
  <c r="H53" i="44"/>
  <c r="F41" i="44"/>
  <c r="D40" i="44"/>
  <c r="F39" i="44"/>
  <c r="D38" i="44"/>
  <c r="F38" i="44" s="1"/>
  <c r="F37" i="44"/>
  <c r="D36" i="44"/>
  <c r="F35" i="44"/>
  <c r="D34" i="44"/>
  <c r="F34" i="44" s="1"/>
  <c r="F33" i="44"/>
  <c r="D32" i="44"/>
  <c r="K31" i="44"/>
  <c r="F31" i="44"/>
  <c r="K30" i="44"/>
  <c r="D30" i="44"/>
  <c r="K29" i="44"/>
  <c r="F29" i="44"/>
  <c r="K28" i="44"/>
  <c r="D28" i="44"/>
  <c r="F27" i="44"/>
  <c r="D26" i="44"/>
  <c r="F26" i="44" s="1"/>
  <c r="K25" i="44"/>
  <c r="F25" i="44"/>
  <c r="K24" i="44"/>
  <c r="D24" i="44"/>
  <c r="K23" i="44"/>
  <c r="F23" i="44"/>
  <c r="K22" i="44"/>
  <c r="D22" i="44"/>
  <c r="F21" i="44"/>
  <c r="D20" i="44"/>
  <c r="F19" i="44"/>
  <c r="D18" i="44"/>
  <c r="F17" i="44"/>
  <c r="D16" i="44"/>
  <c r="F15" i="44"/>
  <c r="K14" i="44"/>
  <c r="D14" i="44"/>
  <c r="K13" i="44"/>
  <c r="F13" i="44"/>
  <c r="K12" i="44"/>
  <c r="D12" i="44"/>
  <c r="K11" i="44"/>
  <c r="F11" i="44"/>
  <c r="D10" i="44"/>
  <c r="F9" i="44"/>
  <c r="D8" i="44"/>
  <c r="F7" i="44"/>
  <c r="D6" i="44"/>
  <c r="G55" i="45" l="1"/>
  <c r="G60" i="45" s="1"/>
  <c r="G44" i="45"/>
  <c r="K32" i="44"/>
  <c r="K34" i="44" s="1"/>
  <c r="H109" i="44"/>
  <c r="K26" i="44"/>
  <c r="G51" i="45"/>
  <c r="K15" i="44"/>
  <c r="K17" i="44" s="1"/>
  <c r="K18" i="44" s="1"/>
  <c r="L92" i="44"/>
  <c r="G17" i="45"/>
  <c r="G25" i="45" s="1"/>
  <c r="D38" i="45"/>
  <c r="G38" i="45" s="1"/>
  <c r="G10" i="45"/>
  <c r="G11" i="45" s="1"/>
  <c r="G32" i="45"/>
  <c r="G64" i="45"/>
  <c r="G59" i="45" l="1"/>
  <c r="G41" i="45"/>
  <c r="L99" i="44"/>
  <c r="E95" i="43"/>
  <c r="C83" i="20"/>
  <c r="C93" i="20" s="1"/>
  <c r="C103" i="20" s="1"/>
  <c r="C64" i="20"/>
  <c r="C55" i="20"/>
  <c r="K12" i="22"/>
  <c r="J18" i="22"/>
  <c r="J19" i="22"/>
  <c r="J20" i="22"/>
  <c r="J21" i="22"/>
  <c r="J22" i="22"/>
  <c r="J25" i="22"/>
  <c r="J27" i="22"/>
  <c r="J28" i="22"/>
  <c r="J31" i="22"/>
  <c r="J32" i="22"/>
  <c r="J35" i="22"/>
  <c r="J36" i="22"/>
  <c r="J38" i="22"/>
  <c r="J39" i="22"/>
  <c r="J40" i="22"/>
  <c r="J41" i="22"/>
  <c r="D125" i="43"/>
  <c r="H125" i="43" s="1"/>
  <c r="H126" i="43" s="1"/>
  <c r="G119" i="43"/>
  <c r="E119" i="43"/>
  <c r="E122" i="43" s="1"/>
  <c r="H122" i="43" s="1"/>
  <c r="H123" i="43" s="1"/>
  <c r="G116" i="43"/>
  <c r="G115" i="43"/>
  <c r="F112" i="43"/>
  <c r="F107" i="43"/>
  <c r="D107" i="43"/>
  <c r="D112" i="43" s="1"/>
  <c r="H103" i="43"/>
  <c r="M102" i="43"/>
  <c r="L102" i="43"/>
  <c r="E99" i="43"/>
  <c r="E102" i="43" s="1"/>
  <c r="G95" i="43"/>
  <c r="F92" i="43"/>
  <c r="H92" i="43" s="1"/>
  <c r="H93" i="43" s="1"/>
  <c r="D35" i="42" s="1"/>
  <c r="H87" i="43"/>
  <c r="H86" i="43"/>
  <c r="H85" i="43"/>
  <c r="H84" i="43"/>
  <c r="H83" i="43"/>
  <c r="H82" i="43"/>
  <c r="H81" i="43"/>
  <c r="H80" i="43"/>
  <c r="H78" i="43"/>
  <c r="D20" i="42" s="1"/>
  <c r="F20" i="42" s="1"/>
  <c r="H77" i="43"/>
  <c r="D19" i="42" s="1"/>
  <c r="G68" i="43"/>
  <c r="F63" i="43"/>
  <c r="E63" i="43"/>
  <c r="F61" i="43"/>
  <c r="E61" i="43"/>
  <c r="H58" i="43"/>
  <c r="H57" i="43"/>
  <c r="D52" i="43"/>
  <c r="D73" i="43" s="1"/>
  <c r="F51" i="43"/>
  <c r="F72" i="43" s="1"/>
  <c r="E51" i="43"/>
  <c r="D51" i="43"/>
  <c r="D50" i="43"/>
  <c r="E48" i="43"/>
  <c r="E69" i="43" s="1"/>
  <c r="D48" i="43"/>
  <c r="G47" i="43"/>
  <c r="E47" i="43"/>
  <c r="G46" i="43"/>
  <c r="G45" i="43"/>
  <c r="G43" i="43"/>
  <c r="G42" i="43"/>
  <c r="G41" i="43"/>
  <c r="E34" i="43"/>
  <c r="H34" i="43" s="1"/>
  <c r="H33" i="43"/>
  <c r="G32" i="43"/>
  <c r="G50" i="43" s="1"/>
  <c r="G64" i="43" s="1"/>
  <c r="G71" i="43" s="1"/>
  <c r="E32" i="43"/>
  <c r="E50" i="43" s="1"/>
  <c r="F30" i="43"/>
  <c r="H30" i="43" s="1"/>
  <c r="H29" i="43"/>
  <c r="D28" i="43"/>
  <c r="G26" i="43"/>
  <c r="G44" i="43" s="1"/>
  <c r="D26" i="43"/>
  <c r="D27" i="43" s="1"/>
  <c r="F25" i="43"/>
  <c r="F21" i="43"/>
  <c r="F28" i="43" s="1"/>
  <c r="F37" i="43" s="1"/>
  <c r="F20" i="43"/>
  <c r="G15" i="43"/>
  <c r="E15" i="43"/>
  <c r="E21" i="43" s="1"/>
  <c r="E14" i="43"/>
  <c r="E20" i="43" s="1"/>
  <c r="F13" i="43"/>
  <c r="F19" i="43" s="1"/>
  <c r="E13" i="43"/>
  <c r="G10" i="43"/>
  <c r="F10" i="43"/>
  <c r="G8" i="43"/>
  <c r="F7" i="43"/>
  <c r="E7" i="43"/>
  <c r="M6" i="43"/>
  <c r="L6" i="43"/>
  <c r="H6" i="43"/>
  <c r="F4" i="43"/>
  <c r="E4" i="43"/>
  <c r="E47" i="42"/>
  <c r="E45" i="42"/>
  <c r="K44" i="42"/>
  <c r="L43" i="42"/>
  <c r="E43" i="42"/>
  <c r="E42" i="42"/>
  <c r="E41" i="42"/>
  <c r="E39" i="42"/>
  <c r="E38" i="42"/>
  <c r="E36" i="42"/>
  <c r="E35" i="42"/>
  <c r="E29" i="42"/>
  <c r="F29" i="42" s="1"/>
  <c r="E28" i="42"/>
  <c r="F28" i="42" s="1"/>
  <c r="E27" i="42"/>
  <c r="F27" i="42" s="1"/>
  <c r="E26" i="42"/>
  <c r="F26" i="42" s="1"/>
  <c r="E25" i="42"/>
  <c r="F25" i="42" s="1"/>
  <c r="E24" i="42"/>
  <c r="F24" i="42" s="1"/>
  <c r="E23" i="42"/>
  <c r="F23" i="42" s="1"/>
  <c r="E22" i="42"/>
  <c r="F22" i="42" s="1"/>
  <c r="E19" i="42"/>
  <c r="H18" i="42"/>
  <c r="K17" i="42"/>
  <c r="E16" i="42"/>
  <c r="E44" i="42" s="1"/>
  <c r="E15" i="42"/>
  <c r="E14" i="42"/>
  <c r="C10" i="42"/>
  <c r="B10" i="42"/>
  <c r="C8" i="42"/>
  <c r="B8" i="42"/>
  <c r="E36" i="21"/>
  <c r="H7" i="43" l="1"/>
  <c r="E64" i="43"/>
  <c r="H64" i="43" s="1"/>
  <c r="H59" i="43"/>
  <c r="D14" i="42" s="1"/>
  <c r="F14" i="42" s="1"/>
  <c r="H21" i="43"/>
  <c r="H10" i="43"/>
  <c r="H20" i="43"/>
  <c r="H51" i="43"/>
  <c r="H4" i="43"/>
  <c r="D6" i="42" s="1"/>
  <c r="E8" i="43"/>
  <c r="E9" i="43" s="1"/>
  <c r="H9" i="43" s="1"/>
  <c r="H13" i="43"/>
  <c r="H15" i="43"/>
  <c r="E52" i="43"/>
  <c r="E73" i="43" s="1"/>
  <c r="H73" i="43" s="1"/>
  <c r="E62" i="43"/>
  <c r="E68" i="43" s="1"/>
  <c r="H68" i="43" s="1"/>
  <c r="E19" i="43"/>
  <c r="F35" i="42"/>
  <c r="F45" i="42"/>
  <c r="F19" i="42"/>
  <c r="F47" i="42"/>
  <c r="H95" i="43"/>
  <c r="H96" i="43" s="1"/>
  <c r="D36" i="42" s="1"/>
  <c r="F36" i="42" s="1"/>
  <c r="H119" i="43"/>
  <c r="H120" i="43" s="1"/>
  <c r="F44" i="42" s="1"/>
  <c r="E71" i="43"/>
  <c r="H71" i="43" s="1"/>
  <c r="H50" i="43"/>
  <c r="D108" i="43"/>
  <c r="H102" i="43"/>
  <c r="H104" i="43" s="1"/>
  <c r="F39" i="42" s="1"/>
  <c r="E107" i="43"/>
  <c r="E72" i="43"/>
  <c r="H72" i="43" s="1"/>
  <c r="H14" i="43"/>
  <c r="F48" i="43"/>
  <c r="F69" i="43" s="1"/>
  <c r="H69" i="43" s="1"/>
  <c r="H99" i="43"/>
  <c r="H100" i="43" s="1"/>
  <c r="D38" i="42" s="1"/>
  <c r="F38" i="42" s="1"/>
  <c r="D37" i="43"/>
  <c r="H63" i="43"/>
  <c r="D47" i="43"/>
  <c r="H47" i="43" s="1"/>
  <c r="E28" i="43"/>
  <c r="H32" i="43"/>
  <c r="H61" i="43"/>
  <c r="H16" i="43" l="1"/>
  <c r="D8" i="42" s="1"/>
  <c r="H52" i="43"/>
  <c r="H62" i="43"/>
  <c r="H8" i="43"/>
  <c r="H11" i="43" s="1"/>
  <c r="D7" i="42" s="1"/>
  <c r="E41" i="43"/>
  <c r="H41" i="43" s="1"/>
  <c r="E24" i="43"/>
  <c r="H19" i="43"/>
  <c r="H22" i="43" s="1"/>
  <c r="D10" i="42" s="1"/>
  <c r="H74" i="43"/>
  <c r="D16" i="42" s="1"/>
  <c r="F16" i="42" s="1"/>
  <c r="I16" i="42" s="1"/>
  <c r="E37" i="43"/>
  <c r="E38" i="43" s="1"/>
  <c r="H38" i="43" s="1"/>
  <c r="E46" i="43"/>
  <c r="H46" i="43" s="1"/>
  <c r="H48" i="43"/>
  <c r="H65" i="43"/>
  <c r="D15" i="42" s="1"/>
  <c r="F15" i="42" s="1"/>
  <c r="E115" i="43"/>
  <c r="H115" i="43" s="1"/>
  <c r="H107" i="43"/>
  <c r="E112" i="43"/>
  <c r="H28" i="43"/>
  <c r="D109" i="43"/>
  <c r="H109" i="43" s="1"/>
  <c r="H108" i="43"/>
  <c r="H37" i="43" l="1"/>
  <c r="H39" i="43" s="1"/>
  <c r="E25" i="43"/>
  <c r="E42" i="43"/>
  <c r="H42" i="43" s="1"/>
  <c r="H24" i="43"/>
  <c r="H110" i="43"/>
  <c r="D41" i="42" s="1"/>
  <c r="F41" i="42" s="1"/>
  <c r="F49" i="42" s="1"/>
  <c r="F29" i="22" s="1"/>
  <c r="K29" i="22" s="1"/>
  <c r="E116" i="43"/>
  <c r="H116" i="43" s="1"/>
  <c r="H117" i="43" s="1"/>
  <c r="F43" i="42" s="1"/>
  <c r="H112" i="43"/>
  <c r="H113" i="43" s="1"/>
  <c r="F42" i="42" s="1"/>
  <c r="E26" i="43" l="1"/>
  <c r="H25" i="43"/>
  <c r="E43" i="43"/>
  <c r="H43" i="43" s="1"/>
  <c r="E44" i="43" l="1"/>
  <c r="H44" i="43" s="1"/>
  <c r="E27" i="43"/>
  <c r="H26" i="43"/>
  <c r="N42" i="25"/>
  <c r="P42" i="25" s="1"/>
  <c r="M42" i="25"/>
  <c r="O42" i="25" s="1"/>
  <c r="N41" i="25"/>
  <c r="P41" i="25" s="1"/>
  <c r="M41" i="25"/>
  <c r="N40" i="25"/>
  <c r="P40" i="25" s="1"/>
  <c r="M40" i="25"/>
  <c r="O40" i="25" s="1"/>
  <c r="L40" i="25"/>
  <c r="L15" i="25"/>
  <c r="M15" i="25"/>
  <c r="O15" i="25" s="1"/>
  <c r="N15" i="25"/>
  <c r="P15" i="25" s="1"/>
  <c r="L16" i="25"/>
  <c r="M16" i="25"/>
  <c r="O16" i="25" s="1"/>
  <c r="N16" i="25"/>
  <c r="P16" i="25" s="1"/>
  <c r="L17" i="25"/>
  <c r="M17" i="25"/>
  <c r="N17" i="25"/>
  <c r="P17" i="25" s="1"/>
  <c r="C41" i="25" s="1"/>
  <c r="F41" i="25" s="1"/>
  <c r="L18" i="25"/>
  <c r="M18" i="25"/>
  <c r="N18" i="25"/>
  <c r="P18" i="25" s="1"/>
  <c r="C42" i="25" s="1"/>
  <c r="F42" i="25" s="1"/>
  <c r="L19" i="25"/>
  <c r="M19" i="25"/>
  <c r="N19" i="25"/>
  <c r="P19" i="25" s="1"/>
  <c r="D89" i="24"/>
  <c r="C89" i="24"/>
  <c r="B89" i="24"/>
  <c r="D88" i="24"/>
  <c r="C88" i="24"/>
  <c r="B88" i="24"/>
  <c r="D87" i="24"/>
  <c r="C87" i="24"/>
  <c r="B87" i="24"/>
  <c r="E44" i="24"/>
  <c r="E43" i="24"/>
  <c r="M9" i="24"/>
  <c r="N9" i="24" s="1"/>
  <c r="M10" i="24"/>
  <c r="N10" i="24" s="1"/>
  <c r="M11" i="24"/>
  <c r="N11" i="24" s="1"/>
  <c r="M12" i="24"/>
  <c r="N12" i="24" s="1"/>
  <c r="M13" i="24"/>
  <c r="N13" i="24" s="1"/>
  <c r="M14" i="24"/>
  <c r="N14" i="24" s="1"/>
  <c r="E41" i="24" s="1"/>
  <c r="M15" i="24"/>
  <c r="N15" i="24" s="1"/>
  <c r="M16" i="24"/>
  <c r="F87" i="24" l="1"/>
  <c r="E45" i="43"/>
  <c r="H45" i="43" s="1"/>
  <c r="H53" i="43" s="1"/>
  <c r="D12" i="42" s="1"/>
  <c r="H27" i="43"/>
  <c r="H35" i="43" s="1"/>
  <c r="C43" i="25"/>
  <c r="F43" i="25" s="1"/>
  <c r="Q17" i="25"/>
  <c r="R17" i="25" s="1"/>
  <c r="O19" i="25"/>
  <c r="C20" i="25" s="1"/>
  <c r="F20" i="25" s="1"/>
  <c r="Q19" i="25"/>
  <c r="N16" i="24"/>
  <c r="E88" i="24"/>
  <c r="D32" i="21"/>
  <c r="E32" i="21"/>
  <c r="E89" i="24"/>
  <c r="F89" i="24"/>
  <c r="F88" i="24"/>
  <c r="Q41" i="25"/>
  <c r="R41" i="25" s="1"/>
  <c r="Q42" i="25"/>
  <c r="R42" i="25" s="1"/>
  <c r="O41" i="25"/>
  <c r="C40" i="25"/>
  <c r="F40" i="25" s="1"/>
  <c r="Q18" i="25"/>
  <c r="R18" i="25" s="1"/>
  <c r="O17" i="25"/>
  <c r="C18" i="25" s="1"/>
  <c r="O18" i="25"/>
  <c r="C19" i="25" s="1"/>
  <c r="Q15" i="25"/>
  <c r="R15" i="25" s="1"/>
  <c r="R19" i="25"/>
  <c r="Q40" i="25"/>
  <c r="R40" i="25" s="1"/>
  <c r="Q16" i="25"/>
  <c r="R16" i="25" s="1"/>
  <c r="C17" i="25"/>
  <c r="D11" i="42" l="1"/>
  <c r="H54" i="43"/>
  <c r="D13" i="42" s="1"/>
  <c r="G88" i="24"/>
  <c r="E42" i="24"/>
  <c r="E87" i="24" s="1"/>
  <c r="G87" i="24" s="1"/>
  <c r="G89" i="24"/>
  <c r="E31" i="41"/>
  <c r="F44" i="24" l="1"/>
  <c r="G44" i="24" s="1"/>
  <c r="F36" i="24"/>
  <c r="F37" i="24"/>
  <c r="F38" i="24"/>
  <c r="F39" i="24"/>
  <c r="F40" i="24"/>
  <c r="F41" i="24"/>
  <c r="F42" i="24"/>
  <c r="G42" i="24" s="1"/>
  <c r="F43" i="24"/>
  <c r="G43" i="24" s="1"/>
  <c r="F57" i="34" l="1"/>
  <c r="F58" i="34" s="1"/>
  <c r="H79" i="19"/>
  <c r="H78" i="19"/>
  <c r="H77" i="19"/>
  <c r="H76" i="19"/>
  <c r="H252" i="17" s="1"/>
  <c r="I252" i="17" s="1"/>
  <c r="H75" i="19"/>
  <c r="H251" i="17" s="1"/>
  <c r="I251" i="17" s="1"/>
  <c r="H74" i="19"/>
  <c r="H72" i="19"/>
  <c r="H253" i="17" s="1"/>
  <c r="I253" i="17" s="1"/>
  <c r="H71" i="19"/>
  <c r="A33" i="22"/>
  <c r="F31" i="22"/>
  <c r="K31" i="22" s="1"/>
  <c r="J15" i="22"/>
  <c r="F93" i="34"/>
  <c r="F56" i="34"/>
  <c r="H73" i="19" s="1"/>
  <c r="F420" i="4"/>
  <c r="F418" i="4"/>
  <c r="F417" i="4"/>
  <c r="F339" i="4"/>
  <c r="F293" i="4"/>
  <c r="F130" i="4"/>
  <c r="F129" i="4"/>
  <c r="F399" i="4"/>
  <c r="F406" i="4" s="1"/>
  <c r="G406" i="4" s="1"/>
  <c r="F385" i="4"/>
  <c r="F384" i="4"/>
  <c r="F383" i="4"/>
  <c r="F382" i="4"/>
  <c r="F381" i="4"/>
  <c r="F380" i="4"/>
  <c r="F379" i="4"/>
  <c r="I254" i="17" l="1"/>
  <c r="F391" i="4"/>
  <c r="F376" i="4"/>
  <c r="G376" i="4" s="1"/>
  <c r="F368" i="4"/>
  <c r="G368" i="4" s="1"/>
  <c r="F388" i="4"/>
  <c r="F364" i="4"/>
  <c r="G364" i="4" s="1"/>
  <c r="F372" i="4"/>
  <c r="G372" i="4" s="1"/>
  <c r="F398" i="4"/>
  <c r="F377" i="4"/>
  <c r="G377" i="4" s="1"/>
  <c r="F369" i="4"/>
  <c r="G369" i="4" s="1"/>
  <c r="F395" i="4"/>
  <c r="F394" i="4"/>
  <c r="F371" i="4"/>
  <c r="G371" i="4" s="1"/>
  <c r="F363" i="4"/>
  <c r="G363" i="4" s="1"/>
  <c r="F389" i="4"/>
  <c r="F373" i="4"/>
  <c r="G373" i="4" s="1"/>
  <c r="F365" i="4"/>
  <c r="G365" i="4" s="1"/>
  <c r="F390" i="4"/>
  <c r="F366" i="4"/>
  <c r="G366" i="4" s="1"/>
  <c r="F374" i="4"/>
  <c r="G374" i="4" s="1"/>
  <c r="F375" i="4"/>
  <c r="G375" i="4" s="1"/>
  <c r="F367" i="4"/>
  <c r="G367" i="4" s="1"/>
  <c r="F387" i="4"/>
  <c r="F392" i="4"/>
  <c r="F396" i="4"/>
  <c r="F397" i="4"/>
  <c r="F402" i="4" l="1"/>
  <c r="G402" i="4" s="1"/>
  <c r="G404" i="4"/>
  <c r="F403" i="4"/>
  <c r="G403" i="4" s="1"/>
  <c r="F405" i="4"/>
  <c r="G405" i="4" s="1"/>
  <c r="N251" i="17"/>
  <c r="N252" i="17"/>
  <c r="D284" i="4"/>
  <c r="D208" i="4"/>
  <c r="D178" i="4"/>
  <c r="D174" i="4"/>
  <c r="D95" i="4"/>
  <c r="D91" i="4"/>
  <c r="G1030" i="1"/>
  <c r="D347" i="4" s="1"/>
  <c r="G1029" i="1"/>
  <c r="D346" i="4" s="1"/>
  <c r="G1023" i="1"/>
  <c r="D339" i="4" s="1"/>
  <c r="G1021" i="1"/>
  <c r="D337" i="4" s="1"/>
  <c r="G1019" i="1"/>
  <c r="G1017" i="1"/>
  <c r="G1009" i="1"/>
  <c r="D328" i="4" s="1"/>
  <c r="G1004" i="1"/>
  <c r="D320" i="4" s="1"/>
  <c r="G1002" i="1"/>
  <c r="D319" i="4" s="1"/>
  <c r="G1001" i="1"/>
  <c r="D318" i="4" s="1"/>
  <c r="G1000" i="1"/>
  <c r="D317" i="4" s="1"/>
  <c r="G999" i="1"/>
  <c r="D316" i="4" s="1"/>
  <c r="G993" i="1"/>
  <c r="G992" i="1"/>
  <c r="G988" i="1"/>
  <c r="G987" i="1"/>
  <c r="G986" i="1"/>
  <c r="G984" i="1"/>
  <c r="D306" i="4" s="1"/>
  <c r="G982" i="1"/>
  <c r="G981" i="1"/>
  <c r="G979" i="1"/>
  <c r="D304" i="4" s="1"/>
  <c r="G977" i="1"/>
  <c r="D302" i="4" s="1"/>
  <c r="G973" i="1"/>
  <c r="D295" i="4" s="1"/>
  <c r="G972" i="1"/>
  <c r="D294" i="4" s="1"/>
  <c r="G971" i="1"/>
  <c r="D293" i="4" s="1"/>
  <c r="G970" i="1"/>
  <c r="D291" i="4" s="1"/>
  <c r="G967" i="1"/>
  <c r="G966" i="1"/>
  <c r="G965" i="1"/>
  <c r="G964" i="1"/>
  <c r="G963" i="1"/>
  <c r="G962" i="1"/>
  <c r="G961" i="1"/>
  <c r="D288" i="4" s="1"/>
  <c r="G959" i="1"/>
  <c r="G958" i="1"/>
  <c r="G956" i="1"/>
  <c r="G955" i="1"/>
  <c r="G953" i="1"/>
  <c r="G952" i="1"/>
  <c r="G949" i="1"/>
  <c r="G948" i="1"/>
  <c r="G945" i="1"/>
  <c r="G944" i="1"/>
  <c r="G943" i="1"/>
  <c r="G942" i="1"/>
  <c r="G941" i="1"/>
  <c r="G940" i="1"/>
  <c r="G939" i="1"/>
  <c r="G938" i="1"/>
  <c r="G936" i="1"/>
  <c r="D281" i="4" s="1"/>
  <c r="G935" i="1"/>
  <c r="D280" i="4" s="1"/>
  <c r="G933" i="1"/>
  <c r="G932" i="1"/>
  <c r="G931" i="1"/>
  <c r="G930" i="1"/>
  <c r="G929" i="1"/>
  <c r="G928" i="1"/>
  <c r="G925" i="1"/>
  <c r="G926" i="1" s="1"/>
  <c r="D278" i="4" s="1"/>
  <c r="G918" i="1"/>
  <c r="G917" i="1"/>
  <c r="G916" i="1"/>
  <c r="G915" i="1"/>
  <c r="G908" i="1"/>
  <c r="G907" i="1"/>
  <c r="G906" i="1"/>
  <c r="G905" i="1"/>
  <c r="G902" i="1"/>
  <c r="G900" i="1"/>
  <c r="G899" i="1"/>
  <c r="G894" i="1"/>
  <c r="G892" i="1"/>
  <c r="G891" i="1"/>
  <c r="G890" i="1"/>
  <c r="G889" i="1"/>
  <c r="G888" i="1"/>
  <c r="G887" i="1"/>
  <c r="G886" i="1"/>
  <c r="G885" i="1"/>
  <c r="G881" i="1"/>
  <c r="G880" i="1"/>
  <c r="G879" i="1"/>
  <c r="G878" i="1"/>
  <c r="G877" i="1"/>
  <c r="G876" i="1"/>
  <c r="G875" i="1"/>
  <c r="G874" i="1"/>
  <c r="G870" i="1"/>
  <c r="G869" i="1"/>
  <c r="G866" i="1"/>
  <c r="G865" i="1"/>
  <c r="G862" i="1"/>
  <c r="G861" i="1"/>
  <c r="G860" i="1"/>
  <c r="G859" i="1"/>
  <c r="G856" i="1"/>
  <c r="G855" i="1"/>
  <c r="G853" i="1"/>
  <c r="G852" i="1"/>
  <c r="G847" i="1"/>
  <c r="G846" i="1"/>
  <c r="G845" i="1"/>
  <c r="G840" i="1"/>
  <c r="G839" i="1"/>
  <c r="G838" i="1"/>
  <c r="G837" i="1"/>
  <c r="G836" i="1"/>
  <c r="G835" i="1"/>
  <c r="G834" i="1"/>
  <c r="G833" i="1"/>
  <c r="G832" i="1"/>
  <c r="G831" i="1"/>
  <c r="G830" i="1"/>
  <c r="G829" i="1"/>
  <c r="G828" i="1"/>
  <c r="G827" i="1"/>
  <c r="G826" i="1"/>
  <c r="G825" i="1"/>
  <c r="G824" i="1"/>
  <c r="G820" i="1"/>
  <c r="G819" i="1"/>
  <c r="G818" i="1"/>
  <c r="G817" i="1"/>
  <c r="G816" i="1"/>
  <c r="G815" i="1"/>
  <c r="G814" i="1"/>
  <c r="G813" i="1"/>
  <c r="G812" i="1"/>
  <c r="G811" i="1"/>
  <c r="G810" i="1"/>
  <c r="G808" i="1"/>
  <c r="G807" i="1"/>
  <c r="G806" i="1"/>
  <c r="G804" i="1"/>
  <c r="G798" i="1"/>
  <c r="G796" i="1"/>
  <c r="G795" i="1"/>
  <c r="G794" i="1"/>
  <c r="G792" i="1"/>
  <c r="G791" i="1"/>
  <c r="G790" i="1"/>
  <c r="G789" i="1"/>
  <c r="G788" i="1"/>
  <c r="G787" i="1"/>
  <c r="G786" i="1"/>
  <c r="G785" i="1"/>
  <c r="G784" i="1"/>
  <c r="G783" i="1"/>
  <c r="G781" i="1"/>
  <c r="G780" i="1"/>
  <c r="G779" i="1"/>
  <c r="G778" i="1"/>
  <c r="G777" i="1"/>
  <c r="G774" i="1"/>
  <c r="D257" i="4" s="1"/>
  <c r="G772" i="1"/>
  <c r="G771" i="1"/>
  <c r="G770" i="1"/>
  <c r="G766" i="1"/>
  <c r="G765" i="1"/>
  <c r="G764" i="1"/>
  <c r="G761" i="1"/>
  <c r="G760" i="1"/>
  <c r="G759" i="1"/>
  <c r="G758" i="1"/>
  <c r="G757" i="1"/>
  <c r="G754" i="1"/>
  <c r="D252" i="4" s="1"/>
  <c r="G749" i="1"/>
  <c r="D246" i="4" s="1"/>
  <c r="G748" i="1"/>
  <c r="D245" i="4" s="1"/>
  <c r="G744" i="1"/>
  <c r="G743" i="1"/>
  <c r="G742" i="1"/>
  <c r="G740" i="1"/>
  <c r="G739" i="1"/>
  <c r="G737" i="1"/>
  <c r="D238" i="4" s="1"/>
  <c r="G731" i="1"/>
  <c r="D230" i="4" s="1"/>
  <c r="G730" i="1"/>
  <c r="D228" i="4" s="1"/>
  <c r="G728" i="1"/>
  <c r="G727" i="1"/>
  <c r="G724" i="1"/>
  <c r="G723" i="1"/>
  <c r="G722" i="1"/>
  <c r="D223" i="4" s="1"/>
  <c r="G720" i="1"/>
  <c r="G719" i="1"/>
  <c r="G717" i="1"/>
  <c r="G716" i="1"/>
  <c r="G709" i="1"/>
  <c r="D210" i="4" s="1"/>
  <c r="G706" i="1"/>
  <c r="G705" i="1"/>
  <c r="G704" i="1"/>
  <c r="G702" i="1"/>
  <c r="D206" i="4" s="1"/>
  <c r="G700" i="1"/>
  <c r="G701" i="1" s="1"/>
  <c r="D205" i="4" s="1"/>
  <c r="G699" i="1"/>
  <c r="D204" i="4" s="1"/>
  <c r="G696" i="1"/>
  <c r="G695" i="1"/>
  <c r="G694" i="1"/>
  <c r="G691" i="1"/>
  <c r="D200" i="4" s="1"/>
  <c r="G679" i="1"/>
  <c r="D171" i="4" s="1"/>
  <c r="G676" i="1"/>
  <c r="G675" i="1"/>
  <c r="G674" i="1"/>
  <c r="D168" i="4" s="1"/>
  <c r="G673" i="1"/>
  <c r="D167" i="4" s="1"/>
  <c r="G671" i="1"/>
  <c r="D165" i="4" s="1"/>
  <c r="G666" i="1"/>
  <c r="D195" i="4" s="1"/>
  <c r="G664" i="1"/>
  <c r="D193" i="4" s="1"/>
  <c r="G662" i="1"/>
  <c r="D191" i="4" s="1"/>
  <c r="G660" i="1"/>
  <c r="D189" i="4" s="1"/>
  <c r="G658" i="1"/>
  <c r="D187" i="4" s="1"/>
  <c r="G657" i="1"/>
  <c r="D186" i="4" s="1"/>
  <c r="G655" i="1"/>
  <c r="D184" i="4" s="1"/>
  <c r="G650" i="1"/>
  <c r="D158" i="4" s="1"/>
  <c r="G629" i="1"/>
  <c r="D142" i="4" s="1"/>
  <c r="G627" i="1"/>
  <c r="D140" i="4" s="1"/>
  <c r="G625" i="1"/>
  <c r="D134" i="4" s="1"/>
  <c r="G623" i="1"/>
  <c r="D132" i="4" s="1"/>
  <c r="G621" i="1"/>
  <c r="D130" i="4" s="1"/>
  <c r="G620" i="1"/>
  <c r="D129" i="4" s="1"/>
  <c r="G617" i="1"/>
  <c r="G616" i="1"/>
  <c r="G611" i="1"/>
  <c r="G610" i="1"/>
  <c r="G605" i="1"/>
  <c r="G604" i="1"/>
  <c r="G600" i="1"/>
  <c r="G598" i="1"/>
  <c r="G597" i="1"/>
  <c r="G596" i="1"/>
  <c r="G594" i="1"/>
  <c r="G593" i="1"/>
  <c r="G591" i="1"/>
  <c r="G590" i="1"/>
  <c r="G589" i="1"/>
  <c r="G584" i="1"/>
  <c r="G583" i="1"/>
  <c r="G582" i="1"/>
  <c r="G581" i="1"/>
  <c r="G580" i="1"/>
  <c r="G578" i="1"/>
  <c r="G577" i="1"/>
  <c r="G575" i="1"/>
  <c r="G574" i="1"/>
  <c r="G573" i="1"/>
  <c r="G572" i="1"/>
  <c r="G570" i="1"/>
  <c r="G569" i="1"/>
  <c r="G568" i="1"/>
  <c r="G567" i="1"/>
  <c r="G566" i="1"/>
  <c r="G565" i="1"/>
  <c r="G564" i="1"/>
  <c r="G562" i="1"/>
  <c r="G561" i="1"/>
  <c r="G560" i="1"/>
  <c r="G559" i="1"/>
  <c r="G558" i="1"/>
  <c r="G553" i="1"/>
  <c r="G552" i="1"/>
  <c r="G551" i="1"/>
  <c r="G550" i="1"/>
  <c r="G541" i="1"/>
  <c r="G539" i="1"/>
  <c r="G534" i="1"/>
  <c r="G533" i="1"/>
  <c r="G532" i="1"/>
  <c r="G531" i="1"/>
  <c r="G529" i="1"/>
  <c r="G528" i="1"/>
  <c r="G527" i="1"/>
  <c r="G526" i="1"/>
  <c r="G525" i="1"/>
  <c r="G524" i="1"/>
  <c r="G523" i="1"/>
  <c r="G521" i="1"/>
  <c r="G519" i="1"/>
  <c r="G518" i="1"/>
  <c r="G517" i="1"/>
  <c r="G516" i="1"/>
  <c r="G515" i="1"/>
  <c r="G514" i="1"/>
  <c r="G511" i="1"/>
  <c r="G510" i="1"/>
  <c r="G507" i="1"/>
  <c r="G506" i="1"/>
  <c r="G505" i="1"/>
  <c r="G504" i="1"/>
  <c r="G503" i="1"/>
  <c r="G500" i="1"/>
  <c r="G499" i="1"/>
  <c r="G497" i="1"/>
  <c r="G496" i="1"/>
  <c r="G495" i="1"/>
  <c r="G494" i="1"/>
  <c r="G484" i="1"/>
  <c r="G482" i="1"/>
  <c r="G481" i="1"/>
  <c r="G480" i="1"/>
  <c r="G479" i="1"/>
  <c r="G478" i="1"/>
  <c r="G477" i="1"/>
  <c r="G476" i="1"/>
  <c r="G475" i="1"/>
  <c r="G474" i="1"/>
  <c r="G473" i="1"/>
  <c r="G472" i="1"/>
  <c r="G471" i="1"/>
  <c r="G470" i="1"/>
  <c r="G469" i="1"/>
  <c r="G468" i="1"/>
  <c r="G467" i="1"/>
  <c r="G466" i="1"/>
  <c r="G465" i="1"/>
  <c r="G464" i="1"/>
  <c r="G459" i="1"/>
  <c r="G457" i="1"/>
  <c r="G455" i="1"/>
  <c r="G454" i="1"/>
  <c r="G453" i="1"/>
  <c r="G452" i="1"/>
  <c r="G451" i="1"/>
  <c r="G446" i="1"/>
  <c r="G445" i="1"/>
  <c r="G444" i="1"/>
  <c r="G443" i="1"/>
  <c r="G442" i="1"/>
  <c r="G441" i="1"/>
  <c r="G440" i="1"/>
  <c r="G439" i="1"/>
  <c r="G438" i="1"/>
  <c r="G437" i="1"/>
  <c r="G436" i="1"/>
  <c r="G432" i="1"/>
  <c r="G431" i="1"/>
  <c r="G428" i="1"/>
  <c r="G427" i="1"/>
  <c r="G426" i="1"/>
  <c r="G425" i="1"/>
  <c r="G422" i="1"/>
  <c r="G421" i="1"/>
  <c r="G420" i="1"/>
  <c r="G419" i="1"/>
  <c r="G416" i="1"/>
  <c r="G415" i="1"/>
  <c r="G412" i="1"/>
  <c r="G411" i="1"/>
  <c r="G410" i="1"/>
  <c r="G409" i="1"/>
  <c r="G408" i="1"/>
  <c r="G405" i="1"/>
  <c r="D102" i="4" s="1"/>
  <c r="G392" i="1"/>
  <c r="D87" i="4" s="1"/>
  <c r="G389" i="1"/>
  <c r="D84" i="4" s="1"/>
  <c r="G386" i="1"/>
  <c r="D81" i="4" s="1"/>
  <c r="G373" i="1"/>
  <c r="G372" i="1"/>
  <c r="G371" i="1"/>
  <c r="G370" i="1"/>
  <c r="G367" i="1"/>
  <c r="G365" i="1"/>
  <c r="G364" i="1"/>
  <c r="G363" i="1"/>
  <c r="G362" i="1"/>
  <c r="G361" i="1"/>
  <c r="G360" i="1"/>
  <c r="G359" i="1"/>
  <c r="G358" i="1"/>
  <c r="G357" i="1"/>
  <c r="G356" i="1"/>
  <c r="G355" i="1"/>
  <c r="G354" i="1"/>
  <c r="G353" i="1"/>
  <c r="G352" i="1"/>
  <c r="G351" i="1"/>
  <c r="G350" i="1"/>
  <c r="G349" i="1"/>
  <c r="G348" i="1"/>
  <c r="G347" i="1"/>
  <c r="G345" i="1"/>
  <c r="G344" i="1"/>
  <c r="G343" i="1"/>
  <c r="G341" i="1"/>
  <c r="G340" i="1"/>
  <c r="G339" i="1"/>
  <c r="G338" i="1"/>
  <c r="G337" i="1"/>
  <c r="G336" i="1"/>
  <c r="G335" i="1"/>
  <c r="G326" i="1"/>
  <c r="G325" i="1"/>
  <c r="G324" i="1"/>
  <c r="G323" i="1"/>
  <c r="G320" i="1"/>
  <c r="G317" i="1"/>
  <c r="G316" i="1"/>
  <c r="G315" i="1"/>
  <c r="G314" i="1"/>
  <c r="G312" i="1"/>
  <c r="G311" i="1"/>
  <c r="G309" i="1"/>
  <c r="G307" i="1"/>
  <c r="G306" i="1"/>
  <c r="G304" i="1"/>
  <c r="G303" i="1"/>
  <c r="G302" i="1"/>
  <c r="G301" i="1"/>
  <c r="G298" i="1"/>
  <c r="G297" i="1"/>
  <c r="G295" i="1"/>
  <c r="G294" i="1"/>
  <c r="G293" i="1"/>
  <c r="G292" i="1"/>
  <c r="G285" i="1"/>
  <c r="G284" i="1"/>
  <c r="G282" i="1"/>
  <c r="G281" i="1"/>
  <c r="G280" i="1"/>
  <c r="G279" i="1"/>
  <c r="G273" i="1"/>
  <c r="G271" i="1"/>
  <c r="G270" i="1"/>
  <c r="G269" i="1"/>
  <c r="G268" i="1"/>
  <c r="G267" i="1"/>
  <c r="G266" i="1"/>
  <c r="G264" i="1"/>
  <c r="G263" i="1"/>
  <c r="G262" i="1"/>
  <c r="G261" i="1"/>
  <c r="G260" i="1"/>
  <c r="G259" i="1"/>
  <c r="G258" i="1"/>
  <c r="G257" i="1"/>
  <c r="G252" i="1"/>
  <c r="G251" i="1"/>
  <c r="G249" i="1"/>
  <c r="G248" i="1"/>
  <c r="G247" i="1"/>
  <c r="G242" i="1"/>
  <c r="G241" i="1"/>
  <c r="G240" i="1"/>
  <c r="G239" i="1"/>
  <c r="G238" i="1"/>
  <c r="G237" i="1"/>
  <c r="G236" i="1"/>
  <c r="G235" i="1"/>
  <c r="G233" i="1"/>
  <c r="D60" i="4" s="1"/>
  <c r="G230" i="1"/>
  <c r="G229" i="1"/>
  <c r="G228" i="1"/>
  <c r="G225" i="1"/>
  <c r="G224" i="1"/>
  <c r="G223" i="1"/>
  <c r="G219" i="1"/>
  <c r="G218" i="1"/>
  <c r="G217" i="1"/>
  <c r="G216" i="1"/>
  <c r="G215" i="1"/>
  <c r="G214" i="1"/>
  <c r="G212" i="1"/>
  <c r="G211" i="1"/>
  <c r="G210" i="1"/>
  <c r="G209" i="1"/>
  <c r="G208" i="1"/>
  <c r="G207" i="1"/>
  <c r="G204" i="1"/>
  <c r="G203" i="1"/>
  <c r="G202" i="1"/>
  <c r="G201" i="1"/>
  <c r="G199" i="1"/>
  <c r="D50" i="4" s="1"/>
  <c r="G194" i="1"/>
  <c r="D42" i="4" s="1"/>
  <c r="G183" i="1"/>
  <c r="G182" i="1"/>
  <c r="G177" i="1"/>
  <c r="G178" i="1" s="1"/>
  <c r="D29" i="4" s="1"/>
  <c r="G173" i="1"/>
  <c r="G171" i="1"/>
  <c r="G170" i="1"/>
  <c r="G168" i="1"/>
  <c r="G167" i="1"/>
  <c r="G165" i="1"/>
  <c r="G164" i="1"/>
  <c r="G163" i="1"/>
  <c r="G162" i="1"/>
  <c r="G161" i="1"/>
  <c r="G160" i="1"/>
  <c r="G159" i="1"/>
  <c r="G158" i="1"/>
  <c r="G156" i="1"/>
  <c r="G155" i="1"/>
  <c r="G154" i="1"/>
  <c r="G153" i="1"/>
  <c r="G152" i="1"/>
  <c r="G151" i="1"/>
  <c r="G145" i="1"/>
  <c r="G144" i="1"/>
  <c r="G143" i="1"/>
  <c r="G142" i="1"/>
  <c r="G137" i="1"/>
  <c r="G136" i="1"/>
  <c r="G135" i="1"/>
  <c r="G134" i="1"/>
  <c r="G130" i="1"/>
  <c r="G127" i="1"/>
  <c r="G125" i="1"/>
  <c r="G124" i="1"/>
  <c r="G123" i="1"/>
  <c r="G122" i="1"/>
  <c r="G119" i="1"/>
  <c r="G118" i="1"/>
  <c r="G117" i="1"/>
  <c r="G116" i="1"/>
  <c r="G115" i="1"/>
  <c r="G114" i="1"/>
  <c r="G112" i="1"/>
  <c r="G110" i="1"/>
  <c r="G109" i="1"/>
  <c r="G108" i="1"/>
  <c r="G107" i="1"/>
  <c r="G100" i="1"/>
  <c r="G99" i="1"/>
  <c r="G98" i="1"/>
  <c r="G97" i="1"/>
  <c r="G94" i="1"/>
  <c r="G93" i="1"/>
  <c r="G91" i="1"/>
  <c r="G90" i="1"/>
  <c r="G89" i="1"/>
  <c r="G88" i="1"/>
  <c r="G82" i="1"/>
  <c r="G80" i="1"/>
  <c r="G79" i="1"/>
  <c r="G78" i="1"/>
  <c r="G77" i="1"/>
  <c r="G76" i="1"/>
  <c r="G75" i="1"/>
  <c r="G74" i="1"/>
  <c r="G73" i="1"/>
  <c r="G72" i="1"/>
  <c r="G71" i="1"/>
  <c r="G70" i="1"/>
  <c r="G69" i="1"/>
  <c r="G68" i="1"/>
  <c r="G67" i="1"/>
  <c r="G66" i="1"/>
  <c r="G65" i="1"/>
  <c r="G61" i="1"/>
  <c r="G59" i="1"/>
  <c r="G58" i="1"/>
  <c r="G57" i="1"/>
  <c r="G56" i="1"/>
  <c r="G55" i="1"/>
  <c r="G50" i="1"/>
  <c r="G49" i="1"/>
  <c r="G48" i="1"/>
  <c r="G47" i="1"/>
  <c r="G46" i="1"/>
  <c r="G45" i="1"/>
  <c r="G44" i="1"/>
  <c r="G43" i="1"/>
  <c r="G42" i="1"/>
  <c r="G41" i="1"/>
  <c r="G37" i="1"/>
  <c r="G38" i="1" s="1"/>
  <c r="D15" i="4" s="1"/>
  <c r="G34" i="1"/>
  <c r="G33" i="1"/>
  <c r="G32" i="1"/>
  <c r="G29" i="1"/>
  <c r="G28" i="1"/>
  <c r="G27" i="1"/>
  <c r="G24" i="1"/>
  <c r="G23" i="1"/>
  <c r="G22" i="1"/>
  <c r="G21" i="1"/>
  <c r="G18" i="1"/>
  <c r="G17" i="1"/>
  <c r="G16" i="1"/>
  <c r="G15" i="1"/>
  <c r="G12" i="1"/>
  <c r="G11" i="1"/>
  <c r="G10" i="1"/>
  <c r="G8" i="1"/>
  <c r="G6" i="1"/>
  <c r="D6" i="4" s="1"/>
  <c r="G677" i="1" l="1"/>
  <c r="D169" i="4" s="1"/>
  <c r="G767" i="1"/>
  <c r="G769" i="1" s="1"/>
  <c r="G697" i="1"/>
  <c r="D202" i="4" s="1"/>
  <c r="G1020" i="1"/>
  <c r="D336" i="4" s="1"/>
  <c r="G542" i="1"/>
  <c r="G707" i="1"/>
  <c r="G968" i="1"/>
  <c r="D289" i="4" s="1"/>
  <c r="G983" i="1"/>
  <c r="D305" i="4" s="1"/>
  <c r="G950" i="1"/>
  <c r="D283" i="4" s="1"/>
  <c r="G13" i="1"/>
  <c r="D8" i="4" s="1"/>
  <c r="G180" i="1"/>
  <c r="G512" i="1"/>
  <c r="G718" i="1"/>
  <c r="D221" i="4" s="1"/>
  <c r="G725" i="1"/>
  <c r="D225" i="4" s="1"/>
  <c r="G745" i="1"/>
  <c r="D241" i="4" s="1"/>
  <c r="G126" i="1"/>
  <c r="G863" i="1"/>
  <c r="D264" i="4" s="1"/>
  <c r="G909" i="1"/>
  <c r="G912" i="1" s="1"/>
  <c r="G919" i="1"/>
  <c r="D274" i="4" s="1"/>
  <c r="G954" i="1"/>
  <c r="D285" i="4" s="1"/>
  <c r="G960" i="1"/>
  <c r="D287" i="4" s="1"/>
  <c r="G95" i="1"/>
  <c r="G220" i="1"/>
  <c r="G231" i="1"/>
  <c r="D58" i="4" s="1"/>
  <c r="G250" i="1"/>
  <c r="G286" i="1"/>
  <c r="D66" i="4" s="1"/>
  <c r="G318" i="1"/>
  <c r="G366" i="1"/>
  <c r="G368" i="1" s="1"/>
  <c r="D71" i="4" s="1"/>
  <c r="G374" i="1"/>
  <c r="G380" i="1" s="1"/>
  <c r="D75" i="4" s="1"/>
  <c r="G413" i="1"/>
  <c r="D104" i="4" s="1"/>
  <c r="G423" i="1"/>
  <c r="D106" i="4" s="1"/>
  <c r="G429" i="1"/>
  <c r="D108" i="4" s="1"/>
  <c r="G138" i="1"/>
  <c r="D24" i="4" s="1"/>
  <c r="G187" i="1"/>
  <c r="D34" i="4" s="1"/>
  <c r="G184" i="1"/>
  <c r="D31" i="4" s="1"/>
  <c r="G606" i="1"/>
  <c r="D123" i="4" s="1"/>
  <c r="G618" i="1"/>
  <c r="D127" i="4" s="1"/>
  <c r="G762" i="1"/>
  <c r="D254" i="4" s="1"/>
  <c r="G782" i="1"/>
  <c r="D258" i="4" s="1"/>
  <c r="G871" i="1"/>
  <c r="D267" i="4" s="1"/>
  <c r="N254" i="17"/>
  <c r="O254" i="17" s="1"/>
  <c r="G81" i="1"/>
  <c r="G83" i="1" s="1"/>
  <c r="D18" i="4" s="1"/>
  <c r="G101" i="1"/>
  <c r="G111" i="1"/>
  <c r="G205" i="1"/>
  <c r="D52" i="4" s="1"/>
  <c r="G213" i="1"/>
  <c r="G272" i="1"/>
  <c r="G274" i="1" s="1"/>
  <c r="D63" i="4" s="1"/>
  <c r="G308" i="1"/>
  <c r="G508" i="1"/>
  <c r="G520" i="1"/>
  <c r="G721" i="1"/>
  <c r="D222" i="4" s="1"/>
  <c r="G773" i="1"/>
  <c r="D256" i="4" s="1"/>
  <c r="G799" i="1"/>
  <c r="D259" i="4" s="1"/>
  <c r="G934" i="1"/>
  <c r="D279" i="4" s="1"/>
  <c r="G60" i="1"/>
  <c r="G62" i="1" s="1"/>
  <c r="D16" i="4" s="1"/>
  <c r="G19" i="1"/>
  <c r="G25" i="1" s="1"/>
  <c r="D9" i="4" s="1"/>
  <c r="G30" i="1"/>
  <c r="D11" i="4" s="1"/>
  <c r="G35" i="1"/>
  <c r="D13" i="4" s="1"/>
  <c r="G120" i="1"/>
  <c r="G226" i="1"/>
  <c r="D56" i="4" s="1"/>
  <c r="G299" i="1"/>
  <c r="G327" i="1"/>
  <c r="D68" i="4" s="1"/>
  <c r="G381" i="1"/>
  <c r="D78" i="4" s="1"/>
  <c r="G417" i="1"/>
  <c r="D105" i="4" s="1"/>
  <c r="G458" i="1"/>
  <c r="G460" i="1" s="1"/>
  <c r="D111" i="4" s="1"/>
  <c r="G599" i="1"/>
  <c r="G601" i="1" s="1"/>
  <c r="D121" i="4" s="1"/>
  <c r="G729" i="1"/>
  <c r="D227" i="4" s="1"/>
  <c r="G841" i="1"/>
  <c r="D262" i="4" s="1"/>
  <c r="G946" i="1"/>
  <c r="D282" i="4" s="1"/>
  <c r="G989" i="1"/>
  <c r="D307" i="4" s="1"/>
  <c r="D255" i="4"/>
  <c r="G172" i="1"/>
  <c r="G174" i="1" s="1"/>
  <c r="D27" i="4" s="1"/>
  <c r="G253" i="1"/>
  <c r="G254" i="1" s="1"/>
  <c r="D61" i="4" s="1"/>
  <c r="G433" i="1"/>
  <c r="D110" i="4" s="1"/>
  <c r="G483" i="1"/>
  <c r="G485" i="1" s="1"/>
  <c r="D113" i="4" s="1"/>
  <c r="G501" i="1"/>
  <c r="G535" i="1"/>
  <c r="G554" i="1"/>
  <c r="D118" i="4" s="1"/>
  <c r="G608" i="1"/>
  <c r="G612" i="1" s="1"/>
  <c r="D125" i="4" s="1"/>
  <c r="G741" i="1"/>
  <c r="D240" i="4" s="1"/>
  <c r="G809" i="1"/>
  <c r="D261" i="4" s="1"/>
  <c r="G821" i="1"/>
  <c r="G857" i="1"/>
  <c r="D263" i="4" s="1"/>
  <c r="G867" i="1"/>
  <c r="D266" i="4" s="1"/>
  <c r="G882" i="1"/>
  <c r="D269" i="4" s="1"/>
  <c r="G903" i="1"/>
  <c r="G957" i="1"/>
  <c r="D286" i="4" s="1"/>
  <c r="G994" i="1"/>
  <c r="D308" i="4" s="1"/>
  <c r="G636" i="1"/>
  <c r="D144" i="4" s="1"/>
  <c r="G911" i="1"/>
  <c r="H92" i="17"/>
  <c r="I92" i="17" s="1"/>
  <c r="H91" i="17"/>
  <c r="I91" i="17" s="1"/>
  <c r="D73" i="4" l="1"/>
  <c r="G913" i="1"/>
  <c r="D272" i="4" s="1"/>
  <c r="G319" i="1"/>
  <c r="G321" i="1" s="1"/>
  <c r="P254" i="17"/>
  <c r="Q254" i="17" s="1"/>
  <c r="R254" i="17" s="1"/>
  <c r="F89" i="35" s="1"/>
  <c r="H43" i="25" s="1"/>
  <c r="I43" i="25" s="1"/>
  <c r="G129" i="1"/>
  <c r="G131" i="1" s="1"/>
  <c r="D22" i="4" s="1"/>
  <c r="G221" i="1"/>
  <c r="D54" i="4" s="1"/>
  <c r="G536" i="1"/>
  <c r="G543" i="1" s="1"/>
  <c r="D116" i="4" s="1"/>
  <c r="G822" i="1"/>
  <c r="G910" i="1"/>
  <c r="D271" i="4"/>
  <c r="I93" i="17"/>
  <c r="E89" i="41"/>
  <c r="A89" i="41"/>
  <c r="E88" i="41"/>
  <c r="A88" i="41"/>
  <c r="E87" i="41"/>
  <c r="A87" i="41"/>
  <c r="E86" i="41"/>
  <c r="A86" i="41"/>
  <c r="E85" i="41"/>
  <c r="A85" i="41"/>
  <c r="E84" i="41"/>
  <c r="A84" i="41"/>
  <c r="E83" i="41"/>
  <c r="A83" i="41"/>
  <c r="E82" i="41"/>
  <c r="A82" i="41"/>
  <c r="E81" i="41"/>
  <c r="A81" i="41"/>
  <c r="E80" i="41"/>
  <c r="A80" i="41"/>
  <c r="E79" i="41"/>
  <c r="A79" i="41"/>
  <c r="E78" i="41"/>
  <c r="A78" i="41"/>
  <c r="E77" i="41"/>
  <c r="A77" i="41"/>
  <c r="E76" i="41"/>
  <c r="A76" i="41"/>
  <c r="E75" i="41"/>
  <c r="A75" i="41"/>
  <c r="E74" i="41"/>
  <c r="A74" i="41"/>
  <c r="E73" i="41"/>
  <c r="A73" i="41"/>
  <c r="E72" i="41"/>
  <c r="A72" i="41"/>
  <c r="E71" i="41"/>
  <c r="A71" i="41"/>
  <c r="E70" i="41"/>
  <c r="A70" i="41"/>
  <c r="E69" i="41"/>
  <c r="A69" i="41"/>
  <c r="E68" i="41"/>
  <c r="A68" i="41"/>
  <c r="E67" i="41"/>
  <c r="A67" i="41"/>
  <c r="E66" i="41"/>
  <c r="A66" i="41"/>
  <c r="E65" i="41"/>
  <c r="A65" i="41"/>
  <c r="E64" i="41"/>
  <c r="A64" i="41"/>
  <c r="E63" i="41"/>
  <c r="A63" i="41"/>
  <c r="E62" i="41"/>
  <c r="A62" i="41"/>
  <c r="E61" i="41"/>
  <c r="A61" i="41"/>
  <c r="E60" i="41"/>
  <c r="A60" i="41"/>
  <c r="E59" i="41"/>
  <c r="A59" i="41"/>
  <c r="E58" i="41"/>
  <c r="A58" i="41"/>
  <c r="E57" i="41"/>
  <c r="A57" i="41"/>
  <c r="E56" i="41"/>
  <c r="A56" i="41"/>
  <c r="E55" i="41"/>
  <c r="A55" i="41"/>
  <c r="E54" i="41"/>
  <c r="A54" i="41"/>
  <c r="E53" i="41"/>
  <c r="A53" i="41"/>
  <c r="E52" i="41"/>
  <c r="A52" i="41"/>
  <c r="E51" i="41"/>
  <c r="A51" i="41"/>
  <c r="E50" i="41"/>
  <c r="A50" i="41"/>
  <c r="E49" i="41"/>
  <c r="A49" i="41"/>
  <c r="E48" i="41"/>
  <c r="A48" i="41"/>
  <c r="E47" i="41"/>
  <c r="A47" i="41"/>
  <c r="E46" i="41"/>
  <c r="A46" i="41"/>
  <c r="E45" i="41"/>
  <c r="A45" i="41"/>
  <c r="E44" i="41"/>
  <c r="A44" i="41"/>
  <c r="E43" i="41"/>
  <c r="A43" i="41"/>
  <c r="E42" i="41"/>
  <c r="A42" i="41"/>
  <c r="E41" i="41"/>
  <c r="A41" i="41"/>
  <c r="E40" i="41"/>
  <c r="A40" i="41"/>
  <c r="E39" i="41"/>
  <c r="A39" i="41"/>
  <c r="E38" i="41"/>
  <c r="A38" i="41"/>
  <c r="E37" i="41"/>
  <c r="A37" i="41"/>
  <c r="E36" i="41"/>
  <c r="A36" i="41"/>
  <c r="F12" i="24" s="1"/>
  <c r="E35" i="41"/>
  <c r="A35" i="41"/>
  <c r="E34" i="41"/>
  <c r="A34" i="41"/>
  <c r="E33" i="41"/>
  <c r="A33" i="41"/>
  <c r="E32" i="41"/>
  <c r="A32" i="41"/>
  <c r="A31" i="41"/>
  <c r="D25" i="40"/>
  <c r="AG25" i="40" s="1"/>
  <c r="AJ23" i="40"/>
  <c r="AI23" i="40"/>
  <c r="AH23" i="40"/>
  <c r="AG23" i="40"/>
  <c r="AF23" i="40"/>
  <c r="AE23" i="40"/>
  <c r="AD23" i="40"/>
  <c r="AC23" i="40"/>
  <c r="AB23" i="40"/>
  <c r="AA23" i="40"/>
  <c r="Z23" i="40"/>
  <c r="Y23" i="40"/>
  <c r="X23" i="40"/>
  <c r="W23" i="40"/>
  <c r="V23" i="40"/>
  <c r="AJ22" i="40"/>
  <c r="AI22" i="40"/>
  <c r="AH22" i="40"/>
  <c r="AG22" i="40"/>
  <c r="AF22" i="40"/>
  <c r="AE22" i="40"/>
  <c r="AD22" i="40"/>
  <c r="AC22" i="40"/>
  <c r="AB22" i="40"/>
  <c r="AA22" i="40"/>
  <c r="Z22" i="40"/>
  <c r="Y22" i="40"/>
  <c r="X22" i="40"/>
  <c r="W22" i="40"/>
  <c r="V22" i="40"/>
  <c r="D39" i="39"/>
  <c r="H39" i="39" s="1"/>
  <c r="D38" i="39"/>
  <c r="H38" i="39" s="1"/>
  <c r="D30" i="39"/>
  <c r="D31" i="39" s="1"/>
  <c r="H32" i="39" s="1"/>
  <c r="F26" i="39"/>
  <c r="H26" i="39" s="1"/>
  <c r="F25" i="39"/>
  <c r="H25" i="39" s="1"/>
  <c r="F24" i="39"/>
  <c r="H24" i="39" s="1"/>
  <c r="F23" i="39"/>
  <c r="H23" i="39" s="1"/>
  <c r="H5" i="39"/>
  <c r="H6" i="39" s="1"/>
  <c r="H181" i="38"/>
  <c r="F181" i="38"/>
  <c r="C181" i="38"/>
  <c r="H180" i="38"/>
  <c r="F180" i="38"/>
  <c r="C180" i="38"/>
  <c r="F179" i="38"/>
  <c r="H178" i="38"/>
  <c r="F178" i="38"/>
  <c r="H177" i="38"/>
  <c r="F177" i="38"/>
  <c r="H176" i="38"/>
  <c r="F176" i="38"/>
  <c r="H175" i="38"/>
  <c r="F175" i="38"/>
  <c r="H173" i="38"/>
  <c r="F173" i="38"/>
  <c r="Q149" i="38"/>
  <c r="S149" i="38" s="1"/>
  <c r="C149" i="38"/>
  <c r="K149" i="38" s="1"/>
  <c r="Q148" i="38"/>
  <c r="S148" i="38" s="1"/>
  <c r="Q147" i="38"/>
  <c r="S147" i="38" s="1"/>
  <c r="C147" i="38"/>
  <c r="K147" i="38" s="1"/>
  <c r="U136" i="38"/>
  <c r="S136" i="38"/>
  <c r="M136" i="38"/>
  <c r="K136" i="38"/>
  <c r="I136" i="38"/>
  <c r="G136" i="38"/>
  <c r="E136" i="38"/>
  <c r="Q133" i="38"/>
  <c r="S133" i="38" s="1"/>
  <c r="C133" i="38"/>
  <c r="U133" i="38" s="1"/>
  <c r="Q132" i="38"/>
  <c r="S132" i="38" s="1"/>
  <c r="C132" i="38"/>
  <c r="U132" i="38" s="1"/>
  <c r="Q131" i="38"/>
  <c r="S131" i="38" s="1"/>
  <c r="C131" i="38"/>
  <c r="U131" i="38" s="1"/>
  <c r="C124" i="38"/>
  <c r="M124" i="38" s="1"/>
  <c r="C123" i="38"/>
  <c r="K123" i="38" s="1"/>
  <c r="J107" i="38"/>
  <c r="C107" i="38"/>
  <c r="I107" i="38" s="1"/>
  <c r="J106" i="38"/>
  <c r="C106" i="38"/>
  <c r="E106" i="38" s="1"/>
  <c r="J105" i="38"/>
  <c r="K105" i="38" s="1"/>
  <c r="J101" i="38"/>
  <c r="J100" i="38"/>
  <c r="Q91" i="38"/>
  <c r="Y91" i="38" s="1"/>
  <c r="C91" i="38"/>
  <c r="M91" i="38" s="1"/>
  <c r="Q90" i="38"/>
  <c r="W90" i="38" s="1"/>
  <c r="C90" i="38"/>
  <c r="G90" i="38" s="1"/>
  <c r="V89" i="38"/>
  <c r="T89" i="38"/>
  <c r="R89" i="38"/>
  <c r="C78" i="38"/>
  <c r="E78" i="38" s="1"/>
  <c r="C77" i="38"/>
  <c r="I77" i="38" s="1"/>
  <c r="M73" i="38"/>
  <c r="Q71" i="38"/>
  <c r="S71" i="38" s="1"/>
  <c r="Q70" i="38"/>
  <c r="S70" i="38" s="1"/>
  <c r="Q59" i="38"/>
  <c r="U59" i="38" s="1"/>
  <c r="C59" i="38"/>
  <c r="G59" i="38" s="1"/>
  <c r="Q58" i="38"/>
  <c r="U58" i="38" s="1"/>
  <c r="C58" i="38"/>
  <c r="E58" i="38" s="1"/>
  <c r="T57" i="38"/>
  <c r="R57" i="38"/>
  <c r="Q43" i="38"/>
  <c r="S43" i="38" s="1"/>
  <c r="C43" i="38"/>
  <c r="Q42" i="38"/>
  <c r="S42" i="38" s="1"/>
  <c r="C42" i="38"/>
  <c r="G42" i="38" s="1"/>
  <c r="Q41" i="38"/>
  <c r="U41" i="38" s="1"/>
  <c r="C28" i="38"/>
  <c r="E28" i="38" s="1"/>
  <c r="C18" i="38"/>
  <c r="C9" i="38"/>
  <c r="E9" i="38" s="1"/>
  <c r="B3" i="38"/>
  <c r="D74" i="37"/>
  <c r="C148" i="38" s="1"/>
  <c r="D73" i="37"/>
  <c r="D67" i="37"/>
  <c r="C75" i="38" s="1"/>
  <c r="I75" i="38" s="1"/>
  <c r="D64" i="37"/>
  <c r="C41" i="38" s="1"/>
  <c r="I41" i="38" s="1"/>
  <c r="D60" i="37"/>
  <c r="A60" i="37"/>
  <c r="A61" i="37" s="1"/>
  <c r="A62" i="37" s="1"/>
  <c r="A63" i="37" s="1"/>
  <c r="A64" i="37" s="1"/>
  <c r="A65" i="37" s="1"/>
  <c r="A66" i="37" s="1"/>
  <c r="A67" i="37" s="1"/>
  <c r="A71" i="37" s="1"/>
  <c r="A72" i="37" s="1"/>
  <c r="A73" i="37" s="1"/>
  <c r="A74" i="37" s="1"/>
  <c r="A75" i="37" s="1"/>
  <c r="A76" i="37" s="1"/>
  <c r="D51" i="37"/>
  <c r="D50" i="37"/>
  <c r="E50" i="37" s="1"/>
  <c r="D49" i="37"/>
  <c r="I49" i="37" s="1"/>
  <c r="D48" i="37"/>
  <c r="E48" i="37" s="1"/>
  <c r="D47" i="37"/>
  <c r="D46" i="37"/>
  <c r="E46" i="37" s="1"/>
  <c r="D45" i="37"/>
  <c r="E45" i="37" s="1"/>
  <c r="D44" i="37"/>
  <c r="E44" i="37" s="1"/>
  <c r="D43" i="37"/>
  <c r="E43" i="37" s="1"/>
  <c r="D42" i="37"/>
  <c r="E42" i="37" s="1"/>
  <c r="D41" i="37"/>
  <c r="D40" i="37"/>
  <c r="E40" i="37" s="1"/>
  <c r="D39" i="37"/>
  <c r="E39" i="37" s="1"/>
  <c r="D38" i="37"/>
  <c r="E38" i="37" s="1"/>
  <c r="D37" i="37"/>
  <c r="E37" i="37" s="1"/>
  <c r="D36" i="37"/>
  <c r="E36" i="37" s="1"/>
  <c r="D35" i="37"/>
  <c r="E35" i="37" s="1"/>
  <c r="D34" i="37"/>
  <c r="E34" i="37" s="1"/>
  <c r="D33" i="37"/>
  <c r="E33" i="37" s="1"/>
  <c r="D32" i="37"/>
  <c r="E32" i="37" s="1"/>
  <c r="D31" i="37"/>
  <c r="E31" i="37" s="1"/>
  <c r="D30" i="37"/>
  <c r="E30" i="37" s="1"/>
  <c r="D29" i="37"/>
  <c r="D28" i="37"/>
  <c r="E28" i="37" s="1"/>
  <c r="D27" i="37"/>
  <c r="E27" i="37" s="1"/>
  <c r="D26" i="37"/>
  <c r="E26" i="37" s="1"/>
  <c r="D25" i="37"/>
  <c r="D24" i="37"/>
  <c r="E24" i="37" s="1"/>
  <c r="D23" i="37"/>
  <c r="E23" i="37" s="1"/>
  <c r="D22" i="37"/>
  <c r="E22" i="37" s="1"/>
  <c r="D21" i="37"/>
  <c r="D20" i="37"/>
  <c r="E20" i="37" s="1"/>
  <c r="D19" i="37"/>
  <c r="E19" i="37" s="1"/>
  <c r="D17" i="37"/>
  <c r="E17" i="37" s="1"/>
  <c r="D16" i="37"/>
  <c r="E16" i="37" s="1"/>
  <c r="D15" i="37"/>
  <c r="D14" i="37"/>
  <c r="D13" i="37"/>
  <c r="E13" i="37" s="1"/>
  <c r="D12" i="37"/>
  <c r="E12" i="37" s="1"/>
  <c r="D11" i="37"/>
  <c r="D10" i="37"/>
  <c r="A10" i="37"/>
  <c r="A11" i="37" s="1"/>
  <c r="A12" i="37" s="1"/>
  <c r="A13" i="37" s="1"/>
  <c r="A14" i="37" s="1"/>
  <c r="A15" i="37" s="1"/>
  <c r="A16" i="37" s="1"/>
  <c r="A17"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D8" i="37"/>
  <c r="E8" i="37" s="1"/>
  <c r="A3" i="37"/>
  <c r="A55" i="37" s="1"/>
  <c r="I105" i="36"/>
  <c r="I90" i="36"/>
  <c r="I91" i="36" s="1"/>
  <c r="I89" i="36"/>
  <c r="I73" i="36"/>
  <c r="I66" i="36"/>
  <c r="I56" i="36"/>
  <c r="I59" i="36" s="1"/>
  <c r="F52" i="36"/>
  <c r="D52" i="36"/>
  <c r="F51" i="36"/>
  <c r="F50" i="36"/>
  <c r="D50" i="36"/>
  <c r="I45" i="36"/>
  <c r="I37" i="36"/>
  <c r="I36" i="36"/>
  <c r="I35" i="36"/>
  <c r="I34" i="36"/>
  <c r="I32" i="36"/>
  <c r="I31" i="36"/>
  <c r="I30" i="36"/>
  <c r="I28" i="36"/>
  <c r="I27" i="36"/>
  <c r="I26" i="36"/>
  <c r="B23" i="36"/>
  <c r="I22" i="36"/>
  <c r="I57" i="36" s="1"/>
  <c r="I21" i="36"/>
  <c r="I20" i="36"/>
  <c r="I19" i="36"/>
  <c r="I17" i="36"/>
  <c r="D15" i="36"/>
  <c r="I14" i="36"/>
  <c r="D57" i="39" s="1"/>
  <c r="H57" i="39" s="1"/>
  <c r="I13" i="36"/>
  <c r="D56" i="39" s="1"/>
  <c r="I12" i="36"/>
  <c r="D55" i="39" s="1"/>
  <c r="I11" i="36"/>
  <c r="C82" i="36" s="1"/>
  <c r="D9" i="36"/>
  <c r="D8" i="36"/>
  <c r="D3" i="36"/>
  <c r="L118" i="35"/>
  <c r="F111" i="35"/>
  <c r="F110" i="35"/>
  <c r="F109" i="35"/>
  <c r="F108" i="35"/>
  <c r="F107" i="35"/>
  <c r="F106" i="35"/>
  <c r="I58" i="31" s="1"/>
  <c r="J58" i="31" s="1"/>
  <c r="F105" i="35"/>
  <c r="I20" i="31" s="1"/>
  <c r="J20" i="31" s="1"/>
  <c r="F104" i="35"/>
  <c r="I111" i="31" s="1"/>
  <c r="J111" i="31" s="1"/>
  <c r="F103" i="35"/>
  <c r="I100" i="27" s="1"/>
  <c r="J100" i="27" s="1"/>
  <c r="F102" i="35"/>
  <c r="F101" i="35"/>
  <c r="F100" i="35"/>
  <c r="F99" i="35"/>
  <c r="I61" i="29" s="1"/>
  <c r="J61" i="29" s="1"/>
  <c r="A117" i="34"/>
  <c r="A118" i="34" s="1"/>
  <c r="A119" i="34" s="1"/>
  <c r="A120" i="34" s="1"/>
  <c r="A121" i="34" s="1"/>
  <c r="A122" i="34" s="1"/>
  <c r="A123" i="34" s="1"/>
  <c r="A124" i="34" s="1"/>
  <c r="A73" i="34"/>
  <c r="A74" i="34" s="1"/>
  <c r="A75" i="34" s="1"/>
  <c r="A76" i="34" s="1"/>
  <c r="A77" i="34" s="1"/>
  <c r="A78" i="34" s="1"/>
  <c r="A79" i="34" s="1"/>
  <c r="A80" i="34" s="1"/>
  <c r="A81" i="34" s="1"/>
  <c r="A82" i="34" s="1"/>
  <c r="A83" i="34" s="1"/>
  <c r="A84" i="34" s="1"/>
  <c r="A85" i="34" s="1"/>
  <c r="A86" i="34" s="1"/>
  <c r="A87" i="34" s="1"/>
  <c r="A88" i="34" s="1"/>
  <c r="A89" i="34" s="1"/>
  <c r="A90" i="34" s="1"/>
  <c r="A91" i="34" s="1"/>
  <c r="A92" i="34" s="1"/>
  <c r="A93" i="34" s="1"/>
  <c r="A94" i="34" s="1"/>
  <c r="A96" i="34" s="1"/>
  <c r="A97" i="34" s="1"/>
  <c r="A98" i="34" s="1"/>
  <c r="A99" i="34" s="1"/>
  <c r="A100" i="34" s="1"/>
  <c r="A101" i="34" s="1"/>
  <c r="A102" i="34" s="1"/>
  <c r="A103" i="34" s="1"/>
  <c r="A106" i="34" s="1"/>
  <c r="A107" i="34" s="1"/>
  <c r="A108" i="34" s="1"/>
  <c r="A109" i="34" s="1"/>
  <c r="A110" i="34" s="1"/>
  <c r="A111" i="34" s="1"/>
  <c r="A112" i="34" s="1"/>
  <c r="A113" i="34" s="1"/>
  <c r="A63" i="34"/>
  <c r="A64" i="34" s="1"/>
  <c r="A65" i="34" s="1"/>
  <c r="A66" i="34" s="1"/>
  <c r="A67" i="34" s="1"/>
  <c r="A68" i="34" s="1"/>
  <c r="A69" i="34" s="1"/>
  <c r="A70" i="34" s="1"/>
  <c r="A71" i="34" s="1"/>
  <c r="C42" i="34"/>
  <c r="G29" i="36" s="1"/>
  <c r="G33" i="36" s="1"/>
  <c r="P17" i="34"/>
  <c r="N17" i="34"/>
  <c r="M17" i="34"/>
  <c r="L13" i="34"/>
  <c r="H38" i="33"/>
  <c r="F38" i="33"/>
  <c r="A38" i="33"/>
  <c r="H37" i="33"/>
  <c r="F37" i="33"/>
  <c r="H36" i="33"/>
  <c r="F36" i="33"/>
  <c r="H35" i="33"/>
  <c r="F35" i="33"/>
  <c r="A35" i="33"/>
  <c r="A36" i="33" s="1"/>
  <c r="H34" i="33"/>
  <c r="F34" i="33"/>
  <c r="H33" i="33"/>
  <c r="F33" i="33"/>
  <c r="H32" i="33"/>
  <c r="F32" i="33"/>
  <c r="A32" i="33"/>
  <c r="A33" i="33" s="1"/>
  <c r="H31" i="33"/>
  <c r="F31" i="33"/>
  <c r="H30" i="33"/>
  <c r="F30" i="33"/>
  <c r="H29" i="33"/>
  <c r="F29" i="33"/>
  <c r="A29" i="33"/>
  <c r="A30" i="33" s="1"/>
  <c r="H28" i="33"/>
  <c r="F28" i="33"/>
  <c r="H27" i="33"/>
  <c r="F27" i="33"/>
  <c r="H26" i="33"/>
  <c r="F26" i="33"/>
  <c r="A26" i="33"/>
  <c r="A27" i="33" s="1"/>
  <c r="H25" i="33"/>
  <c r="F25" i="33"/>
  <c r="H24" i="33"/>
  <c r="F24" i="33"/>
  <c r="H23" i="33"/>
  <c r="F23" i="33"/>
  <c r="A23" i="33"/>
  <c r="A24" i="33" s="1"/>
  <c r="H22" i="33"/>
  <c r="F22" i="33"/>
  <c r="H21" i="33"/>
  <c r="F21" i="33"/>
  <c r="H20" i="33"/>
  <c r="F20" i="33"/>
  <c r="A20" i="33"/>
  <c r="A21" i="33" s="1"/>
  <c r="H19" i="33"/>
  <c r="F19" i="33"/>
  <c r="H18" i="33"/>
  <c r="F18" i="33"/>
  <c r="H17" i="33"/>
  <c r="F17" i="33"/>
  <c r="A17" i="33"/>
  <c r="A18" i="33" s="1"/>
  <c r="H16" i="33"/>
  <c r="F16" i="33"/>
  <c r="H15" i="33"/>
  <c r="F15" i="33"/>
  <c r="H14" i="33"/>
  <c r="F14" i="33"/>
  <c r="A14" i="33"/>
  <c r="A15" i="33" s="1"/>
  <c r="H13" i="33"/>
  <c r="F13" i="33"/>
  <c r="H12" i="33"/>
  <c r="F12" i="33"/>
  <c r="H11" i="33"/>
  <c r="F11" i="33"/>
  <c r="A11" i="33"/>
  <c r="A12" i="33" s="1"/>
  <c r="H10" i="33"/>
  <c r="F10" i="33"/>
  <c r="H9" i="33"/>
  <c r="F9" i="33"/>
  <c r="H8" i="33"/>
  <c r="F8" i="33"/>
  <c r="A8" i="33"/>
  <c r="A9" i="33" s="1"/>
  <c r="H7" i="33"/>
  <c r="F7" i="33"/>
  <c r="Y124" i="32"/>
  <c r="AC124" i="32" s="1"/>
  <c r="Y123" i="32"/>
  <c r="AC123" i="32" s="1"/>
  <c r="Y122" i="32"/>
  <c r="Y121" i="32"/>
  <c r="AA121" i="32" s="1"/>
  <c r="Y120" i="32"/>
  <c r="AC120" i="32" s="1"/>
  <c r="Y119" i="32"/>
  <c r="AC119" i="32" s="1"/>
  <c r="Y118" i="32"/>
  <c r="AC118" i="32" s="1"/>
  <c r="Y117" i="32"/>
  <c r="AC117" i="32" s="1"/>
  <c r="Y116" i="32"/>
  <c r="AC116" i="32" s="1"/>
  <c r="Y115" i="32"/>
  <c r="AC115" i="32" s="1"/>
  <c r="Y114" i="32"/>
  <c r="Y113" i="32"/>
  <c r="AA113" i="32" s="1"/>
  <c r="Y112" i="32"/>
  <c r="AA112" i="32" s="1"/>
  <c r="Y111" i="32"/>
  <c r="AC111" i="32" s="1"/>
  <c r="Y110" i="32"/>
  <c r="AC110" i="32" s="1"/>
  <c r="Y109" i="32"/>
  <c r="AA109" i="32" s="1"/>
  <c r="Y108" i="32"/>
  <c r="AC108" i="32" s="1"/>
  <c r="Y107" i="32"/>
  <c r="AC107" i="32" s="1"/>
  <c r="Y106" i="32"/>
  <c r="Y105" i="32"/>
  <c r="AA105" i="32" s="1"/>
  <c r="Y104" i="32"/>
  <c r="AC104" i="32" s="1"/>
  <c r="Y103" i="32"/>
  <c r="AC103" i="32" s="1"/>
  <c r="Y102" i="32"/>
  <c r="AC102" i="32" s="1"/>
  <c r="Y101" i="32"/>
  <c r="AC101" i="32" s="1"/>
  <c r="Y100" i="32"/>
  <c r="AC100" i="32" s="1"/>
  <c r="Y99" i="32"/>
  <c r="AC99" i="32" s="1"/>
  <c r="Y98" i="32"/>
  <c r="Y97" i="32"/>
  <c r="AA97" i="32" s="1"/>
  <c r="Y96" i="32"/>
  <c r="AA96" i="32" s="1"/>
  <c r="Y95" i="32"/>
  <c r="AC95" i="32" s="1"/>
  <c r="Y94" i="32"/>
  <c r="AC94" i="32" s="1"/>
  <c r="Y93" i="32"/>
  <c r="AC93" i="32" s="1"/>
  <c r="Y92" i="32"/>
  <c r="AC92" i="32" s="1"/>
  <c r="Y91" i="32"/>
  <c r="AC91" i="32" s="1"/>
  <c r="Y90" i="32"/>
  <c r="Y89" i="32"/>
  <c r="AA89" i="32" s="1"/>
  <c r="Y88" i="32"/>
  <c r="AC88" i="32" s="1"/>
  <c r="Y87" i="32"/>
  <c r="AC87" i="32" s="1"/>
  <c r="Y86" i="32"/>
  <c r="AC86" i="32" s="1"/>
  <c r="Y85" i="32"/>
  <c r="AA85" i="32" s="1"/>
  <c r="Y84" i="32"/>
  <c r="AA84" i="32" s="1"/>
  <c r="Y83" i="32"/>
  <c r="AC83" i="32" s="1"/>
  <c r="Y82" i="32"/>
  <c r="Y81" i="32"/>
  <c r="AA81" i="32" s="1"/>
  <c r="Y80" i="32"/>
  <c r="AC80" i="32" s="1"/>
  <c r="Y79" i="32"/>
  <c r="AC79" i="32" s="1"/>
  <c r="Y78" i="32"/>
  <c r="AC78" i="32" s="1"/>
  <c r="Y77" i="32"/>
  <c r="AC77" i="32" s="1"/>
  <c r="Y76" i="32"/>
  <c r="AC76" i="32" s="1"/>
  <c r="Y75" i="32"/>
  <c r="AC75" i="32" s="1"/>
  <c r="Y74" i="32"/>
  <c r="Y73" i="32"/>
  <c r="AA73" i="32" s="1"/>
  <c r="Y72" i="32"/>
  <c r="AA72" i="32" s="1"/>
  <c r="Y71" i="32"/>
  <c r="AC71" i="32" s="1"/>
  <c r="Y70" i="32"/>
  <c r="AA70" i="32" s="1"/>
  <c r="Y69" i="32"/>
  <c r="AC69" i="32" s="1"/>
  <c r="Y68" i="32"/>
  <c r="AC68" i="32" s="1"/>
  <c r="Y67" i="32"/>
  <c r="AC67" i="32" s="1"/>
  <c r="Y66" i="32"/>
  <c r="Y65" i="32"/>
  <c r="AA65" i="32" s="1"/>
  <c r="Y64" i="32"/>
  <c r="AC64" i="32" s="1"/>
  <c r="Y63" i="32"/>
  <c r="AC63" i="32" s="1"/>
  <c r="Y62" i="32"/>
  <c r="AA62" i="32" s="1"/>
  <c r="Y61" i="32"/>
  <c r="AC61" i="32" s="1"/>
  <c r="Y60" i="32"/>
  <c r="AC60" i="32" s="1"/>
  <c r="Y59" i="32"/>
  <c r="AC59" i="32" s="1"/>
  <c r="Y58" i="32"/>
  <c r="Y57" i="32"/>
  <c r="AA57" i="32" s="1"/>
  <c r="Y56" i="32"/>
  <c r="AA56" i="32" s="1"/>
  <c r="Y55" i="32"/>
  <c r="AC55" i="32" s="1"/>
  <c r="Y54" i="32"/>
  <c r="AA54" i="32" s="1"/>
  <c r="Y53" i="32"/>
  <c r="AA53" i="32" s="1"/>
  <c r="Y52" i="32"/>
  <c r="AA52" i="32" s="1"/>
  <c r="Y51" i="32"/>
  <c r="AC51" i="32" s="1"/>
  <c r="Y50" i="32"/>
  <c r="Y49" i="32"/>
  <c r="AA49" i="32" s="1"/>
  <c r="Y48" i="32"/>
  <c r="AC48" i="32" s="1"/>
  <c r="Y47" i="32"/>
  <c r="AC47" i="32" s="1"/>
  <c r="Y46" i="32"/>
  <c r="AA46" i="32" s="1"/>
  <c r="Y45" i="32"/>
  <c r="AA45" i="32" s="1"/>
  <c r="Y44" i="32"/>
  <c r="AC44" i="32" s="1"/>
  <c r="Y43" i="32"/>
  <c r="AC43" i="32" s="1"/>
  <c r="Y42" i="32"/>
  <c r="Y41" i="32"/>
  <c r="AA41" i="32" s="1"/>
  <c r="Y40" i="32"/>
  <c r="AC40" i="32" s="1"/>
  <c r="Y39" i="32"/>
  <c r="AC39" i="32" s="1"/>
  <c r="Y38" i="32"/>
  <c r="AA38" i="32" s="1"/>
  <c r="Y37" i="32"/>
  <c r="AC37" i="32" s="1"/>
  <c r="Y36" i="32"/>
  <c r="AC36" i="32" s="1"/>
  <c r="Y35" i="32"/>
  <c r="AC35" i="32" s="1"/>
  <c r="Y34" i="32"/>
  <c r="Y33" i="32"/>
  <c r="AA33" i="32" s="1"/>
  <c r="Y32" i="32"/>
  <c r="AA32" i="32" s="1"/>
  <c r="Y31" i="32"/>
  <c r="AC31" i="32" s="1"/>
  <c r="Y30" i="32"/>
  <c r="AA30" i="32" s="1"/>
  <c r="Y29" i="32"/>
  <c r="AC29" i="32" s="1"/>
  <c r="Y28" i="32"/>
  <c r="AA28" i="32" s="1"/>
  <c r="Y27" i="32"/>
  <c r="AC27" i="32" s="1"/>
  <c r="Y26" i="32"/>
  <c r="Y25" i="32"/>
  <c r="AA25" i="32" s="1"/>
  <c r="Y24" i="32"/>
  <c r="AC24" i="32" s="1"/>
  <c r="Y23" i="32"/>
  <c r="AC23" i="32" s="1"/>
  <c r="Y22" i="32"/>
  <c r="AA22" i="32" s="1"/>
  <c r="Y21" i="32"/>
  <c r="AA21" i="32" s="1"/>
  <c r="Y20" i="32"/>
  <c r="AA20" i="32" s="1"/>
  <c r="Y19" i="32"/>
  <c r="AC19" i="32" s="1"/>
  <c r="Y18" i="32"/>
  <c r="Y17" i="32"/>
  <c r="AA17" i="32" s="1"/>
  <c r="Y16" i="32"/>
  <c r="AC16" i="32" s="1"/>
  <c r="Y15" i="32"/>
  <c r="AC15" i="32" s="1"/>
  <c r="Y14" i="32"/>
  <c r="AA14" i="32" s="1"/>
  <c r="Y13" i="32"/>
  <c r="AC13" i="32" s="1"/>
  <c r="Y12" i="32"/>
  <c r="AC12" i="32" s="1"/>
  <c r="Y11" i="32"/>
  <c r="AC11" i="32" s="1"/>
  <c r="Y10" i="32"/>
  <c r="Y9" i="32"/>
  <c r="AA9" i="32" s="1"/>
  <c r="Y8" i="32"/>
  <c r="AA8" i="32" s="1"/>
  <c r="Y7" i="32"/>
  <c r="AC7" i="32" s="1"/>
  <c r="O5" i="32"/>
  <c r="N5" i="32"/>
  <c r="M5" i="32"/>
  <c r="L5" i="32"/>
  <c r="C1" i="32"/>
  <c r="I113" i="31"/>
  <c r="F103" i="31"/>
  <c r="F102" i="31"/>
  <c r="E101" i="31"/>
  <c r="D103" i="31" s="1"/>
  <c r="D101" i="31"/>
  <c r="D102" i="31" s="1"/>
  <c r="G97" i="31"/>
  <c r="E90" i="31"/>
  <c r="D90" i="31"/>
  <c r="G87" i="31"/>
  <c r="F86" i="31"/>
  <c r="D86" i="31"/>
  <c r="G83" i="31"/>
  <c r="E81" i="31"/>
  <c r="C96" i="31" s="1"/>
  <c r="D81" i="31"/>
  <c r="C95" i="31" s="1"/>
  <c r="G80" i="31"/>
  <c r="E79" i="31"/>
  <c r="D79" i="31"/>
  <c r="E77" i="31"/>
  <c r="D77" i="31"/>
  <c r="F75" i="31"/>
  <c r="E75" i="31"/>
  <c r="D75" i="31"/>
  <c r="G73" i="31"/>
  <c r="I61" i="31"/>
  <c r="G54" i="31"/>
  <c r="F53" i="31"/>
  <c r="E52" i="31"/>
  <c r="D52" i="31"/>
  <c r="G49" i="31"/>
  <c r="G43" i="31"/>
  <c r="F42" i="31"/>
  <c r="G42" i="31" s="1"/>
  <c r="D38" i="31"/>
  <c r="G38" i="31" s="1"/>
  <c r="E36" i="31"/>
  <c r="E41" i="31" s="1"/>
  <c r="D47" i="31" s="1"/>
  <c r="D36" i="31"/>
  <c r="D41" i="31" s="1"/>
  <c r="E34" i="31"/>
  <c r="D34" i="31"/>
  <c r="G31" i="31"/>
  <c r="A27" i="31"/>
  <c r="I23" i="31"/>
  <c r="G17" i="31"/>
  <c r="G16" i="31"/>
  <c r="G14" i="31"/>
  <c r="G13" i="31"/>
  <c r="G12" i="31"/>
  <c r="G10" i="31"/>
  <c r="G8" i="31"/>
  <c r="G6" i="31"/>
  <c r="G4" i="31"/>
  <c r="J307" i="30"/>
  <c r="D302" i="30"/>
  <c r="H302" i="30" s="1"/>
  <c r="K300" i="30"/>
  <c r="H281" i="30"/>
  <c r="H280" i="30"/>
  <c r="H271" i="30"/>
  <c r="J260" i="30"/>
  <c r="H254" i="30"/>
  <c r="H248" i="30"/>
  <c r="H247" i="30"/>
  <c r="H246" i="30"/>
  <c r="H243" i="30"/>
  <c r="H242" i="30"/>
  <c r="H241" i="30"/>
  <c r="G238" i="30"/>
  <c r="H235" i="30"/>
  <c r="H234" i="30"/>
  <c r="H232" i="30"/>
  <c r="H231" i="30"/>
  <c r="H229" i="30"/>
  <c r="H226" i="30"/>
  <c r="H223" i="30"/>
  <c r="I221" i="30"/>
  <c r="H214" i="30"/>
  <c r="C210" i="30"/>
  <c r="H209" i="30"/>
  <c r="G215" i="30" s="1"/>
  <c r="G219" i="30" s="1"/>
  <c r="G220" i="30" s="1"/>
  <c r="C209" i="30"/>
  <c r="D251" i="30" s="1"/>
  <c r="J204" i="30"/>
  <c r="D199" i="30"/>
  <c r="H199" i="30" s="1"/>
  <c r="K197" i="30"/>
  <c r="H178" i="30"/>
  <c r="H177" i="30"/>
  <c r="H168" i="30"/>
  <c r="J157" i="30"/>
  <c r="H151" i="30"/>
  <c r="H145" i="30"/>
  <c r="H144" i="30"/>
  <c r="H143" i="30"/>
  <c r="H140" i="30"/>
  <c r="H139" i="30"/>
  <c r="H138" i="30"/>
  <c r="G135" i="30"/>
  <c r="H132" i="30"/>
  <c r="H131" i="30"/>
  <c r="H129" i="30"/>
  <c r="H128" i="30"/>
  <c r="H126" i="30"/>
  <c r="H123" i="30"/>
  <c r="H120" i="30"/>
  <c r="I118" i="30"/>
  <c r="H111" i="30"/>
  <c r="C107" i="30"/>
  <c r="G149" i="30" s="1"/>
  <c r="G166" i="30" s="1"/>
  <c r="H106" i="30"/>
  <c r="G148" i="30" s="1"/>
  <c r="G165" i="30" s="1"/>
  <c r="C106" i="30"/>
  <c r="D186" i="30" s="1"/>
  <c r="J102" i="30"/>
  <c r="D97" i="30"/>
  <c r="H97" i="30" s="1"/>
  <c r="K95" i="30"/>
  <c r="H76" i="30"/>
  <c r="H75" i="30"/>
  <c r="H66" i="30"/>
  <c r="J55" i="30"/>
  <c r="H49" i="30"/>
  <c r="H43" i="30"/>
  <c r="H42" i="30"/>
  <c r="H41" i="30"/>
  <c r="H38" i="30"/>
  <c r="H37" i="30"/>
  <c r="H36" i="30"/>
  <c r="G32" i="30"/>
  <c r="H29" i="30"/>
  <c r="H28" i="30"/>
  <c r="H26" i="30"/>
  <c r="H25" i="30"/>
  <c r="H23" i="30"/>
  <c r="H20" i="30"/>
  <c r="H17" i="30"/>
  <c r="I15" i="30"/>
  <c r="H8" i="30"/>
  <c r="G4" i="30"/>
  <c r="C4" i="30"/>
  <c r="G47" i="30" s="1"/>
  <c r="G64" i="30" s="1"/>
  <c r="H3" i="30"/>
  <c r="G46" i="30" s="1"/>
  <c r="G63" i="30" s="1"/>
  <c r="C3" i="30"/>
  <c r="E71" i="30" s="1"/>
  <c r="A2" i="30"/>
  <c r="I63" i="29"/>
  <c r="G56" i="29"/>
  <c r="D49" i="29"/>
  <c r="D53" i="29" s="1"/>
  <c r="E48" i="29"/>
  <c r="D48" i="29"/>
  <c r="F47" i="29"/>
  <c r="D47" i="29"/>
  <c r="F46" i="29"/>
  <c r="F49" i="29" s="1"/>
  <c r="D46" i="29"/>
  <c r="F43" i="29"/>
  <c r="D43" i="29"/>
  <c r="E42" i="29"/>
  <c r="D42" i="29"/>
  <c r="F41" i="29"/>
  <c r="G41" i="29" s="1"/>
  <c r="F40" i="29"/>
  <c r="D40" i="29"/>
  <c r="G37" i="29"/>
  <c r="D36" i="29"/>
  <c r="C36" i="29"/>
  <c r="D35" i="29"/>
  <c r="C35" i="29"/>
  <c r="G31" i="29"/>
  <c r="G29" i="29"/>
  <c r="F28" i="29"/>
  <c r="E28" i="29"/>
  <c r="D28" i="29"/>
  <c r="C28" i="29"/>
  <c r="F26" i="29"/>
  <c r="D26" i="29"/>
  <c r="F25" i="29"/>
  <c r="D25" i="29"/>
  <c r="G22" i="29"/>
  <c r="E20" i="29"/>
  <c r="D20" i="29"/>
  <c r="G19" i="29"/>
  <c r="G18" i="29"/>
  <c r="D17" i="29"/>
  <c r="G17" i="29" s="1"/>
  <c r="E16" i="29"/>
  <c r="D16" i="29"/>
  <c r="D15" i="29"/>
  <c r="G15" i="29" s="1"/>
  <c r="G12" i="29"/>
  <c r="G11" i="29"/>
  <c r="E10" i="29"/>
  <c r="D10" i="29"/>
  <c r="D9" i="29"/>
  <c r="G9" i="29" s="1"/>
  <c r="G7" i="29"/>
  <c r="A5" i="29"/>
  <c r="I20" i="28"/>
  <c r="C20" i="28"/>
  <c r="G20" i="28" s="1"/>
  <c r="I19" i="28"/>
  <c r="C19" i="28"/>
  <c r="G19" i="28" s="1"/>
  <c r="C18" i="28"/>
  <c r="G18" i="28" s="1"/>
  <c r="J18" i="28" s="1"/>
  <c r="I17" i="28"/>
  <c r="C17" i="28"/>
  <c r="G17" i="28" s="1"/>
  <c r="I16" i="28"/>
  <c r="C16" i="28"/>
  <c r="G16" i="28" s="1"/>
  <c r="I15" i="28"/>
  <c r="C15" i="28"/>
  <c r="G15" i="28" s="1"/>
  <c r="C14" i="28"/>
  <c r="G14" i="28" s="1"/>
  <c r="J14" i="28" s="1"/>
  <c r="I13" i="28"/>
  <c r="C13" i="28"/>
  <c r="G13" i="28" s="1"/>
  <c r="C8" i="28"/>
  <c r="C9" i="28" s="1"/>
  <c r="G9" i="28" s="1"/>
  <c r="G98" i="27"/>
  <c r="F91" i="27"/>
  <c r="F90" i="27"/>
  <c r="F89" i="27"/>
  <c r="E88" i="27"/>
  <c r="D90" i="27" s="1"/>
  <c r="D91" i="27" s="1"/>
  <c r="D88" i="27"/>
  <c r="G84" i="27"/>
  <c r="F78" i="27"/>
  <c r="E77" i="27"/>
  <c r="D77" i="27"/>
  <c r="F74" i="27"/>
  <c r="D74" i="27"/>
  <c r="F73" i="27"/>
  <c r="D73" i="27"/>
  <c r="G70" i="27"/>
  <c r="E68" i="27"/>
  <c r="D68" i="27"/>
  <c r="G67" i="27"/>
  <c r="E66" i="27"/>
  <c r="D66" i="27"/>
  <c r="E64" i="27"/>
  <c r="D64" i="27"/>
  <c r="F63" i="27"/>
  <c r="E63" i="27"/>
  <c r="D63" i="27"/>
  <c r="D83" i="27" s="1"/>
  <c r="G61" i="27"/>
  <c r="I51" i="27"/>
  <c r="J49" i="27"/>
  <c r="G47" i="27"/>
  <c r="E40" i="27"/>
  <c r="F39" i="27"/>
  <c r="F38" i="27"/>
  <c r="F37" i="27"/>
  <c r="E36" i="27"/>
  <c r="D36" i="27"/>
  <c r="D37" i="27" s="1"/>
  <c r="F27" i="27"/>
  <c r="E26" i="27"/>
  <c r="D26" i="27"/>
  <c r="F23" i="27"/>
  <c r="E23" i="27"/>
  <c r="D23" i="27"/>
  <c r="C23" i="27"/>
  <c r="D22" i="27"/>
  <c r="G22" i="27" s="1"/>
  <c r="F21" i="27"/>
  <c r="D21" i="27"/>
  <c r="G18" i="27"/>
  <c r="E16" i="27"/>
  <c r="D16" i="27"/>
  <c r="E15" i="27"/>
  <c r="D15" i="27"/>
  <c r="G14" i="27"/>
  <c r="E13" i="27"/>
  <c r="D13" i="27"/>
  <c r="E11" i="27"/>
  <c r="D11" i="27"/>
  <c r="F9" i="27"/>
  <c r="E9" i="27"/>
  <c r="D9" i="27"/>
  <c r="D32" i="27" s="1"/>
  <c r="G7" i="27"/>
  <c r="A2" i="27"/>
  <c r="G96" i="26"/>
  <c r="G94" i="26"/>
  <c r="G91" i="26"/>
  <c r="G90" i="26"/>
  <c r="G89" i="26"/>
  <c r="G87" i="26"/>
  <c r="G85" i="26"/>
  <c r="G83" i="26"/>
  <c r="C72" i="26"/>
  <c r="G72" i="26" s="1"/>
  <c r="C69" i="26"/>
  <c r="G69" i="26" s="1"/>
  <c r="C67" i="26"/>
  <c r="G67" i="26" s="1"/>
  <c r="C66" i="26"/>
  <c r="G66" i="26" s="1"/>
  <c r="C64" i="26"/>
  <c r="G64" i="26" s="1"/>
  <c r="C61" i="26"/>
  <c r="G61" i="26" s="1"/>
  <c r="D60" i="26"/>
  <c r="G60" i="26" s="1"/>
  <c r="C57" i="26"/>
  <c r="G57" i="26" s="1"/>
  <c r="C56" i="26"/>
  <c r="G56" i="26" s="1"/>
  <c r="C53" i="26"/>
  <c r="G53" i="26" s="1"/>
  <c r="C51" i="26"/>
  <c r="G51" i="26" s="1"/>
  <c r="A46" i="26"/>
  <c r="G41" i="26"/>
  <c r="G38" i="26"/>
  <c r="G37" i="26"/>
  <c r="G35" i="26"/>
  <c r="G34" i="26"/>
  <c r="G32" i="26"/>
  <c r="G31" i="26"/>
  <c r="G30" i="26"/>
  <c r="G28" i="26"/>
  <c r="G27" i="26"/>
  <c r="C15" i="26"/>
  <c r="G15" i="26" s="1"/>
  <c r="D12" i="26"/>
  <c r="C12" i="26"/>
  <c r="D11" i="26"/>
  <c r="G11" i="26" s="1"/>
  <c r="C9" i="26"/>
  <c r="G9" i="26" s="1"/>
  <c r="C8" i="26"/>
  <c r="G8" i="26" s="1"/>
  <c r="C7" i="26"/>
  <c r="G7" i="26" s="1"/>
  <c r="A2" i="26"/>
  <c r="B55" i="25"/>
  <c r="B46" i="25"/>
  <c r="N38" i="25"/>
  <c r="P38" i="25" s="1"/>
  <c r="M38" i="25"/>
  <c r="N37" i="25"/>
  <c r="P37" i="25" s="1"/>
  <c r="M37" i="25"/>
  <c r="N36" i="25"/>
  <c r="P36" i="25" s="1"/>
  <c r="M36" i="25"/>
  <c r="O36" i="25" s="1"/>
  <c r="N35" i="25"/>
  <c r="M35" i="25"/>
  <c r="O35" i="25" s="1"/>
  <c r="N34" i="25"/>
  <c r="P34" i="25" s="1"/>
  <c r="M34" i="25"/>
  <c r="H30" i="25"/>
  <c r="N33" i="25"/>
  <c r="P33" i="25" s="1"/>
  <c r="M33" i="25"/>
  <c r="N32" i="25"/>
  <c r="P32" i="25" s="1"/>
  <c r="M32" i="25"/>
  <c r="N31" i="25"/>
  <c r="P31" i="25" s="1"/>
  <c r="M31" i="25"/>
  <c r="O31" i="25" s="1"/>
  <c r="N30" i="25"/>
  <c r="P30" i="25" s="1"/>
  <c r="M30" i="25"/>
  <c r="O30" i="25" s="1"/>
  <c r="N29" i="25"/>
  <c r="P29" i="25" s="1"/>
  <c r="M29" i="25"/>
  <c r="O29" i="25" s="1"/>
  <c r="N28" i="25"/>
  <c r="P28" i="25" s="1"/>
  <c r="C30" i="25" s="1"/>
  <c r="M28" i="25"/>
  <c r="N27" i="25"/>
  <c r="P27" i="25" s="1"/>
  <c r="M27" i="25"/>
  <c r="B23" i="25"/>
  <c r="N26" i="25"/>
  <c r="P26" i="25" s="1"/>
  <c r="M26" i="25"/>
  <c r="N25" i="25"/>
  <c r="P25" i="25" s="1"/>
  <c r="M25" i="25"/>
  <c r="N24" i="25"/>
  <c r="M24" i="25"/>
  <c r="O24" i="25" s="1"/>
  <c r="N23" i="25"/>
  <c r="P23" i="25" s="1"/>
  <c r="M23" i="25"/>
  <c r="O23" i="25" s="1"/>
  <c r="N22" i="25"/>
  <c r="P22" i="25" s="1"/>
  <c r="M22" i="25"/>
  <c r="N21" i="25"/>
  <c r="P21" i="25" s="1"/>
  <c r="M21" i="25"/>
  <c r="N20" i="25"/>
  <c r="P20" i="25" s="1"/>
  <c r="M20" i="25"/>
  <c r="O20" i="25" s="1"/>
  <c r="N14" i="25"/>
  <c r="P14" i="25" s="1"/>
  <c r="M14" i="25"/>
  <c r="O14" i="25" s="1"/>
  <c r="L14" i="25"/>
  <c r="N13" i="25"/>
  <c r="P13" i="25" s="1"/>
  <c r="M13" i="25"/>
  <c r="O13" i="25" s="1"/>
  <c r="L13" i="25"/>
  <c r="N12" i="25"/>
  <c r="P12" i="25" s="1"/>
  <c r="M12" i="25"/>
  <c r="O12" i="25" s="1"/>
  <c r="L12" i="25"/>
  <c r="N11" i="25"/>
  <c r="P11" i="25" s="1"/>
  <c r="M11" i="25"/>
  <c r="O11" i="25" s="1"/>
  <c r="L11" i="25"/>
  <c r="N10" i="25"/>
  <c r="P10" i="25" s="1"/>
  <c r="M10" i="25"/>
  <c r="O10" i="25" s="1"/>
  <c r="L10" i="25"/>
  <c r="N9" i="25"/>
  <c r="M9" i="25"/>
  <c r="L9" i="25"/>
  <c r="J1" i="25"/>
  <c r="E86" i="24"/>
  <c r="D86" i="24"/>
  <c r="C86" i="24"/>
  <c r="B86" i="24"/>
  <c r="D85" i="24"/>
  <c r="C85" i="24"/>
  <c r="B85" i="24"/>
  <c r="D84" i="24"/>
  <c r="C84" i="24"/>
  <c r="B84" i="24"/>
  <c r="D83" i="24"/>
  <c r="C83" i="24"/>
  <c r="B83" i="24"/>
  <c r="D82" i="24"/>
  <c r="C82" i="24"/>
  <c r="B82" i="24"/>
  <c r="D81" i="24"/>
  <c r="C81" i="24"/>
  <c r="B81" i="24"/>
  <c r="E77" i="24"/>
  <c r="D77" i="24"/>
  <c r="C77" i="24"/>
  <c r="B77" i="24"/>
  <c r="E76" i="24"/>
  <c r="D76" i="24"/>
  <c r="C76" i="24"/>
  <c r="B76" i="24"/>
  <c r="D75" i="24"/>
  <c r="C75" i="24"/>
  <c r="B75" i="24"/>
  <c r="D74" i="24"/>
  <c r="C74" i="24"/>
  <c r="B74" i="24"/>
  <c r="D73" i="24"/>
  <c r="C73" i="24"/>
  <c r="B73" i="24"/>
  <c r="D72" i="24"/>
  <c r="C72" i="24"/>
  <c r="B72" i="24"/>
  <c r="D71" i="24"/>
  <c r="C71" i="24"/>
  <c r="B71" i="24"/>
  <c r="D70" i="24"/>
  <c r="C70" i="24"/>
  <c r="B70" i="24"/>
  <c r="D69" i="24"/>
  <c r="C69" i="24"/>
  <c r="B69" i="24"/>
  <c r="D68" i="24"/>
  <c r="C68" i="24"/>
  <c r="B68" i="24"/>
  <c r="D67" i="24"/>
  <c r="C67" i="24"/>
  <c r="B67" i="24"/>
  <c r="D66" i="24"/>
  <c r="C66" i="24"/>
  <c r="B66" i="24"/>
  <c r="D65" i="24"/>
  <c r="C65" i="24"/>
  <c r="B65" i="24"/>
  <c r="D64" i="24"/>
  <c r="C64" i="24"/>
  <c r="B64" i="24"/>
  <c r="D63" i="24"/>
  <c r="C63" i="24"/>
  <c r="B63" i="24"/>
  <c r="D62" i="24"/>
  <c r="C62" i="24"/>
  <c r="B62" i="24"/>
  <c r="D61" i="24"/>
  <c r="C61" i="24"/>
  <c r="B61" i="24"/>
  <c r="D60" i="24"/>
  <c r="C60" i="24"/>
  <c r="B60" i="24"/>
  <c r="D59" i="24"/>
  <c r="C59" i="24"/>
  <c r="B59" i="24"/>
  <c r="D58" i="24"/>
  <c r="C58" i="24"/>
  <c r="B58" i="24"/>
  <c r="D57" i="24"/>
  <c r="C57" i="24"/>
  <c r="B57" i="24"/>
  <c r="F48" i="24"/>
  <c r="G41" i="24"/>
  <c r="F33" i="24"/>
  <c r="E21" i="24"/>
  <c r="E19" i="24"/>
  <c r="E18" i="24"/>
  <c r="E68" i="24" s="1"/>
  <c r="E17" i="24"/>
  <c r="E67" i="24" s="1"/>
  <c r="E16" i="24"/>
  <c r="E15" i="24"/>
  <c r="E14" i="24"/>
  <c r="E64" i="24" s="1"/>
  <c r="E13" i="24"/>
  <c r="E20" i="24"/>
  <c r="E12" i="24"/>
  <c r="E11" i="24"/>
  <c r="F18" i="24"/>
  <c r="E10" i="24"/>
  <c r="E60" i="24" s="1"/>
  <c r="E9" i="24"/>
  <c r="E59" i="24" s="1"/>
  <c r="F16" i="24"/>
  <c r="E8" i="24"/>
  <c r="E58" i="24" s="1"/>
  <c r="E7" i="24"/>
  <c r="F14" i="24"/>
  <c r="E40" i="24"/>
  <c r="E39" i="24"/>
  <c r="E38" i="24"/>
  <c r="E37" i="24"/>
  <c r="G37" i="24" s="1"/>
  <c r="F10" i="24"/>
  <c r="M8" i="24"/>
  <c r="M47" i="24" s="1"/>
  <c r="F7" i="24"/>
  <c r="G10" i="23"/>
  <c r="G9" i="23"/>
  <c r="G8" i="23"/>
  <c r="I54" i="22"/>
  <c r="I52" i="22"/>
  <c r="I51" i="22"/>
  <c r="H48" i="22"/>
  <c r="H45" i="22"/>
  <c r="J45" i="22" s="1"/>
  <c r="H44" i="22"/>
  <c r="J44" i="22" s="1"/>
  <c r="H43" i="22"/>
  <c r="J43" i="22" s="1"/>
  <c r="G38" i="22"/>
  <c r="I38" i="22" s="1"/>
  <c r="G37" i="22"/>
  <c r="I37" i="22" s="1"/>
  <c r="E37" i="22"/>
  <c r="J37" i="22" s="1"/>
  <c r="G36" i="22"/>
  <c r="I36" i="22" s="1"/>
  <c r="G35" i="22"/>
  <c r="I35" i="22" s="1"/>
  <c r="G34" i="22"/>
  <c r="I34" i="22" s="1"/>
  <c r="E34" i="22"/>
  <c r="H33" i="22"/>
  <c r="J33" i="22" s="1"/>
  <c r="G33" i="22"/>
  <c r="J17" i="22"/>
  <c r="G17" i="22"/>
  <c r="I17" i="22" s="1"/>
  <c r="E16" i="22"/>
  <c r="A16" i="22"/>
  <c r="G15" i="22"/>
  <c r="I15" i="22" s="1"/>
  <c r="F15" i="22"/>
  <c r="A41" i="21"/>
  <c r="A42" i="21" s="1"/>
  <c r="A45" i="21" s="1"/>
  <c r="E29" i="21"/>
  <c r="D29" i="21"/>
  <c r="A21" i="21"/>
  <c r="A22" i="21" s="1"/>
  <c r="A23" i="21" s="1"/>
  <c r="E15" i="21"/>
  <c r="D15" i="21"/>
  <c r="E13" i="21"/>
  <c r="E34" i="21" s="1"/>
  <c r="D13" i="21"/>
  <c r="D34" i="21" s="1"/>
  <c r="C4" i="21"/>
  <c r="F27" i="24" l="1"/>
  <c r="G27" i="24" s="1"/>
  <c r="F8" i="24"/>
  <c r="F20" i="24"/>
  <c r="F26" i="24"/>
  <c r="G26" i="24" s="1"/>
  <c r="F11" i="24"/>
  <c r="G11" i="24" s="1"/>
  <c r="F13" i="24"/>
  <c r="F15" i="24"/>
  <c r="F17" i="24"/>
  <c r="F19" i="24"/>
  <c r="G19" i="24" s="1"/>
  <c r="G77" i="27"/>
  <c r="F22" i="24"/>
  <c r="F24" i="24"/>
  <c r="F9" i="24"/>
  <c r="G9" i="24" s="1"/>
  <c r="F21" i="24"/>
  <c r="F23" i="24"/>
  <c r="F25" i="24"/>
  <c r="D41" i="27"/>
  <c r="G41" i="27" s="1"/>
  <c r="G45" i="27" s="1"/>
  <c r="G21" i="27"/>
  <c r="G68" i="27"/>
  <c r="G73" i="27"/>
  <c r="J20" i="28"/>
  <c r="G91" i="27"/>
  <c r="H282" i="30"/>
  <c r="I51" i="36"/>
  <c r="I52" i="36"/>
  <c r="G58" i="26"/>
  <c r="G147" i="38"/>
  <c r="G34" i="31"/>
  <c r="G52" i="31"/>
  <c r="G15" i="31"/>
  <c r="E149" i="38"/>
  <c r="J19" i="28"/>
  <c r="I180" i="38"/>
  <c r="G79" i="31"/>
  <c r="G102" i="31"/>
  <c r="AC20" i="32"/>
  <c r="AA92" i="32"/>
  <c r="J16" i="28"/>
  <c r="I9" i="38"/>
  <c r="I10" i="38" s="1"/>
  <c r="U71" i="38"/>
  <c r="K91" i="38"/>
  <c r="G107" i="38"/>
  <c r="G124" i="38"/>
  <c r="G43" i="29"/>
  <c r="AC41" i="32"/>
  <c r="AA44" i="32"/>
  <c r="AA93" i="32"/>
  <c r="G36" i="27"/>
  <c r="AC72" i="32"/>
  <c r="U42" i="38"/>
  <c r="U70" i="38"/>
  <c r="Y90" i="38"/>
  <c r="G11" i="27"/>
  <c r="G42" i="29"/>
  <c r="U43" i="38"/>
  <c r="W70" i="38"/>
  <c r="W71" i="38"/>
  <c r="E123" i="38"/>
  <c r="I147" i="38"/>
  <c r="H77" i="30"/>
  <c r="AC8" i="32"/>
  <c r="AC21" i="32"/>
  <c r="AA24" i="32"/>
  <c r="AC57" i="32"/>
  <c r="AA60" i="32"/>
  <c r="AA95" i="32"/>
  <c r="AA101" i="32"/>
  <c r="AC112" i="32"/>
  <c r="I123" i="38"/>
  <c r="G36" i="26"/>
  <c r="G47" i="29"/>
  <c r="G103" i="31"/>
  <c r="AA16" i="32"/>
  <c r="AC32" i="32"/>
  <c r="AC45" i="32"/>
  <c r="AA48" i="32"/>
  <c r="AA77" i="32"/>
  <c r="AA80" i="32"/>
  <c r="AA87" i="32"/>
  <c r="S90" i="38"/>
  <c r="E147" i="38"/>
  <c r="I149" i="38"/>
  <c r="H20" i="25"/>
  <c r="G16" i="27"/>
  <c r="J17" i="28"/>
  <c r="H30" i="30"/>
  <c r="G77" i="31"/>
  <c r="G86" i="31"/>
  <c r="G88" i="31" s="1"/>
  <c r="AC56" i="32"/>
  <c r="AA64" i="32"/>
  <c r="AC96" i="32"/>
  <c r="AA117" i="32"/>
  <c r="AA120" i="32"/>
  <c r="G13" i="27"/>
  <c r="H236" i="30"/>
  <c r="G36" i="31"/>
  <c r="AC28" i="32"/>
  <c r="AC109" i="32"/>
  <c r="M133" i="38"/>
  <c r="AI25" i="40"/>
  <c r="G12" i="26"/>
  <c r="G13" i="26" s="1"/>
  <c r="G16" i="29"/>
  <c r="G20" i="29"/>
  <c r="G9" i="30"/>
  <c r="G13" i="30" s="1"/>
  <c r="G14" i="30" s="1"/>
  <c r="H133" i="30"/>
  <c r="H146" i="30"/>
  <c r="AC53" i="32"/>
  <c r="AC84" i="32"/>
  <c r="S41" i="38"/>
  <c r="G58" i="38"/>
  <c r="I106" i="38"/>
  <c r="E131" i="38"/>
  <c r="E133" i="38"/>
  <c r="W25" i="40"/>
  <c r="G70" i="26"/>
  <c r="G28" i="38"/>
  <c r="G29" i="38" s="1"/>
  <c r="K58" i="38"/>
  <c r="I90" i="38"/>
  <c r="M107" i="38"/>
  <c r="I131" i="38"/>
  <c r="U134" i="38"/>
  <c r="U135" i="38" s="1"/>
  <c r="G133" i="38"/>
  <c r="M147" i="38"/>
  <c r="M149" i="38"/>
  <c r="AA25" i="40"/>
  <c r="G37" i="27"/>
  <c r="J15" i="28"/>
  <c r="G10" i="29"/>
  <c r="G13" i="29" s="1"/>
  <c r="G40" i="29"/>
  <c r="H179" i="30"/>
  <c r="G90" i="31"/>
  <c r="AA12" i="32"/>
  <c r="AC25" i="32"/>
  <c r="AC52" i="32"/>
  <c r="AA71" i="32"/>
  <c r="AC85" i="32"/>
  <c r="AA111" i="32"/>
  <c r="K28" i="38"/>
  <c r="M131" i="38"/>
  <c r="I133" i="38"/>
  <c r="I181" i="38"/>
  <c r="AE25" i="40"/>
  <c r="D48" i="31"/>
  <c r="C47" i="31"/>
  <c r="G47" i="31" s="1"/>
  <c r="D53" i="31"/>
  <c r="G53" i="31" s="1"/>
  <c r="G9" i="27"/>
  <c r="G15" i="27"/>
  <c r="C31" i="27"/>
  <c r="F6" i="30"/>
  <c r="D14" i="30"/>
  <c r="E14" i="30" s="1"/>
  <c r="H14" i="30" s="1"/>
  <c r="H39" i="30"/>
  <c r="G84" i="30"/>
  <c r="D183" i="30"/>
  <c r="G81" i="31"/>
  <c r="G84" i="31" s="1"/>
  <c r="D95" i="31"/>
  <c r="G95" i="31" s="1"/>
  <c r="AA13" i="32"/>
  <c r="AC17" i="32"/>
  <c r="AC49" i="32"/>
  <c r="AA78" i="32"/>
  <c r="AA86" i="32"/>
  <c r="AA88" i="32"/>
  <c r="AC97" i="32"/>
  <c r="AA100" i="32"/>
  <c r="AC105" i="32"/>
  <c r="AA108" i="32"/>
  <c r="G9" i="38"/>
  <c r="E18" i="38"/>
  <c r="E19" i="38" s="1"/>
  <c r="E20" i="38" s="1"/>
  <c r="E21" i="38" s="1"/>
  <c r="E22" i="38" s="1"/>
  <c r="I28" i="38"/>
  <c r="I58" i="38"/>
  <c r="S58" i="38"/>
  <c r="I59" i="38"/>
  <c r="M77" i="38"/>
  <c r="U90" i="38"/>
  <c r="E107" i="38"/>
  <c r="K107" i="38"/>
  <c r="G123" i="38"/>
  <c r="E124" i="38"/>
  <c r="G131" i="38"/>
  <c r="E132" i="38"/>
  <c r="K133" i="38"/>
  <c r="G149" i="38"/>
  <c r="E181" i="38"/>
  <c r="M181" i="38"/>
  <c r="V25" i="40"/>
  <c r="Z25" i="40"/>
  <c r="AD25" i="40"/>
  <c r="AH25" i="40"/>
  <c r="G23" i="27"/>
  <c r="G26" i="27"/>
  <c r="D92" i="27"/>
  <c r="G92" i="27" s="1"/>
  <c r="G96" i="27" s="1"/>
  <c r="G90" i="27"/>
  <c r="G8" i="28"/>
  <c r="G48" i="29"/>
  <c r="E80" i="30"/>
  <c r="G89" i="30"/>
  <c r="D89" i="30" s="1"/>
  <c r="H89" i="30" s="1"/>
  <c r="G183" i="30"/>
  <c r="E212" i="30"/>
  <c r="D286" i="30"/>
  <c r="D96" i="31"/>
  <c r="G96" i="31" s="1"/>
  <c r="G101" i="31"/>
  <c r="AC9" i="32"/>
  <c r="AA37" i="32"/>
  <c r="AA69" i="32"/>
  <c r="AA94" i="32"/>
  <c r="AA104" i="32"/>
  <c r="AC113" i="32"/>
  <c r="AA116" i="32"/>
  <c r="AC121" i="32"/>
  <c r="AA124" i="32"/>
  <c r="K59" i="38"/>
  <c r="S134" i="38"/>
  <c r="S135" i="38" s="1"/>
  <c r="K180" i="38"/>
  <c r="G39" i="26"/>
  <c r="D38" i="27"/>
  <c r="D39" i="27" s="1"/>
  <c r="D9" i="30"/>
  <c r="E13" i="30" s="1"/>
  <c r="D47" i="30"/>
  <c r="D64" i="30" s="1"/>
  <c r="H64" i="30" s="1"/>
  <c r="D81" i="30"/>
  <c r="G112" i="30"/>
  <c r="G116" i="30" s="1"/>
  <c r="G117" i="30" s="1"/>
  <c r="D121" i="30"/>
  <c r="E121" i="30" s="1"/>
  <c r="D135" i="30"/>
  <c r="E135" i="30" s="1"/>
  <c r="H135" i="30" s="1"/>
  <c r="G191" i="30"/>
  <c r="D191" i="30" s="1"/>
  <c r="H191" i="30" s="1"/>
  <c r="H244" i="30"/>
  <c r="H249" i="30"/>
  <c r="G75" i="31"/>
  <c r="AA29" i="32"/>
  <c r="AC33" i="32"/>
  <c r="AA36" i="32"/>
  <c r="AA40" i="32"/>
  <c r="AA61" i="32"/>
  <c r="AC65" i="32"/>
  <c r="AA68" i="32"/>
  <c r="AC73" i="32"/>
  <c r="AA76" i="32"/>
  <c r="AC81" i="32"/>
  <c r="AA102" i="32"/>
  <c r="AA110" i="32"/>
  <c r="K9" i="38"/>
  <c r="K10" i="38" s="1"/>
  <c r="K11" i="38" s="1"/>
  <c r="I11" i="38"/>
  <c r="I12" i="38" s="1"/>
  <c r="I13" i="38" s="1"/>
  <c r="M28" i="38"/>
  <c r="M29" i="38" s="1"/>
  <c r="M30" i="38" s="1"/>
  <c r="M58" i="38"/>
  <c r="E59" i="38"/>
  <c r="M59" i="38"/>
  <c r="E77" i="38"/>
  <c r="S91" i="38"/>
  <c r="K131" i="38"/>
  <c r="E180" i="38"/>
  <c r="M180" i="38"/>
  <c r="X25" i="40"/>
  <c r="AB25" i="40"/>
  <c r="AF25" i="40"/>
  <c r="AJ25" i="40"/>
  <c r="G64" i="27"/>
  <c r="E6" i="30"/>
  <c r="D18" i="30"/>
  <c r="E18" i="30" s="1"/>
  <c r="H18" i="30" s="1"/>
  <c r="H21" i="30" s="1"/>
  <c r="D84" i="30"/>
  <c r="AC89" i="32"/>
  <c r="AA118" i="32"/>
  <c r="H39" i="33"/>
  <c r="H40" i="33" s="1"/>
  <c r="H41" i="33" s="1"/>
  <c r="K50" i="22" s="1"/>
  <c r="M9" i="38"/>
  <c r="M10" i="38" s="1"/>
  <c r="M11" i="38" s="1"/>
  <c r="K77" i="38"/>
  <c r="U91" i="38"/>
  <c r="K181" i="38"/>
  <c r="Y25" i="40"/>
  <c r="AC25" i="40"/>
  <c r="F78" i="47"/>
  <c r="G78" i="47" s="1"/>
  <c r="F67" i="47"/>
  <c r="G67" i="47" s="1"/>
  <c r="F68" i="47"/>
  <c r="G68" i="47" s="1"/>
  <c r="F76" i="47"/>
  <c r="G76" i="47" s="1"/>
  <c r="F66" i="47"/>
  <c r="G66" i="47" s="1"/>
  <c r="F60" i="47"/>
  <c r="G60" i="47" s="1"/>
  <c r="F64" i="47"/>
  <c r="G64" i="47" s="1"/>
  <c r="F61" i="47"/>
  <c r="G61" i="47" s="1"/>
  <c r="F71" i="47"/>
  <c r="G71" i="47" s="1"/>
  <c r="F65" i="47"/>
  <c r="G65" i="47" s="1"/>
  <c r="F69" i="47"/>
  <c r="G69" i="47" s="1"/>
  <c r="F75" i="47"/>
  <c r="G75" i="47" s="1"/>
  <c r="F62" i="47"/>
  <c r="G62" i="47" s="1"/>
  <c r="F70" i="47"/>
  <c r="G70" i="47" s="1"/>
  <c r="F73" i="47"/>
  <c r="G73" i="47" s="1"/>
  <c r="F72" i="47"/>
  <c r="G72" i="47" s="1"/>
  <c r="F57" i="47"/>
  <c r="G57" i="47" s="1"/>
  <c r="F74" i="47"/>
  <c r="G74" i="47" s="1"/>
  <c r="F59" i="47"/>
  <c r="G59" i="47" s="1"/>
  <c r="F58" i="47"/>
  <c r="G58" i="47" s="1"/>
  <c r="F77" i="47"/>
  <c r="G77" i="47" s="1"/>
  <c r="F63" i="47"/>
  <c r="G63" i="47" s="1"/>
  <c r="F78" i="24"/>
  <c r="G78" i="24" s="1"/>
  <c r="F28" i="24"/>
  <c r="G28" i="24" s="1"/>
  <c r="F58" i="24"/>
  <c r="G58" i="24" s="1"/>
  <c r="I60" i="29"/>
  <c r="J60" i="29" s="1"/>
  <c r="I33" i="22"/>
  <c r="K15" i="22"/>
  <c r="D36" i="21"/>
  <c r="J34" i="22"/>
  <c r="I57" i="22"/>
  <c r="I56" i="22"/>
  <c r="E40" i="21"/>
  <c r="E42" i="21" s="1"/>
  <c r="F63" i="24"/>
  <c r="F30" i="25"/>
  <c r="P9" i="25"/>
  <c r="C37" i="25" s="1"/>
  <c r="C27" i="25"/>
  <c r="C39" i="25"/>
  <c r="F39" i="25" s="1"/>
  <c r="O9" i="25"/>
  <c r="C8" i="25"/>
  <c r="C9" i="25" s="1"/>
  <c r="F17" i="25"/>
  <c r="F18" i="25"/>
  <c r="F75" i="24"/>
  <c r="G20" i="24"/>
  <c r="F57" i="24"/>
  <c r="N8" i="24"/>
  <c r="F71" i="24"/>
  <c r="F59" i="24"/>
  <c r="G59" i="24" s="1"/>
  <c r="E23" i="24"/>
  <c r="E24" i="24"/>
  <c r="C16" i="25"/>
  <c r="F16" i="25" s="1"/>
  <c r="E25" i="24"/>
  <c r="E75" i="24" s="1"/>
  <c r="C31" i="25"/>
  <c r="F31" i="25" s="1"/>
  <c r="Q37" i="25"/>
  <c r="R37" i="25" s="1"/>
  <c r="Q9" i="25"/>
  <c r="Q24" i="25"/>
  <c r="R24" i="25" s="1"/>
  <c r="C32" i="25"/>
  <c r="F32" i="25" s="1"/>
  <c r="P24" i="25"/>
  <c r="Q22" i="25"/>
  <c r="R22" i="25" s="1"/>
  <c r="F60" i="24"/>
  <c r="G60" i="24" s="1"/>
  <c r="F83" i="24"/>
  <c r="O22" i="25"/>
  <c r="C38" i="25"/>
  <c r="F38" i="25" s="1"/>
  <c r="Q36" i="25"/>
  <c r="R36" i="25" s="1"/>
  <c r="G14" i="24"/>
  <c r="F62" i="24"/>
  <c r="F67" i="24"/>
  <c r="G67" i="24" s="1"/>
  <c r="F72" i="24"/>
  <c r="F77" i="24"/>
  <c r="G77" i="24" s="1"/>
  <c r="Q21" i="25"/>
  <c r="R21" i="25" s="1"/>
  <c r="J13" i="28"/>
  <c r="F74" i="24"/>
  <c r="F76" i="24"/>
  <c r="G76" i="24" s="1"/>
  <c r="F86" i="24"/>
  <c r="G86" i="24" s="1"/>
  <c r="Q12" i="25"/>
  <c r="R12" i="25" s="1"/>
  <c r="O21" i="25"/>
  <c r="Q33" i="25"/>
  <c r="R33" i="25" s="1"/>
  <c r="Q35" i="25"/>
  <c r="R35" i="25" s="1"/>
  <c r="F64" i="24"/>
  <c r="G64" i="24" s="1"/>
  <c r="Q23" i="25"/>
  <c r="R23" i="25" s="1"/>
  <c r="Q30" i="25"/>
  <c r="R30" i="25" s="1"/>
  <c r="O37" i="25"/>
  <c r="F65" i="24"/>
  <c r="F70" i="24"/>
  <c r="F84" i="24"/>
  <c r="Q29" i="25"/>
  <c r="R29" i="25" s="1"/>
  <c r="Q31" i="25"/>
  <c r="R31" i="25" s="1"/>
  <c r="O33" i="25"/>
  <c r="P35" i="25"/>
  <c r="F82" i="24"/>
  <c r="G7" i="24"/>
  <c r="Q14" i="25"/>
  <c r="R14" i="25" s="1"/>
  <c r="G18" i="24"/>
  <c r="G12" i="24"/>
  <c r="G17" i="24"/>
  <c r="F61" i="24"/>
  <c r="F66" i="24"/>
  <c r="F68" i="24"/>
  <c r="G68" i="24" s="1"/>
  <c r="E70" i="24"/>
  <c r="F73" i="24"/>
  <c r="Q10" i="25"/>
  <c r="R10" i="25" s="1"/>
  <c r="Q20" i="25"/>
  <c r="R20" i="25" s="1"/>
  <c r="J16" i="22"/>
  <c r="G26" i="29"/>
  <c r="G25" i="29"/>
  <c r="G36" i="29"/>
  <c r="G35" i="29"/>
  <c r="H53" i="25"/>
  <c r="I50" i="36"/>
  <c r="I48" i="37"/>
  <c r="H27" i="39"/>
  <c r="I50" i="37"/>
  <c r="E79" i="36"/>
  <c r="H42" i="39"/>
  <c r="H47" i="39"/>
  <c r="H12" i="39"/>
  <c r="H10" i="39"/>
  <c r="H18" i="39" s="1"/>
  <c r="I67" i="36"/>
  <c r="E49" i="37"/>
  <c r="I74" i="36"/>
  <c r="I75" i="36" s="1"/>
  <c r="C79" i="36"/>
  <c r="D79" i="36" s="1"/>
  <c r="H41" i="39"/>
  <c r="C80" i="36"/>
  <c r="I80" i="36" s="1"/>
  <c r="I46" i="37"/>
  <c r="C81" i="36"/>
  <c r="D81" i="36" s="1"/>
  <c r="I68" i="36"/>
  <c r="E81" i="36"/>
  <c r="E84" i="24"/>
  <c r="G39" i="24"/>
  <c r="E63" i="24"/>
  <c r="G13" i="24"/>
  <c r="G16" i="24"/>
  <c r="E66" i="24"/>
  <c r="AC74" i="32"/>
  <c r="AA74" i="32"/>
  <c r="E69" i="24"/>
  <c r="AC58" i="32"/>
  <c r="AA58" i="32"/>
  <c r="E83" i="24"/>
  <c r="G38" i="24"/>
  <c r="E62" i="24"/>
  <c r="F69" i="24"/>
  <c r="C12" i="25"/>
  <c r="C33" i="25"/>
  <c r="F33" i="25" s="1"/>
  <c r="Q32" i="25"/>
  <c r="R32" i="25" s="1"/>
  <c r="O32" i="25"/>
  <c r="G74" i="27"/>
  <c r="G75" i="27" s="1"/>
  <c r="D268" i="30"/>
  <c r="G8" i="24"/>
  <c r="G10" i="24"/>
  <c r="E57" i="24"/>
  <c r="F85" i="24"/>
  <c r="C35" i="25"/>
  <c r="F35" i="25" s="1"/>
  <c r="C83" i="27"/>
  <c r="G83" i="27" s="1"/>
  <c r="G63" i="27"/>
  <c r="D82" i="27"/>
  <c r="D78" i="27"/>
  <c r="G78" i="27" s="1"/>
  <c r="Q11" i="25"/>
  <c r="R11" i="25" s="1"/>
  <c r="Q26" i="25"/>
  <c r="R26" i="25" s="1"/>
  <c r="O26" i="25"/>
  <c r="F81" i="24"/>
  <c r="G33" i="26"/>
  <c r="Q38" i="25"/>
  <c r="R38" i="25" s="1"/>
  <c r="O38" i="25"/>
  <c r="Q13" i="25"/>
  <c r="R13" i="25" s="1"/>
  <c r="Q28" i="25"/>
  <c r="R28" i="25" s="1"/>
  <c r="O28" i="25"/>
  <c r="E61" i="24"/>
  <c r="G15" i="24"/>
  <c r="E65" i="24"/>
  <c r="E71" i="24"/>
  <c r="G21" i="24"/>
  <c r="Q25" i="25"/>
  <c r="R25" i="25" s="1"/>
  <c r="O25" i="25"/>
  <c r="Q27" i="25"/>
  <c r="R27" i="25" s="1"/>
  <c r="O27" i="25"/>
  <c r="E82" i="24"/>
  <c r="AC66" i="32"/>
  <c r="AA66" i="32"/>
  <c r="G40" i="24"/>
  <c r="E85" i="24"/>
  <c r="Q34" i="25"/>
  <c r="R34" i="25" s="1"/>
  <c r="O34" i="25"/>
  <c r="G92" i="26"/>
  <c r="AC50" i="32"/>
  <c r="AA50" i="32"/>
  <c r="M44" i="25"/>
  <c r="D89" i="27"/>
  <c r="G89" i="27" s="1"/>
  <c r="G88" i="27"/>
  <c r="G49" i="29"/>
  <c r="F53" i="29"/>
  <c r="G53" i="29" s="1"/>
  <c r="G294" i="30"/>
  <c r="D294" i="30" s="1"/>
  <c r="H294" i="30" s="1"/>
  <c r="G252" i="30"/>
  <c r="G269" i="30" s="1"/>
  <c r="AC42" i="32"/>
  <c r="AA42" i="32"/>
  <c r="N44" i="25"/>
  <c r="G28" i="29"/>
  <c r="H141" i="30"/>
  <c r="AC34" i="32"/>
  <c r="AA34" i="32"/>
  <c r="G24" i="27"/>
  <c r="AC26" i="32"/>
  <c r="AA26" i="32"/>
  <c r="G62" i="26"/>
  <c r="H44" i="30"/>
  <c r="AC18" i="32"/>
  <c r="AA18" i="32"/>
  <c r="AA119" i="32"/>
  <c r="M43" i="38"/>
  <c r="K43" i="38"/>
  <c r="I43" i="38"/>
  <c r="G43" i="38"/>
  <c r="E43" i="38"/>
  <c r="AC10" i="32"/>
  <c r="AA10" i="32"/>
  <c r="C82" i="27"/>
  <c r="D80" i="30"/>
  <c r="H80" i="30" s="1"/>
  <c r="F109" i="30"/>
  <c r="D117" i="30"/>
  <c r="G186" i="30"/>
  <c r="H186" i="30" s="1"/>
  <c r="G251" i="30"/>
  <c r="G268" i="30" s="1"/>
  <c r="G286" i="30"/>
  <c r="D215" i="30"/>
  <c r="D220" i="30"/>
  <c r="AA103" i="32"/>
  <c r="AC122" i="32"/>
  <c r="AA122" i="32"/>
  <c r="I47" i="37"/>
  <c r="E47" i="37"/>
  <c r="E29" i="38"/>
  <c r="E30" i="38" s="1"/>
  <c r="AC82" i="32"/>
  <c r="AA82" i="32"/>
  <c r="D31" i="27"/>
  <c r="D32" i="30"/>
  <c r="G81" i="30"/>
  <c r="D148" i="30"/>
  <c r="D173" i="30"/>
  <c r="D189" i="30"/>
  <c r="H189" i="30" s="1"/>
  <c r="F212" i="30"/>
  <c r="D276" i="30"/>
  <c r="AA7" i="32"/>
  <c r="AA15" i="32"/>
  <c r="AA23" i="32"/>
  <c r="AA31" i="32"/>
  <c r="AA39" i="32"/>
  <c r="AA47" i="32"/>
  <c r="AA55" i="32"/>
  <c r="AA63" i="32"/>
  <c r="AC90" i="32"/>
  <c r="AA90" i="32"/>
  <c r="I82" i="36"/>
  <c r="D82" i="36"/>
  <c r="E41" i="37"/>
  <c r="D27" i="27"/>
  <c r="G27" i="27" s="1"/>
  <c r="G66" i="27"/>
  <c r="G71" i="27" s="1"/>
  <c r="D112" i="30"/>
  <c r="E173" i="30"/>
  <c r="G289" i="30"/>
  <c r="AA79" i="32"/>
  <c r="AC98" i="32"/>
  <c r="AA98" i="32"/>
  <c r="F39" i="33"/>
  <c r="C32" i="27"/>
  <c r="G32" i="27" s="1"/>
  <c r="G46" i="29"/>
  <c r="D46" i="30"/>
  <c r="D71" i="30"/>
  <c r="H71" i="30" s="1"/>
  <c r="D87" i="30"/>
  <c r="H87" i="30" s="1"/>
  <c r="D182" i="30"/>
  <c r="AC106" i="32"/>
  <c r="AA106" i="32"/>
  <c r="E109" i="30"/>
  <c r="D149" i="30"/>
  <c r="E182" i="30"/>
  <c r="D285" i="30"/>
  <c r="E276" i="30"/>
  <c r="D238" i="30"/>
  <c r="D289" i="30"/>
  <c r="E285" i="30"/>
  <c r="D224" i="30"/>
  <c r="D252" i="30"/>
  <c r="D292" i="30"/>
  <c r="H292" i="30" s="1"/>
  <c r="AC114" i="32"/>
  <c r="AA114" i="32"/>
  <c r="E29" i="37"/>
  <c r="I51" i="37"/>
  <c r="E51" i="37"/>
  <c r="C48" i="31"/>
  <c r="AC14" i="32"/>
  <c r="AC22" i="32"/>
  <c r="AC30" i="32"/>
  <c r="AC38" i="32"/>
  <c r="AC46" i="32"/>
  <c r="AC54" i="32"/>
  <c r="AC62" i="32"/>
  <c r="AC70" i="32"/>
  <c r="M78" i="38"/>
  <c r="K78" i="38"/>
  <c r="I78" i="38"/>
  <c r="G78" i="38"/>
  <c r="E10" i="38"/>
  <c r="E11" i="38" s="1"/>
  <c r="D91" i="31"/>
  <c r="E80" i="36"/>
  <c r="E11" i="37"/>
  <c r="E21" i="37"/>
  <c r="K29" i="38"/>
  <c r="K30" i="38" s="1"/>
  <c r="M42" i="38"/>
  <c r="K42" i="38"/>
  <c r="I42" i="38"/>
  <c r="E82" i="36"/>
  <c r="G41" i="31"/>
  <c r="G44" i="31" s="1"/>
  <c r="AA11" i="32"/>
  <c r="AA19" i="32"/>
  <c r="AA27" i="32"/>
  <c r="AA35" i="32"/>
  <c r="AA43" i="32"/>
  <c r="AA51" i="32"/>
  <c r="AA59" i="32"/>
  <c r="AA67" i="32"/>
  <c r="AA75" i="32"/>
  <c r="AA83" i="32"/>
  <c r="AA91" i="32"/>
  <c r="AA99" i="32"/>
  <c r="AA107" i="32"/>
  <c r="AA115" i="32"/>
  <c r="AA123" i="32"/>
  <c r="I47" i="36"/>
  <c r="I48" i="36" s="1"/>
  <c r="I49" i="36" s="1"/>
  <c r="F47" i="36"/>
  <c r="E15" i="37"/>
  <c r="M148" i="38"/>
  <c r="K148" i="38"/>
  <c r="K150" i="38" s="1"/>
  <c r="I148" i="38"/>
  <c r="G148" i="38"/>
  <c r="E148" i="38"/>
  <c r="D44" i="36"/>
  <c r="I44" i="36"/>
  <c r="E25" i="37"/>
  <c r="M132" i="38"/>
  <c r="M134" i="38" s="1"/>
  <c r="G132" i="38"/>
  <c r="I95" i="36"/>
  <c r="E10" i="37"/>
  <c r="E14" i="37"/>
  <c r="S59" i="38"/>
  <c r="G77" i="38"/>
  <c r="I132" i="38"/>
  <c r="E55" i="39"/>
  <c r="E56" i="39"/>
  <c r="I60" i="36"/>
  <c r="I61" i="36" s="1"/>
  <c r="I91" i="38"/>
  <c r="G91" i="38"/>
  <c r="E91" i="38"/>
  <c r="K132" i="38"/>
  <c r="M90" i="38"/>
  <c r="K90" i="38"/>
  <c r="E90" i="38"/>
  <c r="M106" i="38"/>
  <c r="K106" i="38"/>
  <c r="G106" i="38"/>
  <c r="S150" i="38"/>
  <c r="E57" i="39"/>
  <c r="G57" i="39"/>
  <c r="W91" i="38"/>
  <c r="I124" i="38"/>
  <c r="G180" i="38"/>
  <c r="G181" i="38"/>
  <c r="H14" i="39"/>
  <c r="K124" i="38"/>
  <c r="H34" i="39"/>
  <c r="H12" i="17"/>
  <c r="I12" i="17" s="1"/>
  <c r="I13" i="17" s="1"/>
  <c r="N13" i="17"/>
  <c r="H15" i="17"/>
  <c r="I15" i="17" s="1"/>
  <c r="I16" i="17" s="1"/>
  <c r="N16" i="17"/>
  <c r="H17" i="17"/>
  <c r="I17" i="17" s="1"/>
  <c r="I18" i="17" s="1"/>
  <c r="N18" i="17"/>
  <c r="H20" i="17"/>
  <c r="I20" i="17" s="1"/>
  <c r="I21" i="17" s="1"/>
  <c r="N21" i="17"/>
  <c r="H23" i="17"/>
  <c r="I23" i="17" s="1"/>
  <c r="H24" i="17"/>
  <c r="I24" i="17" s="1"/>
  <c r="N24" i="17" s="1"/>
  <c r="O24" i="17" s="1"/>
  <c r="H25" i="17"/>
  <c r="I25" i="17" s="1"/>
  <c r="F26" i="17"/>
  <c r="H26" i="17"/>
  <c r="I26" i="17" s="1"/>
  <c r="H27" i="17"/>
  <c r="I27" i="17" s="1"/>
  <c r="N27" i="17" s="1"/>
  <c r="O27" i="17" s="1"/>
  <c r="H29" i="17"/>
  <c r="I29" i="17" s="1"/>
  <c r="H30" i="17"/>
  <c r="I30" i="17" s="1"/>
  <c r="N30" i="17" s="1"/>
  <c r="O30" i="17" s="1"/>
  <c r="P30" i="17" s="1"/>
  <c r="H31" i="17"/>
  <c r="I31" i="17" s="1"/>
  <c r="H32" i="17"/>
  <c r="I32" i="17" s="1"/>
  <c r="N32" i="17" s="1"/>
  <c r="O32" i="17" s="1"/>
  <c r="H34" i="17"/>
  <c r="I34" i="17" s="1"/>
  <c r="H35" i="17"/>
  <c r="I35" i="17" s="1"/>
  <c r="M35" i="17"/>
  <c r="N35" i="17" s="1"/>
  <c r="H37" i="17"/>
  <c r="I37" i="17" s="1"/>
  <c r="H38" i="17"/>
  <c r="I38" i="17" s="1"/>
  <c r="H40" i="17"/>
  <c r="I40" i="17" s="1"/>
  <c r="H41" i="17"/>
  <c r="I41" i="17" s="1"/>
  <c r="H42" i="17"/>
  <c r="I42" i="17" s="1"/>
  <c r="H44" i="17"/>
  <c r="I44" i="17" s="1"/>
  <c r="H45" i="17"/>
  <c r="I45" i="17" s="1"/>
  <c r="H48" i="17"/>
  <c r="I48" i="17" s="1"/>
  <c r="H49" i="17"/>
  <c r="I49" i="17" s="1"/>
  <c r="H52" i="17"/>
  <c r="I52" i="17" s="1"/>
  <c r="H53" i="17"/>
  <c r="I53" i="17" s="1"/>
  <c r="H56" i="17"/>
  <c r="I56" i="17" s="1"/>
  <c r="H57" i="17"/>
  <c r="I57" i="17" s="1"/>
  <c r="H60" i="17"/>
  <c r="I60" i="17" s="1"/>
  <c r="H61" i="17"/>
  <c r="I61" i="17" s="1"/>
  <c r="H66" i="17"/>
  <c r="I66" i="17" s="1"/>
  <c r="H67" i="17"/>
  <c r="I67" i="17" s="1"/>
  <c r="H73" i="17"/>
  <c r="I73" i="17" s="1"/>
  <c r="H74" i="17"/>
  <c r="I74" i="17" s="1"/>
  <c r="H79" i="17"/>
  <c r="I79" i="17" s="1"/>
  <c r="H80" i="17"/>
  <c r="I80" i="17" s="1"/>
  <c r="H82" i="17"/>
  <c r="I82" i="17" s="1"/>
  <c r="H83" i="17"/>
  <c r="I83" i="17" s="1"/>
  <c r="H88" i="17"/>
  <c r="I88" i="17" s="1"/>
  <c r="H89" i="17"/>
  <c r="I89" i="17" s="1"/>
  <c r="H94" i="17"/>
  <c r="I94" i="17" s="1"/>
  <c r="H95" i="17"/>
  <c r="I95" i="17" s="1"/>
  <c r="M95" i="17"/>
  <c r="N95" i="17" s="1"/>
  <c r="H99" i="17"/>
  <c r="I99" i="17" s="1"/>
  <c r="H100" i="17"/>
  <c r="I100" i="17" s="1"/>
  <c r="H105" i="17"/>
  <c r="I105" i="17" s="1"/>
  <c r="H106" i="17"/>
  <c r="I106" i="17" s="1"/>
  <c r="H109" i="17"/>
  <c r="I109" i="17" s="1"/>
  <c r="H110" i="17"/>
  <c r="I110" i="17" s="1"/>
  <c r="H113" i="17"/>
  <c r="I113" i="17" s="1"/>
  <c r="H114" i="17"/>
  <c r="I114" i="17" s="1"/>
  <c r="H117" i="17"/>
  <c r="I117" i="17" s="1"/>
  <c r="H118" i="17"/>
  <c r="I118" i="17" s="1"/>
  <c r="H128" i="17"/>
  <c r="I128" i="17" s="1"/>
  <c r="H129" i="17"/>
  <c r="I129" i="17" s="1"/>
  <c r="H138" i="17"/>
  <c r="I138" i="17" s="1"/>
  <c r="H139" i="17"/>
  <c r="I139" i="17" s="1"/>
  <c r="H147" i="17"/>
  <c r="I147" i="17" s="1"/>
  <c r="H148" i="17"/>
  <c r="I148" i="17" s="1"/>
  <c r="H151" i="17"/>
  <c r="I151" i="17" s="1"/>
  <c r="H152" i="17"/>
  <c r="I152" i="17" s="1"/>
  <c r="H154" i="17"/>
  <c r="I154" i="17" s="1"/>
  <c r="H155" i="17"/>
  <c r="I155" i="17" s="1"/>
  <c r="H157" i="17"/>
  <c r="I157" i="17" s="1"/>
  <c r="H158" i="17"/>
  <c r="I158" i="17" s="1"/>
  <c r="H160" i="17"/>
  <c r="I160" i="17" s="1"/>
  <c r="H161" i="17"/>
  <c r="I161" i="17" s="1"/>
  <c r="H163" i="17"/>
  <c r="I163" i="17" s="1"/>
  <c r="H164" i="17"/>
  <c r="I164" i="17" s="1"/>
  <c r="H166" i="17"/>
  <c r="I166" i="17" s="1"/>
  <c r="H167" i="17"/>
  <c r="I167" i="17" s="1"/>
  <c r="H169" i="17"/>
  <c r="I169" i="17" s="1"/>
  <c r="H170" i="17"/>
  <c r="I170" i="17" s="1"/>
  <c r="H172" i="17"/>
  <c r="I172" i="17" s="1"/>
  <c r="H173" i="17"/>
  <c r="I173" i="17" s="1"/>
  <c r="H176" i="17"/>
  <c r="I176" i="17" s="1"/>
  <c r="H177" i="17"/>
  <c r="I177" i="17" s="1"/>
  <c r="H179" i="17"/>
  <c r="I179" i="17" s="1"/>
  <c r="H180" i="17"/>
  <c r="I180" i="17" s="1"/>
  <c r="H182" i="17"/>
  <c r="I182" i="17" s="1"/>
  <c r="H183" i="17"/>
  <c r="I183" i="17" s="1"/>
  <c r="H185" i="17"/>
  <c r="I185" i="17" s="1"/>
  <c r="H186" i="17"/>
  <c r="I186" i="17" s="1"/>
  <c r="H188" i="17"/>
  <c r="I188" i="17" s="1"/>
  <c r="H189" i="17"/>
  <c r="I189" i="17" s="1"/>
  <c r="H194" i="17"/>
  <c r="I194" i="17" s="1"/>
  <c r="H195" i="17"/>
  <c r="I195" i="17" s="1"/>
  <c r="H197" i="17"/>
  <c r="I197" i="17" s="1"/>
  <c r="H198" i="17"/>
  <c r="I198" i="17" s="1"/>
  <c r="H200" i="17"/>
  <c r="I200" i="17" s="1"/>
  <c r="H203" i="17"/>
  <c r="I203" i="17" s="1"/>
  <c r="H204" i="17"/>
  <c r="I204" i="17" s="1"/>
  <c r="H205" i="17"/>
  <c r="I205" i="17" s="1"/>
  <c r="H207" i="17"/>
  <c r="I207" i="17" s="1"/>
  <c r="H208" i="17"/>
  <c r="I208" i="17" s="1"/>
  <c r="H209" i="17"/>
  <c r="I209" i="17" s="1"/>
  <c r="H211" i="17"/>
  <c r="I211" i="17" s="1"/>
  <c r="H212" i="17"/>
  <c r="I212" i="17" s="1"/>
  <c r="H213" i="17"/>
  <c r="I213" i="17" s="1"/>
  <c r="H215" i="17"/>
  <c r="I215" i="17" s="1"/>
  <c r="H216" i="17"/>
  <c r="I216" i="17" s="1"/>
  <c r="H217" i="17"/>
  <c r="I217" i="17" s="1"/>
  <c r="H219" i="17"/>
  <c r="I219" i="17" s="1"/>
  <c r="H220" i="17"/>
  <c r="I220" i="17" s="1"/>
  <c r="H221" i="17"/>
  <c r="I221" i="17" s="1"/>
  <c r="H223" i="17"/>
  <c r="I223" i="17" s="1"/>
  <c r="H224" i="17"/>
  <c r="I224" i="17" s="1"/>
  <c r="H225" i="17"/>
  <c r="I225" i="17" s="1"/>
  <c r="H227" i="17"/>
  <c r="I227" i="17" s="1"/>
  <c r="H228" i="17"/>
  <c r="I228" i="17" s="1"/>
  <c r="H229" i="17"/>
  <c r="I229" i="17" s="1"/>
  <c r="H231" i="17"/>
  <c r="I231" i="17" s="1"/>
  <c r="H232" i="17"/>
  <c r="I232" i="17" s="1"/>
  <c r="H233" i="17"/>
  <c r="I233" i="17" s="1"/>
  <c r="H235" i="17"/>
  <c r="I235" i="17" s="1"/>
  <c r="H236" i="17"/>
  <c r="I236" i="17" s="1"/>
  <c r="H237" i="17"/>
  <c r="I237" i="17" s="1"/>
  <c r="H239" i="17"/>
  <c r="I239" i="17" s="1"/>
  <c r="H240" i="17"/>
  <c r="I240" i="17" s="1"/>
  <c r="H241" i="17"/>
  <c r="I241" i="17" s="1"/>
  <c r="H243" i="17"/>
  <c r="I243" i="17" s="1"/>
  <c r="H244" i="17"/>
  <c r="I244" i="17" s="1"/>
  <c r="H245" i="17"/>
  <c r="I245" i="17" s="1"/>
  <c r="H247" i="17"/>
  <c r="I247" i="17" s="1"/>
  <c r="H248" i="17"/>
  <c r="I248" i="17" s="1"/>
  <c r="H249" i="17"/>
  <c r="I249" i="17" s="1"/>
  <c r="H256" i="17"/>
  <c r="I256" i="17" s="1"/>
  <c r="H257" i="17"/>
  <c r="I257" i="17" s="1"/>
  <c r="N257" i="17"/>
  <c r="H260" i="17"/>
  <c r="I260" i="17" s="1"/>
  <c r="N260" i="17"/>
  <c r="N262" i="17" s="1"/>
  <c r="H261" i="17"/>
  <c r="I261" i="17" s="1"/>
  <c r="H263" i="17"/>
  <c r="I263" i="17" s="1"/>
  <c r="H264" i="17"/>
  <c r="I264" i="17" s="1"/>
  <c r="N267" i="17"/>
  <c r="H270" i="17"/>
  <c r="I270" i="17" s="1"/>
  <c r="H271" i="17"/>
  <c r="I271" i="17" s="1"/>
  <c r="K271" i="17"/>
  <c r="H274" i="17"/>
  <c r="I274" i="17" s="1"/>
  <c r="H275" i="17"/>
  <c r="I275" i="17" s="1"/>
  <c r="K275" i="17"/>
  <c r="H278" i="17"/>
  <c r="I278" i="17" s="1"/>
  <c r="H279" i="17"/>
  <c r="I279" i="17" s="1"/>
  <c r="G42" i="4"/>
  <c r="G91" i="4"/>
  <c r="G95" i="4"/>
  <c r="G129" i="4"/>
  <c r="G130" i="4"/>
  <c r="G148" i="4"/>
  <c r="G151" i="4"/>
  <c r="G154" i="4"/>
  <c r="G158" i="4"/>
  <c r="G174" i="4"/>
  <c r="G178" i="4"/>
  <c r="G245" i="4"/>
  <c r="G284" i="4"/>
  <c r="G293" i="4"/>
  <c r="G294" i="4"/>
  <c r="G338" i="4"/>
  <c r="G379" i="4"/>
  <c r="G380" i="4"/>
  <c r="G381" i="4"/>
  <c r="G382" i="4"/>
  <c r="G383" i="4"/>
  <c r="G384" i="4"/>
  <c r="G385" i="4"/>
  <c r="G387" i="4"/>
  <c r="G388" i="4"/>
  <c r="G389" i="4"/>
  <c r="G390" i="4"/>
  <c r="G391" i="4"/>
  <c r="G392" i="4"/>
  <c r="G394" i="4"/>
  <c r="G395" i="4"/>
  <c r="G396" i="4"/>
  <c r="G397" i="4"/>
  <c r="G398" i="4"/>
  <c r="G399" i="4"/>
  <c r="G417" i="4"/>
  <c r="G418" i="4"/>
  <c r="G420" i="4"/>
  <c r="G432" i="4"/>
  <c r="G433" i="4"/>
  <c r="G434" i="4"/>
  <c r="G435" i="4"/>
  <c r="G436" i="4"/>
  <c r="G437" i="4"/>
  <c r="G444" i="4"/>
  <c r="G445" i="4"/>
  <c r="G446" i="4"/>
  <c r="G447" i="4"/>
  <c r="G448" i="4"/>
  <c r="G449" i="4"/>
  <c r="G450" i="4"/>
  <c r="G452" i="4"/>
  <c r="A9" i="19"/>
  <c r="A10" i="19" s="1"/>
  <c r="A11" i="19" s="1"/>
  <c r="A12" i="19" s="1"/>
  <c r="A13" i="19" s="1"/>
  <c r="A14" i="19" s="1"/>
  <c r="A15" i="19" s="1"/>
  <c r="A16" i="19" s="1"/>
  <c r="A17" i="19" s="1"/>
  <c r="A18" i="19" s="1"/>
  <c r="A19" i="19" s="1"/>
  <c r="A20" i="19" s="1"/>
  <c r="A21" i="19" s="1"/>
  <c r="A22" i="19" s="1"/>
  <c r="A23" i="19" s="1"/>
  <c r="A24" i="19" s="1"/>
  <c r="A25" i="19" s="1"/>
  <c r="A26" i="19" s="1"/>
  <c r="A27" i="19" s="1"/>
  <c r="A28" i="19" s="1"/>
  <c r="A29" i="19" s="1"/>
  <c r="A30" i="19" s="1"/>
  <c r="A31" i="19" s="1"/>
  <c r="A32" i="19" s="1"/>
  <c r="A33" i="19" s="1"/>
  <c r="A34" i="19" s="1"/>
  <c r="A35" i="19" s="1"/>
  <c r="A36" i="19" s="1"/>
  <c r="A37" i="19" s="1"/>
  <c r="A38" i="19" s="1"/>
  <c r="A39" i="19" s="1"/>
  <c r="A40" i="19" s="1"/>
  <c r="A41" i="19" s="1"/>
  <c r="A42" i="19" s="1"/>
  <c r="A43" i="19" s="1"/>
  <c r="A44" i="19" s="1"/>
  <c r="A45" i="19" s="1"/>
  <c r="A46" i="19" s="1"/>
  <c r="A47" i="19" s="1"/>
  <c r="A48" i="19" s="1"/>
  <c r="A49" i="19" s="1"/>
  <c r="A50" i="19" s="1"/>
  <c r="A51" i="19" s="1"/>
  <c r="A52" i="19" s="1"/>
  <c r="A53" i="19" s="1"/>
  <c r="A54" i="19" s="1"/>
  <c r="A55" i="19" s="1"/>
  <c r="A56" i="19" s="1"/>
  <c r="A57" i="19" s="1"/>
  <c r="A58" i="19" s="1"/>
  <c r="A59" i="19" s="1"/>
  <c r="A60" i="19" s="1"/>
  <c r="A61" i="19" s="1"/>
  <c r="A62" i="19" s="1"/>
  <c r="A63" i="19" s="1"/>
  <c r="A64" i="19" s="1"/>
  <c r="A65" i="19" s="1"/>
  <c r="A66" i="19" s="1"/>
  <c r="F19" i="19"/>
  <c r="H19" i="19" s="1"/>
  <c r="M185" i="17" s="1"/>
  <c r="N185" i="17" s="1"/>
  <c r="N187" i="17" s="1"/>
  <c r="I30" i="19"/>
  <c r="F32" i="19"/>
  <c r="H32" i="19" s="1"/>
  <c r="F33" i="19"/>
  <c r="H33" i="19" s="1"/>
  <c r="F34" i="19"/>
  <c r="H34" i="19" s="1"/>
  <c r="F35" i="19"/>
  <c r="H35" i="19" s="1"/>
  <c r="F36" i="19"/>
  <c r="H36" i="19" s="1"/>
  <c r="F37" i="19"/>
  <c r="H37" i="19" s="1"/>
  <c r="M120" i="17" s="1"/>
  <c r="N120" i="17" s="1"/>
  <c r="F38" i="19"/>
  <c r="H38" i="19" s="1"/>
  <c r="M122" i="17" s="1"/>
  <c r="N122" i="17" s="1"/>
  <c r="F40" i="19"/>
  <c r="H40" i="19" s="1"/>
  <c r="M101" i="17" s="1"/>
  <c r="N101" i="17" s="1"/>
  <c r="F41" i="19"/>
  <c r="H41" i="19" s="1"/>
  <c r="F42" i="19"/>
  <c r="H42" i="19" s="1"/>
  <c r="M103" i="17" s="1"/>
  <c r="N103" i="17" s="1"/>
  <c r="F44" i="19"/>
  <c r="H44" i="19" s="1"/>
  <c r="M141" i="17" s="1"/>
  <c r="N141" i="17" s="1"/>
  <c r="F45" i="19"/>
  <c r="H45" i="19" s="1"/>
  <c r="M143" i="17" s="1"/>
  <c r="N143" i="17" s="1"/>
  <c r="F46" i="19"/>
  <c r="H46" i="19" s="1"/>
  <c r="M135" i="17" s="1"/>
  <c r="N135" i="17" s="1"/>
  <c r="F48" i="19"/>
  <c r="H48" i="19" s="1"/>
  <c r="F51" i="19"/>
  <c r="H51" i="19" s="1"/>
  <c r="F52" i="19"/>
  <c r="H52" i="19" s="1"/>
  <c r="H53" i="19"/>
  <c r="M188" i="17" s="1"/>
  <c r="N188" i="17" s="1"/>
  <c r="N192" i="17" s="1"/>
  <c r="A69" i="19"/>
  <c r="A70" i="19" s="1"/>
  <c r="A71" i="19" s="1"/>
  <c r="A72" i="19" s="1"/>
  <c r="A73" i="19" s="1"/>
  <c r="A74" i="19" s="1"/>
  <c r="A75" i="19" s="1"/>
  <c r="A76" i="19" s="1"/>
  <c r="A77" i="19" s="1"/>
  <c r="A78" i="19" s="1"/>
  <c r="A79" i="19" s="1"/>
  <c r="G34" i="20"/>
  <c r="G45" i="20"/>
  <c r="G55" i="20"/>
  <c r="I43" i="36" s="1"/>
  <c r="G64" i="20"/>
  <c r="G65" i="20" s="1"/>
  <c r="G73" i="20"/>
  <c r="G74" i="20" s="1"/>
  <c r="G83" i="20"/>
  <c r="G84" i="20" s="1"/>
  <c r="G93" i="20"/>
  <c r="G94" i="20" s="1"/>
  <c r="G103" i="20"/>
  <c r="G104" i="20" s="1"/>
  <c r="E116" i="20"/>
  <c r="G116" i="20" s="1"/>
  <c r="E117" i="20"/>
  <c r="G117" i="20" s="1"/>
  <c r="E118" i="20"/>
  <c r="G118" i="20" s="1"/>
  <c r="E119" i="20"/>
  <c r="G119" i="20" s="1"/>
  <c r="G120" i="20"/>
  <c r="G121" i="20"/>
  <c r="C127" i="20"/>
  <c r="E127" i="20"/>
  <c r="E136" i="20"/>
  <c r="G136" i="20" s="1"/>
  <c r="E137" i="20"/>
  <c r="G137" i="20" s="1"/>
  <c r="E138" i="20"/>
  <c r="G138" i="20" s="1"/>
  <c r="G139" i="20"/>
  <c r="G140" i="20"/>
  <c r="C146" i="20"/>
  <c r="E146" i="20"/>
  <c r="E155" i="20"/>
  <c r="G155" i="20" s="1"/>
  <c r="E156" i="20"/>
  <c r="G156" i="20" s="1"/>
  <c r="E157" i="20"/>
  <c r="G157" i="20" s="1"/>
  <c r="G158" i="20"/>
  <c r="G159" i="20"/>
  <c r="C165" i="20"/>
  <c r="E165" i="20"/>
  <c r="E174" i="20"/>
  <c r="G174" i="20" s="1"/>
  <c r="E175" i="20"/>
  <c r="G175" i="20" s="1"/>
  <c r="E176" i="20"/>
  <c r="G176" i="20" s="1"/>
  <c r="G177" i="20"/>
  <c r="G178" i="20"/>
  <c r="C185" i="20"/>
  <c r="E185" i="20"/>
  <c r="F12" i="12"/>
  <c r="F21" i="12"/>
  <c r="F22" i="12"/>
  <c r="F28" i="12"/>
  <c r="I10" i="18"/>
  <c r="I11" i="18" s="1"/>
  <c r="K10" i="18"/>
  <c r="K11" i="18" s="1"/>
  <c r="C23" i="20" s="1"/>
  <c r="G23" i="20" s="1"/>
  <c r="G24" i="20" s="1"/>
  <c r="I22" i="18"/>
  <c r="O22" i="18"/>
  <c r="I23" i="18"/>
  <c r="O23" i="18"/>
  <c r="I25" i="18"/>
  <c r="O25" i="18"/>
  <c r="I38" i="18"/>
  <c r="I39" i="18" s="1"/>
  <c r="C66" i="20" s="1"/>
  <c r="G68" i="20" s="1"/>
  <c r="O38" i="18"/>
  <c r="O39" i="18" s="1"/>
  <c r="C28" i="20" s="1"/>
  <c r="G28" i="20" s="1"/>
  <c r="D13" i="30" l="1"/>
  <c r="H13" i="30" s="1"/>
  <c r="G19" i="27"/>
  <c r="E9" i="30"/>
  <c r="H9" i="30" s="1"/>
  <c r="H11" i="30" s="1"/>
  <c r="H121" i="30"/>
  <c r="H124" i="30" s="1"/>
  <c r="G24" i="24"/>
  <c r="G79" i="27"/>
  <c r="H47" i="30"/>
  <c r="G107" i="31"/>
  <c r="G48" i="31"/>
  <c r="I134" i="38"/>
  <c r="I135" i="38" s="1"/>
  <c r="G23" i="29"/>
  <c r="G44" i="29"/>
  <c r="I150" i="38"/>
  <c r="I152" i="38" s="1"/>
  <c r="K134" i="38"/>
  <c r="K135" i="38" s="1"/>
  <c r="H81" i="30"/>
  <c r="G134" i="38"/>
  <c r="G135" i="38" s="1"/>
  <c r="H286" i="30"/>
  <c r="E134" i="38"/>
  <c r="E135" i="38" s="1"/>
  <c r="I53" i="36"/>
  <c r="H15" i="39"/>
  <c r="E150" i="38"/>
  <c r="E151" i="38" s="1"/>
  <c r="G150" i="38"/>
  <c r="G152" i="38" s="1"/>
  <c r="H6" i="30"/>
  <c r="H84" i="30"/>
  <c r="M150" i="38"/>
  <c r="M151" i="38" s="1"/>
  <c r="G38" i="27"/>
  <c r="G30" i="38"/>
  <c r="G31" i="38" s="1"/>
  <c r="G32" i="38" s="1"/>
  <c r="G55" i="31"/>
  <c r="G31" i="27"/>
  <c r="G33" i="27" s="1"/>
  <c r="J21" i="28"/>
  <c r="H19" i="39"/>
  <c r="H20" i="39" s="1"/>
  <c r="G28" i="27"/>
  <c r="H212" i="30"/>
  <c r="G30" i="29"/>
  <c r="H109" i="30"/>
  <c r="G38" i="29"/>
  <c r="P32" i="17"/>
  <c r="Q32" i="17" s="1"/>
  <c r="R32" i="17" s="1"/>
  <c r="F17" i="35" s="1"/>
  <c r="P27" i="17"/>
  <c r="Q27" i="17" s="1"/>
  <c r="R27" i="17" s="1"/>
  <c r="F13" i="35" s="1"/>
  <c r="P24" i="17"/>
  <c r="Q24" i="17" s="1"/>
  <c r="R24" i="17" s="1"/>
  <c r="C85" i="20"/>
  <c r="G87" i="20" s="1"/>
  <c r="G89" i="20" s="1"/>
  <c r="G90" i="20" s="1"/>
  <c r="H63" i="19" s="1"/>
  <c r="C55" i="38" s="1"/>
  <c r="I26" i="18"/>
  <c r="C142" i="20" s="1"/>
  <c r="G144" i="20" s="1"/>
  <c r="C18" i="20"/>
  <c r="G18" i="20" s="1"/>
  <c r="G19" i="20" s="1"/>
  <c r="E10" i="19"/>
  <c r="F10" i="19" s="1"/>
  <c r="H10" i="19" s="1"/>
  <c r="E11" i="19"/>
  <c r="F11" i="19" s="1"/>
  <c r="H11" i="19" s="1"/>
  <c r="M195" i="17" s="1"/>
  <c r="N195" i="17" s="1"/>
  <c r="E53" i="19"/>
  <c r="E47" i="19"/>
  <c r="F47" i="19" s="1"/>
  <c r="H47" i="19" s="1"/>
  <c r="E20" i="19"/>
  <c r="F20" i="19" s="1"/>
  <c r="H20" i="19" s="1"/>
  <c r="M182" i="17" s="1"/>
  <c r="N182" i="17" s="1"/>
  <c r="N184" i="17" s="1"/>
  <c r="E56" i="19"/>
  <c r="F56" i="19" s="1"/>
  <c r="H56" i="19" s="1"/>
  <c r="M274" i="17" s="1"/>
  <c r="N274" i="17" s="1"/>
  <c r="E13" i="19"/>
  <c r="F13" i="19" s="1"/>
  <c r="H13" i="19" s="1"/>
  <c r="M83" i="17" s="1"/>
  <c r="N83" i="17" s="1"/>
  <c r="C105" i="20"/>
  <c r="G107" i="20" s="1"/>
  <c r="G109" i="20" s="1"/>
  <c r="G110" i="20" s="1"/>
  <c r="H65" i="19" s="1"/>
  <c r="Q30" i="17"/>
  <c r="R30" i="17" s="1"/>
  <c r="I28" i="55" s="1"/>
  <c r="J28" i="55" s="1"/>
  <c r="H289" i="30"/>
  <c r="H182" i="30"/>
  <c r="G93" i="27"/>
  <c r="G95" i="27" s="1"/>
  <c r="G97" i="27" s="1"/>
  <c r="G98" i="31"/>
  <c r="M142" i="17"/>
  <c r="N142" i="17" s="1"/>
  <c r="H91" i="30"/>
  <c r="M110" i="17"/>
  <c r="N110" i="17" s="1"/>
  <c r="M144" i="17"/>
  <c r="N144" i="17" s="1"/>
  <c r="E43" i="19"/>
  <c r="F43" i="19" s="1"/>
  <c r="H43" i="19" s="1"/>
  <c r="M130" i="17" s="1"/>
  <c r="N130" i="17" s="1"/>
  <c r="E22" i="19"/>
  <c r="F22" i="19" s="1"/>
  <c r="H22" i="19" s="1"/>
  <c r="G185" i="20"/>
  <c r="O21" i="17"/>
  <c r="G10" i="38"/>
  <c r="G11" i="38" s="1"/>
  <c r="AA126" i="32"/>
  <c r="G79" i="47"/>
  <c r="H183" i="30"/>
  <c r="AC126" i="32"/>
  <c r="H251" i="30"/>
  <c r="I29" i="38"/>
  <c r="I30" i="38" s="1"/>
  <c r="G63" i="24"/>
  <c r="G409" i="4"/>
  <c r="G410" i="4" s="1"/>
  <c r="G411" i="4" s="1"/>
  <c r="E36" i="24"/>
  <c r="E45" i="24" s="1"/>
  <c r="N47" i="24"/>
  <c r="R9" i="25"/>
  <c r="R44" i="25" s="1"/>
  <c r="Q44" i="25"/>
  <c r="I192" i="17"/>
  <c r="O192" i="17" s="1"/>
  <c r="I273" i="17"/>
  <c r="I214" i="17"/>
  <c r="N211" i="17" s="1"/>
  <c r="I146" i="17"/>
  <c r="D31" i="21"/>
  <c r="I58" i="22"/>
  <c r="I59" i="22" s="1"/>
  <c r="I61" i="22" s="1"/>
  <c r="E41" i="21"/>
  <c r="C13" i="25"/>
  <c r="F13" i="25" s="1"/>
  <c r="F19" i="25"/>
  <c r="G62" i="24"/>
  <c r="G75" i="24"/>
  <c r="G71" i="24"/>
  <c r="G36" i="24"/>
  <c r="G45" i="24" s="1"/>
  <c r="C15" i="25"/>
  <c r="F15" i="25" s="1"/>
  <c r="G82" i="24"/>
  <c r="E74" i="24"/>
  <c r="G74" i="24" s="1"/>
  <c r="G61" i="24"/>
  <c r="G70" i="24"/>
  <c r="G23" i="24"/>
  <c r="E73" i="24"/>
  <c r="G73" i="24" s="1"/>
  <c r="C34" i="25"/>
  <c r="F34" i="25" s="1"/>
  <c r="G25" i="24"/>
  <c r="E22" i="24"/>
  <c r="G83" i="24"/>
  <c r="C14" i="25"/>
  <c r="F14" i="25" s="1"/>
  <c r="O44" i="25"/>
  <c r="G84" i="24"/>
  <c r="G65" i="24"/>
  <c r="G69" i="24"/>
  <c r="G85" i="24"/>
  <c r="G66" i="24"/>
  <c r="M134" i="17"/>
  <c r="N134" i="17" s="1"/>
  <c r="M125" i="17"/>
  <c r="N125" i="17" s="1"/>
  <c r="M124" i="17"/>
  <c r="N124" i="17" s="1"/>
  <c r="M114" i="17"/>
  <c r="N114" i="17" s="1"/>
  <c r="I218" i="17"/>
  <c r="N215" i="17" s="1"/>
  <c r="I104" i="17"/>
  <c r="I269" i="17"/>
  <c r="I199" i="17"/>
  <c r="I184" i="17"/>
  <c r="G50" i="29"/>
  <c r="G52" i="29" s="1"/>
  <c r="G54" i="29" s="1"/>
  <c r="D80" i="36"/>
  <c r="D84" i="36" s="1"/>
  <c r="G421" i="4"/>
  <c r="G422" i="4" s="1"/>
  <c r="I79" i="36"/>
  <c r="E84" i="36"/>
  <c r="G39" i="37" s="1"/>
  <c r="H39" i="37" s="1"/>
  <c r="I39" i="37" s="1"/>
  <c r="F112" i="35" s="1"/>
  <c r="C172" i="38"/>
  <c r="E172" i="38" s="1"/>
  <c r="E182" i="38" s="1"/>
  <c r="E183" i="38" s="1"/>
  <c r="E184" i="38" s="1"/>
  <c r="F54" i="35" s="1"/>
  <c r="I81" i="36"/>
  <c r="I262" i="17"/>
  <c r="O262" i="17" s="1"/>
  <c r="I153" i="17"/>
  <c r="I78" i="17"/>
  <c r="I36" i="17"/>
  <c r="I196" i="17"/>
  <c r="I162" i="17"/>
  <c r="F15" i="35"/>
  <c r="F255" i="4" s="1"/>
  <c r="G255" i="4" s="1"/>
  <c r="I149" i="17"/>
  <c r="I137" i="17"/>
  <c r="I246" i="17"/>
  <c r="N243" i="17" s="1"/>
  <c r="I159" i="17"/>
  <c r="I107" i="17"/>
  <c r="I242" i="17"/>
  <c r="N239" i="17" s="1"/>
  <c r="I168" i="17"/>
  <c r="K12" i="38"/>
  <c r="K13" i="38" s="1"/>
  <c r="E31" i="38"/>
  <c r="E32" i="38" s="1"/>
  <c r="AC127" i="32"/>
  <c r="AC128" i="32" s="1"/>
  <c r="K49" i="22" s="1"/>
  <c r="K151" i="38"/>
  <c r="K152" i="38"/>
  <c r="K31" i="38"/>
  <c r="K32" i="38" s="1"/>
  <c r="H173" i="30"/>
  <c r="H148" i="30"/>
  <c r="D165" i="30"/>
  <c r="H165" i="30" s="1"/>
  <c r="E238" i="30"/>
  <c r="H238" i="30" s="1"/>
  <c r="G82" i="27"/>
  <c r="G85" i="27" s="1"/>
  <c r="H35" i="39"/>
  <c r="H36" i="39" s="1"/>
  <c r="G91" i="31"/>
  <c r="G92" i="31" s="1"/>
  <c r="D104" i="31"/>
  <c r="G104" i="31" s="1"/>
  <c r="G105" i="31" s="1"/>
  <c r="E32" i="30"/>
  <c r="H32" i="30" s="1"/>
  <c r="F12" i="25"/>
  <c r="C122" i="38"/>
  <c r="M122" i="38" s="1"/>
  <c r="M125" i="38" s="1"/>
  <c r="C40" i="38"/>
  <c r="Q40" i="38"/>
  <c r="H82" i="30"/>
  <c r="E215" i="30"/>
  <c r="H215" i="30" s="1"/>
  <c r="H217" i="30" s="1"/>
  <c r="E219" i="30"/>
  <c r="D219" i="30"/>
  <c r="C28" i="25"/>
  <c r="F28" i="25" s="1"/>
  <c r="F27" i="25"/>
  <c r="S151" i="38"/>
  <c r="S152" i="38"/>
  <c r="H296" i="30"/>
  <c r="H285" i="30"/>
  <c r="G39" i="27"/>
  <c r="D40" i="27"/>
  <c r="G40" i="27" s="1"/>
  <c r="M135" i="38"/>
  <c r="M12" i="38"/>
  <c r="M13" i="38" s="1"/>
  <c r="F12" i="35" s="1"/>
  <c r="E12" i="38"/>
  <c r="E13" i="38" s="1"/>
  <c r="D63" i="30"/>
  <c r="H63" i="30" s="1"/>
  <c r="H68" i="30" s="1"/>
  <c r="H46" i="30"/>
  <c r="H50" i="30" s="1"/>
  <c r="H276" i="30"/>
  <c r="E117" i="30"/>
  <c r="H117" i="30" s="1"/>
  <c r="E220" i="30"/>
  <c r="H220" i="30" s="1"/>
  <c r="M31" i="38"/>
  <c r="M32" i="38" s="1"/>
  <c r="E112" i="30"/>
  <c r="H112" i="30" s="1"/>
  <c r="H114" i="30" s="1"/>
  <c r="E116" i="30"/>
  <c r="D116" i="30"/>
  <c r="D269" i="30"/>
  <c r="H269" i="30" s="1"/>
  <c r="H252" i="30"/>
  <c r="H15" i="30"/>
  <c r="I30" i="25"/>
  <c r="F9" i="25"/>
  <c r="F8" i="25"/>
  <c r="E224" i="30"/>
  <c r="H224" i="30" s="1"/>
  <c r="H227" i="30" s="1"/>
  <c r="D166" i="30"/>
  <c r="H166" i="30" s="1"/>
  <c r="H149" i="30"/>
  <c r="G50" i="31"/>
  <c r="H193" i="30"/>
  <c r="P44" i="25"/>
  <c r="G57" i="24"/>
  <c r="H268" i="30"/>
  <c r="M268" i="17"/>
  <c r="N268" i="17" s="1"/>
  <c r="M258" i="17"/>
  <c r="N258" i="17" s="1"/>
  <c r="M198" i="17"/>
  <c r="N198" i="17" s="1"/>
  <c r="M140" i="17"/>
  <c r="N140" i="17" s="1"/>
  <c r="M118" i="17"/>
  <c r="N118" i="17" s="1"/>
  <c r="M131" i="17"/>
  <c r="N131" i="17" s="1"/>
  <c r="E16" i="19"/>
  <c r="F16" i="19" s="1"/>
  <c r="H16" i="19" s="1"/>
  <c r="M133" i="17"/>
  <c r="N133" i="17" s="1"/>
  <c r="E14" i="19"/>
  <c r="F14" i="19" s="1"/>
  <c r="H14" i="19" s="1"/>
  <c r="M84" i="17" s="1"/>
  <c r="N84" i="17" s="1"/>
  <c r="E28" i="19"/>
  <c r="F28" i="19" s="1"/>
  <c r="H28" i="19" s="1"/>
  <c r="I222" i="17"/>
  <c r="I156" i="17"/>
  <c r="I72" i="17"/>
  <c r="I47" i="17"/>
  <c r="O16" i="17"/>
  <c r="I226" i="17"/>
  <c r="E18" i="19"/>
  <c r="F18" i="19" s="1"/>
  <c r="H18" i="19" s="1"/>
  <c r="M92" i="17" s="1"/>
  <c r="N92" i="17" s="1"/>
  <c r="E55" i="19"/>
  <c r="F55" i="19" s="1"/>
  <c r="H55" i="19" s="1"/>
  <c r="M190" i="17" s="1"/>
  <c r="I187" i="17"/>
  <c r="O187" i="17" s="1"/>
  <c r="I178" i="17"/>
  <c r="O13" i="17"/>
  <c r="P13" i="17" s="1"/>
  <c r="G439" i="4"/>
  <c r="G454" i="4"/>
  <c r="G69" i="20"/>
  <c r="G70" i="20" s="1"/>
  <c r="H62" i="19" s="1"/>
  <c r="M200" i="17" s="1"/>
  <c r="N200" i="17" s="1"/>
  <c r="O200" i="17" s="1"/>
  <c r="I250" i="17"/>
  <c r="N248" i="17" s="1"/>
  <c r="I171" i="17"/>
  <c r="I58" i="17"/>
  <c r="O18" i="17"/>
  <c r="N23" i="17"/>
  <c r="O23" i="17" s="1"/>
  <c r="P23" i="17" s="1"/>
  <c r="E24" i="19"/>
  <c r="F24" i="19" s="1"/>
  <c r="H24" i="19" s="1"/>
  <c r="M176" i="17" s="1"/>
  <c r="N176" i="17" s="1"/>
  <c r="N178" i="17" s="1"/>
  <c r="G165" i="20"/>
  <c r="G146" i="20"/>
  <c r="G127" i="20"/>
  <c r="I281" i="17"/>
  <c r="I230" i="17"/>
  <c r="I116" i="17"/>
  <c r="I39" i="17"/>
  <c r="G25" i="20"/>
  <c r="C47" i="20"/>
  <c r="G49" i="20" s="1"/>
  <c r="G51" i="20" s="1"/>
  <c r="G52" i="20" s="1"/>
  <c r="H9" i="19" s="1"/>
  <c r="C13" i="20"/>
  <c r="G13" i="20" s="1"/>
  <c r="E49" i="19"/>
  <c r="F49" i="19" s="1"/>
  <c r="H49" i="19" s="1"/>
  <c r="E31" i="19"/>
  <c r="F31" i="19" s="1"/>
  <c r="H31" i="19" s="1"/>
  <c r="M105" i="17" s="1"/>
  <c r="N105" i="17" s="1"/>
  <c r="E17" i="19"/>
  <c r="F17" i="19" s="1"/>
  <c r="H17" i="19" s="1"/>
  <c r="M145" i="17" s="1"/>
  <c r="N145" i="17" s="1"/>
  <c r="E29" i="19"/>
  <c r="F29" i="19" s="1"/>
  <c r="H29" i="19" s="1"/>
  <c r="E15" i="19"/>
  <c r="F15" i="19" s="1"/>
  <c r="H15" i="19" s="1"/>
  <c r="J15" i="19" s="1"/>
  <c r="E30" i="19"/>
  <c r="F30" i="19" s="1"/>
  <c r="H30" i="19" s="1"/>
  <c r="M99" i="17" s="1"/>
  <c r="N99" i="17" s="1"/>
  <c r="E50" i="19"/>
  <c r="F50" i="19" s="1"/>
  <c r="H50" i="19" s="1"/>
  <c r="M94" i="17"/>
  <c r="N94" i="17" s="1"/>
  <c r="N25" i="17"/>
  <c r="O25" i="17" s="1"/>
  <c r="G29" i="20"/>
  <c r="G30" i="20" s="1"/>
  <c r="I238" i="17"/>
  <c r="E21" i="19"/>
  <c r="F21" i="19" s="1"/>
  <c r="H21" i="19" s="1"/>
  <c r="E27" i="19"/>
  <c r="F27" i="19" s="1"/>
  <c r="H27" i="19" s="1"/>
  <c r="E25" i="19"/>
  <c r="F25" i="19" s="1"/>
  <c r="H25" i="19" s="1"/>
  <c r="M180" i="17" s="1"/>
  <c r="N180" i="17" s="1"/>
  <c r="E23" i="19"/>
  <c r="F23" i="19" s="1"/>
  <c r="H23" i="19" s="1"/>
  <c r="E12" i="19"/>
  <c r="F12" i="19" s="1"/>
  <c r="H12" i="19" s="1"/>
  <c r="C7" i="20"/>
  <c r="G7" i="20" s="1"/>
  <c r="E39" i="19"/>
  <c r="F39" i="19" s="1"/>
  <c r="H39" i="19" s="1"/>
  <c r="C35" i="20"/>
  <c r="G37" i="20" s="1"/>
  <c r="G39" i="20" s="1"/>
  <c r="E54" i="19"/>
  <c r="F54" i="19" s="1"/>
  <c r="H54" i="19" s="1"/>
  <c r="M189" i="17" s="1"/>
  <c r="E26" i="19"/>
  <c r="F26" i="19" s="1"/>
  <c r="H26" i="19" s="1"/>
  <c r="M179" i="17" s="1"/>
  <c r="N179" i="17" s="1"/>
  <c r="C95" i="20"/>
  <c r="G97" i="20" s="1"/>
  <c r="G99" i="20" s="1"/>
  <c r="G100" i="20" s="1"/>
  <c r="H64" i="19" s="1"/>
  <c r="C75" i="20"/>
  <c r="G77" i="20" s="1"/>
  <c r="G78" i="20" s="1"/>
  <c r="G79" i="20" s="1"/>
  <c r="H61" i="19" s="1"/>
  <c r="M44" i="17" s="1"/>
  <c r="I234" i="17"/>
  <c r="I210" i="17"/>
  <c r="I81" i="17"/>
  <c r="I55" i="17"/>
  <c r="I174" i="17"/>
  <c r="I65" i="17"/>
  <c r="I43" i="17"/>
  <c r="I181" i="17"/>
  <c r="I90" i="17"/>
  <c r="N29" i="17"/>
  <c r="O29" i="17" s="1"/>
  <c r="O26" i="18"/>
  <c r="I165" i="17"/>
  <c r="I127" i="17"/>
  <c r="I51" i="17"/>
  <c r="I259" i="17"/>
  <c r="I206" i="17"/>
  <c r="I112" i="17"/>
  <c r="I86" i="17"/>
  <c r="I277" i="17"/>
  <c r="I97" i="17"/>
  <c r="N31" i="17"/>
  <c r="O31" i="17" s="1"/>
  <c r="N26" i="17"/>
  <c r="O26" i="17" s="1"/>
  <c r="E152" i="38" l="1"/>
  <c r="G151" i="38"/>
  <c r="G153" i="38" s="1"/>
  <c r="G154" i="38" s="1"/>
  <c r="G155" i="38" s="1"/>
  <c r="G156" i="38" s="1"/>
  <c r="H287" i="30"/>
  <c r="M270" i="17"/>
  <c r="N270" i="17" s="1"/>
  <c r="Q55" i="38"/>
  <c r="C56" i="38"/>
  <c r="G55" i="38"/>
  <c r="K55" i="38"/>
  <c r="I55" i="38"/>
  <c r="M55" i="38"/>
  <c r="M152" i="38"/>
  <c r="M153" i="38" s="1"/>
  <c r="M154" i="38" s="1"/>
  <c r="M155" i="38" s="1"/>
  <c r="M156" i="38" s="1"/>
  <c r="I151" i="38"/>
  <c r="I153" i="38" s="1"/>
  <c r="I154" i="38" s="1"/>
  <c r="I155" i="38" s="1"/>
  <c r="I156" i="38" s="1"/>
  <c r="C123" i="20"/>
  <c r="G125" i="20" s="1"/>
  <c r="G128" i="20" s="1"/>
  <c r="G129" i="20" s="1"/>
  <c r="G131" i="20" s="1"/>
  <c r="F142" i="4" s="1"/>
  <c r="G142" i="4" s="1"/>
  <c r="H255" i="30"/>
  <c r="H44" i="39"/>
  <c r="H49" i="39" s="1"/>
  <c r="E81" i="24"/>
  <c r="E90" i="24" s="1"/>
  <c r="H184" i="30"/>
  <c r="M278" i="17"/>
  <c r="N278" i="17" s="1"/>
  <c r="G20" i="20"/>
  <c r="N212" i="17"/>
  <c r="E9" i="53"/>
  <c r="F9" i="53" s="1"/>
  <c r="I24" i="55"/>
  <c r="J24" i="55" s="1"/>
  <c r="I19" i="51"/>
  <c r="J19" i="51" s="1"/>
  <c r="E10" i="53"/>
  <c r="F10" i="53" s="1"/>
  <c r="F9" i="35"/>
  <c r="J217" i="30" s="1"/>
  <c r="K217" i="30" s="1"/>
  <c r="I15" i="51"/>
  <c r="P25" i="17"/>
  <c r="Q25" i="17" s="1"/>
  <c r="R25" i="17" s="1"/>
  <c r="F10" i="35" s="1"/>
  <c r="G147" i="20"/>
  <c r="G148" i="20" s="1"/>
  <c r="G150" i="20" s="1"/>
  <c r="P187" i="17"/>
  <c r="Q187" i="17" s="1"/>
  <c r="R187" i="17" s="1"/>
  <c r="F51" i="35" s="1"/>
  <c r="F257" i="4" s="1"/>
  <c r="G257" i="4" s="1"/>
  <c r="P16" i="17"/>
  <c r="Q16" i="17" s="1"/>
  <c r="R16" i="17" s="1"/>
  <c r="P29" i="17"/>
  <c r="Q29" i="17" s="1"/>
  <c r="R29" i="17" s="1"/>
  <c r="F14" i="35" s="1"/>
  <c r="P192" i="17"/>
  <c r="Q192" i="17" s="1"/>
  <c r="R192" i="17" s="1"/>
  <c r="P26" i="17"/>
  <c r="Q26" i="17" s="1"/>
  <c r="R26" i="17" s="1"/>
  <c r="F11" i="35" s="1"/>
  <c r="E7" i="42" s="1"/>
  <c r="F7" i="42" s="1"/>
  <c r="I6" i="42" s="1"/>
  <c r="P31" i="17"/>
  <c r="Q31" i="17" s="1"/>
  <c r="R31" i="17" s="1"/>
  <c r="F16" i="35" s="1"/>
  <c r="G42" i="27"/>
  <c r="G44" i="27" s="1"/>
  <c r="G46" i="27" s="1"/>
  <c r="P262" i="17"/>
  <c r="Q262" i="17" s="1"/>
  <c r="R262" i="17" s="1"/>
  <c r="P21" i="17"/>
  <c r="Q21" i="17" s="1"/>
  <c r="R21" i="17" s="1"/>
  <c r="M69" i="17"/>
  <c r="N69" i="17" s="1"/>
  <c r="M63" i="17"/>
  <c r="N63" i="17" s="1"/>
  <c r="O184" i="17"/>
  <c r="G20" i="37"/>
  <c r="H20" i="37" s="1"/>
  <c r="I20" i="37" s="1"/>
  <c r="C102" i="38" s="1"/>
  <c r="M102" i="38" s="1"/>
  <c r="G40" i="37"/>
  <c r="H40" i="37" s="1"/>
  <c r="I40" i="37" s="1"/>
  <c r="F90" i="35" s="1"/>
  <c r="G10" i="37"/>
  <c r="H10" i="37" s="1"/>
  <c r="I10" i="37" s="1"/>
  <c r="C67" i="38" s="1"/>
  <c r="K67" i="38" s="1"/>
  <c r="P200" i="17"/>
  <c r="Q200" i="17" s="1"/>
  <c r="R200" i="17" s="1"/>
  <c r="I125" i="55" s="1"/>
  <c r="J125" i="55" s="1"/>
  <c r="P18" i="17"/>
  <c r="Q18" i="17" s="1"/>
  <c r="R18" i="17" s="1"/>
  <c r="Q23" i="17"/>
  <c r="R23" i="17" s="1"/>
  <c r="F8" i="35" s="1"/>
  <c r="J15" i="51"/>
  <c r="H219" i="30"/>
  <c r="H221" i="30" s="1"/>
  <c r="N224" i="17"/>
  <c r="G12" i="38"/>
  <c r="G13" i="38" s="1"/>
  <c r="E153" i="38"/>
  <c r="E154" i="38" s="1"/>
  <c r="E155" i="38" s="1"/>
  <c r="E156" i="38" s="1"/>
  <c r="H152" i="30"/>
  <c r="H161" i="30" s="1"/>
  <c r="G92" i="47"/>
  <c r="G93" i="47" s="1"/>
  <c r="I31" i="38"/>
  <c r="I32" i="38" s="1"/>
  <c r="O178" i="17"/>
  <c r="H116" i="30"/>
  <c r="H118" i="30" s="1"/>
  <c r="H170" i="30"/>
  <c r="I60" i="22"/>
  <c r="I62" i="22" s="1"/>
  <c r="G455" i="4"/>
  <c r="K153" i="38"/>
  <c r="K154" i="38" s="1"/>
  <c r="K155" i="38" s="1"/>
  <c r="K156" i="38" s="1"/>
  <c r="C45" i="25"/>
  <c r="C22" i="25"/>
  <c r="F22" i="25"/>
  <c r="N219" i="17"/>
  <c r="N223" i="17"/>
  <c r="N216" i="17"/>
  <c r="N220" i="17"/>
  <c r="E31" i="21"/>
  <c r="G423" i="4"/>
  <c r="G424" i="4" s="1"/>
  <c r="G425" i="4" s="1"/>
  <c r="E72" i="24"/>
  <c r="E30" i="24"/>
  <c r="E50" i="24" s="1"/>
  <c r="E48" i="22" s="1"/>
  <c r="J48" i="22" s="1"/>
  <c r="G22" i="24"/>
  <c r="G30" i="24" s="1"/>
  <c r="G31" i="24" s="1"/>
  <c r="G32" i="24" s="1"/>
  <c r="G33" i="24" s="1"/>
  <c r="G34" i="24" s="1"/>
  <c r="N181" i="17"/>
  <c r="O181" i="17" s="1"/>
  <c r="N247" i="17"/>
  <c r="N240" i="17"/>
  <c r="N242" i="17" s="1"/>
  <c r="O242" i="17" s="1"/>
  <c r="G19" i="37"/>
  <c r="H19" i="37" s="1"/>
  <c r="I19" i="37" s="1"/>
  <c r="C179" i="38" s="1"/>
  <c r="M179" i="38" s="1"/>
  <c r="G24" i="37"/>
  <c r="H24" i="37" s="1"/>
  <c r="I24" i="37" s="1"/>
  <c r="C118" i="38" s="1"/>
  <c r="I118" i="38" s="1"/>
  <c r="I125" i="38" s="1"/>
  <c r="I126" i="38" s="1"/>
  <c r="I127" i="38" s="1"/>
  <c r="G15" i="37"/>
  <c r="H15" i="37" s="1"/>
  <c r="I15" i="37" s="1"/>
  <c r="F94" i="35" s="1"/>
  <c r="G28" i="37"/>
  <c r="H28" i="37" s="1"/>
  <c r="I28" i="37" s="1"/>
  <c r="C72" i="38" s="1"/>
  <c r="M72" i="38" s="1"/>
  <c r="G33" i="37"/>
  <c r="H33" i="37" s="1"/>
  <c r="I33" i="37" s="1"/>
  <c r="C176" i="38" s="1"/>
  <c r="G38" i="37"/>
  <c r="H38" i="37" s="1"/>
  <c r="I38" i="37" s="1"/>
  <c r="G16" i="37"/>
  <c r="H16" i="37" s="1"/>
  <c r="I16" i="37" s="1"/>
  <c r="I9" i="26" s="1"/>
  <c r="J9" i="26" s="1"/>
  <c r="G12" i="37"/>
  <c r="H12" i="37" s="1"/>
  <c r="I12" i="37" s="1"/>
  <c r="C120" i="38" s="1"/>
  <c r="K120" i="38" s="1"/>
  <c r="G13" i="37"/>
  <c r="H13" i="37" s="1"/>
  <c r="I13" i="37" s="1"/>
  <c r="C174" i="38" s="1"/>
  <c r="G34" i="37"/>
  <c r="H34" i="37" s="1"/>
  <c r="I34" i="37" s="1"/>
  <c r="C178" i="38" s="1"/>
  <c r="I178" i="38" s="1"/>
  <c r="G35" i="37"/>
  <c r="H35" i="37" s="1"/>
  <c r="I35" i="37" s="1"/>
  <c r="C103" i="38" s="1"/>
  <c r="M103" i="38" s="1"/>
  <c r="G44" i="37"/>
  <c r="H44" i="37" s="1"/>
  <c r="G27" i="37"/>
  <c r="H27" i="37" s="1"/>
  <c r="I27" i="37" s="1"/>
  <c r="Q137" i="38" s="1"/>
  <c r="S137" i="38" s="1"/>
  <c r="S138" i="38" s="1"/>
  <c r="G22" i="37"/>
  <c r="H22" i="37" s="1"/>
  <c r="I22" i="37" s="1"/>
  <c r="C116" i="38" s="1"/>
  <c r="E116" i="38" s="1"/>
  <c r="G32" i="37"/>
  <c r="H32" i="37" s="1"/>
  <c r="I32" i="37" s="1"/>
  <c r="G43" i="37"/>
  <c r="H43" i="37" s="1"/>
  <c r="I43" i="37" s="1"/>
  <c r="F91" i="35" s="1"/>
  <c r="G21" i="37"/>
  <c r="H21" i="37" s="1"/>
  <c r="I21" i="37" s="1"/>
  <c r="C115" i="38" s="1"/>
  <c r="E115" i="38" s="1"/>
  <c r="G36" i="37"/>
  <c r="H36" i="37" s="1"/>
  <c r="I36" i="37" s="1"/>
  <c r="C104" i="38" s="1"/>
  <c r="M104" i="38" s="1"/>
  <c r="G45" i="37"/>
  <c r="H45" i="37" s="1"/>
  <c r="G17" i="37"/>
  <c r="H17" i="37" s="1"/>
  <c r="I17" i="37" s="1"/>
  <c r="I18" i="37" s="1"/>
  <c r="C100" i="38" s="1"/>
  <c r="K100" i="38" s="1"/>
  <c r="G25" i="37"/>
  <c r="H25" i="37" s="1"/>
  <c r="I25" i="37" s="1"/>
  <c r="G23" i="37"/>
  <c r="H23" i="37" s="1"/>
  <c r="I23" i="37" s="1"/>
  <c r="C117" i="38" s="1"/>
  <c r="G117" i="38" s="1"/>
  <c r="G125" i="38" s="1"/>
  <c r="G126" i="38" s="1"/>
  <c r="G127" i="38" s="1"/>
  <c r="G41" i="37"/>
  <c r="H41" i="37" s="1"/>
  <c r="I41" i="37" s="1"/>
  <c r="G26" i="37"/>
  <c r="H26" i="37" s="1"/>
  <c r="G29" i="37"/>
  <c r="H29" i="37" s="1"/>
  <c r="I29" i="37" s="1"/>
  <c r="G31" i="37"/>
  <c r="H31" i="37" s="1"/>
  <c r="I31" i="37" s="1"/>
  <c r="C177" i="38" s="1"/>
  <c r="G177" i="38" s="1"/>
  <c r="I84" i="36"/>
  <c r="I85" i="36" s="1"/>
  <c r="F97" i="35" s="1"/>
  <c r="G14" i="37"/>
  <c r="H14" i="37" s="1"/>
  <c r="I14" i="37" s="1"/>
  <c r="C70" i="38" s="1"/>
  <c r="K70" i="38" s="1"/>
  <c r="F96" i="35"/>
  <c r="G37" i="37"/>
  <c r="H37" i="37" s="1"/>
  <c r="I37" i="37" s="1"/>
  <c r="I96" i="26" s="1"/>
  <c r="J96" i="26" s="1"/>
  <c r="G8" i="37"/>
  <c r="H8" i="37" s="1"/>
  <c r="I8" i="37" s="1"/>
  <c r="Q87" i="38" s="1"/>
  <c r="G42" i="37"/>
  <c r="H42" i="37" s="1"/>
  <c r="I42" i="37" s="1"/>
  <c r="J93" i="30" s="1"/>
  <c r="K93" i="30" s="1"/>
  <c r="G30" i="37"/>
  <c r="H30" i="37" s="1"/>
  <c r="I30" i="37" s="1"/>
  <c r="C175" i="38" s="1"/>
  <c r="M175" i="38" s="1"/>
  <c r="G11" i="37"/>
  <c r="H11" i="37" s="1"/>
  <c r="I11" i="37" s="1"/>
  <c r="C68" i="38" s="1"/>
  <c r="I68" i="38" s="1"/>
  <c r="N250" i="17"/>
  <c r="O250" i="17" s="1"/>
  <c r="N244" i="17"/>
  <c r="N246" i="17" s="1"/>
  <c r="O246" i="17" s="1"/>
  <c r="I51" i="26"/>
  <c r="J51" i="26" s="1"/>
  <c r="H264" i="30"/>
  <c r="H56" i="39"/>
  <c r="G56" i="39"/>
  <c r="G55" i="39"/>
  <c r="H55" i="39"/>
  <c r="I20" i="25"/>
  <c r="H273" i="30"/>
  <c r="C99" i="38"/>
  <c r="C88" i="38"/>
  <c r="C54" i="38"/>
  <c r="Q39" i="38"/>
  <c r="Q88" i="38"/>
  <c r="Q54" i="38"/>
  <c r="C39" i="38"/>
  <c r="U40" i="38"/>
  <c r="S40" i="38"/>
  <c r="H59" i="30"/>
  <c r="M126" i="38"/>
  <c r="M127" i="38" s="1"/>
  <c r="F37" i="25"/>
  <c r="F45" i="25" s="1"/>
  <c r="J221" i="30"/>
  <c r="J118" i="30"/>
  <c r="I9" i="28"/>
  <c r="J9" i="28" s="1"/>
  <c r="J15" i="30"/>
  <c r="K15" i="30" s="1"/>
  <c r="H28" i="25"/>
  <c r="I28" i="25" s="1"/>
  <c r="H9" i="25"/>
  <c r="I9" i="25" s="1"/>
  <c r="G46" i="24"/>
  <c r="G47" i="24" s="1"/>
  <c r="G48" i="24"/>
  <c r="M40" i="38"/>
  <c r="K40" i="38"/>
  <c r="I40" i="38"/>
  <c r="I44" i="38" s="1"/>
  <c r="G40" i="38"/>
  <c r="G44" i="38" s="1"/>
  <c r="E40" i="38"/>
  <c r="E44" i="38" s="1"/>
  <c r="S153" i="38"/>
  <c r="M115" i="17"/>
  <c r="N115" i="17" s="1"/>
  <c r="M111" i="17"/>
  <c r="N111" i="17" s="1"/>
  <c r="M139" i="17"/>
  <c r="N139" i="17" s="1"/>
  <c r="M136" i="17"/>
  <c r="N136" i="17" s="1"/>
  <c r="M96" i="17"/>
  <c r="N96" i="17" s="1"/>
  <c r="N97" i="17" s="1"/>
  <c r="O97" i="17" s="1"/>
  <c r="M89" i="17"/>
  <c r="N89" i="17" s="1"/>
  <c r="M126" i="17"/>
  <c r="N126" i="17" s="1"/>
  <c r="Q13" i="17"/>
  <c r="R13" i="17" s="1"/>
  <c r="F7" i="35" s="1"/>
  <c r="N227" i="17"/>
  <c r="N228" i="17"/>
  <c r="G412" i="4"/>
  <c r="G413" i="4" s="1"/>
  <c r="M213" i="17"/>
  <c r="N213" i="17" s="1"/>
  <c r="M217" i="17"/>
  <c r="N217" i="17" s="1"/>
  <c r="M209" i="17"/>
  <c r="N209" i="17" s="1"/>
  <c r="M225" i="17"/>
  <c r="N225" i="17" s="1"/>
  <c r="M205" i="17"/>
  <c r="N205" i="17" s="1"/>
  <c r="M221" i="17"/>
  <c r="N221" i="17" s="1"/>
  <c r="G53" i="20"/>
  <c r="N231" i="17"/>
  <c r="N232" i="17"/>
  <c r="M197" i="17"/>
  <c r="N197" i="17" s="1"/>
  <c r="N199" i="17" s="1"/>
  <c r="O199" i="17" s="1"/>
  <c r="M85" i="17"/>
  <c r="N85" i="17" s="1"/>
  <c r="M194" i="17"/>
  <c r="N194" i="17" s="1"/>
  <c r="N196" i="17" s="1"/>
  <c r="O196" i="17" s="1"/>
  <c r="N207" i="17"/>
  <c r="N208" i="17"/>
  <c r="M80" i="17"/>
  <c r="N80" i="17" s="1"/>
  <c r="M266" i="17"/>
  <c r="N266" i="17" s="1"/>
  <c r="N204" i="17"/>
  <c r="N203" i="17"/>
  <c r="M57" i="17"/>
  <c r="N57" i="17" s="1"/>
  <c r="N58" i="17" s="1"/>
  <c r="O58" i="17" s="1"/>
  <c r="M77" i="17"/>
  <c r="N77" i="17" s="1"/>
  <c r="M71" i="17"/>
  <c r="N71" i="17" s="1"/>
  <c r="G42" i="20"/>
  <c r="H8" i="19" s="1"/>
  <c r="G40" i="20"/>
  <c r="G41" i="20" s="1"/>
  <c r="N236" i="17"/>
  <c r="N235" i="17"/>
  <c r="M34" i="17"/>
  <c r="N34" i="17" s="1"/>
  <c r="N36" i="17" s="1"/>
  <c r="O36" i="17" s="1"/>
  <c r="M41" i="17"/>
  <c r="N41" i="17" s="1"/>
  <c r="M52" i="17"/>
  <c r="N52" i="17" s="1"/>
  <c r="M38" i="17"/>
  <c r="N38" i="17" s="1"/>
  <c r="N39" i="17" s="1"/>
  <c r="O39" i="17" s="1"/>
  <c r="N44" i="17"/>
  <c r="M48" i="17"/>
  <c r="N48" i="17" s="1"/>
  <c r="M40" i="17"/>
  <c r="N40" i="17" s="1"/>
  <c r="O40" i="17" s="1"/>
  <c r="M100" i="17"/>
  <c r="N100" i="17" s="1"/>
  <c r="N104" i="17" s="1"/>
  <c r="O104" i="17" s="1"/>
  <c r="M106" i="17"/>
  <c r="N106" i="17" s="1"/>
  <c r="N107" i="17" s="1"/>
  <c r="O107" i="17" s="1"/>
  <c r="C181" i="20"/>
  <c r="G183" i="20" s="1"/>
  <c r="G186" i="20" s="1"/>
  <c r="C161" i="20"/>
  <c r="G163" i="20" s="1"/>
  <c r="G166" i="20" s="1"/>
  <c r="C56" i="20"/>
  <c r="G58" i="20" s="1"/>
  <c r="G60" i="20" s="1"/>
  <c r="G61" i="20" s="1"/>
  <c r="H66" i="19" s="1"/>
  <c r="M64" i="17"/>
  <c r="N64" i="17" s="1"/>
  <c r="M76" i="17"/>
  <c r="N76" i="17" s="1"/>
  <c r="M70" i="17"/>
  <c r="N70" i="17" s="1"/>
  <c r="G8" i="20"/>
  <c r="G9" i="20" s="1"/>
  <c r="G14" i="20"/>
  <c r="G15" i="20" s="1"/>
  <c r="J11" i="30" l="1"/>
  <c r="K11" i="30" s="1"/>
  <c r="I9" i="27"/>
  <c r="J9" i="27" s="1"/>
  <c r="K56" i="38"/>
  <c r="G56" i="38"/>
  <c r="E56" i="38"/>
  <c r="Q56" i="38"/>
  <c r="S56" i="38" s="1"/>
  <c r="U55" i="38"/>
  <c r="S55" i="38"/>
  <c r="J114" i="30"/>
  <c r="K114" i="30" s="1"/>
  <c r="I8" i="28"/>
  <c r="J8" i="28" s="1"/>
  <c r="J10" i="28" s="1"/>
  <c r="J22" i="28" s="1"/>
  <c r="J23" i="28" s="1"/>
  <c r="J24" i="28" s="1"/>
  <c r="J25" i="28" s="1"/>
  <c r="D33" i="22" s="1"/>
  <c r="I63" i="27"/>
  <c r="J63" i="27" s="1"/>
  <c r="N218" i="17"/>
  <c r="O218" i="17" s="1"/>
  <c r="P218" i="17" s="1"/>
  <c r="Q218" i="17" s="1"/>
  <c r="R218" i="17" s="1"/>
  <c r="F78" i="35" s="1"/>
  <c r="I83" i="26"/>
  <c r="J83" i="26" s="1"/>
  <c r="I13" i="29"/>
  <c r="J13" i="29" s="1"/>
  <c r="I27" i="26"/>
  <c r="J27" i="26" s="1"/>
  <c r="I34" i="31"/>
  <c r="J34" i="31" s="1"/>
  <c r="I7" i="26"/>
  <c r="J7" i="26" s="1"/>
  <c r="I6" i="31"/>
  <c r="J6" i="31" s="1"/>
  <c r="E67" i="38"/>
  <c r="E5" i="48"/>
  <c r="F5" i="48" s="1"/>
  <c r="K22" i="67"/>
  <c r="K23" i="66"/>
  <c r="L23" i="66" s="1"/>
  <c r="K22" i="65"/>
  <c r="L22" i="65" s="1"/>
  <c r="K21" i="67"/>
  <c r="K22" i="66"/>
  <c r="L22" i="66" s="1"/>
  <c r="K21" i="65"/>
  <c r="K15" i="67"/>
  <c r="K16" i="66"/>
  <c r="L16" i="66" s="1"/>
  <c r="K16" i="65"/>
  <c r="L16" i="65" s="1"/>
  <c r="I26" i="37"/>
  <c r="Q57" i="38" s="1"/>
  <c r="N214" i="17"/>
  <c r="O214" i="17" s="1"/>
  <c r="P214" i="17" s="1"/>
  <c r="Q214" i="17" s="1"/>
  <c r="R214" i="17" s="1"/>
  <c r="F77" i="35" s="1"/>
  <c r="G81" i="24"/>
  <c r="G90" i="24" s="1"/>
  <c r="I40" i="26"/>
  <c r="J40" i="26" s="1"/>
  <c r="F110" i="4"/>
  <c r="G110" i="4" s="1"/>
  <c r="F60" i="4"/>
  <c r="G60" i="4" s="1"/>
  <c r="F15" i="4"/>
  <c r="G15" i="4" s="1"/>
  <c r="N226" i="17"/>
  <c r="O226" i="17" s="1"/>
  <c r="P226" i="17" s="1"/>
  <c r="Q226" i="17" s="1"/>
  <c r="R226" i="17" s="1"/>
  <c r="F80" i="35" s="1"/>
  <c r="G178" i="38"/>
  <c r="H8" i="25"/>
  <c r="I8" i="25" s="1"/>
  <c r="I75" i="31"/>
  <c r="J75" i="31" s="1"/>
  <c r="H27" i="25"/>
  <c r="I27" i="25" s="1"/>
  <c r="I97" i="26"/>
  <c r="J97" i="26" s="1"/>
  <c r="N222" i="17"/>
  <c r="O222" i="17" s="1"/>
  <c r="P222" i="17" s="1"/>
  <c r="Q222" i="17" s="1"/>
  <c r="R222" i="17" s="1"/>
  <c r="F79" i="35" s="1"/>
  <c r="E30" i="44"/>
  <c r="F30" i="44" s="1"/>
  <c r="F54" i="4"/>
  <c r="G54" i="4" s="1"/>
  <c r="F187" i="4"/>
  <c r="G187" i="4" s="1"/>
  <c r="F305" i="4"/>
  <c r="G305" i="4" s="1"/>
  <c r="F105" i="4"/>
  <c r="G105" i="4" s="1"/>
  <c r="I6" i="46"/>
  <c r="I15" i="46" s="1"/>
  <c r="F204" i="4"/>
  <c r="G204" i="4" s="1"/>
  <c r="F9" i="4"/>
  <c r="G9" i="4" s="1"/>
  <c r="H6" i="50"/>
  <c r="I6" i="50" s="1"/>
  <c r="F337" i="4"/>
  <c r="G337" i="4" s="1"/>
  <c r="D7" i="40"/>
  <c r="AD7" i="40" s="1"/>
  <c r="I89" i="51"/>
  <c r="J89" i="51" s="1"/>
  <c r="E20" i="53"/>
  <c r="F20" i="53" s="1"/>
  <c r="E8" i="44"/>
  <c r="F8" i="44" s="1"/>
  <c r="F8" i="4"/>
  <c r="G8" i="4" s="1"/>
  <c r="F238" i="4"/>
  <c r="G238" i="4" s="1"/>
  <c r="F186" i="4"/>
  <c r="G186" i="4" s="1"/>
  <c r="F304" i="4"/>
  <c r="G304" i="4" s="1"/>
  <c r="F202" i="4"/>
  <c r="G202" i="4" s="1"/>
  <c r="F167" i="4"/>
  <c r="G167" i="4" s="1"/>
  <c r="D6" i="40"/>
  <c r="AG6" i="40" s="1"/>
  <c r="I5" i="46"/>
  <c r="F221" i="4"/>
  <c r="G221" i="4" s="1"/>
  <c r="F336" i="4"/>
  <c r="G336" i="4" s="1"/>
  <c r="F104" i="4"/>
  <c r="G104" i="4" s="1"/>
  <c r="H4" i="50"/>
  <c r="I4" i="50" s="1"/>
  <c r="F52" i="4"/>
  <c r="G52" i="4" s="1"/>
  <c r="F328" i="4"/>
  <c r="G328" i="4" s="1"/>
  <c r="G329" i="4" s="1"/>
  <c r="G330" i="4" s="1"/>
  <c r="F331" i="4" s="1"/>
  <c r="G331" i="4" s="1"/>
  <c r="G355" i="4" s="1"/>
  <c r="P250" i="17"/>
  <c r="Q250" i="17" s="1"/>
  <c r="R250" i="17" s="1"/>
  <c r="F88" i="35" s="1"/>
  <c r="P242" i="17"/>
  <c r="Q242" i="17" s="1"/>
  <c r="R242" i="17" s="1"/>
  <c r="F86" i="35" s="1"/>
  <c r="P246" i="17"/>
  <c r="Q246" i="17" s="1"/>
  <c r="R246" i="17" s="1"/>
  <c r="F87" i="35" s="1"/>
  <c r="E4" i="48"/>
  <c r="F4" i="48" s="1"/>
  <c r="F254" i="4"/>
  <c r="G254" i="4" s="1"/>
  <c r="F279" i="4"/>
  <c r="G279" i="4" s="1"/>
  <c r="P107" i="17"/>
  <c r="Q107" i="17" s="1"/>
  <c r="R107" i="17" s="1"/>
  <c r="F50" i="35" s="1"/>
  <c r="E13" i="48" s="1"/>
  <c r="F13" i="48" s="1"/>
  <c r="P104" i="17"/>
  <c r="Q104" i="17" s="1"/>
  <c r="R104" i="17" s="1"/>
  <c r="F49" i="35" s="1"/>
  <c r="P181" i="17"/>
  <c r="Q181" i="17" s="1"/>
  <c r="R181" i="17" s="1"/>
  <c r="F70" i="35" s="1"/>
  <c r="P97" i="17"/>
  <c r="Q97" i="17" s="1"/>
  <c r="R97" i="17" s="1"/>
  <c r="F42" i="35" s="1"/>
  <c r="P178" i="17"/>
  <c r="Q178" i="17" s="1"/>
  <c r="R178" i="17" s="1"/>
  <c r="F71" i="35" s="1"/>
  <c r="P184" i="17"/>
  <c r="Q184" i="17" s="1"/>
  <c r="R184" i="17" s="1"/>
  <c r="F72" i="35" s="1"/>
  <c r="P196" i="17"/>
  <c r="Q196" i="17" s="1"/>
  <c r="R196" i="17" s="1"/>
  <c r="P199" i="17"/>
  <c r="Q199" i="17" s="1"/>
  <c r="F347" i="4"/>
  <c r="G347" i="4" s="1"/>
  <c r="F53" i="35"/>
  <c r="P39" i="17"/>
  <c r="Q39" i="17" s="1"/>
  <c r="R39" i="17" s="1"/>
  <c r="F21" i="35" s="1"/>
  <c r="F281" i="4" s="1"/>
  <c r="G281" i="4" s="1"/>
  <c r="P36" i="17"/>
  <c r="Q36" i="17" s="1"/>
  <c r="R36" i="17" s="1"/>
  <c r="F22" i="35" s="1"/>
  <c r="F282" i="4" s="1"/>
  <c r="G282" i="4" s="1"/>
  <c r="P40" i="17"/>
  <c r="Q40" i="17" s="1"/>
  <c r="R40" i="17" s="1"/>
  <c r="I39" i="55" s="1"/>
  <c r="J39" i="55" s="1"/>
  <c r="P58" i="17"/>
  <c r="Q58" i="17" s="1"/>
  <c r="R58" i="17" s="1"/>
  <c r="I57" i="31"/>
  <c r="J57" i="31" s="1"/>
  <c r="F93" i="35"/>
  <c r="I98" i="27" s="1"/>
  <c r="J98" i="27" s="1"/>
  <c r="E6" i="42"/>
  <c r="F6" i="42" s="1"/>
  <c r="E6" i="44"/>
  <c r="F6" i="44" s="1"/>
  <c r="E79" i="24"/>
  <c r="G72" i="24"/>
  <c r="G79" i="24" s="1"/>
  <c r="G49" i="24"/>
  <c r="G50" i="24" s="1"/>
  <c r="N230" i="17"/>
  <c r="O230" i="17" s="1"/>
  <c r="F165" i="4"/>
  <c r="G165" i="4" s="1"/>
  <c r="F200" i="4"/>
  <c r="G200" i="4" s="1"/>
  <c r="F302" i="4"/>
  <c r="G302" i="4" s="1"/>
  <c r="F50" i="4"/>
  <c r="G50" i="4" s="1"/>
  <c r="F102" i="4"/>
  <c r="G102" i="4" s="1"/>
  <c r="F252" i="4"/>
  <c r="G252" i="4" s="1"/>
  <c r="F278" i="4"/>
  <c r="G278" i="4" s="1"/>
  <c r="F184" i="4"/>
  <c r="G184" i="4" s="1"/>
  <c r="M177" i="38"/>
  <c r="C121" i="38"/>
  <c r="K121" i="38" s="1"/>
  <c r="I47" i="27"/>
  <c r="J47" i="27" s="1"/>
  <c r="J298" i="30"/>
  <c r="K298" i="30" s="1"/>
  <c r="I19" i="31"/>
  <c r="J19" i="31" s="1"/>
  <c r="J195" i="30"/>
  <c r="K195" i="30" s="1"/>
  <c r="M178" i="38"/>
  <c r="F92" i="35"/>
  <c r="K178" i="38"/>
  <c r="K177" i="38"/>
  <c r="C137" i="38"/>
  <c r="U137" i="38" s="1"/>
  <c r="U138" i="38" s="1"/>
  <c r="I57" i="29"/>
  <c r="J57" i="29" s="1"/>
  <c r="M108" i="38"/>
  <c r="M109" i="38" s="1"/>
  <c r="M110" i="38" s="1"/>
  <c r="E125" i="38"/>
  <c r="E126" i="38" s="1"/>
  <c r="E127" i="38" s="1"/>
  <c r="C69" i="38"/>
  <c r="K69" i="38" s="1"/>
  <c r="I109" i="31"/>
  <c r="J109" i="31" s="1"/>
  <c r="C119" i="38"/>
  <c r="K119" i="38" s="1"/>
  <c r="I179" i="38"/>
  <c r="G179" i="38"/>
  <c r="K179" i="38"/>
  <c r="Q67" i="38"/>
  <c r="U67" i="38" s="1"/>
  <c r="U74" i="38" s="1"/>
  <c r="I175" i="38"/>
  <c r="C71" i="38"/>
  <c r="I71" i="38" s="1"/>
  <c r="I79" i="38" s="1"/>
  <c r="I177" i="38"/>
  <c r="I100" i="38"/>
  <c r="I105" i="38" s="1"/>
  <c r="I108" i="38" s="1"/>
  <c r="I9" i="37"/>
  <c r="C98" i="38" s="1"/>
  <c r="Q38" i="38"/>
  <c r="U38" i="38" s="1"/>
  <c r="Q53" i="38"/>
  <c r="S53" i="38" s="1"/>
  <c r="K68" i="38"/>
  <c r="K175" i="38"/>
  <c r="G175" i="38"/>
  <c r="E68" i="38"/>
  <c r="E79" i="38" s="1"/>
  <c r="F6" i="4"/>
  <c r="G6" i="4" s="1"/>
  <c r="I31" i="31"/>
  <c r="J31" i="31" s="1"/>
  <c r="I7" i="27"/>
  <c r="J7" i="27" s="1"/>
  <c r="I4" i="31"/>
  <c r="J4" i="31" s="1"/>
  <c r="J6" i="30"/>
  <c r="K6" i="30" s="1"/>
  <c r="D5" i="40"/>
  <c r="AJ5" i="40" s="1"/>
  <c r="J212" i="30"/>
  <c r="K212" i="30" s="1"/>
  <c r="I73" i="31"/>
  <c r="J73" i="31" s="1"/>
  <c r="I7" i="29"/>
  <c r="J7" i="29" s="1"/>
  <c r="J109" i="30"/>
  <c r="K109" i="30" s="1"/>
  <c r="I61" i="27"/>
  <c r="J61" i="27" s="1"/>
  <c r="G339" i="4"/>
  <c r="K221" i="30"/>
  <c r="M39" i="38"/>
  <c r="K39" i="38"/>
  <c r="Y88" i="38"/>
  <c r="W88" i="38"/>
  <c r="U88" i="38"/>
  <c r="S88" i="38"/>
  <c r="G176" i="38"/>
  <c r="M176" i="38"/>
  <c r="K176" i="38"/>
  <c r="I176" i="38"/>
  <c r="E45" i="38"/>
  <c r="E46" i="38" s="1"/>
  <c r="U39" i="38"/>
  <c r="S39" i="38"/>
  <c r="G45" i="38"/>
  <c r="G46" i="38" s="1"/>
  <c r="M54" i="38"/>
  <c r="K54" i="38"/>
  <c r="I54" i="38"/>
  <c r="G54" i="38"/>
  <c r="E54" i="38"/>
  <c r="I45" i="38"/>
  <c r="I46" i="38" s="1"/>
  <c r="S139" i="38"/>
  <c r="S140" i="38" s="1"/>
  <c r="S141" i="38" s="1"/>
  <c r="G88" i="38"/>
  <c r="E88" i="38"/>
  <c r="M88" i="38"/>
  <c r="K88" i="38"/>
  <c r="I88" i="38"/>
  <c r="U54" i="38"/>
  <c r="S54" i="38"/>
  <c r="U87" i="38"/>
  <c r="Y87" i="38"/>
  <c r="W87" i="38"/>
  <c r="S87" i="38"/>
  <c r="K118" i="30"/>
  <c r="G99" i="38"/>
  <c r="E99" i="38"/>
  <c r="S154" i="38"/>
  <c r="S155" i="38" s="1"/>
  <c r="S156" i="38" s="1"/>
  <c r="N206" i="17"/>
  <c r="O206" i="17" s="1"/>
  <c r="N210" i="17"/>
  <c r="O210" i="17" s="1"/>
  <c r="M49" i="17"/>
  <c r="N49" i="17" s="1"/>
  <c r="M66" i="17"/>
  <c r="N66" i="17" s="1"/>
  <c r="M271" i="17"/>
  <c r="N271" i="17" s="1"/>
  <c r="M53" i="17"/>
  <c r="N53" i="17" s="1"/>
  <c r="M169" i="17"/>
  <c r="N169" i="17" s="1"/>
  <c r="M275" i="17"/>
  <c r="N275" i="17" s="1"/>
  <c r="M160" i="17"/>
  <c r="N160" i="17" s="1"/>
  <c r="M166" i="17"/>
  <c r="N166" i="17" s="1"/>
  <c r="M157" i="17"/>
  <c r="N157" i="17" s="1"/>
  <c r="M151" i="17"/>
  <c r="N151" i="17" s="1"/>
  <c r="M45" i="17"/>
  <c r="N45" i="17" s="1"/>
  <c r="M172" i="17"/>
  <c r="N172" i="17" s="1"/>
  <c r="N174" i="17" s="1"/>
  <c r="O174" i="17" s="1"/>
  <c r="P174" i="17" s="1"/>
  <c r="M163" i="17"/>
  <c r="N163" i="17" s="1"/>
  <c r="M60" i="17"/>
  <c r="N60" i="17" s="1"/>
  <c r="M154" i="17"/>
  <c r="N154" i="17" s="1"/>
  <c r="M73" i="17"/>
  <c r="N73" i="17" s="1"/>
  <c r="N234" i="17"/>
  <c r="O234" i="17" s="1"/>
  <c r="F87" i="4"/>
  <c r="G87" i="4" s="1"/>
  <c r="F132" i="4"/>
  <c r="G132" i="4" s="1"/>
  <c r="G414" i="4"/>
  <c r="G415" i="4" s="1"/>
  <c r="G426" i="4" s="1"/>
  <c r="K24" i="22" s="1"/>
  <c r="M82" i="17"/>
  <c r="N82" i="17" s="1"/>
  <c r="N86" i="17" s="1"/>
  <c r="O86" i="17" s="1"/>
  <c r="M264" i="17"/>
  <c r="N264" i="17" s="1"/>
  <c r="M79" i="17"/>
  <c r="N79" i="17" s="1"/>
  <c r="N81" i="17" s="1"/>
  <c r="O81" i="17" s="1"/>
  <c r="P81" i="17" s="1"/>
  <c r="M46" i="17"/>
  <c r="N46" i="17" s="1"/>
  <c r="M67" i="17"/>
  <c r="N67" i="17" s="1"/>
  <c r="M158" i="17"/>
  <c r="N158" i="17" s="1"/>
  <c r="M54" i="17"/>
  <c r="N54" i="17" s="1"/>
  <c r="M155" i="17"/>
  <c r="N155" i="17" s="1"/>
  <c r="M170" i="17"/>
  <c r="N170" i="17" s="1"/>
  <c r="M191" i="17"/>
  <c r="M61" i="17"/>
  <c r="N61" i="17" s="1"/>
  <c r="M161" i="17"/>
  <c r="N161" i="17" s="1"/>
  <c r="M272" i="17"/>
  <c r="N272" i="17" s="1"/>
  <c r="M50" i="17"/>
  <c r="N50" i="17" s="1"/>
  <c r="M276" i="17"/>
  <c r="N276" i="17" s="1"/>
  <c r="M279" i="17"/>
  <c r="N279" i="17" s="1"/>
  <c r="N281" i="17" s="1"/>
  <c r="O281" i="17" s="1"/>
  <c r="M74" i="17"/>
  <c r="N74" i="17" s="1"/>
  <c r="M152" i="17"/>
  <c r="N152" i="17" s="1"/>
  <c r="M164" i="17"/>
  <c r="N164" i="17" s="1"/>
  <c r="M167" i="17"/>
  <c r="N167" i="17" s="1"/>
  <c r="M42" i="17"/>
  <c r="N42" i="17" s="1"/>
  <c r="N43" i="17" s="1"/>
  <c r="O43" i="17" s="1"/>
  <c r="G187" i="20"/>
  <c r="G189" i="20" s="1"/>
  <c r="G167" i="20"/>
  <c r="G169" i="20" s="1"/>
  <c r="N238" i="17"/>
  <c r="O238" i="17" s="1"/>
  <c r="G137" i="38" l="1"/>
  <c r="G138" i="38" s="1"/>
  <c r="S57" i="38"/>
  <c r="U57" i="38"/>
  <c r="C57" i="38"/>
  <c r="K137" i="38"/>
  <c r="K138" i="38" s="1"/>
  <c r="K139" i="38" s="1"/>
  <c r="K140" i="38" s="1"/>
  <c r="K141" i="38" s="1"/>
  <c r="M137" i="38"/>
  <c r="M138" i="38" s="1"/>
  <c r="M139" i="38" s="1"/>
  <c r="M140" i="38" s="1"/>
  <c r="M141" i="38" s="1"/>
  <c r="H35" i="25" s="1"/>
  <c r="I35" i="25" s="1"/>
  <c r="I137" i="38"/>
  <c r="I138" i="38" s="1"/>
  <c r="I139" i="38" s="1"/>
  <c r="I140" i="38" s="1"/>
  <c r="I141" i="38" s="1"/>
  <c r="AI6" i="40"/>
  <c r="AJ7" i="40"/>
  <c r="Y7" i="40"/>
  <c r="AJ6" i="40"/>
  <c r="AH6" i="40"/>
  <c r="L21" i="65"/>
  <c r="K94" i="67"/>
  <c r="K92" i="66"/>
  <c r="L92" i="66" s="1"/>
  <c r="K91" i="65"/>
  <c r="L91" i="65" s="1"/>
  <c r="F29" i="68"/>
  <c r="K88" i="66"/>
  <c r="L88" i="66" s="1"/>
  <c r="K90" i="67"/>
  <c r="K88" i="65"/>
  <c r="L88" i="65" s="1"/>
  <c r="F13" i="68"/>
  <c r="L21" i="67"/>
  <c r="F14" i="68"/>
  <c r="L22" i="67"/>
  <c r="O22" i="67" s="1"/>
  <c r="C89" i="38"/>
  <c r="Q89" i="38"/>
  <c r="F12" i="68"/>
  <c r="L15" i="67"/>
  <c r="AF7" i="40"/>
  <c r="AA7" i="40"/>
  <c r="AE7" i="40"/>
  <c r="AD6" i="40"/>
  <c r="X6" i="40"/>
  <c r="AC6" i="40"/>
  <c r="N47" i="17"/>
  <c r="O47" i="17" s="1"/>
  <c r="P47" i="17" s="1"/>
  <c r="Q47" i="17" s="1"/>
  <c r="R47" i="17" s="1"/>
  <c r="F24" i="35" s="1"/>
  <c r="Z7" i="40"/>
  <c r="AI7" i="40"/>
  <c r="Y6" i="40"/>
  <c r="AB6" i="40"/>
  <c r="AC7" i="40"/>
  <c r="W7" i="40"/>
  <c r="V6" i="40"/>
  <c r="AE6" i="40"/>
  <c r="AF6" i="40"/>
  <c r="E137" i="38"/>
  <c r="E138" i="38" s="1"/>
  <c r="E139" i="38" s="1"/>
  <c r="E140" i="38" s="1"/>
  <c r="E141" i="38" s="1"/>
  <c r="S67" i="38"/>
  <c r="J15" i="46"/>
  <c r="I25" i="46"/>
  <c r="J25" i="46" s="1"/>
  <c r="C38" i="38"/>
  <c r="K38" i="38" s="1"/>
  <c r="K44" i="38" s="1"/>
  <c r="G340" i="4"/>
  <c r="G25" i="22" s="1"/>
  <c r="I25" i="22" s="1"/>
  <c r="K25" i="22" s="1"/>
  <c r="AG7" i="40"/>
  <c r="X7" i="40"/>
  <c r="AH7" i="40"/>
  <c r="Z6" i="40"/>
  <c r="W6" i="40"/>
  <c r="E19" i="53"/>
  <c r="F19" i="53" s="1"/>
  <c r="I123" i="55"/>
  <c r="J123" i="55" s="1"/>
  <c r="V7" i="40"/>
  <c r="W67" i="38"/>
  <c r="W74" i="38" s="1"/>
  <c r="W75" i="38" s="1"/>
  <c r="W76" i="38" s="1"/>
  <c r="AB7" i="40"/>
  <c r="AA6" i="40"/>
  <c r="H18" i="25"/>
  <c r="I18" i="25" s="1"/>
  <c r="H41" i="25"/>
  <c r="I41" i="25" s="1"/>
  <c r="H17" i="25"/>
  <c r="I17" i="25" s="1"/>
  <c r="H40" i="25"/>
  <c r="I40" i="25" s="1"/>
  <c r="I28" i="51"/>
  <c r="J28" i="51" s="1"/>
  <c r="E11" i="53"/>
  <c r="F11" i="53" s="1"/>
  <c r="I7" i="46"/>
  <c r="J6" i="46"/>
  <c r="P234" i="17"/>
  <c r="Q234" i="17" s="1"/>
  <c r="R234" i="17" s="1"/>
  <c r="F84" i="35" s="1"/>
  <c r="P230" i="17"/>
  <c r="Q230" i="17" s="1"/>
  <c r="R230" i="17" s="1"/>
  <c r="F83" i="35" s="1"/>
  <c r="H37" i="25" s="1"/>
  <c r="I37" i="25" s="1"/>
  <c r="F52" i="35"/>
  <c r="I87" i="51"/>
  <c r="J87" i="51" s="1"/>
  <c r="P238" i="17"/>
  <c r="Q238" i="17" s="1"/>
  <c r="R238" i="17" s="1"/>
  <c r="F85" i="35" s="1"/>
  <c r="I14" i="46"/>
  <c r="J5" i="46"/>
  <c r="D20" i="40"/>
  <c r="AJ20" i="40" s="1"/>
  <c r="J289" i="30"/>
  <c r="K289" i="30" s="1"/>
  <c r="J84" i="30"/>
  <c r="K84" i="30" s="1"/>
  <c r="J186" i="30"/>
  <c r="K186" i="30" s="1"/>
  <c r="E36" i="44"/>
  <c r="F36" i="44" s="1"/>
  <c r="F144" i="4"/>
  <c r="G144" i="4" s="1"/>
  <c r="F274" i="4"/>
  <c r="G274" i="4" s="1"/>
  <c r="F34" i="4"/>
  <c r="G34" i="4" s="1"/>
  <c r="F246" i="4"/>
  <c r="G246" i="4" s="1"/>
  <c r="F78" i="4"/>
  <c r="G78" i="4" s="1"/>
  <c r="F272" i="4"/>
  <c r="G272" i="4" s="1"/>
  <c r="J296" i="30"/>
  <c r="K296" i="30" s="1"/>
  <c r="J91" i="30"/>
  <c r="K91" i="30" s="1"/>
  <c r="J193" i="30"/>
  <c r="K193" i="30" s="1"/>
  <c r="D21" i="40"/>
  <c r="AJ21" i="40" s="1"/>
  <c r="P210" i="17"/>
  <c r="Q210" i="17" s="1"/>
  <c r="R210" i="17" s="1"/>
  <c r="F76" i="35" s="1"/>
  <c r="P206" i="17"/>
  <c r="Q206" i="17" s="1"/>
  <c r="R206" i="17" s="1"/>
  <c r="F75" i="35" s="1"/>
  <c r="F346" i="4"/>
  <c r="G346" i="4" s="1"/>
  <c r="G348" i="4" s="1"/>
  <c r="G356" i="4" s="1"/>
  <c r="R199" i="17"/>
  <c r="P86" i="17"/>
  <c r="Q86" i="17" s="1"/>
  <c r="R86" i="17" s="1"/>
  <c r="F43" i="35" s="1"/>
  <c r="F19" i="35"/>
  <c r="D8" i="40" s="1"/>
  <c r="F317" i="4"/>
  <c r="G317" i="4" s="1"/>
  <c r="P281" i="17"/>
  <c r="Q281" i="17" s="1"/>
  <c r="R281" i="17" s="1"/>
  <c r="F27" i="35" s="1"/>
  <c r="P43" i="17"/>
  <c r="Q43" i="17" s="1"/>
  <c r="R43" i="17" s="1"/>
  <c r="F20" i="35" s="1"/>
  <c r="Q81" i="17"/>
  <c r="R81" i="17" s="1"/>
  <c r="Q174" i="17"/>
  <c r="R174" i="17" s="1"/>
  <c r="F67" i="35" s="1"/>
  <c r="F269" i="4" s="1"/>
  <c r="G269" i="4" s="1"/>
  <c r="F295" i="4"/>
  <c r="G295" i="4" s="1"/>
  <c r="E11" i="48"/>
  <c r="F11" i="48" s="1"/>
  <c r="E12" i="48"/>
  <c r="F12" i="48" s="1"/>
  <c r="E32" i="44"/>
  <c r="F32" i="44" s="1"/>
  <c r="E40" i="44"/>
  <c r="F40" i="44" s="1"/>
  <c r="H50" i="50"/>
  <c r="I50" i="50" s="1"/>
  <c r="H19" i="25"/>
  <c r="I19" i="25" s="1"/>
  <c r="H42" i="25"/>
  <c r="I42" i="25" s="1"/>
  <c r="G92" i="24"/>
  <c r="G93" i="24" s="1"/>
  <c r="F48" i="22"/>
  <c r="K48" i="22" s="1"/>
  <c r="K51" i="22" s="1"/>
  <c r="N51" i="17"/>
  <c r="O51" i="17" s="1"/>
  <c r="N55" i="17"/>
  <c r="O55" i="17" s="1"/>
  <c r="E20" i="12"/>
  <c r="F20" i="12" s="1"/>
  <c r="AC5" i="40"/>
  <c r="AA5" i="40"/>
  <c r="F33" i="22"/>
  <c r="K33" i="22" s="1"/>
  <c r="K125" i="38"/>
  <c r="K126" i="38" s="1"/>
  <c r="K127" i="38" s="1"/>
  <c r="U53" i="38"/>
  <c r="U60" i="38" s="1"/>
  <c r="K79" i="38"/>
  <c r="K80" i="38" s="1"/>
  <c r="K81" i="38" s="1"/>
  <c r="G71" i="38"/>
  <c r="C53" i="38"/>
  <c r="E53" i="38" s="1"/>
  <c r="E60" i="38" s="1"/>
  <c r="C87" i="38"/>
  <c r="E87" i="38" s="1"/>
  <c r="E92" i="38" s="1"/>
  <c r="S38" i="38"/>
  <c r="S44" i="38" s="1"/>
  <c r="U44" i="38"/>
  <c r="U45" i="38" s="1"/>
  <c r="U46" i="38" s="1"/>
  <c r="AH5" i="40"/>
  <c r="AD5" i="40"/>
  <c r="I31" i="29"/>
  <c r="J31" i="29" s="1"/>
  <c r="AI5" i="40"/>
  <c r="W5" i="40"/>
  <c r="V5" i="40"/>
  <c r="Y5" i="40"/>
  <c r="AE5" i="40"/>
  <c r="AG5" i="40"/>
  <c r="X5" i="40"/>
  <c r="AB5" i="40"/>
  <c r="AF5" i="40"/>
  <c r="Z5" i="40"/>
  <c r="I41" i="26"/>
  <c r="J41" i="26" s="1"/>
  <c r="I15" i="26"/>
  <c r="J15" i="26" s="1"/>
  <c r="I109" i="38"/>
  <c r="I110" i="38" s="1"/>
  <c r="F44" i="35" s="1"/>
  <c r="G98" i="38"/>
  <c r="G108" i="38" s="1"/>
  <c r="E98" i="38"/>
  <c r="E108" i="38" s="1"/>
  <c r="E80" i="38"/>
  <c r="E81" i="38" s="1"/>
  <c r="U75" i="38"/>
  <c r="U76" i="38" s="1"/>
  <c r="G139" i="38"/>
  <c r="G140" i="38" s="1"/>
  <c r="G141" i="38" s="1"/>
  <c r="S60" i="38"/>
  <c r="U139" i="38"/>
  <c r="U140" i="38" s="1"/>
  <c r="U141" i="38" s="1"/>
  <c r="F81" i="35" s="1"/>
  <c r="H36" i="25" s="1"/>
  <c r="I36" i="25" s="1"/>
  <c r="I80" i="38"/>
  <c r="I81" i="38" s="1"/>
  <c r="N78" i="17"/>
  <c r="O78" i="17" s="1"/>
  <c r="N168" i="17"/>
  <c r="O168" i="17" s="1"/>
  <c r="N156" i="17"/>
  <c r="O156" i="17" s="1"/>
  <c r="N65" i="17"/>
  <c r="O65" i="17" s="1"/>
  <c r="P65" i="17" s="1"/>
  <c r="N277" i="17"/>
  <c r="O277" i="17" s="1"/>
  <c r="F134" i="4"/>
  <c r="G134" i="4" s="1"/>
  <c r="F84" i="4"/>
  <c r="G84" i="4" s="1"/>
  <c r="F81" i="4"/>
  <c r="G81" i="4" s="1"/>
  <c r="F140" i="4"/>
  <c r="G140" i="4" s="1"/>
  <c r="N162" i="17"/>
  <c r="O162" i="17" s="1"/>
  <c r="N165" i="17"/>
  <c r="O165" i="17" s="1"/>
  <c r="N171" i="17"/>
  <c r="O171" i="17" s="1"/>
  <c r="N159" i="17"/>
  <c r="O159" i="17" s="1"/>
  <c r="N273" i="17"/>
  <c r="O273" i="17" s="1"/>
  <c r="P273" i="17" s="1"/>
  <c r="N153" i="17"/>
  <c r="O153" i="17" s="1"/>
  <c r="N72" i="17"/>
  <c r="O72" i="17" s="1"/>
  <c r="I37" i="46" l="1"/>
  <c r="J37" i="46" s="1"/>
  <c r="AH21" i="40"/>
  <c r="AC21" i="40"/>
  <c r="AA21" i="40"/>
  <c r="V21" i="40"/>
  <c r="Z21" i="40"/>
  <c r="AD21" i="40"/>
  <c r="S89" i="38"/>
  <c r="S92" i="38" s="1"/>
  <c r="S93" i="38" s="1"/>
  <c r="S94" i="38" s="1"/>
  <c r="F64" i="35" s="1"/>
  <c r="W89" i="38"/>
  <c r="W92" i="38" s="1"/>
  <c r="U89" i="38"/>
  <c r="U92" i="38" s="1"/>
  <c r="U93" i="38" s="1"/>
  <c r="U94" i="38" s="1"/>
  <c r="F65" i="35" s="1"/>
  <c r="F27" i="4" s="1"/>
  <c r="G27" i="4" s="1"/>
  <c r="Y89" i="38"/>
  <c r="Y92" i="38" s="1"/>
  <c r="Y93" i="38" s="1"/>
  <c r="Y94" i="38" s="1"/>
  <c r="F27" i="68"/>
  <c r="L90" i="67"/>
  <c r="I17" i="31"/>
  <c r="J17" i="31" s="1"/>
  <c r="K27" i="67"/>
  <c r="K28" i="66"/>
  <c r="L28" i="66" s="1"/>
  <c r="K27" i="65"/>
  <c r="L27" i="65" s="1"/>
  <c r="O21" i="67"/>
  <c r="H42" i="50"/>
  <c r="I42" i="50" s="1"/>
  <c r="K86" i="67"/>
  <c r="K84" i="66"/>
  <c r="L84" i="66" s="1"/>
  <c r="K84" i="65"/>
  <c r="L84" i="65" s="1"/>
  <c r="F28" i="68"/>
  <c r="L94" i="67"/>
  <c r="O91" i="65" s="1"/>
  <c r="O16" i="67"/>
  <c r="J21" i="30"/>
  <c r="K21" i="30" s="1"/>
  <c r="I8" i="31"/>
  <c r="J8" i="31" s="1"/>
  <c r="I77" i="31"/>
  <c r="J77" i="31" s="1"/>
  <c r="I36" i="46"/>
  <c r="J36" i="46" s="1"/>
  <c r="I56" i="29"/>
  <c r="J56" i="29" s="1"/>
  <c r="I36" i="31"/>
  <c r="J36" i="31" s="1"/>
  <c r="I11" i="27"/>
  <c r="J11" i="27" s="1"/>
  <c r="J227" i="30"/>
  <c r="K227" i="30" s="1"/>
  <c r="AB20" i="40"/>
  <c r="AF20" i="40"/>
  <c r="I53" i="38"/>
  <c r="I60" i="38" s="1"/>
  <c r="I61" i="38" s="1"/>
  <c r="I62" i="38" s="1"/>
  <c r="M38" i="38"/>
  <c r="M44" i="38" s="1"/>
  <c r="M45" i="38" s="1"/>
  <c r="M46" i="38" s="1"/>
  <c r="F31" i="4"/>
  <c r="G31" i="4" s="1"/>
  <c r="E28" i="44"/>
  <c r="F28" i="44" s="1"/>
  <c r="F75" i="4"/>
  <c r="G75" i="4" s="1"/>
  <c r="F195" i="4"/>
  <c r="G195" i="4" s="1"/>
  <c r="F125" i="4"/>
  <c r="G125" i="4" s="1"/>
  <c r="Z20" i="40"/>
  <c r="K87" i="38"/>
  <c r="K92" i="38" s="1"/>
  <c r="K93" i="38" s="1"/>
  <c r="K94" i="38" s="1"/>
  <c r="X21" i="40"/>
  <c r="W20" i="40"/>
  <c r="M87" i="38"/>
  <c r="M92" i="38" s="1"/>
  <c r="M93" i="38" s="1"/>
  <c r="M94" i="38" s="1"/>
  <c r="AB21" i="40"/>
  <c r="AF21" i="40"/>
  <c r="Y20" i="40"/>
  <c r="AE20" i="40"/>
  <c r="I64" i="27"/>
  <c r="J64" i="27" s="1"/>
  <c r="I53" i="26"/>
  <c r="J53" i="26" s="1"/>
  <c r="E16" i="53"/>
  <c r="F16" i="53" s="1"/>
  <c r="I108" i="55"/>
  <c r="J108" i="55" s="1"/>
  <c r="AC20" i="40"/>
  <c r="G87" i="38"/>
  <c r="G92" i="38" s="1"/>
  <c r="G93" i="38" s="1"/>
  <c r="G94" i="38" s="1"/>
  <c r="AI21" i="40"/>
  <c r="W21" i="40"/>
  <c r="AA20" i="40"/>
  <c r="V20" i="40"/>
  <c r="I87" i="38"/>
  <c r="I92" i="38" s="1"/>
  <c r="I93" i="38" s="1"/>
  <c r="I94" i="38" s="1"/>
  <c r="Y21" i="40"/>
  <c r="AE21" i="40"/>
  <c r="AH20" i="40"/>
  <c r="AD20" i="40"/>
  <c r="I85" i="26"/>
  <c r="J85" i="26" s="1"/>
  <c r="I8" i="46"/>
  <c r="J8" i="46" s="1"/>
  <c r="AG21" i="40"/>
  <c r="AI20" i="40"/>
  <c r="J124" i="30"/>
  <c r="K124" i="30" s="1"/>
  <c r="AG20" i="40"/>
  <c r="X20" i="40"/>
  <c r="I28" i="26"/>
  <c r="J28" i="26" s="1"/>
  <c r="J7" i="46"/>
  <c r="I16" i="46"/>
  <c r="H16" i="25"/>
  <c r="I16" i="25" s="1"/>
  <c r="H39" i="25"/>
  <c r="I39" i="25" s="1"/>
  <c r="H38" i="25"/>
  <c r="I38" i="25" s="1"/>
  <c r="H15" i="25"/>
  <c r="I15" i="25" s="1"/>
  <c r="F39" i="35"/>
  <c r="I74" i="51"/>
  <c r="J74" i="51" s="1"/>
  <c r="J14" i="46"/>
  <c r="I24" i="46"/>
  <c r="H31" i="25"/>
  <c r="I31" i="25" s="1"/>
  <c r="J264" i="30"/>
  <c r="K264" i="30" s="1"/>
  <c r="J161" i="30"/>
  <c r="K161" i="30" s="1"/>
  <c r="J59" i="30"/>
  <c r="K59" i="30" s="1"/>
  <c r="D15" i="40"/>
  <c r="W15" i="40" s="1"/>
  <c r="F222" i="4"/>
  <c r="G222" i="4" s="1"/>
  <c r="F280" i="4"/>
  <c r="G280" i="4" s="1"/>
  <c r="F205" i="4"/>
  <c r="G205" i="4" s="1"/>
  <c r="F106" i="4"/>
  <c r="G106" i="4" s="1"/>
  <c r="F56" i="4"/>
  <c r="G56" i="4" s="1"/>
  <c r="F168" i="4"/>
  <c r="G168" i="4" s="1"/>
  <c r="F11" i="4"/>
  <c r="G11" i="4" s="1"/>
  <c r="F256" i="4"/>
  <c r="G256" i="4" s="1"/>
  <c r="P156" i="17"/>
  <c r="Q156" i="17" s="1"/>
  <c r="R156" i="17" s="1"/>
  <c r="F59" i="35" s="1"/>
  <c r="P162" i="17"/>
  <c r="Q162" i="17" s="1"/>
  <c r="R162" i="17" s="1"/>
  <c r="F61" i="35" s="1"/>
  <c r="P51" i="17"/>
  <c r="Q51" i="17" s="1"/>
  <c r="R51" i="17" s="1"/>
  <c r="P55" i="17"/>
  <c r="Q55" i="17" s="1"/>
  <c r="R55" i="17" s="1"/>
  <c r="F23" i="35" s="1"/>
  <c r="P72" i="17"/>
  <c r="Q72" i="17" s="1"/>
  <c r="R72" i="17" s="1"/>
  <c r="P277" i="17"/>
  <c r="Q277" i="17" s="1"/>
  <c r="R277" i="17" s="1"/>
  <c r="F29" i="35" s="1"/>
  <c r="P78" i="17"/>
  <c r="Q78" i="17" s="1"/>
  <c r="R78" i="17" s="1"/>
  <c r="F31" i="35" s="1"/>
  <c r="P165" i="17"/>
  <c r="Q165" i="17" s="1"/>
  <c r="R165" i="17" s="1"/>
  <c r="F62" i="35" s="1"/>
  <c r="P168" i="17"/>
  <c r="Q168" i="17" s="1"/>
  <c r="R168" i="17" s="1"/>
  <c r="F63" i="35" s="1"/>
  <c r="P159" i="17"/>
  <c r="Q159" i="17" s="1"/>
  <c r="R159" i="17" s="1"/>
  <c r="P153" i="17"/>
  <c r="Q153" i="17" s="1"/>
  <c r="R153" i="17" s="1"/>
  <c r="F58" i="35" s="1"/>
  <c r="P171" i="17"/>
  <c r="Q171" i="17" s="1"/>
  <c r="R171" i="17" s="1"/>
  <c r="F68" i="35" s="1"/>
  <c r="H8" i="50"/>
  <c r="I8" i="50" s="1"/>
  <c r="E10" i="44"/>
  <c r="F10" i="44" s="1"/>
  <c r="F316" i="4"/>
  <c r="G316" i="4" s="1"/>
  <c r="E8" i="42"/>
  <c r="F8" i="42" s="1"/>
  <c r="F306" i="4"/>
  <c r="G306" i="4" s="1"/>
  <c r="Q273" i="17"/>
  <c r="R273" i="17" s="1"/>
  <c r="F28" i="35" s="1"/>
  <c r="E9" i="48" s="1"/>
  <c r="F9" i="48" s="1"/>
  <c r="M263" i="17"/>
  <c r="N263" i="17" s="1"/>
  <c r="F53" i="25"/>
  <c r="F283" i="4"/>
  <c r="G283" i="4" s="1"/>
  <c r="I10" i="46"/>
  <c r="F51" i="22"/>
  <c r="Q65" i="17"/>
  <c r="R65" i="17" s="1"/>
  <c r="G53" i="38"/>
  <c r="G60" i="38" s="1"/>
  <c r="G61" i="38" s="1"/>
  <c r="G62" i="38" s="1"/>
  <c r="M53" i="38"/>
  <c r="M60" i="38" s="1"/>
  <c r="M61" i="38" s="1"/>
  <c r="M62" i="38" s="1"/>
  <c r="F35" i="35" s="1"/>
  <c r="L35" i="35" s="1"/>
  <c r="K53" i="38"/>
  <c r="K60" i="38" s="1"/>
  <c r="K61" i="38" s="1"/>
  <c r="K62" i="38" s="1"/>
  <c r="F34" i="35" s="1"/>
  <c r="L34" i="35" s="1"/>
  <c r="H33" i="25"/>
  <c r="I33" i="25" s="1"/>
  <c r="H13" i="25"/>
  <c r="I13" i="25" s="1"/>
  <c r="D14" i="40"/>
  <c r="J50" i="30"/>
  <c r="K50" i="30" s="1"/>
  <c r="J152" i="30"/>
  <c r="K152" i="30" s="1"/>
  <c r="J255" i="30"/>
  <c r="K255" i="30" s="1"/>
  <c r="H14" i="25"/>
  <c r="I14" i="25" s="1"/>
  <c r="H34" i="25"/>
  <c r="I34" i="25" s="1"/>
  <c r="H32" i="25"/>
  <c r="I32" i="25" s="1"/>
  <c r="H12" i="25"/>
  <c r="I12" i="25" s="1"/>
  <c r="AF8" i="40"/>
  <c r="X8" i="40"/>
  <c r="AE8" i="40"/>
  <c r="W8" i="40"/>
  <c r="AD8" i="40"/>
  <c r="V8" i="40"/>
  <c r="AC8" i="40"/>
  <c r="AJ8" i="40"/>
  <c r="AB8" i="40"/>
  <c r="AG8" i="40"/>
  <c r="Y8" i="40"/>
  <c r="AI8" i="40"/>
  <c r="AH8" i="40"/>
  <c r="AA8" i="40"/>
  <c r="Z8" i="40"/>
  <c r="I62" i="26"/>
  <c r="J62" i="26" s="1"/>
  <c r="I13" i="26"/>
  <c r="J13" i="26" s="1"/>
  <c r="I94" i="26"/>
  <c r="J94" i="26" s="1"/>
  <c r="U61" i="38"/>
  <c r="U62" i="38" s="1"/>
  <c r="F37" i="35" s="1"/>
  <c r="L37" i="35" s="1"/>
  <c r="K45" i="38"/>
  <c r="K46" i="38" s="1"/>
  <c r="E109" i="38"/>
  <c r="E110" i="38" s="1"/>
  <c r="E61" i="38"/>
  <c r="E62" i="38" s="1"/>
  <c r="S45" i="38"/>
  <c r="S46" i="38" s="1"/>
  <c r="W93" i="38"/>
  <c r="W94" i="38" s="1"/>
  <c r="F66" i="35" s="1"/>
  <c r="S61" i="38"/>
  <c r="S62" i="38" s="1"/>
  <c r="F36" i="35" s="1"/>
  <c r="L36" i="35" s="1"/>
  <c r="G109" i="38"/>
  <c r="G110" i="38" s="1"/>
  <c r="E93" i="38"/>
  <c r="E94" i="38" s="1"/>
  <c r="F71" i="4" l="1"/>
  <c r="G71" i="4" s="1"/>
  <c r="F121" i="4"/>
  <c r="G121" i="4" s="1"/>
  <c r="AC15" i="40"/>
  <c r="F23" i="68"/>
  <c r="K77" i="67"/>
  <c r="K75" i="66"/>
  <c r="L75" i="66" s="1"/>
  <c r="K75" i="65"/>
  <c r="L75" i="65" s="1"/>
  <c r="F26" i="68"/>
  <c r="L86" i="67"/>
  <c r="O86" i="67" s="1"/>
  <c r="K48" i="67"/>
  <c r="K46" i="66"/>
  <c r="L46" i="66" s="1"/>
  <c r="K46" i="65"/>
  <c r="L46" i="65" s="1"/>
  <c r="J39" i="30"/>
  <c r="K39" i="30" s="1"/>
  <c r="K73" i="67"/>
  <c r="K71" i="66"/>
  <c r="L71" i="66" s="1"/>
  <c r="K71" i="65"/>
  <c r="L71" i="65" s="1"/>
  <c r="F20" i="68"/>
  <c r="K33" i="67"/>
  <c r="K34" i="66"/>
  <c r="L34" i="66" s="1"/>
  <c r="K32" i="65"/>
  <c r="L32" i="65" s="1"/>
  <c r="F15" i="68"/>
  <c r="L27" i="67"/>
  <c r="I44" i="46"/>
  <c r="I46" i="46" s="1"/>
  <c r="J46" i="46" s="1"/>
  <c r="I38" i="29"/>
  <c r="J38" i="29" s="1"/>
  <c r="E6" i="48"/>
  <c r="F6" i="48" s="1"/>
  <c r="I70" i="26"/>
  <c r="J70" i="26" s="1"/>
  <c r="J141" i="30"/>
  <c r="K141" i="30" s="1"/>
  <c r="J244" i="30"/>
  <c r="K244" i="30" s="1"/>
  <c r="I50" i="31"/>
  <c r="J50" i="31" s="1"/>
  <c r="I85" i="27"/>
  <c r="J85" i="27" s="1"/>
  <c r="D12" i="40"/>
  <c r="W12" i="40" s="1"/>
  <c r="I33" i="27"/>
  <c r="J33" i="27" s="1"/>
  <c r="I98" i="31"/>
  <c r="J98" i="31" s="1"/>
  <c r="AE15" i="40"/>
  <c r="Z15" i="40"/>
  <c r="Y15" i="40"/>
  <c r="E13" i="53"/>
  <c r="F13" i="53" s="1"/>
  <c r="I59" i="55"/>
  <c r="J59" i="55" s="1"/>
  <c r="F171" i="4"/>
  <c r="G171" i="4" s="1"/>
  <c r="I17" i="46"/>
  <c r="E17" i="53"/>
  <c r="F17" i="53" s="1"/>
  <c r="I118" i="55"/>
  <c r="J118" i="55" s="1"/>
  <c r="F127" i="4"/>
  <c r="G127" i="4" s="1"/>
  <c r="E15" i="53"/>
  <c r="F15" i="53" s="1"/>
  <c r="I96" i="55"/>
  <c r="J96" i="55" s="1"/>
  <c r="E12" i="53"/>
  <c r="F12" i="53" s="1"/>
  <c r="I52" i="55"/>
  <c r="J52" i="55" s="1"/>
  <c r="J16" i="46"/>
  <c r="I26" i="46"/>
  <c r="J26" i="46" s="1"/>
  <c r="F118" i="4"/>
  <c r="G118" i="4" s="1"/>
  <c r="I35" i="46"/>
  <c r="J24" i="46"/>
  <c r="F60" i="35"/>
  <c r="I39" i="26" s="1"/>
  <c r="J39" i="26" s="1"/>
  <c r="S163" i="17"/>
  <c r="I47" i="51"/>
  <c r="J47" i="51" s="1"/>
  <c r="F32" i="35"/>
  <c r="F191" i="4" s="1"/>
  <c r="G191" i="4" s="1"/>
  <c r="I40" i="51"/>
  <c r="J40" i="51" s="1"/>
  <c r="F33" i="35"/>
  <c r="E11" i="42" s="1"/>
  <c r="F11" i="42" s="1"/>
  <c r="I62" i="51"/>
  <c r="J62" i="51" s="1"/>
  <c r="H37" i="50"/>
  <c r="I37" i="50" s="1"/>
  <c r="F228" i="4"/>
  <c r="G228" i="4" s="1"/>
  <c r="F22" i="4"/>
  <c r="G22" i="4" s="1"/>
  <c r="F263" i="4"/>
  <c r="G263" i="4" s="1"/>
  <c r="E10" i="48"/>
  <c r="F10" i="48" s="1"/>
  <c r="F286" i="4"/>
  <c r="G286" i="4" s="1"/>
  <c r="F116" i="4"/>
  <c r="G116" i="4" s="1"/>
  <c r="E16" i="44"/>
  <c r="F16" i="44" s="1"/>
  <c r="E13" i="42"/>
  <c r="F13" i="42" s="1"/>
  <c r="H13" i="42" s="1"/>
  <c r="F230" i="4"/>
  <c r="G230" i="4" s="1"/>
  <c r="F66" i="4"/>
  <c r="G66" i="4" s="1"/>
  <c r="F308" i="4"/>
  <c r="G308" i="4" s="1"/>
  <c r="F241" i="4"/>
  <c r="G241" i="4" s="1"/>
  <c r="F24" i="4"/>
  <c r="G24" i="4" s="1"/>
  <c r="H10" i="50"/>
  <c r="I10" i="50" s="1"/>
  <c r="F189" i="4"/>
  <c r="G189" i="4" s="1"/>
  <c r="E7" i="48"/>
  <c r="F7" i="48" s="1"/>
  <c r="F206" i="4"/>
  <c r="G206" i="4" s="1"/>
  <c r="E12" i="44"/>
  <c r="F12" i="44" s="1"/>
  <c r="E10" i="42"/>
  <c r="F10" i="42" s="1"/>
  <c r="H10" i="42" s="1"/>
  <c r="F108" i="4"/>
  <c r="G108" i="4" s="1"/>
  <c r="I9" i="46"/>
  <c r="J9" i="46" s="1"/>
  <c r="F13" i="4"/>
  <c r="G13" i="4" s="1"/>
  <c r="F58" i="4"/>
  <c r="G58" i="4" s="1"/>
  <c r="F68" i="4"/>
  <c r="G68" i="4" s="1"/>
  <c r="I58" i="26"/>
  <c r="J58" i="26" s="1"/>
  <c r="AA15" i="40"/>
  <c r="AG15" i="40"/>
  <c r="V15" i="40"/>
  <c r="X15" i="40"/>
  <c r="AB15" i="40"/>
  <c r="AF15" i="40"/>
  <c r="AH15" i="40"/>
  <c r="AD15" i="40"/>
  <c r="AI15" i="40"/>
  <c r="AJ15" i="40"/>
  <c r="E24" i="44"/>
  <c r="F24" i="44" s="1"/>
  <c r="F193" i="4"/>
  <c r="G193" i="4" s="1"/>
  <c r="F123" i="4"/>
  <c r="G123" i="4" s="1"/>
  <c r="F29" i="4"/>
  <c r="G29" i="4" s="1"/>
  <c r="F73" i="4"/>
  <c r="G73" i="4" s="1"/>
  <c r="F261" i="4"/>
  <c r="G261" i="4" s="1"/>
  <c r="F208" i="4"/>
  <c r="G208" i="4" s="1"/>
  <c r="F320" i="4"/>
  <c r="G320" i="4" s="1"/>
  <c r="F288" i="4"/>
  <c r="G288" i="4" s="1"/>
  <c r="H8" i="42"/>
  <c r="I8" i="42"/>
  <c r="F25" i="35"/>
  <c r="I33" i="26" s="1"/>
  <c r="J33" i="26" s="1"/>
  <c r="I82" i="51"/>
  <c r="J82" i="51" s="1"/>
  <c r="F287" i="4"/>
  <c r="G287" i="4" s="1"/>
  <c r="E22" i="44"/>
  <c r="F22" i="44" s="1"/>
  <c r="I22" i="25"/>
  <c r="I23" i="25" s="1"/>
  <c r="I24" i="25" s="1"/>
  <c r="K43" i="22" s="1"/>
  <c r="I53" i="25"/>
  <c r="I54" i="25" s="1"/>
  <c r="I55" i="25" s="1"/>
  <c r="I56" i="25" s="1"/>
  <c r="K45" i="22" s="1"/>
  <c r="F54" i="25"/>
  <c r="I19" i="46"/>
  <c r="I20" i="46"/>
  <c r="J20" i="46" s="1"/>
  <c r="J10" i="46"/>
  <c r="I45" i="25"/>
  <c r="I46" i="25" s="1"/>
  <c r="I47" i="25" s="1"/>
  <c r="K44" i="22" s="1"/>
  <c r="I88" i="31"/>
  <c r="J88" i="31" s="1"/>
  <c r="I30" i="29"/>
  <c r="J30" i="29" s="1"/>
  <c r="I75" i="27"/>
  <c r="J75" i="27" s="1"/>
  <c r="I24" i="27"/>
  <c r="J24" i="27" s="1"/>
  <c r="D17" i="40"/>
  <c r="J173" i="30"/>
  <c r="K173" i="30" s="1"/>
  <c r="J276" i="30"/>
  <c r="K276" i="30" s="1"/>
  <c r="I50" i="29"/>
  <c r="J50" i="29" s="1"/>
  <c r="J71" i="30"/>
  <c r="K71" i="30" s="1"/>
  <c r="D16" i="40"/>
  <c r="J273" i="30"/>
  <c r="K273" i="30" s="1"/>
  <c r="J68" i="30"/>
  <c r="K68" i="30" s="1"/>
  <c r="J170" i="30"/>
  <c r="K170" i="30" s="1"/>
  <c r="AF14" i="40"/>
  <c r="X14" i="40"/>
  <c r="AE14" i="40"/>
  <c r="W14" i="40"/>
  <c r="AD14" i="40"/>
  <c r="V14" i="40"/>
  <c r="AC14" i="40"/>
  <c r="AJ14" i="40"/>
  <c r="AB14" i="40"/>
  <c r="AG14" i="40"/>
  <c r="Y14" i="40"/>
  <c r="AI14" i="40"/>
  <c r="AH14" i="40"/>
  <c r="AA14" i="40"/>
  <c r="Z14" i="40"/>
  <c r="D19" i="40"/>
  <c r="J287" i="30"/>
  <c r="K287" i="30" s="1"/>
  <c r="J82" i="30"/>
  <c r="K82" i="30" s="1"/>
  <c r="I97" i="27"/>
  <c r="J97" i="27" s="1"/>
  <c r="J184" i="30"/>
  <c r="K184" i="30" s="1"/>
  <c r="I46" i="27"/>
  <c r="J46" i="27" s="1"/>
  <c r="I54" i="29"/>
  <c r="J54" i="29" s="1"/>
  <c r="I107" i="31"/>
  <c r="J107" i="31" s="1"/>
  <c r="E14" i="44" l="1"/>
  <c r="F14" i="44" s="1"/>
  <c r="F285" i="4"/>
  <c r="G285" i="4" s="1"/>
  <c r="I64" i="26"/>
  <c r="J64" i="26" s="1"/>
  <c r="I71" i="27"/>
  <c r="J71" i="27" s="1"/>
  <c r="I36" i="26"/>
  <c r="J36" i="26" s="1"/>
  <c r="J42" i="26" s="1"/>
  <c r="I8" i="26"/>
  <c r="J8" i="26" s="1"/>
  <c r="J17" i="26" s="1"/>
  <c r="J18" i="26" s="1"/>
  <c r="J302" i="30" s="1"/>
  <c r="K302" i="30" s="1"/>
  <c r="I15" i="31"/>
  <c r="J15" i="31" s="1"/>
  <c r="D10" i="40"/>
  <c r="AE10" i="40" s="1"/>
  <c r="I23" i="29"/>
  <c r="J23" i="29" s="1"/>
  <c r="J236" i="30"/>
  <c r="K236" i="30" s="1"/>
  <c r="J133" i="30"/>
  <c r="K133" i="30" s="1"/>
  <c r="I84" i="31"/>
  <c r="J84" i="31" s="1"/>
  <c r="F169" i="4"/>
  <c r="G169" i="4" s="1"/>
  <c r="G179" i="4" s="1"/>
  <c r="E18" i="12" s="1"/>
  <c r="F18" i="12" s="1"/>
  <c r="J30" i="30"/>
  <c r="K30" i="30" s="1"/>
  <c r="I19" i="27"/>
  <c r="J19" i="27" s="1"/>
  <c r="I44" i="31"/>
  <c r="J44" i="31" s="1"/>
  <c r="F223" i="4"/>
  <c r="G223" i="4" s="1"/>
  <c r="I11" i="46"/>
  <c r="I39" i="46" s="1"/>
  <c r="K40" i="67"/>
  <c r="K38" i="66"/>
  <c r="L38" i="66" s="1"/>
  <c r="K38" i="65"/>
  <c r="L38" i="65" s="1"/>
  <c r="F24" i="68"/>
  <c r="L77" i="67"/>
  <c r="I10" i="31"/>
  <c r="J10" i="31" s="1"/>
  <c r="K31" i="67"/>
  <c r="K32" i="66"/>
  <c r="L32" i="66" s="1"/>
  <c r="K30" i="65"/>
  <c r="L30" i="65" s="1"/>
  <c r="J44" i="46"/>
  <c r="O27" i="67"/>
  <c r="F17" i="68"/>
  <c r="L33" i="67"/>
  <c r="O33" i="67" s="1"/>
  <c r="F71" i="68"/>
  <c r="J282" i="30"/>
  <c r="K282" i="30" s="1"/>
  <c r="K82" i="67"/>
  <c r="K80" i="66"/>
  <c r="L80" i="66" s="1"/>
  <c r="K80" i="65"/>
  <c r="L80" i="65" s="1"/>
  <c r="F72" i="68"/>
  <c r="F22" i="68"/>
  <c r="L73" i="67"/>
  <c r="O73" i="67" s="1"/>
  <c r="F19" i="68"/>
  <c r="L48" i="67"/>
  <c r="O48" i="67" s="1"/>
  <c r="AE12" i="40"/>
  <c r="Z12" i="40"/>
  <c r="Y12" i="40"/>
  <c r="AC12" i="40"/>
  <c r="AA12" i="40"/>
  <c r="X12" i="40"/>
  <c r="J135" i="30"/>
  <c r="K135" i="30" s="1"/>
  <c r="AG12" i="40"/>
  <c r="AH12" i="40"/>
  <c r="AB12" i="40"/>
  <c r="AD12" i="40"/>
  <c r="AF12" i="40"/>
  <c r="D11" i="40"/>
  <c r="AF11" i="40" s="1"/>
  <c r="V12" i="40"/>
  <c r="AI12" i="40"/>
  <c r="AJ12" i="40"/>
  <c r="J126" i="30"/>
  <c r="K126" i="30" s="1"/>
  <c r="J32" i="30"/>
  <c r="K32" i="30" s="1"/>
  <c r="F61" i="4"/>
  <c r="G61" i="4" s="1"/>
  <c r="E8" i="48"/>
  <c r="F8" i="48" s="1"/>
  <c r="F15" i="48" s="1"/>
  <c r="F111" i="4"/>
  <c r="G111" i="4" s="1"/>
  <c r="H17" i="50"/>
  <c r="I17" i="50" s="1"/>
  <c r="F210" i="4"/>
  <c r="G210" i="4" s="1"/>
  <c r="G211" i="4" s="1"/>
  <c r="G212" i="4" s="1"/>
  <c r="E213" i="4" s="1"/>
  <c r="F96" i="4" s="1"/>
  <c r="G96" i="4" s="1"/>
  <c r="D18" i="40"/>
  <c r="X18" i="40" s="1"/>
  <c r="J238" i="30"/>
  <c r="K238" i="30" s="1"/>
  <c r="D9" i="40"/>
  <c r="AE9" i="40" s="1"/>
  <c r="F16" i="4"/>
  <c r="G16" i="4" s="1"/>
  <c r="I18" i="46"/>
  <c r="J18" i="46" s="1"/>
  <c r="J23" i="30"/>
  <c r="K23" i="30" s="1"/>
  <c r="G196" i="4"/>
  <c r="G22" i="22" s="1"/>
  <c r="I22" i="22" s="1"/>
  <c r="K22" i="22" s="1"/>
  <c r="I93" i="27"/>
  <c r="J93" i="27" s="1"/>
  <c r="J229" i="30"/>
  <c r="K229" i="30" s="1"/>
  <c r="F259" i="4"/>
  <c r="G259" i="4" s="1"/>
  <c r="F318" i="4"/>
  <c r="G318" i="4" s="1"/>
  <c r="I105" i="31"/>
  <c r="J105" i="31" s="1"/>
  <c r="I38" i="31"/>
  <c r="J38" i="31" s="1"/>
  <c r="F271" i="4"/>
  <c r="G271" i="4" s="1"/>
  <c r="H44" i="50"/>
  <c r="I44" i="50" s="1"/>
  <c r="J179" i="30"/>
  <c r="K179" i="30" s="1"/>
  <c r="E20" i="44"/>
  <c r="F20" i="44" s="1"/>
  <c r="J17" i="46"/>
  <c r="I27" i="46"/>
  <c r="I42" i="27"/>
  <c r="J42" i="27" s="1"/>
  <c r="I10" i="42"/>
  <c r="J77" i="30"/>
  <c r="K77" i="30" s="1"/>
  <c r="J35" i="46"/>
  <c r="I54" i="46"/>
  <c r="F225" i="4"/>
  <c r="G225" i="4" s="1"/>
  <c r="F258" i="4"/>
  <c r="G258" i="4" s="1"/>
  <c r="F319" i="4"/>
  <c r="G319" i="4" s="1"/>
  <c r="F240" i="4"/>
  <c r="G240" i="4" s="1"/>
  <c r="G247" i="4" s="1"/>
  <c r="F307" i="4"/>
  <c r="G307" i="4" s="1"/>
  <c r="G309" i="4" s="1"/>
  <c r="G310" i="4" s="1"/>
  <c r="F311" i="4" s="1"/>
  <c r="G311" i="4" s="1"/>
  <c r="G353" i="4" s="1"/>
  <c r="I29" i="46"/>
  <c r="J29" i="46" s="1"/>
  <c r="J19" i="46"/>
  <c r="I30" i="46"/>
  <c r="J30" i="46" s="1"/>
  <c r="I31" i="46"/>
  <c r="J31" i="46" s="1"/>
  <c r="I48" i="25"/>
  <c r="AF16" i="40"/>
  <c r="X16" i="40"/>
  <c r="AE16" i="40"/>
  <c r="W16" i="40"/>
  <c r="AD16" i="40"/>
  <c r="V16" i="40"/>
  <c r="AC16" i="40"/>
  <c r="AJ16" i="40"/>
  <c r="AB16" i="40"/>
  <c r="AG16" i="40"/>
  <c r="Y16" i="40"/>
  <c r="AI16" i="40"/>
  <c r="AH16" i="40"/>
  <c r="AA16" i="40"/>
  <c r="Z16" i="40"/>
  <c r="AF19" i="40"/>
  <c r="X19" i="40"/>
  <c r="AE19" i="40"/>
  <c r="W19" i="40"/>
  <c r="AD19" i="40"/>
  <c r="V19" i="40"/>
  <c r="AC19" i="40"/>
  <c r="AJ19" i="40"/>
  <c r="AB19" i="40"/>
  <c r="AG19" i="40"/>
  <c r="Y19" i="40"/>
  <c r="AI19" i="40"/>
  <c r="AH19" i="40"/>
  <c r="AA19" i="40"/>
  <c r="Z19" i="40"/>
  <c r="AF17" i="40"/>
  <c r="X17" i="40"/>
  <c r="AE17" i="40"/>
  <c r="W17" i="40"/>
  <c r="AD17" i="40"/>
  <c r="V17" i="40"/>
  <c r="AC17" i="40"/>
  <c r="AJ17" i="40"/>
  <c r="AB17" i="40"/>
  <c r="AG17" i="40"/>
  <c r="Y17" i="40"/>
  <c r="AI17" i="40"/>
  <c r="AH17" i="40"/>
  <c r="AA17" i="40"/>
  <c r="Z17" i="40"/>
  <c r="AH9" i="40" l="1"/>
  <c r="AA10" i="40"/>
  <c r="X10" i="40"/>
  <c r="AJ11" i="40"/>
  <c r="AD18" i="40"/>
  <c r="AG10" i="40"/>
  <c r="V10" i="40"/>
  <c r="AB18" i="40"/>
  <c r="AA9" i="40"/>
  <c r="I28" i="46"/>
  <c r="J28" i="46" s="1"/>
  <c r="AA11" i="40"/>
  <c r="V11" i="40"/>
  <c r="AI11" i="40"/>
  <c r="W11" i="40"/>
  <c r="AG11" i="40"/>
  <c r="X11" i="40"/>
  <c r="D24" i="40"/>
  <c r="Y24" i="40" s="1"/>
  <c r="J97" i="30"/>
  <c r="K97" i="30" s="1"/>
  <c r="J199" i="30"/>
  <c r="K199" i="30" s="1"/>
  <c r="Z11" i="40"/>
  <c r="Y11" i="40"/>
  <c r="AC11" i="40"/>
  <c r="AE11" i="40"/>
  <c r="AH11" i="40"/>
  <c r="AB11" i="40"/>
  <c r="AD11" i="40"/>
  <c r="AH10" i="40"/>
  <c r="AD10" i="40"/>
  <c r="AB10" i="40"/>
  <c r="AF10" i="40"/>
  <c r="AI10" i="40"/>
  <c r="AJ10" i="40"/>
  <c r="W10" i="40"/>
  <c r="Z10" i="40"/>
  <c r="Y10" i="40"/>
  <c r="AC10" i="40"/>
  <c r="V9" i="40"/>
  <c r="AD9" i="40"/>
  <c r="F16" i="68"/>
  <c r="L31" i="67"/>
  <c r="F25" i="68"/>
  <c r="L82" i="67"/>
  <c r="O82" i="67" s="1"/>
  <c r="F18" i="68"/>
  <c r="L40" i="67"/>
  <c r="O40" i="67" s="1"/>
  <c r="O77" i="67"/>
  <c r="I21" i="46"/>
  <c r="J11" i="46"/>
  <c r="J12" i="46" s="1"/>
  <c r="AH18" i="40"/>
  <c r="AF18" i="40"/>
  <c r="X9" i="40"/>
  <c r="AG9" i="40"/>
  <c r="AB9" i="40"/>
  <c r="AF9" i="40"/>
  <c r="E19" i="12"/>
  <c r="F19" i="12" s="1"/>
  <c r="AI9" i="40"/>
  <c r="AJ9" i="40"/>
  <c r="W9" i="40"/>
  <c r="Z9" i="40"/>
  <c r="Y9" i="40"/>
  <c r="AC9" i="40"/>
  <c r="AI18" i="40"/>
  <c r="AJ18" i="40"/>
  <c r="W18" i="40"/>
  <c r="Z18" i="40"/>
  <c r="Y18" i="40"/>
  <c r="AC18" i="40"/>
  <c r="AE18" i="40"/>
  <c r="G213" i="4"/>
  <c r="E13" i="12" s="1"/>
  <c r="F13" i="12" s="1"/>
  <c r="AA18" i="40"/>
  <c r="AG18" i="40"/>
  <c r="V18" i="40"/>
  <c r="F44" i="4"/>
  <c r="G44" i="4" s="1"/>
  <c r="G39" i="22"/>
  <c r="I39" i="22" s="1"/>
  <c r="D39" i="22"/>
  <c r="F39" i="22" s="1"/>
  <c r="F159" i="4"/>
  <c r="G159" i="4" s="1"/>
  <c r="G21" i="22"/>
  <c r="I21" i="22" s="1"/>
  <c r="K21" i="22" s="1"/>
  <c r="G321" i="4"/>
  <c r="G322" i="4" s="1"/>
  <c r="F323" i="4" s="1"/>
  <c r="G323" i="4" s="1"/>
  <c r="G354" i="4" s="1"/>
  <c r="G32" i="22" s="1"/>
  <c r="I32" i="22" s="1"/>
  <c r="K32" i="22" s="1"/>
  <c r="J39" i="46"/>
  <c r="I40" i="46"/>
  <c r="J40" i="46" s="1"/>
  <c r="I55" i="46"/>
  <c r="J27" i="46"/>
  <c r="I38" i="46"/>
  <c r="J38" i="46" s="1"/>
  <c r="D28" i="22"/>
  <c r="F28" i="22" s="1"/>
  <c r="G28" i="22"/>
  <c r="I28" i="22" s="1"/>
  <c r="J304" i="30"/>
  <c r="K304" i="30" s="1"/>
  <c r="J99" i="30"/>
  <c r="K99" i="30" s="1"/>
  <c r="J201" i="30"/>
  <c r="K201" i="30" s="1"/>
  <c r="AH24" i="40" l="1"/>
  <c r="AD24" i="40"/>
  <c r="AB24" i="40"/>
  <c r="AJ24" i="40"/>
  <c r="AF24" i="40"/>
  <c r="AI24" i="40"/>
  <c r="AG24" i="40"/>
  <c r="AE24" i="40"/>
  <c r="AC24" i="40"/>
  <c r="V24" i="40"/>
  <c r="X24" i="40"/>
  <c r="Z24" i="40"/>
  <c r="AA24" i="40"/>
  <c r="W24" i="40"/>
  <c r="J21" i="46"/>
  <c r="J22" i="46" s="1"/>
  <c r="I32" i="46"/>
  <c r="J32" i="46" s="1"/>
  <c r="J33" i="46" s="1"/>
  <c r="D41" i="22" s="1"/>
  <c r="O31" i="67"/>
  <c r="F75" i="68"/>
  <c r="K28" i="22"/>
  <c r="K39" i="22"/>
  <c r="G357" i="4"/>
  <c r="E27" i="12" s="1"/>
  <c r="F27" i="12" s="1"/>
  <c r="G41" i="22" l="1"/>
  <c r="I41" i="22" s="1"/>
  <c r="F41" i="22"/>
  <c r="F76" i="68"/>
  <c r="F77" i="68" s="1"/>
  <c r="F82" i="68" s="1"/>
  <c r="K41" i="22" l="1"/>
  <c r="H62" i="69" l="1"/>
  <c r="I62" i="69" s="1"/>
  <c r="K62" i="69" s="1"/>
  <c r="H44" i="69"/>
  <c r="I44" i="69" s="1"/>
  <c r="K44" i="69" s="1"/>
  <c r="H36" i="69"/>
  <c r="I36" i="69" s="1"/>
  <c r="K36" i="69" s="1"/>
  <c r="H48" i="69"/>
  <c r="I48" i="69" s="1"/>
  <c r="K48" i="69" s="1"/>
  <c r="H45" i="69"/>
  <c r="I45" i="69" s="1"/>
  <c r="K45" i="69" s="1"/>
  <c r="H34" i="69"/>
  <c r="H42" i="69"/>
  <c r="I42" i="69" s="1"/>
  <c r="K42" i="69" s="1"/>
  <c r="H40" i="69"/>
  <c r="I40" i="69" s="1"/>
  <c r="K40" i="69" s="1"/>
  <c r="H39" i="69"/>
  <c r="I39" i="69" s="1"/>
  <c r="K39" i="69" s="1"/>
  <c r="H43" i="69"/>
  <c r="I43" i="69" s="1"/>
  <c r="K43" i="69" s="1"/>
  <c r="H54" i="69"/>
  <c r="I54" i="69" s="1"/>
  <c r="K54" i="69" s="1"/>
  <c r="H46" i="69"/>
  <c r="I46" i="69" s="1"/>
  <c r="K46" i="69" s="1"/>
  <c r="H69" i="69"/>
  <c r="I69" i="69" s="1"/>
  <c r="K69" i="69" s="1"/>
  <c r="H65" i="69"/>
  <c r="I65" i="69" s="1"/>
  <c r="K65" i="69" s="1"/>
  <c r="H63" i="69"/>
  <c r="I63" i="69" s="1"/>
  <c r="K63" i="69" s="1"/>
  <c r="H53" i="69"/>
  <c r="I53" i="69" s="1"/>
  <c r="K53" i="69" s="1"/>
  <c r="H35" i="69"/>
  <c r="I35" i="69" s="1"/>
  <c r="K35" i="69" s="1"/>
  <c r="H38" i="69"/>
  <c r="I38" i="69" s="1"/>
  <c r="K38" i="69" s="1"/>
  <c r="H66" i="69"/>
  <c r="I66" i="69" s="1"/>
  <c r="K66" i="69" s="1"/>
  <c r="H58" i="69"/>
  <c r="I58" i="69" s="1"/>
  <c r="K58" i="69" s="1"/>
  <c r="H55" i="69"/>
  <c r="I55" i="69" s="1"/>
  <c r="K55" i="69" s="1"/>
  <c r="H61" i="69"/>
  <c r="I61" i="69" s="1"/>
  <c r="K61" i="69" s="1"/>
  <c r="H52" i="69"/>
  <c r="I52" i="69" s="1"/>
  <c r="K52" i="69" s="1"/>
  <c r="H50" i="69"/>
  <c r="I50" i="69" s="1"/>
  <c r="K50" i="69" s="1"/>
  <c r="H41" i="69"/>
  <c r="I41" i="69" s="1"/>
  <c r="K41" i="69" s="1"/>
  <c r="H59" i="69"/>
  <c r="I59" i="69" s="1"/>
  <c r="K59" i="69" s="1"/>
  <c r="H56" i="69"/>
  <c r="I56" i="69" s="1"/>
  <c r="K56" i="69" s="1"/>
  <c r="H47" i="69"/>
  <c r="I47" i="69" s="1"/>
  <c r="K47" i="69" s="1"/>
  <c r="H49" i="69"/>
  <c r="I49" i="69" s="1"/>
  <c r="K49" i="69" s="1"/>
  <c r="H51" i="69"/>
  <c r="I51" i="69" s="1"/>
  <c r="K51" i="69" s="1"/>
  <c r="H67" i="69"/>
  <c r="I67" i="69" s="1"/>
  <c r="K67" i="69" s="1"/>
  <c r="H57" i="69"/>
  <c r="I57" i="69" s="1"/>
  <c r="K57" i="69" s="1"/>
  <c r="H60" i="69"/>
  <c r="I60" i="69" s="1"/>
  <c r="K60" i="69" s="1"/>
  <c r="H64" i="69"/>
  <c r="I64" i="69" s="1"/>
  <c r="K64" i="69" s="1"/>
  <c r="H68" i="69"/>
  <c r="I68" i="69" s="1"/>
  <c r="K68" i="69" s="1"/>
  <c r="H37" i="69"/>
  <c r="I37" i="69" s="1"/>
  <c r="K37" i="69" s="1"/>
  <c r="H75" i="69" l="1"/>
  <c r="K75" i="69" s="1"/>
  <c r="I34" i="69"/>
  <c r="K34" i="69" s="1"/>
  <c r="H76" i="69" l="1"/>
  <c r="I76" i="69" s="1"/>
  <c r="I75" i="69"/>
  <c r="H77" i="69" l="1"/>
  <c r="I77" i="69" s="1"/>
  <c r="H82" i="69" l="1"/>
  <c r="I82" i="69" s="1"/>
  <c r="M128" i="17"/>
  <c r="N128" i="17" s="1"/>
  <c r="N137" i="17" s="1"/>
  <c r="O137" i="17" s="1"/>
  <c r="P137" i="17" s="1"/>
  <c r="Q137" i="17" s="1"/>
  <c r="R137" i="17" s="1"/>
  <c r="M109" i="17"/>
  <c r="N109" i="17" s="1"/>
  <c r="N112" i="17" s="1"/>
  <c r="O112" i="17" s="1"/>
  <c r="P112" i="17" s="1"/>
  <c r="Q112" i="17" s="1"/>
  <c r="R112" i="17" s="1"/>
  <c r="M138" i="17"/>
  <c r="N138" i="17" s="1"/>
  <c r="N146" i="17" s="1"/>
  <c r="O146" i="17" s="1"/>
  <c r="P146" i="17" s="1"/>
  <c r="Q146" i="17" s="1"/>
  <c r="R146" i="17" s="1"/>
  <c r="M117" i="17"/>
  <c r="N117" i="17"/>
  <c r="N127" i="17" s="1"/>
  <c r="O127" i="17" s="1"/>
  <c r="P127" i="17" s="1"/>
  <c r="Q127" i="17" s="1"/>
  <c r="R127" i="17" s="1"/>
  <c r="F47" i="35" s="1"/>
  <c r="F35" i="34"/>
  <c r="I102" i="36" s="1"/>
  <c r="D65" i="37" s="1"/>
  <c r="M113" i="17"/>
  <c r="N113" i="17" s="1"/>
  <c r="N116" i="17" s="1"/>
  <c r="O116" i="17" s="1"/>
  <c r="P116" i="17" s="1"/>
  <c r="Q116" i="17" s="1"/>
  <c r="R116" i="17" s="1"/>
  <c r="F46" i="35" s="1"/>
  <c r="F289" i="4" l="1"/>
  <c r="G289" i="4" s="1"/>
  <c r="F264" i="4"/>
  <c r="G264" i="4" s="1"/>
  <c r="I92" i="26"/>
  <c r="J92" i="26" s="1"/>
  <c r="J98" i="26" s="1"/>
  <c r="I59" i="29" s="1"/>
  <c r="J59" i="29" s="1"/>
  <c r="F291" i="4"/>
  <c r="G291" i="4" s="1"/>
  <c r="F266" i="4"/>
  <c r="G266" i="4" s="1"/>
  <c r="M147" i="17"/>
  <c r="N147" i="17" s="1"/>
  <c r="N149" i="17" s="1"/>
  <c r="O149" i="17" s="1"/>
  <c r="P149" i="17" s="1"/>
  <c r="Q149" i="17" s="1"/>
  <c r="R149" i="17" s="1"/>
  <c r="M256" i="17"/>
  <c r="N256" i="17"/>
  <c r="N259" i="17" s="1"/>
  <c r="O259" i="17" s="1"/>
  <c r="P259" i="17" s="1"/>
  <c r="Q259" i="17" s="1"/>
  <c r="R259" i="17" s="1"/>
  <c r="M91" i="17"/>
  <c r="N91" i="17" s="1"/>
  <c r="N93" i="17" s="1"/>
  <c r="O93" i="17" s="1"/>
  <c r="P93" i="17" s="1"/>
  <c r="Q93" i="17" s="1"/>
  <c r="R93" i="17" s="1"/>
  <c r="F31" i="34"/>
  <c r="I88" i="36" s="1"/>
  <c r="I92" i="36" s="1"/>
  <c r="I94" i="36" s="1"/>
  <c r="I96" i="36" s="1"/>
  <c r="M88" i="17"/>
  <c r="N88" i="17" s="1"/>
  <c r="N90" i="17" s="1"/>
  <c r="O90" i="17" s="1"/>
  <c r="P90" i="17" s="1"/>
  <c r="Q90" i="17" s="1"/>
  <c r="R90" i="17" s="1"/>
  <c r="I97" i="36" l="1"/>
  <c r="I98" i="36"/>
  <c r="I99" i="36" s="1"/>
  <c r="C101" i="38" s="1"/>
  <c r="K101" i="38" s="1"/>
  <c r="K108" i="38" s="1"/>
  <c r="G296" i="4"/>
  <c r="I67" i="55"/>
  <c r="J67" i="55" s="1"/>
  <c r="J127" i="55" s="1"/>
  <c r="E14" i="53"/>
  <c r="F14" i="53" s="1"/>
  <c r="F21" i="53" s="1"/>
  <c r="I55" i="51"/>
  <c r="J55" i="51" s="1"/>
  <c r="J91" i="51" s="1"/>
  <c r="M265" i="17"/>
  <c r="N265" i="17" s="1"/>
  <c r="N269" i="17" s="1"/>
  <c r="O269" i="17" s="1"/>
  <c r="P269" i="17" s="1"/>
  <c r="Q269" i="17" s="1"/>
  <c r="R269" i="17" s="1"/>
  <c r="F45" i="35" s="1"/>
  <c r="F227" i="4" s="1"/>
  <c r="G227" i="4" s="1"/>
  <c r="G231" i="4" s="1"/>
  <c r="G232" i="4" s="1"/>
  <c r="F233" i="4" s="1"/>
  <c r="G233" i="4" s="1"/>
  <c r="F40" i="35"/>
  <c r="C74" i="38"/>
  <c r="D66" i="37"/>
  <c r="C173" i="38" s="1"/>
  <c r="Q68" i="38" l="1"/>
  <c r="S68" i="38" s="1"/>
  <c r="Q69" i="38"/>
  <c r="S69" i="38" s="1"/>
  <c r="S74" i="38" s="1"/>
  <c r="S75" i="38" s="1"/>
  <c r="S76" i="38" s="1"/>
  <c r="F41" i="35" s="1"/>
  <c r="G248" i="4"/>
  <c r="G27" i="22"/>
  <c r="I27" i="22" s="1"/>
  <c r="K27" i="22" s="1"/>
  <c r="E24" i="12"/>
  <c r="F24" i="12" s="1"/>
  <c r="J101" i="51"/>
  <c r="J92" i="51"/>
  <c r="J93" i="51" s="1"/>
  <c r="K109" i="38"/>
  <c r="K110" i="38" s="1"/>
  <c r="F28" i="53"/>
  <c r="F22" i="53"/>
  <c r="F23" i="53" s="1"/>
  <c r="M74" i="38"/>
  <c r="M79" i="38" s="1"/>
  <c r="G74" i="38"/>
  <c r="G79" i="38" s="1"/>
  <c r="G173" i="38"/>
  <c r="G182" i="38" s="1"/>
  <c r="M173" i="38"/>
  <c r="M182" i="38" s="1"/>
  <c r="K173" i="38"/>
  <c r="K182" i="38" s="1"/>
  <c r="I173" i="38"/>
  <c r="I182" i="38" s="1"/>
  <c r="J146" i="30"/>
  <c r="K146" i="30" s="1"/>
  <c r="K203" i="30" s="1"/>
  <c r="K204" i="30" s="1"/>
  <c r="K205" i="30" s="1"/>
  <c r="K107" i="30" s="1"/>
  <c r="F113" i="4"/>
  <c r="G113" i="4" s="1"/>
  <c r="G160" i="4" s="1"/>
  <c r="I16" i="31"/>
  <c r="J16" i="31" s="1"/>
  <c r="J22" i="31" s="1"/>
  <c r="J23" i="31" s="1"/>
  <c r="J24" i="31" s="1"/>
  <c r="D35" i="22" s="1"/>
  <c r="F35" i="22" s="1"/>
  <c r="K35" i="22" s="1"/>
  <c r="D13" i="40"/>
  <c r="K56" i="67"/>
  <c r="L56" i="67" s="1"/>
  <c r="I44" i="29"/>
  <c r="J44" i="29" s="1"/>
  <c r="I28" i="27"/>
  <c r="J28" i="27" s="1"/>
  <c r="J50" i="27" s="1"/>
  <c r="J51" i="27" s="1"/>
  <c r="J52" i="27" s="1"/>
  <c r="D17" i="22" s="1"/>
  <c r="F17" i="22" s="1"/>
  <c r="K17" i="22" s="1"/>
  <c r="J44" i="30"/>
  <c r="K44" i="30" s="1"/>
  <c r="K101" i="30" s="1"/>
  <c r="K102" i="30" s="1"/>
  <c r="K103" i="30" s="1"/>
  <c r="K4" i="30" s="1"/>
  <c r="I72" i="26"/>
  <c r="J72" i="26" s="1"/>
  <c r="J74" i="26" s="1"/>
  <c r="J75" i="26" s="1"/>
  <c r="I58" i="29" s="1"/>
  <c r="J58" i="29" s="1"/>
  <c r="H24" i="50"/>
  <c r="I24" i="50" s="1"/>
  <c r="I55" i="50" s="1"/>
  <c r="D40" i="22" s="1"/>
  <c r="F40" i="22" s="1"/>
  <c r="K40" i="22" s="1"/>
  <c r="I92" i="31"/>
  <c r="J92" i="31" s="1"/>
  <c r="J112" i="31" s="1"/>
  <c r="J113" i="31" s="1"/>
  <c r="J114" i="31" s="1"/>
  <c r="D38" i="22" s="1"/>
  <c r="F38" i="22" s="1"/>
  <c r="K38" i="22" s="1"/>
  <c r="K54" i="66"/>
  <c r="L54" i="66" s="1"/>
  <c r="L102" i="66" s="1"/>
  <c r="L150" i="66" s="1"/>
  <c r="F63" i="4"/>
  <c r="G63" i="4" s="1"/>
  <c r="G97" i="4" s="1"/>
  <c r="I55" i="31"/>
  <c r="J55" i="31" s="1"/>
  <c r="J60" i="31" s="1"/>
  <c r="J61" i="31" s="1"/>
  <c r="J62" i="31" s="1"/>
  <c r="J249" i="30"/>
  <c r="K249" i="30" s="1"/>
  <c r="K306" i="30" s="1"/>
  <c r="K307" i="30" s="1"/>
  <c r="K308" i="30" s="1"/>
  <c r="K210" i="30" s="1"/>
  <c r="F18" i="4"/>
  <c r="G18" i="4" s="1"/>
  <c r="G45" i="4" s="1"/>
  <c r="I79" i="27"/>
  <c r="J79" i="27" s="1"/>
  <c r="J101" i="27" s="1"/>
  <c r="J102" i="27" s="1"/>
  <c r="J103" i="27" s="1"/>
  <c r="D34" i="22" s="1"/>
  <c r="F34" i="22" s="1"/>
  <c r="K34" i="22" s="1"/>
  <c r="F262" i="4"/>
  <c r="G262" i="4" s="1"/>
  <c r="E18" i="44"/>
  <c r="F18" i="44" s="1"/>
  <c r="F42" i="44" s="1"/>
  <c r="I47" i="46"/>
  <c r="E12" i="42"/>
  <c r="F12" i="42" s="1"/>
  <c r="K54" i="65"/>
  <c r="L54" i="65" s="1"/>
  <c r="L101" i="65" s="1"/>
  <c r="L149" i="65" s="1"/>
  <c r="J137" i="55"/>
  <c r="J128" i="55"/>
  <c r="J129" i="55" s="1"/>
  <c r="J102" i="51" l="1"/>
  <c r="L102" i="51" s="1"/>
  <c r="J138" i="55"/>
  <c r="L138" i="55" s="1"/>
  <c r="G19" i="22"/>
  <c r="I19" i="22" s="1"/>
  <c r="K19" i="22" s="1"/>
  <c r="E16" i="12"/>
  <c r="F16" i="12" s="1"/>
  <c r="O56" i="67"/>
  <c r="L104" i="67"/>
  <c r="L152" i="67" s="1"/>
  <c r="L151" i="65" s="1"/>
  <c r="G183" i="38"/>
  <c r="G184" i="38" s="1"/>
  <c r="I12" i="42"/>
  <c r="H12" i="42"/>
  <c r="F30" i="42"/>
  <c r="D16" i="22" s="1"/>
  <c r="F16" i="22" s="1"/>
  <c r="I56" i="46"/>
  <c r="I48" i="46"/>
  <c r="J48" i="46" s="1"/>
  <c r="J47" i="46"/>
  <c r="E15" i="12"/>
  <c r="F15" i="12" s="1"/>
  <c r="G18" i="22"/>
  <c r="I18" i="22" s="1"/>
  <c r="K18" i="22" s="1"/>
  <c r="AF13" i="40"/>
  <c r="AF26" i="40" s="1"/>
  <c r="V13" i="40"/>
  <c r="V26" i="40" s="1"/>
  <c r="W13" i="40"/>
  <c r="W26" i="40" s="1"/>
  <c r="AG13" i="40"/>
  <c r="AG26" i="40" s="1"/>
  <c r="AC13" i="40"/>
  <c r="AC26" i="40" s="1"/>
  <c r="AD13" i="40"/>
  <c r="AD26" i="40" s="1"/>
  <c r="Y13" i="40"/>
  <c r="Y26" i="40" s="1"/>
  <c r="X13" i="40"/>
  <c r="X26" i="40" s="1"/>
  <c r="AA13" i="40"/>
  <c r="AA26" i="40" s="1"/>
  <c r="Z13" i="40"/>
  <c r="Z26" i="40" s="1"/>
  <c r="AB13" i="40"/>
  <c r="AB26" i="40" s="1"/>
  <c r="AH13" i="40"/>
  <c r="AH26" i="40" s="1"/>
  <c r="AE13" i="40"/>
  <c r="AE26" i="40" s="1"/>
  <c r="G26" i="40"/>
  <c r="AI13" i="40"/>
  <c r="AI26" i="40" s="1"/>
  <c r="AJ13" i="40"/>
  <c r="AJ26" i="40" s="1"/>
  <c r="I183" i="38"/>
  <c r="I184" i="38" s="1"/>
  <c r="F48" i="35" s="1"/>
  <c r="F267" i="4" s="1"/>
  <c r="G267" i="4" s="1"/>
  <c r="G276" i="4" s="1"/>
  <c r="G297" i="4" s="1"/>
  <c r="G80" i="38"/>
  <c r="G81" i="38" s="1"/>
  <c r="F29" i="53"/>
  <c r="H29" i="53" s="1"/>
  <c r="G23" i="22"/>
  <c r="I23" i="22" s="1"/>
  <c r="D23" i="22"/>
  <c r="F23" i="22" s="1"/>
  <c r="K183" i="38"/>
  <c r="K184" i="38" s="1"/>
  <c r="F55" i="35" s="1"/>
  <c r="M80" i="38"/>
  <c r="M81" i="38" s="1"/>
  <c r="D36" i="22"/>
  <c r="F36" i="22" s="1"/>
  <c r="K36" i="22" s="1"/>
  <c r="D37" i="22"/>
  <c r="F37" i="22" s="1"/>
  <c r="K37" i="22" s="1"/>
  <c r="J62" i="29"/>
  <c r="J63" i="29" s="1"/>
  <c r="J64" i="29" s="1"/>
  <c r="G16" i="22" s="1"/>
  <c r="I16" i="22" s="1"/>
  <c r="E17" i="12"/>
  <c r="F17" i="12" s="1"/>
  <c r="G20" i="22"/>
  <c r="I20" i="22" s="1"/>
  <c r="K20" i="22" s="1"/>
  <c r="M183" i="38"/>
  <c r="M184" i="38" s="1"/>
  <c r="F56" i="35" s="1"/>
  <c r="J49" i="46" l="1"/>
  <c r="D30" i="22"/>
  <c r="F30" i="22" s="1"/>
  <c r="F46" i="22" s="1"/>
  <c r="F52" i="22" s="1"/>
  <c r="F54" i="22" s="1"/>
  <c r="E25" i="12"/>
  <c r="F25" i="12" s="1"/>
  <c r="F29" i="12" s="1"/>
  <c r="G30" i="22"/>
  <c r="I30" i="22" s="1"/>
  <c r="I46" i="22" s="1"/>
  <c r="L75" i="69"/>
  <c r="N75" i="69" s="1"/>
  <c r="I75" i="68"/>
  <c r="K75" i="68" s="1"/>
  <c r="K23" i="22"/>
  <c r="K16" i="22"/>
  <c r="F30" i="12" l="1"/>
  <c r="F31" i="12" s="1"/>
  <c r="D40" i="21"/>
  <c r="F56" i="22"/>
  <c r="F57" i="22"/>
  <c r="K30" i="22"/>
  <c r="K46" i="22" s="1"/>
  <c r="K52" i="22" s="1"/>
  <c r="K54" i="22" s="1"/>
  <c r="K56" i="22" l="1"/>
  <c r="K57" i="22"/>
  <c r="F58" i="22"/>
  <c r="F59" i="22" s="1"/>
  <c r="D41" i="21"/>
  <c r="D42" i="21"/>
  <c r="D43" i="21"/>
  <c r="F60" i="22" l="1"/>
  <c r="F61" i="22"/>
  <c r="K58" i="22"/>
  <c r="K59" i="22" s="1"/>
  <c r="F62" i="22" l="1"/>
  <c r="K61" i="22"/>
  <c r="K60" i="22"/>
  <c r="K62" i="22" l="1"/>
</calcChain>
</file>

<file path=xl/sharedStrings.xml><?xml version="1.0" encoding="utf-8"?>
<sst xmlns="http://schemas.openxmlformats.org/spreadsheetml/2006/main" count="11026" uniqueCount="3601">
  <si>
    <t xml:space="preserve">HDPE Perforated Pipe of </t>
  </si>
  <si>
    <t>Preparation and Placing of Gravel</t>
  </si>
  <si>
    <t>Filter Media 3 to 6 mm as per Spec.</t>
  </si>
  <si>
    <t>Filter Media 6 to 20 mm as per Spec.</t>
  </si>
  <si>
    <t>Filter Media 20 to 40 mm as per Spec.</t>
  </si>
  <si>
    <t>Project: …………………...  Water Quality Improvement Project</t>
  </si>
  <si>
    <t>Q =</t>
  </si>
  <si>
    <t>Component: Slow Sand Filter</t>
  </si>
  <si>
    <t xml:space="preserve">Stone Soling with sand packing on Base of Foundation </t>
  </si>
  <si>
    <t>Concrete</t>
  </si>
  <si>
    <t>Smoothly Finished Brick Masonry</t>
  </si>
  <si>
    <t>Filter Media 6 to 20 rrim as per Spec.</t>
  </si>
  <si>
    <t>Two Coat of Enamel Paint of appropriate</t>
  </si>
  <si>
    <t xml:space="preserve"> Colour on Exposed Surface of Tank</t>
  </si>
  <si>
    <t xml:space="preserve">Pieces and Fittings for Inlet, Outlet </t>
  </si>
  <si>
    <t>and W/O Complete as per Drawing</t>
  </si>
  <si>
    <t>L. S.</t>
  </si>
  <si>
    <t>Pipe for Manifold</t>
  </si>
  <si>
    <t xml:space="preserve">Preparation of holes and Installation </t>
  </si>
  <si>
    <t>bars  Including  supplying, Cutting,</t>
  </si>
  <si>
    <t xml:space="preserve"> Bending and Placing in Position</t>
  </si>
  <si>
    <t>Component: Plain Sedimentation Tank</t>
  </si>
  <si>
    <t>Length</t>
  </si>
  <si>
    <t>Breadth</t>
  </si>
  <si>
    <t>Height</t>
  </si>
  <si>
    <t>BARBED  WIRE  FENCING</t>
  </si>
  <si>
    <t>Site Clearance</t>
  </si>
  <si>
    <t>Earthwork in excavation pillars</t>
  </si>
  <si>
    <t>walls</t>
  </si>
  <si>
    <t>m³</t>
  </si>
  <si>
    <t>Dry stone soling with sand   pillars</t>
  </si>
  <si>
    <t>PCC (1:2:4) for anchor blocks</t>
  </si>
  <si>
    <t>Stone masonry (1:6) cement mortar Pillars</t>
  </si>
  <si>
    <t>Barbed wire fencing (16+1: one more lengths of barbed</t>
  </si>
  <si>
    <t>wire to be anchored on entrance gate).</t>
  </si>
  <si>
    <t>Cross Barbed Wire  [L = (1.5² + 1.5²)½]</t>
  </si>
  <si>
    <t>6 mm ø mild steel rod for hooks, 650 mm long each</t>
  </si>
  <si>
    <t>M.S. 40 x 40 x 6 angle bar, 2.5 m long</t>
  </si>
  <si>
    <t>kg/unit</t>
  </si>
  <si>
    <t>ENTRANCE  GATE</t>
  </si>
  <si>
    <t>Earthwork in excavation in foundation</t>
  </si>
  <si>
    <t>Boulder masonry iin (1:6) cement mortar for Pillar</t>
  </si>
  <si>
    <t>In foundation</t>
  </si>
  <si>
    <t>Above Ground</t>
  </si>
  <si>
    <t>-</t>
  </si>
  <si>
    <t>On top</t>
  </si>
  <si>
    <t>Deduct two sides</t>
  </si>
  <si>
    <t>m²</t>
  </si>
  <si>
    <t>25 x 25 x 3 m Size Mild Steel angle frames gate with Iron</t>
  </si>
  <si>
    <t>Grill shutter (0.95 x 1.5 m size) all complete including</t>
  </si>
  <si>
    <t>fixing no.</t>
  </si>
  <si>
    <t>Enamel Painting for Gate</t>
  </si>
  <si>
    <t>Amount</t>
  </si>
  <si>
    <t>Component: Roughing Filter</t>
  </si>
  <si>
    <t>Long Walls  Outer</t>
  </si>
  <si>
    <t>Long Walls  Inner</t>
  </si>
  <si>
    <t>Component: Horizontal Roughing Filter</t>
  </si>
  <si>
    <t xml:space="preserve">Stone Soling with sand packing on                                 </t>
  </si>
  <si>
    <t>Base of Foundation,     SSF</t>
  </si>
  <si>
    <t xml:space="preserve">Foundation               SSF                                  </t>
  </si>
  <si>
    <t xml:space="preserve">Lean  Concrete     SSF                                 </t>
  </si>
  <si>
    <t>bars Including Supplying,Cutting,</t>
  </si>
  <si>
    <t xml:space="preserve">12.5 mm Thick Cement Sand Plaster </t>
  </si>
  <si>
    <t>in 1:3 Mortar with 2% Water Proof</t>
  </si>
  <si>
    <t xml:space="preserve">Smoothly Finished Local Brick </t>
  </si>
  <si>
    <t>Masonry Support in 1:4 Cement</t>
  </si>
  <si>
    <t xml:space="preserve"> Sand Mortar 2 m C/C </t>
  </si>
  <si>
    <t xml:space="preserve"> Manifold</t>
  </si>
  <si>
    <t xml:space="preserve">Preparation and Placing of Filter </t>
  </si>
  <si>
    <t>Sand as per Specification</t>
  </si>
  <si>
    <t xml:space="preserve">and W/O Complete as per Drawing </t>
  </si>
  <si>
    <t>dia.HDPE Pipe for Manifold</t>
  </si>
  <si>
    <t>Inner Long Walls</t>
  </si>
  <si>
    <t>Transportation of  easy loads from ........... to Project site - For 1 kg</t>
  </si>
  <si>
    <t>Transportation of  easy loads from ...........  to Project site - For 1 kg</t>
  </si>
  <si>
    <t>Transportation of  difficult loads from ...........   to Project site - For 1 kg</t>
  </si>
  <si>
    <t>Transportation of Pipes from ...........   to Project site - For 1 kg</t>
  </si>
  <si>
    <t xml:space="preserve">Cost of one bag (50 kg.) of cement at ...........@ </t>
  </si>
  <si>
    <t xml:space="preserve">Transportation of a bag of cement from ........... </t>
  </si>
  <si>
    <t>Cost of one ton of Reinforcement Bar at ........... @</t>
  </si>
  <si>
    <t>Transportation of  difficult load from ........... to Project site - For 1 kg</t>
  </si>
  <si>
    <t>………………….. Project</t>
  </si>
  <si>
    <t>Analysis of Transportation Cost (…………….)</t>
  </si>
  <si>
    <t>Quarry</t>
  </si>
  <si>
    <t>Pr. Site</t>
  </si>
  <si>
    <t>Quarry site:  …………….. Khola</t>
  </si>
  <si>
    <t>Quarry site:  ………………... Khola</t>
  </si>
  <si>
    <t>Clear water chamber                base all</t>
  </si>
  <si>
    <t xml:space="preserve">Main bar 12 mm @ 150 mm c/c </t>
  </si>
  <si>
    <t>Distribution bar 12 mm @ 100 mm c/c</t>
  </si>
  <si>
    <t>Training (7 Days) 20 persons</t>
  </si>
  <si>
    <t>Water Quality, On Site Sanitation &amp; Waste Disposal</t>
  </si>
  <si>
    <t>Analysis of Labour &amp; Material</t>
  </si>
  <si>
    <t>Labour (A)</t>
  </si>
  <si>
    <t>Materials (B)</t>
  </si>
  <si>
    <t>Analyzed</t>
  </si>
  <si>
    <t>Man</t>
  </si>
  <si>
    <t>Rate</t>
  </si>
  <si>
    <t xml:space="preserve">Type of </t>
  </si>
  <si>
    <t>Sub-Total</t>
  </si>
  <si>
    <t>Contract.</t>
  </si>
  <si>
    <t>Sr.</t>
  </si>
  <si>
    <t>Norms</t>
  </si>
  <si>
    <t>Desciption  of  works</t>
  </si>
  <si>
    <t>for</t>
  </si>
  <si>
    <t>Category</t>
  </si>
  <si>
    <t>Days</t>
  </si>
  <si>
    <t>Rs.</t>
  </si>
  <si>
    <t xml:space="preserve">Materials </t>
  </si>
  <si>
    <t>(A+B)</t>
  </si>
  <si>
    <t>O / head</t>
  </si>
  <si>
    <t>Rate, Rs</t>
  </si>
  <si>
    <t>used</t>
  </si>
  <si>
    <t>VAT</t>
  </si>
  <si>
    <t>1x2</t>
  </si>
  <si>
    <t>4x5</t>
  </si>
  <si>
    <t>3+6</t>
  </si>
  <si>
    <t>7+8</t>
  </si>
  <si>
    <t>Surface clearance</t>
  </si>
  <si>
    <t xml:space="preserve">Felling of trees of dia 12-30 cm </t>
  </si>
  <si>
    <t>(1-1)</t>
  </si>
  <si>
    <t xml:space="preserve">cutting of branches and lead </t>
  </si>
  <si>
    <t>Labour</t>
  </si>
  <si>
    <t>up to 15 m</t>
  </si>
  <si>
    <t xml:space="preserve">Top Soil Excavation : Excavating </t>
  </si>
  <si>
    <t>(1-8)</t>
  </si>
  <si>
    <t xml:space="preserve">15-20 cm of the top soil including </t>
  </si>
  <si>
    <t>disposal outside of the constr.  site</t>
  </si>
  <si>
    <t>Sq.m.</t>
  </si>
  <si>
    <t>Site clearance</t>
  </si>
  <si>
    <t>Unskilled</t>
  </si>
  <si>
    <t xml:space="preserve">Trimming projections, filling </t>
  </si>
  <si>
    <t>(1-7)</t>
  </si>
  <si>
    <t>depressions to level the surface etc.</t>
  </si>
  <si>
    <t>(including service roads etc.) for 1 m2</t>
  </si>
  <si>
    <t>Excavation  Work</t>
  </si>
  <si>
    <t>(2-9)</t>
  </si>
  <si>
    <t>Earthwork in Excavation in Soft Soil</t>
  </si>
  <si>
    <t>T &amp; P @3% of Labour Cost</t>
  </si>
  <si>
    <t>2 (12)</t>
  </si>
  <si>
    <t>Earthwork in Excavation in Hard Soil</t>
  </si>
  <si>
    <t>2 (14)</t>
  </si>
  <si>
    <t>Earthwork in Excavation in BMS</t>
  </si>
  <si>
    <t>(2-15Ka)</t>
  </si>
  <si>
    <t>Soft rock cutting in foundation, Drain</t>
  </si>
  <si>
    <t>2 (16-Kha)</t>
  </si>
  <si>
    <t>Hard rock cutting</t>
  </si>
  <si>
    <t xml:space="preserve">Back Filling </t>
  </si>
  <si>
    <t>(2-39Ka)</t>
  </si>
  <si>
    <t>with soft Soil</t>
  </si>
  <si>
    <t>2 (39-Ga)</t>
  </si>
  <si>
    <t>Backfilling with Hard Soil</t>
  </si>
  <si>
    <t>2 (39-Gha)</t>
  </si>
  <si>
    <t>Earthwork in Backfilling with BMS</t>
  </si>
  <si>
    <t>2 (39-Na)</t>
  </si>
  <si>
    <t>Backfilling with Soft Rock</t>
  </si>
  <si>
    <t>Stone Works</t>
  </si>
  <si>
    <t>6-2 (2)</t>
  </si>
  <si>
    <t>R.R. Masonry in mud mortar</t>
  </si>
  <si>
    <t>Mason</t>
  </si>
  <si>
    <t>Block Stone</t>
  </si>
  <si>
    <t>Mud</t>
  </si>
  <si>
    <t>6-2 (1)</t>
  </si>
  <si>
    <t>Dry stone masonry work</t>
  </si>
  <si>
    <t>6 (5)</t>
  </si>
  <si>
    <t>Dry boulder packing work</t>
  </si>
  <si>
    <t>11-16</t>
  </si>
  <si>
    <t>Boulder soling with sand</t>
  </si>
  <si>
    <t>Sand</t>
  </si>
  <si>
    <t>6-1 (2)</t>
  </si>
  <si>
    <t>Cement</t>
  </si>
  <si>
    <t>Bag</t>
  </si>
  <si>
    <t>6-1 (3)</t>
  </si>
  <si>
    <t>6-1(1)</t>
  </si>
  <si>
    <t>Gravel packing</t>
  </si>
  <si>
    <t>Skilled</t>
  </si>
  <si>
    <t>Aggregate</t>
  </si>
  <si>
    <t>20,25 mm dia</t>
  </si>
  <si>
    <t>- 40 mm</t>
  </si>
  <si>
    <t>Cement Concret Works</t>
  </si>
  <si>
    <t>7-2</t>
  </si>
  <si>
    <t>Plain cement concrete (1:1:5:3)</t>
  </si>
  <si>
    <t>- 10mm</t>
  </si>
  <si>
    <t>- 20mm</t>
  </si>
  <si>
    <t>7-2 Gha</t>
  </si>
  <si>
    <t>Plain cement concrete (1:2:4)</t>
  </si>
  <si>
    <t>- 40mm</t>
  </si>
  <si>
    <t>7-2 ga</t>
  </si>
  <si>
    <t>Plain cement concrete (1:3:6)</t>
  </si>
  <si>
    <t>7-5</t>
  </si>
  <si>
    <t>Mild steel reinforcement</t>
  </si>
  <si>
    <t>MS Bars</t>
  </si>
  <si>
    <t>Kg</t>
  </si>
  <si>
    <t>Bind Wire 12</t>
  </si>
  <si>
    <t xml:space="preserve">Reinforcement including  </t>
  </si>
  <si>
    <t>MS bars</t>
  </si>
  <si>
    <t>Bind Wire</t>
  </si>
  <si>
    <t>Chicken wire</t>
  </si>
  <si>
    <t>M</t>
  </si>
  <si>
    <t>GI plain wire</t>
  </si>
  <si>
    <t>Form works</t>
  </si>
  <si>
    <t>8-2-ka</t>
  </si>
  <si>
    <t>Form work for concrete work</t>
  </si>
  <si>
    <t>Local wood</t>
  </si>
  <si>
    <t>Nails</t>
  </si>
  <si>
    <t xml:space="preserve">HDPE pipe formwork for </t>
  </si>
  <si>
    <t>ferro-cement works</t>
  </si>
  <si>
    <t>Bamboo</t>
  </si>
  <si>
    <t>Roofing</t>
  </si>
  <si>
    <t>9-1</t>
  </si>
  <si>
    <t>CGI sheet roofing</t>
  </si>
  <si>
    <t>CGI sheet</t>
  </si>
  <si>
    <t>Nut and bolt</t>
  </si>
  <si>
    <t>J-hook</t>
  </si>
  <si>
    <t>Bitumen-</t>
  </si>
  <si>
    <t>Washer</t>
  </si>
  <si>
    <t>9-2</t>
  </si>
  <si>
    <t>Carpenter</t>
  </si>
  <si>
    <t>G. I. Sheet</t>
  </si>
  <si>
    <t>m.</t>
  </si>
  <si>
    <t>Helper</t>
  </si>
  <si>
    <t>Nut bolt</t>
  </si>
  <si>
    <t xml:space="preserve">Wood works </t>
  </si>
  <si>
    <t>(10-1)</t>
  </si>
  <si>
    <t>Hard Wood</t>
  </si>
  <si>
    <t>Labourer</t>
  </si>
  <si>
    <t>Holdfast 250 mm</t>
  </si>
  <si>
    <t>Size of door : 900 x 2100 mm</t>
  </si>
  <si>
    <t>Screws</t>
  </si>
  <si>
    <t>Size of wood : 100 x 75 mm</t>
  </si>
  <si>
    <t>Hold fast</t>
  </si>
  <si>
    <t>(10-2)</t>
  </si>
  <si>
    <t xml:space="preserve">38 mm thick Salwood frame for </t>
  </si>
  <si>
    <t>panelled door shutter for 1 No.</t>
  </si>
  <si>
    <t>Hinge 150 mm</t>
  </si>
  <si>
    <t xml:space="preserve">Shutter size : 1.07 x 1.982 </t>
  </si>
  <si>
    <t xml:space="preserve">Tower bolt </t>
  </si>
  <si>
    <t>=  for  2.12074 m2</t>
  </si>
  <si>
    <t>150 mm</t>
  </si>
  <si>
    <t>Tower bolt</t>
  </si>
  <si>
    <t>300 mm</t>
  </si>
  <si>
    <t>Locking set</t>
  </si>
  <si>
    <t>250 mm</t>
  </si>
  <si>
    <t>Handle</t>
  </si>
  <si>
    <t>Screw &amp; nail</t>
  </si>
  <si>
    <t>(10-10)</t>
  </si>
  <si>
    <t xml:space="preserve">38 mm thick Salwood </t>
  </si>
  <si>
    <t xml:space="preserve">SWG G.I. wire mesh for mosquito </t>
  </si>
  <si>
    <t xml:space="preserve">Wire mesh </t>
  </si>
  <si>
    <t>proof shutter for 1 No.</t>
  </si>
  <si>
    <t>24 SWG</t>
  </si>
  <si>
    <t>Shutter size : 1.092 x 2.05</t>
  </si>
  <si>
    <t>Hinge 100 mm</t>
  </si>
  <si>
    <t>Spring</t>
  </si>
  <si>
    <t xml:space="preserve">38 mm thick wooden </t>
  </si>
  <si>
    <t>Sal Wood</t>
  </si>
  <si>
    <t xml:space="preserve">shutter with 24 SWG </t>
  </si>
  <si>
    <t>plain sheet on one side</t>
  </si>
  <si>
    <t>Hinges100 mm</t>
  </si>
  <si>
    <t>Tower bolt150</t>
  </si>
  <si>
    <t>GI plain sheet</t>
  </si>
  <si>
    <t>10-17</t>
  </si>
  <si>
    <t xml:space="preserve">Wood works for beam, </t>
  </si>
  <si>
    <t>rafters etc.</t>
  </si>
  <si>
    <t>Plastering Works</t>
  </si>
  <si>
    <t>12-1-</t>
  </si>
  <si>
    <t xml:space="preserve">12.5mm thick cement </t>
  </si>
  <si>
    <t>ka</t>
  </si>
  <si>
    <t>plaster (1:2)</t>
  </si>
  <si>
    <t>12.5mm thick cement )</t>
  </si>
  <si>
    <t>kha</t>
  </si>
  <si>
    <t>plaster (1:3</t>
  </si>
  <si>
    <t>12-1-ga</t>
  </si>
  <si>
    <t>plaster (1:4)</t>
  </si>
  <si>
    <t>12-4-ka</t>
  </si>
  <si>
    <t xml:space="preserve">20mm thick cement </t>
  </si>
  <si>
    <t>plaster (1:3)</t>
  </si>
  <si>
    <t>12-4-</t>
  </si>
  <si>
    <t>20mm thick cement</t>
  </si>
  <si>
    <t xml:space="preserve"> plaster (1:4)</t>
  </si>
  <si>
    <t>12-4-ga</t>
  </si>
  <si>
    <t>plaster (1:6)</t>
  </si>
  <si>
    <t>14-2-</t>
  </si>
  <si>
    <t>Flush ruled pointing work(1:3)</t>
  </si>
  <si>
    <t>gha</t>
  </si>
  <si>
    <t>3 mm thick  cement punning</t>
  </si>
  <si>
    <t xml:space="preserve">Painting </t>
  </si>
  <si>
    <t xml:space="preserve">13-12 </t>
  </si>
  <si>
    <t>Two coats cement painting</t>
  </si>
  <si>
    <t>Painter</t>
  </si>
  <si>
    <t>Cement Paint</t>
  </si>
  <si>
    <t>(Snowecem)</t>
  </si>
  <si>
    <t>13-5 ka</t>
  </si>
  <si>
    <t>Two coats of enamel painting</t>
  </si>
  <si>
    <t>Primer</t>
  </si>
  <si>
    <t>Ltr</t>
  </si>
  <si>
    <t>13-5 kha</t>
  </si>
  <si>
    <t>with one coat of primer</t>
  </si>
  <si>
    <t>Enamel Paint</t>
  </si>
  <si>
    <t>13-1Ka</t>
  </si>
  <si>
    <t>Two coats of bitumen painting</t>
  </si>
  <si>
    <t>Bitumen Paint</t>
  </si>
  <si>
    <t>Laying of one layer of</t>
  </si>
  <si>
    <t>Polythene-</t>
  </si>
  <si>
    <t xml:space="preserve"> 500 gauge  </t>
  </si>
  <si>
    <t>Sheet</t>
  </si>
  <si>
    <t>of Polythene sheet</t>
  </si>
  <si>
    <t>16.03</t>
  </si>
  <si>
    <t>Tarfelt laying for 1 m2 in :</t>
  </si>
  <si>
    <t>Tarfelt</t>
  </si>
  <si>
    <t>(18-12Ka)</t>
  </si>
  <si>
    <t>One layer</t>
  </si>
  <si>
    <t>Bitumen</t>
  </si>
  <si>
    <t>Firewood</t>
  </si>
  <si>
    <t>Coarse sand</t>
  </si>
  <si>
    <t>Protection Work</t>
  </si>
  <si>
    <t>16-2 ka</t>
  </si>
  <si>
    <t xml:space="preserve">28.1 Gabion preparation, </t>
  </si>
  <si>
    <t xml:space="preserve">        mesh forming etc.</t>
  </si>
  <si>
    <t>Salvage wire</t>
  </si>
  <si>
    <t>(2 m x1 m x 1 m)</t>
  </si>
  <si>
    <t>(3 m x1 m x 1 m)</t>
  </si>
  <si>
    <t>16-11</t>
  </si>
  <si>
    <t xml:space="preserve">28.2 Filling of Gabion box </t>
  </si>
  <si>
    <t>Stone</t>
  </si>
  <si>
    <t>with stone</t>
  </si>
  <si>
    <t>Pipe laying and jointing</t>
  </si>
  <si>
    <t>17-2</t>
  </si>
  <si>
    <t>HDPE pipe jointing works</t>
  </si>
  <si>
    <t>Plumber</t>
  </si>
  <si>
    <t>Misc.Expences @2.5%</t>
  </si>
  <si>
    <t>Fuel</t>
  </si>
  <si>
    <t>Lit</t>
  </si>
  <si>
    <t>32 mm dia</t>
  </si>
  <si>
    <t>40,50 mm dia</t>
  </si>
  <si>
    <t>63,90 mm dia</t>
  </si>
  <si>
    <t>110, 125 mm dia</t>
  </si>
  <si>
    <t>140, 160 &amp; 180 mm dia</t>
  </si>
  <si>
    <t>17-4-ka</t>
  </si>
  <si>
    <t>GI pipe jointing works</t>
  </si>
  <si>
    <t>Lead, Hemp etc @10%</t>
  </si>
  <si>
    <t>15,20 mm dia</t>
  </si>
  <si>
    <t>25,32 mm dia</t>
  </si>
  <si>
    <t>65,80 mm dia</t>
  </si>
  <si>
    <t>100 mm dia</t>
  </si>
  <si>
    <t>125 mm dia</t>
  </si>
  <si>
    <t>Fencing Works</t>
  </si>
  <si>
    <t>24-7</t>
  </si>
  <si>
    <t>Barbed wire fencing on w</t>
  </si>
  <si>
    <t xml:space="preserve">ooden posts (2 diagonals </t>
  </si>
  <si>
    <t>Barbed wire</t>
  </si>
  <si>
    <t xml:space="preserve">&amp; 5 horizontals) </t>
  </si>
  <si>
    <t>U hooks</t>
  </si>
  <si>
    <t>@ 3 m c\c</t>
  </si>
  <si>
    <t>Rm</t>
  </si>
  <si>
    <t>24-6</t>
  </si>
  <si>
    <t xml:space="preserve">Barbed wire fencing </t>
  </si>
  <si>
    <t xml:space="preserve">Barbed wire fencing on </t>
  </si>
  <si>
    <t>PCC ( 1:1.5:3 )</t>
  </si>
  <si>
    <t xml:space="preserve"> RCC Posts</t>
  </si>
  <si>
    <t xml:space="preserve">MS Rod 8 &amp; 6 </t>
  </si>
  <si>
    <t>(100 mm X 100 X 2.2 m ) @ 2 m c/c</t>
  </si>
  <si>
    <t>Formworks</t>
  </si>
  <si>
    <t xml:space="preserve">(2 diagonals &amp; 5 horizontals) </t>
  </si>
  <si>
    <t>Binding wire</t>
  </si>
  <si>
    <t>5-1(kha 2)</t>
  </si>
  <si>
    <t xml:space="preserve">Chimney made Brick work in </t>
  </si>
  <si>
    <t>Brick</t>
  </si>
  <si>
    <t>1:4 cement mortar</t>
  </si>
  <si>
    <t>5-1(kha 3)</t>
  </si>
  <si>
    <t>1:6 cement mortar</t>
  </si>
  <si>
    <t>11-15(ka)</t>
  </si>
  <si>
    <t>Flat brick  soling</t>
  </si>
  <si>
    <t>Sq.m</t>
  </si>
  <si>
    <t>Transportation Cost non Local materials</t>
  </si>
  <si>
    <t>Sector</t>
  </si>
  <si>
    <t>Dist.</t>
  </si>
  <si>
    <t>Convenient</t>
  </si>
  <si>
    <t>Inconvenient</t>
  </si>
  <si>
    <t>Mode of Transport</t>
  </si>
  <si>
    <t xml:space="preserve">in </t>
  </si>
  <si>
    <t>Rate/kg</t>
  </si>
  <si>
    <t>From</t>
  </si>
  <si>
    <t>To</t>
  </si>
  <si>
    <t xml:space="preserve">/km/kosh  </t>
  </si>
  <si>
    <t xml:space="preserve">kosh </t>
  </si>
  <si>
    <t>km</t>
  </si>
  <si>
    <t>Vehicle</t>
  </si>
  <si>
    <t>Black Top</t>
  </si>
  <si>
    <t>Gravel</t>
  </si>
  <si>
    <t>Earthen</t>
  </si>
  <si>
    <t>Manual</t>
  </si>
  <si>
    <t>Foot Trail</t>
  </si>
  <si>
    <t>Roadhead</t>
  </si>
  <si>
    <t>Site ( Av.)</t>
  </si>
  <si>
    <t xml:space="preserve">Transportation cost per kg for convenient and inconvinient loads are fixed by the district for different </t>
  </si>
  <si>
    <t>kinds of roads and manual transportation</t>
  </si>
  <si>
    <t>Transportation Cost of Filter Media</t>
  </si>
  <si>
    <t>Porter</t>
  </si>
  <si>
    <t xml:space="preserve">Transportation Cost of Sand </t>
  </si>
  <si>
    <t>Transportation Cost of Stones</t>
  </si>
  <si>
    <t>Quarry site: Nearby  Quarry</t>
  </si>
  <si>
    <t>Transportation Cost of pipe and fittings</t>
  </si>
  <si>
    <t>Rate Analysis for External Materials</t>
  </si>
  <si>
    <t xml:space="preserve"> WATER QUALITY IMPROVEMENT PROJECT</t>
  </si>
  <si>
    <t>Sn</t>
  </si>
  <si>
    <t>Item</t>
  </si>
  <si>
    <t>Unit Wt.</t>
  </si>
  <si>
    <t>Transportation</t>
  </si>
  <si>
    <t>Material Rate</t>
  </si>
  <si>
    <t>in</t>
  </si>
  <si>
    <t>Without</t>
  </si>
  <si>
    <t>Cost</t>
  </si>
  <si>
    <t>(2 x 3) = 4</t>
  </si>
  <si>
    <t>4 + 5</t>
  </si>
  <si>
    <t>M.S. Bar</t>
  </si>
  <si>
    <t>GI Wire 9</t>
  </si>
  <si>
    <t>Salvage Wire 6</t>
  </si>
  <si>
    <t>Binding Wire</t>
  </si>
  <si>
    <t>CK Wire Mesh</t>
  </si>
  <si>
    <t>Sqm.</t>
  </si>
  <si>
    <t>Barbed Wire</t>
  </si>
  <si>
    <t>Plain Wire</t>
  </si>
  <si>
    <t>GI Plain Sheet (26G)</t>
  </si>
  <si>
    <t>Nails/Screws</t>
  </si>
  <si>
    <t>Polythene Sheet</t>
  </si>
  <si>
    <t>Lit.</t>
  </si>
  <si>
    <t>Water  Proof  Cement Paint</t>
  </si>
  <si>
    <t>WPC Powder</t>
  </si>
  <si>
    <t>Cement Paint (Snowcem)</t>
  </si>
  <si>
    <t>GI Wire 8  - 10</t>
  </si>
  <si>
    <t>GI Wire 12</t>
  </si>
  <si>
    <t>M.S. Angle</t>
  </si>
  <si>
    <t>C. GI Sheet (26 Gauge)</t>
  </si>
  <si>
    <t>GI Sheet (26 Gauge) for ridge</t>
  </si>
  <si>
    <t>rm.</t>
  </si>
  <si>
    <t>13mm dia Round Stand</t>
  </si>
  <si>
    <t>Rope</t>
  </si>
  <si>
    <t>Holdfast</t>
  </si>
  <si>
    <t>Screw Nails</t>
  </si>
  <si>
    <t xml:space="preserve">Hinge 150 mm </t>
  </si>
  <si>
    <t xml:space="preserve">Tower bolt 150mm </t>
  </si>
  <si>
    <t>Tower bolt 300mm</t>
  </si>
  <si>
    <t>Nut &amp; Bolts</t>
  </si>
  <si>
    <t>J-Hook</t>
  </si>
  <si>
    <t>U-Hook</t>
  </si>
  <si>
    <t>Bitumen Washer</t>
  </si>
  <si>
    <t>GI Wire Mesh</t>
  </si>
  <si>
    <t>Lockset 250 mm</t>
  </si>
  <si>
    <t>Spring Set</t>
  </si>
  <si>
    <t>Aluminium Paint</t>
  </si>
  <si>
    <t>GI Mesh Wire Screen</t>
  </si>
  <si>
    <t>10 mm Suspender Cable</t>
  </si>
  <si>
    <t>14 mm Suspender Cable</t>
  </si>
  <si>
    <t xml:space="preserve">Supply of 500 litres tank </t>
  </si>
  <si>
    <t>Installation of 4 inch dia. Pipe</t>
  </si>
  <si>
    <t>Manifold   140 mm dia.10 kg/cm2</t>
  </si>
  <si>
    <t>Laterals 63 mm dia.10 kg/cm2</t>
  </si>
  <si>
    <t>Installation charges of 4 inch dia. Pipe</t>
  </si>
  <si>
    <t>Installation charges of  140 mm dia.HDPE</t>
  </si>
  <si>
    <t>charges of 63 mm  dia.HDPE Pipe for</t>
  </si>
  <si>
    <t xml:space="preserve">Supply of 500 litres capacity HDPE  </t>
  </si>
  <si>
    <t xml:space="preserve">Specification for 500 litres tank </t>
  </si>
  <si>
    <t xml:space="preserve"> 4" G.I./HDPE Flange</t>
  </si>
  <si>
    <t xml:space="preserve"> 4" G.I.Nipple 6" long</t>
  </si>
  <si>
    <t xml:space="preserve"> 4" GI Gate Valve</t>
  </si>
  <si>
    <t xml:space="preserve"> 4" G.I. Elbow</t>
  </si>
  <si>
    <t xml:space="preserve"> 110 mm HDPE elbow </t>
  </si>
  <si>
    <t xml:space="preserve"> 110 mm HDPE Tee </t>
  </si>
  <si>
    <t xml:space="preserve"> 4" G.I. /G.I.Flange </t>
  </si>
  <si>
    <t xml:space="preserve"> 4" G.I.cross Tee</t>
  </si>
  <si>
    <t xml:space="preserve"> 4" G.I. Medium Class</t>
  </si>
  <si>
    <t>Dist bar 10 mm dia  at 200mm c/c Hor top</t>
  </si>
  <si>
    <t>Dist bar 10 mm dia  at 200 mm c/c Hor bot</t>
  </si>
  <si>
    <t xml:space="preserve">Haunch bar 12 mm dia  at 200mm c/c diag </t>
  </si>
  <si>
    <t>Haunch bar 12 mm dia  at 200mm c/c diag</t>
  </si>
  <si>
    <t>Dist bar 10 mm dia  at 300 mm c/c Hor IF</t>
  </si>
  <si>
    <t>Main bar outer 12 mm dia200mm c/c verOF</t>
  </si>
  <si>
    <t xml:space="preserve">Dist bar 10 mm dia  at 300 mm c/c Hor OF  </t>
  </si>
  <si>
    <t xml:space="preserve">Main bar inner 12 mm dia200 mm c/c Hor IF  </t>
  </si>
  <si>
    <t xml:space="preserve">Dist bar 10 mm dia 300 mm c/c ver IF  </t>
  </si>
  <si>
    <t xml:space="preserve">Main bar outer 12mm dia 200mm c/c HorOF </t>
  </si>
  <si>
    <t xml:space="preserve">Main bar both face up to 1m ht 12mm dia 200mm c/c ver  </t>
  </si>
  <si>
    <t>Main bar 12 mm dia  at 200 mm c/c Horizontally  on top face</t>
  </si>
  <si>
    <t>Dist bar 12 mm dia  at 200 mm c/c Horizontally  on top face</t>
  </si>
  <si>
    <t>Main bar 12 mm dia  at 200 mm c/c Horizontally  on bottom face</t>
  </si>
  <si>
    <t>Dist bar 12 mm dia  at 200 mm c/c Horizontally  on bottom face</t>
  </si>
  <si>
    <t xml:space="preserve">Haunch bar 12 mm dia  at 200 mm c/c diagonally </t>
  </si>
  <si>
    <t>Main bar inner 12 mm Ø at 125 mm c/c Vertically  on inner face</t>
  </si>
  <si>
    <t>Dist bar 10 mm Ø at 250 mm c/c Horizontally  on inner face</t>
  </si>
  <si>
    <t>Main bar 12 mm Ø 200 mm c/c Vertically  outer face</t>
  </si>
  <si>
    <t>Dist bar 10 mm Ø at 250 mm c/c Horizontally  on outer face</t>
  </si>
  <si>
    <t>Main bar 12 mm Ø 200 mm c/c Vertically both face</t>
  </si>
  <si>
    <t>Dist bar 10 mm Ø at 250 mm c/c Hor  both face</t>
  </si>
  <si>
    <t>Main bar inner 12 mm Ø at 200 mm c/c Horizontaly  on inner face</t>
  </si>
  <si>
    <t>Dist bar 10 mm Ø at 250 mm c/c vertically  on inner face</t>
  </si>
  <si>
    <t>Main bar inner 12 mm Ø at 200 mm c/c horizontally  on outer face</t>
  </si>
  <si>
    <t>Dist bar 10 mm Ø at 250 mm c/c Vertically  on outer face</t>
  </si>
  <si>
    <t>Main bar 16 mm dia  at 175 mm c/c Horizontally  on top face</t>
  </si>
  <si>
    <t>Dist bar 10 mm dia  at 200 mm c/c Horizontally  on top face</t>
  </si>
  <si>
    <t>Main bar 16 mm dia  at 175 mm c/c Horizontally  on bottom face</t>
  </si>
  <si>
    <t>Dist bar 10 mm dia  at 200 mm c/c Horizontally  on bottom face</t>
  </si>
  <si>
    <t>Haunch bar12 mm dia200 mm c/c diagonally</t>
  </si>
  <si>
    <t xml:space="preserve">Haunch bar12 mm dia 200 mm c/c diagonally </t>
  </si>
  <si>
    <t>Main bar 12 mm dia 140 mm c/c ver IF</t>
  </si>
  <si>
    <t>Dist bar 10 mm dia 200 mm c/c Hor IF</t>
  </si>
  <si>
    <t>Main bar 12 mm dia 280 mm c/c ver OF</t>
  </si>
  <si>
    <t>Dist bar 10 mm dia  at 200 mm c/c Hor OF</t>
  </si>
  <si>
    <t>Main bar 12 mm dia  at 120 mm c/c vertically  on both face</t>
  </si>
  <si>
    <t>Dist bar 10 mm dia  at 200 mm c/c Horizontally  on both face</t>
  </si>
  <si>
    <t>Main bar 12 mm dia  at 140 mm c/c vertically  on inner face</t>
  </si>
  <si>
    <t>Dist bar 10 mm dia  at 200 mm c/c Horizontally  on inner face</t>
  </si>
  <si>
    <t>Main bar 12 mm dia  at 140 mm c/c vertically  on outer face</t>
  </si>
  <si>
    <t>Main bar 12 mm dia  at 280 mm c/c vertically  on outer face</t>
  </si>
  <si>
    <t>Dist bar 10 mm dia  at 200 mm c/c Horizontally  on outer face</t>
  </si>
  <si>
    <t>Main bar 12 mm dia  at 240 mm c/c vertically  on both face</t>
  </si>
  <si>
    <t>Flat Stone for Small Chamber</t>
  </si>
  <si>
    <t>Set</t>
  </si>
  <si>
    <t>Sand Paper</t>
  </si>
  <si>
    <t xml:space="preserve">Tar Felt </t>
  </si>
  <si>
    <t>cum</t>
  </si>
  <si>
    <t>Bond Stone</t>
  </si>
  <si>
    <t>40 mm Aggregate</t>
  </si>
  <si>
    <t>20 mm Aggregate</t>
  </si>
  <si>
    <t>Land Acquisition</t>
  </si>
  <si>
    <t>Ropani</t>
  </si>
  <si>
    <t>Cement pointing 1:3 on external and</t>
  </si>
  <si>
    <t>Reservoir Maintenance</t>
  </si>
  <si>
    <t>10 mm Aggregate</t>
  </si>
  <si>
    <t>Local Wood</t>
  </si>
  <si>
    <t>Skilled Labour (Mason)</t>
  </si>
  <si>
    <t>Manday</t>
  </si>
  <si>
    <t>Unskilled Labour (Mason)</t>
  </si>
  <si>
    <t>Skilled Labour (Painter)</t>
  </si>
  <si>
    <t>Unskilled Labour (Painter)</t>
  </si>
  <si>
    <t>Skilled Labour (Plumber)</t>
  </si>
  <si>
    <t>Kaligad ( Juniour Plumber)</t>
  </si>
  <si>
    <t>Skilled Labour (Carpenter)</t>
  </si>
  <si>
    <t>Unskilled Labour (Carpenter)</t>
  </si>
  <si>
    <t>Unskilled Labour (Porter)</t>
  </si>
  <si>
    <t xml:space="preserve">ANALYSIS OF RATES </t>
  </si>
  <si>
    <t>MATERIAL COLLECTION AND TRANSPORTATION</t>
  </si>
  <si>
    <t>A.</t>
  </si>
  <si>
    <t xml:space="preserve">Manually </t>
  </si>
  <si>
    <t>Cost of transportation to project site</t>
  </si>
  <si>
    <t xml:space="preserve">Contractor's overhead and value added tax @ </t>
  </si>
  <si>
    <t>%</t>
  </si>
  <si>
    <t xml:space="preserve">Rate of Transportation  per kg </t>
  </si>
  <si>
    <t xml:space="preserve">manually </t>
  </si>
  <si>
    <t xml:space="preserve">Total transportation cost for one kg </t>
  </si>
  <si>
    <t xml:space="preserve">Total transportation cost for difficult load for  one kg </t>
  </si>
  <si>
    <t>B.</t>
  </si>
  <si>
    <t>Levelling work</t>
  </si>
  <si>
    <t>Construction Materials</t>
  </si>
  <si>
    <t>Cement - For 1  (per bag)</t>
  </si>
  <si>
    <t>Rs./bag</t>
  </si>
  <si>
    <t>Transportation cost for one kg to project site</t>
  </si>
  <si>
    <t>Rs.  per Kg</t>
  </si>
  <si>
    <t xml:space="preserve"> to treatment plant site  </t>
  </si>
  <si>
    <t>Load/Unload</t>
  </si>
  <si>
    <t>Total Cost of cement / bag at construction site</t>
  </si>
  <si>
    <t xml:space="preserve">Rate for 1 metric tonne = </t>
  </si>
  <si>
    <t xml:space="preserve">Rate for 1 bag = </t>
  </si>
  <si>
    <t>Reinforcement Steel  - For 1 Metric tonne.</t>
  </si>
  <si>
    <t>Rs./MT</t>
  </si>
  <si>
    <t xml:space="preserve">Transportation cost for one kg of Reinforcement </t>
  </si>
  <si>
    <t>of Steel to project site</t>
  </si>
  <si>
    <t xml:space="preserve">Transportation cost for one tonne of Reinforcement </t>
  </si>
  <si>
    <t>Load/Unload for one tone</t>
  </si>
  <si>
    <t>Total Cost of Reinforcement Steel / tone at construction site</t>
  </si>
  <si>
    <t xml:space="preserve">Rate per kg = </t>
  </si>
  <si>
    <t xml:space="preserve">Sand for 1 cu.m. </t>
  </si>
  <si>
    <t xml:space="preserve">Approved District Rate of  sand </t>
  </si>
  <si>
    <t xml:space="preserve">Rs./cum </t>
  </si>
  <si>
    <t>Transportation cost of sand  up to site per kg</t>
  </si>
  <si>
    <t>Rs. per Kg</t>
  </si>
  <si>
    <t>Unit weight of sand</t>
  </si>
  <si>
    <t>kg/ cu.m</t>
  </si>
  <si>
    <t>Cost of Transportation/cum at construction site</t>
  </si>
  <si>
    <t>Load/Unload for one cu.m</t>
  </si>
  <si>
    <t>Total Cost of sand / cum at construction site</t>
  </si>
  <si>
    <t xml:space="preserve">Rate for 1 cu. m.   =   </t>
  </si>
  <si>
    <t>Blockstone - For 1 cu. m.</t>
  </si>
  <si>
    <t>Approved District Rate of Block Stone</t>
  </si>
  <si>
    <t>Therefore rate per cum  of blockstone =</t>
  </si>
  <si>
    <t>=</t>
  </si>
  <si>
    <t xml:space="preserve">Transportation cost of Block Stone </t>
  </si>
  <si>
    <t>Unit weight of Block Stone</t>
  </si>
  <si>
    <t>Bondstone - For 1 cu. m.</t>
  </si>
  <si>
    <t>Approved District Rate of Bond Stone</t>
  </si>
  <si>
    <t xml:space="preserve">Transportation cost of  Bond Stone </t>
  </si>
  <si>
    <t>Unit weight of  Bond Stone</t>
  </si>
  <si>
    <t>Aggregates (40 - 70 mm size ) - For 1 cu. m</t>
  </si>
  <si>
    <t>Brick Masonry Work in 1:6 Cement Sand mortar</t>
  </si>
  <si>
    <t>Short wall outer face</t>
  </si>
  <si>
    <t xml:space="preserve"> Total Deduction</t>
  </si>
  <si>
    <t>Total Cost of Blockstone / cum at construction site</t>
  </si>
  <si>
    <t>Total Cost of Bondstone / cum at construction site</t>
  </si>
  <si>
    <t>Total Cost of Aggregates / cum at construction site</t>
  </si>
  <si>
    <t>a) 3-1 kha</t>
  </si>
  <si>
    <t>3-12 kha</t>
  </si>
  <si>
    <t>Total Rate per cu.m of filter Gravel</t>
  </si>
  <si>
    <t xml:space="preserve">Laying and Jointing of 75 mm </t>
  </si>
  <si>
    <t xml:space="preserve"> including material and labour with transportation</t>
  </si>
  <si>
    <t>Total Rate per cu.m of filter Sand</t>
  </si>
  <si>
    <t>Deduct                                       Long wall</t>
  </si>
  <si>
    <t>Cement pointing in (1:3) for                                     Pillars</t>
  </si>
  <si>
    <t>Approved District Rate of aggregate</t>
  </si>
  <si>
    <t>Therefore rate per cum  of aggregate</t>
  </si>
  <si>
    <t xml:space="preserve">Transportation cost of aggregate </t>
  </si>
  <si>
    <t>Unit weight of aggregate</t>
  </si>
  <si>
    <t>Aggregates (20 - 40 mm size ) - For 1 cu. m</t>
  </si>
  <si>
    <t>Aggregates (10 - 20 mm size ) - For 1 cu. m</t>
  </si>
  <si>
    <t>Filter Media (Sand)</t>
  </si>
  <si>
    <t xml:space="preserve">Seiving of the sand through the wire mesh </t>
  </si>
  <si>
    <t>of required size  to get the specified filter sand</t>
  </si>
  <si>
    <t>and then packing in jute bags</t>
  </si>
  <si>
    <t>Collection, separation and lead up to 10 m for quarry capacity cum</t>
  </si>
  <si>
    <t>31 -50 %</t>
  </si>
  <si>
    <t>md</t>
  </si>
  <si>
    <t>Seiving of sand through two sized screens passing through D10 size and retaining on D60</t>
  </si>
  <si>
    <t>Washing of sand  cum</t>
  </si>
  <si>
    <t>d)</t>
  </si>
  <si>
    <t>Packing of sieved sand in jute bags          L.S.</t>
  </si>
  <si>
    <t>e)</t>
  </si>
  <si>
    <r>
      <t xml:space="preserve">m </t>
    </r>
    <r>
      <rPr>
        <vertAlign val="superscript"/>
        <sz val="10"/>
        <rFont val="Arial"/>
        <family val="2"/>
      </rPr>
      <t>3</t>
    </r>
  </si>
  <si>
    <r>
      <t xml:space="preserve">m </t>
    </r>
    <r>
      <rPr>
        <sz val="10"/>
        <rFont val="Arial"/>
        <family val="2"/>
      </rPr>
      <t>3</t>
    </r>
  </si>
  <si>
    <r>
      <t xml:space="preserve">m </t>
    </r>
    <r>
      <rPr>
        <sz val="10"/>
        <rFont val="Arial"/>
        <family val="2"/>
      </rPr>
      <t>2</t>
    </r>
  </si>
  <si>
    <r>
      <t xml:space="preserve">m </t>
    </r>
    <r>
      <rPr>
        <vertAlign val="superscript"/>
        <sz val="10"/>
        <rFont val="Times New Roman"/>
        <family val="1"/>
      </rPr>
      <t>2</t>
    </r>
  </si>
  <si>
    <t>Component: Access road Construction up to Treatment Plant site (For 10 m Length)</t>
  </si>
  <si>
    <r>
      <t xml:space="preserve">Awareness Programme </t>
    </r>
    <r>
      <rPr>
        <sz val="10"/>
        <rFont val="Times New Roman"/>
        <family val="1"/>
      </rPr>
      <t>(7 Days)</t>
    </r>
  </si>
  <si>
    <t xml:space="preserve">Unit Rate </t>
  </si>
  <si>
    <t>highway</t>
  </si>
  <si>
    <t>Component: Protection Work</t>
  </si>
  <si>
    <t>Cost of 45 jute bags for packing of 1 cum of sand @ Rs. 10.00 per piece</t>
  </si>
  <si>
    <t>f)</t>
  </si>
  <si>
    <t>Loading Unloading charge @ 2.0/bag</t>
  </si>
  <si>
    <t>Rate per Cu. M      =</t>
  </si>
  <si>
    <t>Transportation of filter media</t>
  </si>
  <si>
    <t>h)</t>
  </si>
  <si>
    <t>Transportation of easy load by per kg</t>
  </si>
  <si>
    <t>Weight of sand @ 1600 kg/cu.m</t>
  </si>
  <si>
    <t xml:space="preserve">Total for transportation of 1 cu. m. sand </t>
  </si>
  <si>
    <t>i)</t>
  </si>
  <si>
    <t>Laying of the filter Sand Media (Labour cost only)</t>
  </si>
  <si>
    <t xml:space="preserve">Skilled labour 0.65 nos. </t>
  </si>
  <si>
    <t xml:space="preserve">Sub Total for 1 cu. m.   =   </t>
  </si>
  <si>
    <t>Collection, seiving of the gravel through the wire mesh of required size  to get the specified filter gravel and stocking with lead up to 10 m and then packing in jute bags</t>
  </si>
  <si>
    <t>a) 3-2 ga</t>
  </si>
  <si>
    <t>4-10 mm size</t>
  </si>
  <si>
    <t>b) 3-2 kha</t>
  </si>
  <si>
    <t>Washing of gravel  cum</t>
  </si>
  <si>
    <t>c)</t>
  </si>
  <si>
    <t>Packing of sieved gravel in jute bags          L.S.</t>
  </si>
  <si>
    <t xml:space="preserve">Total for transportation of 1 cu. m. aggregate </t>
  </si>
  <si>
    <t>g) '11-19 ka</t>
  </si>
  <si>
    <t>Laying of the filter Gravel Media (Labour cost only)</t>
  </si>
  <si>
    <t>Skilled labour 0.65 nos. @ Rs 165 / no</t>
  </si>
  <si>
    <t>5-20 mm size</t>
  </si>
  <si>
    <t>5-40 mm size</t>
  </si>
  <si>
    <t xml:space="preserve">G.I  plain sheet ridge work, </t>
  </si>
  <si>
    <t xml:space="preserve">collecting material all </t>
  </si>
  <si>
    <t>complete for 1 rm.</t>
  </si>
  <si>
    <t>Salwood work for frames</t>
  </si>
  <si>
    <t xml:space="preserve"> including  fixing</t>
  </si>
  <si>
    <t>chicken wire, MS rods, GI wires</t>
  </si>
  <si>
    <t xml:space="preserve"> etc for Ferro-cement works</t>
  </si>
  <si>
    <t xml:space="preserve">R.R. masonry in 1:3 cement </t>
  </si>
  <si>
    <t>mortar</t>
  </si>
  <si>
    <t xml:space="preserve">R.R. masonry in 1:6 cement </t>
  </si>
  <si>
    <t xml:space="preserve">R.R. masonry in 1:4 cement </t>
  </si>
  <si>
    <t xml:space="preserve">Pieces and Fittings for Inlet, Outlet and  </t>
  </si>
  <si>
    <t xml:space="preserve">W/O Complete as per Drawing and </t>
  </si>
  <si>
    <t>Filter Media (Gravel) [2 mm to 5 mm]</t>
  </si>
  <si>
    <t>Filter Media (Gravel) [5 mm to 10mm]</t>
  </si>
  <si>
    <t>Filter Media (Gravel) [10 mm to 20 mm]</t>
  </si>
  <si>
    <t xml:space="preserve">Outlet and W/O Complete including </t>
  </si>
  <si>
    <t>gates as per Drawing and Specification</t>
  </si>
  <si>
    <t>Brick Masonry Work in 1:4</t>
  </si>
  <si>
    <t>Connection of laterals with manifold and</t>
  </si>
  <si>
    <t xml:space="preserve">Brick  Masonry Work in </t>
  </si>
  <si>
    <t xml:space="preserve">Brick Masonry Work in </t>
  </si>
  <si>
    <t>1:4 Cement Sand mortar</t>
  </si>
  <si>
    <t>P.C.C. (1:3:6)  in            Drain</t>
  </si>
  <si>
    <t>Component: Site Development Work     (Total  Length 10  m)</t>
  </si>
  <si>
    <t xml:space="preserve">Site Development </t>
  </si>
  <si>
    <t>Protection Works</t>
  </si>
  <si>
    <t>(NRs.)</t>
  </si>
  <si>
    <t>2.5 % Contingencies</t>
  </si>
  <si>
    <t xml:space="preserve">Dry stone packing </t>
  </si>
  <si>
    <t>6 mm ø mild steel rod for hooks,</t>
  </si>
  <si>
    <t xml:space="preserve"> 650 mm long each</t>
  </si>
  <si>
    <t xml:space="preserve">Boulder masonry in (1:6) cement mortar </t>
  </si>
  <si>
    <t>for Pillar</t>
  </si>
  <si>
    <t xml:space="preserve">25 x 25 x 3 m Size Mild Steel angle </t>
  </si>
  <si>
    <t xml:space="preserve">frames gate with Iron Grill shutter </t>
  </si>
  <si>
    <t xml:space="preserve">Cement pointing in (1:6) for     </t>
  </si>
  <si>
    <t xml:space="preserve">(3.5 x 1.5 m size) all complete including </t>
  </si>
  <si>
    <t>Production</t>
  </si>
  <si>
    <t>Summary of Cost</t>
  </si>
  <si>
    <r>
      <t xml:space="preserve">Department </t>
    </r>
    <r>
      <rPr>
        <sz val="12"/>
        <rFont val="Times New Roman"/>
        <family val="1"/>
      </rPr>
      <t xml:space="preserve">of </t>
    </r>
    <r>
      <rPr>
        <b/>
        <sz val="12"/>
        <rFont val="Times New Roman"/>
        <family val="1"/>
      </rPr>
      <t>Water Supply and Sewerage</t>
    </r>
  </si>
  <si>
    <t xml:space="preserve">Compound Wall  with Barbed Wire Fencing </t>
  </si>
  <si>
    <t xml:space="preserve">and Gate  </t>
  </si>
  <si>
    <t>package</t>
  </si>
  <si>
    <t>Total Fencing Work</t>
  </si>
  <si>
    <t>Add transportation @ 5 %</t>
  </si>
  <si>
    <t>Component : Pipe &amp; Fittings</t>
  </si>
  <si>
    <t>Total Fencing Work with Gate</t>
  </si>
  <si>
    <t>Detailed Quantity Estimate</t>
  </si>
  <si>
    <t xml:space="preserve">and other works </t>
  </si>
  <si>
    <t>A</t>
  </si>
  <si>
    <t>Sedimentation Unit</t>
  </si>
  <si>
    <t>B</t>
  </si>
  <si>
    <t xml:space="preserve">Horizontal Roughing filter </t>
  </si>
  <si>
    <t>C</t>
  </si>
  <si>
    <t xml:space="preserve">Slow Sand Filter </t>
  </si>
  <si>
    <t>D</t>
  </si>
  <si>
    <t xml:space="preserve">Pipe requirement for the treatment units </t>
  </si>
  <si>
    <t>E</t>
  </si>
  <si>
    <t>Pipe and fitting requirement for Improvement of line</t>
  </si>
  <si>
    <t xml:space="preserve">Fittings for disinfection chamber </t>
  </si>
  <si>
    <t>F</t>
  </si>
  <si>
    <t>Add Contractors Overhead</t>
  </si>
  <si>
    <t>Add VAT 13 %</t>
  </si>
  <si>
    <t>Corner bars 12 mm dia @ 200 mm c/c</t>
  </si>
  <si>
    <t>P.C.C. and R.C.C Works,                PST</t>
  </si>
  <si>
    <t xml:space="preserve">Inlet valve chamber ,                             -long wall </t>
  </si>
  <si>
    <t>Outlet valve chamber,                           -long wall</t>
  </si>
  <si>
    <t xml:space="preserve"> Mixed Soil ,                                                long wall</t>
  </si>
  <si>
    <t>Inner short walls</t>
  </si>
  <si>
    <t>Per running meter cost of site development work =</t>
  </si>
  <si>
    <t xml:space="preserve">Per running meter cost = </t>
  </si>
  <si>
    <t xml:space="preserve">Abstract of Cost </t>
  </si>
  <si>
    <t>Total Cost of cement / tonne at construction site</t>
  </si>
  <si>
    <t>Component: Training Components</t>
  </si>
  <si>
    <t>g)'11-19 ka</t>
  </si>
  <si>
    <t>Intake Maintenance</t>
  </si>
  <si>
    <t xml:space="preserve"> mortar</t>
  </si>
  <si>
    <t>Brick Masonry Work in 1:6 Cement Sand</t>
  </si>
  <si>
    <t>Component: Watchman Quarter</t>
  </si>
  <si>
    <t>in hard soil for</t>
  </si>
  <si>
    <t>L/W</t>
  </si>
  <si>
    <t>S/W</t>
  </si>
  <si>
    <t>Wall between kitchen &amp; verandas</t>
  </si>
  <si>
    <t>Apron</t>
  </si>
  <si>
    <t>Drain</t>
  </si>
  <si>
    <t>10 cm earth filling for</t>
  </si>
  <si>
    <t>Bedroom</t>
  </si>
  <si>
    <t>kitchen</t>
  </si>
  <si>
    <t>Verandah</t>
  </si>
  <si>
    <t>15 cm boulder soling</t>
  </si>
  <si>
    <t>in floor</t>
  </si>
  <si>
    <t>Details as per Item no. 3</t>
  </si>
  <si>
    <t>in appron</t>
  </si>
  <si>
    <t>in drain</t>
  </si>
  <si>
    <t>Laying of 500 gauge polythene sheet</t>
  </si>
  <si>
    <t>Stone masonry work in 1:6 cement sand mortar</t>
  </si>
  <si>
    <t xml:space="preserve"> for foundation</t>
  </si>
  <si>
    <t>First footing</t>
  </si>
  <si>
    <t>Second footing</t>
  </si>
  <si>
    <t xml:space="preserve">Wall up to plinth </t>
  </si>
  <si>
    <t>First step</t>
  </si>
  <si>
    <t>Second step</t>
  </si>
  <si>
    <t>P.C.C.  1:2:4 in DPC</t>
  </si>
  <si>
    <t>Lintel over D1</t>
  </si>
  <si>
    <t>Lintel over D2</t>
  </si>
  <si>
    <t>Lintel over W1</t>
  </si>
  <si>
    <t>Lintel over W2</t>
  </si>
  <si>
    <t>Lintel over varandah</t>
  </si>
  <si>
    <t>PCC anchor block for holdfast</t>
  </si>
  <si>
    <t xml:space="preserve">Steps </t>
  </si>
  <si>
    <t>50 mm P.C.C. for</t>
  </si>
  <si>
    <t>Flooring</t>
  </si>
  <si>
    <t xml:space="preserve">P.C.C. for R.C.C. work </t>
  </si>
  <si>
    <t>Roof Slab</t>
  </si>
  <si>
    <t xml:space="preserve">Stone masonry work in 1:6 cement </t>
  </si>
  <si>
    <t>sand mortar for drain</t>
  </si>
  <si>
    <t>Super structure</t>
  </si>
  <si>
    <t>Main wall</t>
  </si>
  <si>
    <t>Partition wall</t>
  </si>
  <si>
    <t>Deductions                                Main entrance</t>
  </si>
  <si>
    <t>Door D1</t>
  </si>
  <si>
    <t>Door D2</t>
  </si>
  <si>
    <t>dia. HDPE pipe of 10 kg/cm2</t>
  </si>
  <si>
    <t>Window W1</t>
  </si>
  <si>
    <t>Window W2</t>
  </si>
  <si>
    <t>Centering &amp; Shuttering work for PCC</t>
  </si>
  <si>
    <t>Anchor blocks for holdfast</t>
  </si>
  <si>
    <t>Lintel over D1                 Base</t>
  </si>
  <si>
    <t xml:space="preserve">                                            Sides</t>
  </si>
  <si>
    <t>Lintel over D2                  Base</t>
  </si>
  <si>
    <t>Lintel over W1                   Base</t>
  </si>
  <si>
    <t>Lintel over W2                    Base</t>
  </si>
  <si>
    <t>Lintel over varandah                       Base</t>
  </si>
  <si>
    <t>Side of wall</t>
  </si>
  <si>
    <t>Side of apron</t>
  </si>
  <si>
    <t>Side of drain</t>
  </si>
  <si>
    <t xml:space="preserve">Slab          Base </t>
  </si>
  <si>
    <t>Sides</t>
  </si>
  <si>
    <t xml:space="preserve">Reinforcement with deformend bars </t>
  </si>
  <si>
    <t xml:space="preserve">including cutting, bending and placing in </t>
  </si>
  <si>
    <t>position</t>
  </si>
  <si>
    <t>Main bar  12 mm dia @  175 mm c/c</t>
  </si>
  <si>
    <t xml:space="preserve">Distribution bar 10 mm dia @ 200 mm c/c </t>
  </si>
  <si>
    <t xml:space="preserve">corner reinforcement  10 mm dia        </t>
  </si>
  <si>
    <t>Lintel bars over D1, D2, W1, W2</t>
  </si>
  <si>
    <t>Main bar  12 mm dia @  100 mm c/c</t>
  </si>
  <si>
    <t xml:space="preserve">Distribution bar 10 mm dia @ 150mm c/c </t>
  </si>
  <si>
    <t>Lintel bars over varandah</t>
  </si>
  <si>
    <t xml:space="preserve">Distribution bar 10 mm dia @ 150 mm c/c </t>
  </si>
  <si>
    <t>Salwood work for Chaukhats for</t>
  </si>
  <si>
    <t xml:space="preserve">38 mm thick Local wood panalled shutters </t>
  </si>
  <si>
    <t xml:space="preserve">38 mm thick Local wood glazed shutters </t>
  </si>
  <si>
    <t xml:space="preserve">3 mm thick 1:1 cement sand punning </t>
  </si>
  <si>
    <t>on floor and skirting for</t>
  </si>
  <si>
    <t>Bed room</t>
  </si>
  <si>
    <t>Kitchen</t>
  </si>
  <si>
    <t>Add for door portion (sill)</t>
  </si>
  <si>
    <t>Steps</t>
  </si>
  <si>
    <t>Skirting</t>
  </si>
  <si>
    <t xml:space="preserve">Cement plaster 12.5 mm thick </t>
  </si>
  <si>
    <t xml:space="preserve"> with 1:4 C/S mortar for</t>
  </si>
  <si>
    <t>on internal  surfaces of walls for</t>
  </si>
  <si>
    <t>on exterior  surfaces of walls for</t>
  </si>
  <si>
    <t xml:space="preserve">Deduction </t>
  </si>
  <si>
    <t>2 coats of white washing</t>
  </si>
  <si>
    <t>Details as per Item no. 15</t>
  </si>
  <si>
    <t xml:space="preserve">Deduction  </t>
  </si>
  <si>
    <t xml:space="preserve">Readymade enamel paint two coats </t>
  </si>
  <si>
    <t>with one coat of primer for</t>
  </si>
  <si>
    <t>Electrification and Sanitation</t>
  </si>
  <si>
    <t>Lump sum</t>
  </si>
  <si>
    <t>L.S</t>
  </si>
  <si>
    <t xml:space="preserve">POUR FLUSH LATRINE  </t>
  </si>
  <si>
    <t>Earthwork in excavation in hard soil in foundation for</t>
  </si>
  <si>
    <t xml:space="preserve">               Long wall</t>
  </si>
  <si>
    <t xml:space="preserve">               Short  wall</t>
  </si>
  <si>
    <t xml:space="preserve">              Pan</t>
  </si>
  <si>
    <t xml:space="preserve">              Pit (Q = PI r² x h, r = 0.85 m)</t>
  </si>
  <si>
    <t>Pi x 0.85²</t>
  </si>
  <si>
    <t xml:space="preserve">              Pipe line</t>
  </si>
  <si>
    <t>Stone soling with sand</t>
  </si>
  <si>
    <t>Dry stone masonry (Q = Pi*(R²-r²).h, R = 0.85, r = 0.50)</t>
  </si>
  <si>
    <t>Pi x (0.85² - 0.50²)</t>
  </si>
  <si>
    <t>Stone masonry in mud mortar</t>
  </si>
  <si>
    <t>Foundation                                                          Long wall</t>
  </si>
  <si>
    <t>Super Structure                                          Long wall</t>
  </si>
  <si>
    <t xml:space="preserve">Wall        </t>
  </si>
  <si>
    <t>Chamber</t>
  </si>
  <si>
    <t>Deduction                                                    Ventilation</t>
  </si>
  <si>
    <t>Door</t>
  </si>
  <si>
    <t>Stone masonry in cement  mortar1:4</t>
  </si>
  <si>
    <t xml:space="preserve">             Pit  (Q = Pi*(R²-r²).h, R = 0.85, r = 0.50)   </t>
  </si>
  <si>
    <t xml:space="preserve">              Chamber</t>
  </si>
  <si>
    <t xml:space="preserve">Squatting Pan </t>
  </si>
  <si>
    <t>PCC in slab cover for pits</t>
  </si>
  <si>
    <t>Pi x (0.85² )</t>
  </si>
  <si>
    <t>MS reinforcement 6 mm ø 100 mm c/c both ways  for slab</t>
  </si>
  <si>
    <t>2x36</t>
  </si>
  <si>
    <t>0.8x1.7</t>
  </si>
  <si>
    <t>10 mm ø rod for ventilator as per drawing 20 cm long</t>
  </si>
  <si>
    <t>kgs</t>
  </si>
  <si>
    <t>20 mm thick cement plaster (1:3) for squatting slab</t>
  </si>
  <si>
    <t xml:space="preserve">           Walls</t>
  </si>
  <si>
    <t>Cement Pointing work in 1:3 mortar</t>
  </si>
  <si>
    <t xml:space="preserve">Woodwork for Door frame </t>
  </si>
  <si>
    <t>Ventilator</t>
  </si>
  <si>
    <t>Roof                                                                          Rafter</t>
  </si>
  <si>
    <t>Battens</t>
  </si>
  <si>
    <t>32 mm thick door shutter with wooden frame</t>
  </si>
  <si>
    <t>&amp; GI plain sheet one side</t>
  </si>
  <si>
    <t>Outlet Pipe (6 m long, 110 mm ø HDP pipe)</t>
  </si>
  <si>
    <t>Mosquito Screen</t>
  </si>
  <si>
    <t>26 gauge CGI sheet roofing</t>
  </si>
  <si>
    <t>Component: Chaukidar Quarter</t>
  </si>
  <si>
    <t xml:space="preserve">in hard soil </t>
  </si>
  <si>
    <t>Earth filling in hard soil</t>
  </si>
  <si>
    <t xml:space="preserve">P.C.C. (1:2:4) </t>
  </si>
  <si>
    <t xml:space="preserve">Brick masonry work in 1:6 cement </t>
  </si>
  <si>
    <t xml:space="preserve">Salwood work for Chaukhats </t>
  </si>
  <si>
    <t xml:space="preserve">38 mm thick salwood panelled </t>
  </si>
  <si>
    <t xml:space="preserve">shutters </t>
  </si>
  <si>
    <t xml:space="preserve">38 mm thick Sal wood glazed shutters </t>
  </si>
  <si>
    <t xml:space="preserve">1:4 C/S mortar </t>
  </si>
  <si>
    <t xml:space="preserve">with one coat of primer </t>
  </si>
  <si>
    <t xml:space="preserve">Electrification and Sanitary work   </t>
  </si>
  <si>
    <t xml:space="preserve">Dry stone masonry </t>
  </si>
  <si>
    <t xml:space="preserve">Stone masonry in 1:4 cement  mortar </t>
  </si>
  <si>
    <t>PCC in slab cover for pits 1:2:4</t>
  </si>
  <si>
    <t xml:space="preserve">MS reinforcement </t>
  </si>
  <si>
    <t xml:space="preserve">20 mm thick cement plaster (1:3) </t>
  </si>
  <si>
    <t>38 mm thick door shutter with wooden</t>
  </si>
  <si>
    <t xml:space="preserve"> frame and GI plain sheet</t>
  </si>
  <si>
    <t>Outlet Pipe (6 m long, 110 mm 6 Kg/cm2</t>
  </si>
  <si>
    <t xml:space="preserve"> ø HDP pipe)</t>
  </si>
  <si>
    <t>Chaukidar Quarters</t>
  </si>
  <si>
    <t xml:space="preserve">Training and Orientation / Water Quality Campaigns </t>
  </si>
  <si>
    <t>Chlorine Dosing Unit with accessories and Fitting</t>
  </si>
  <si>
    <t>Site Development around the  SSF</t>
  </si>
  <si>
    <t>P.C.C (1: 1.5:3) Works for R.C.C</t>
  </si>
  <si>
    <t>Earth Work in Excavation in Boulder Mixed Soil</t>
  </si>
  <si>
    <t xml:space="preserve">Cement pointing 1:3 on external </t>
  </si>
  <si>
    <t>Component: Barbed Wire Fencing with Compound Wall</t>
  </si>
  <si>
    <t>Component: ENTRANCE  GATE</t>
  </si>
  <si>
    <t>Component: BARBED  WIRE  FENCING (Total  Fencing  Length  24 m)</t>
  </si>
  <si>
    <t xml:space="preserve">Earthwork in excavation for foundation </t>
  </si>
  <si>
    <t>Stone masonry  in 1:6 cement sand mortar</t>
  </si>
  <si>
    <t xml:space="preserve">surface of wall </t>
  </si>
  <si>
    <t>S.no.</t>
  </si>
  <si>
    <t>Description of work</t>
  </si>
  <si>
    <t>E/W in excavation in Boulder mixed soil</t>
  </si>
  <si>
    <t>Boulder Soling with sand packing</t>
  </si>
  <si>
    <t>P.C.C. 1:2:4</t>
  </si>
  <si>
    <t>R.R. masonary work in 1:4 Cement sand mortar</t>
  </si>
  <si>
    <t>quantity</t>
  </si>
  <si>
    <t>Earthwork refilling in Boulder mixed soil</t>
  </si>
  <si>
    <t>Component: Retaining wall on Treatment Plant site</t>
  </si>
  <si>
    <t xml:space="preserve">No. </t>
  </si>
  <si>
    <t xml:space="preserve">in boulder mixed soil </t>
  </si>
  <si>
    <t xml:space="preserve">Earth filling in  boulder mixed soil </t>
  </si>
  <si>
    <t>Base</t>
  </si>
  <si>
    <t>Rectangular part</t>
  </si>
  <si>
    <t>Triangular Part</t>
  </si>
  <si>
    <t xml:space="preserve">Top </t>
  </si>
  <si>
    <t>Inclined face</t>
  </si>
  <si>
    <t>Back Filling</t>
  </si>
  <si>
    <t>Earthwork in excavation pillars in BMS</t>
  </si>
  <si>
    <t>Component: Retaining wall on Treatment Plant site (For 10 m Length)</t>
  </si>
  <si>
    <t>Total Retaining Work</t>
  </si>
  <si>
    <t>Component: Catch Drain</t>
  </si>
  <si>
    <t xml:space="preserve">                             Inside wall and Top</t>
  </si>
  <si>
    <t xml:space="preserve">Dry boulder soling </t>
  </si>
  <si>
    <t>R.R. masonary  in 1: 6 Cement sand mortar</t>
  </si>
  <si>
    <t xml:space="preserve">Cement pointing with 1:3 C/S mortar </t>
  </si>
  <si>
    <t>Total cost of Catch Drain Work</t>
  </si>
  <si>
    <t>Component: Access road Construction</t>
  </si>
  <si>
    <t>Component: Catch Drain at Treatment Plant site (For 10 m Length)</t>
  </si>
  <si>
    <t>Total cost of Access Road Construction Work</t>
  </si>
  <si>
    <t>r m</t>
  </si>
  <si>
    <t>Component: Pipe Laying and Relaying  Work</t>
  </si>
  <si>
    <t>existing pipe</t>
  </si>
  <si>
    <t xml:space="preserve">E/W in excavation in boulder mixed soil </t>
  </si>
  <si>
    <t xml:space="preserve">before treatment plant for extraction of </t>
  </si>
  <si>
    <t>laying of new line</t>
  </si>
  <si>
    <t xml:space="preserve">before and after treatment plant for </t>
  </si>
  <si>
    <t>E/W in excavation in BMS</t>
  </si>
  <si>
    <t>Earthwork refilling in BMS</t>
  </si>
  <si>
    <t xml:space="preserve"> Gabion preparation,   mesh forming etc.</t>
  </si>
  <si>
    <t>Filling of Gabion box with stone</t>
  </si>
  <si>
    <t>no.</t>
  </si>
  <si>
    <t>Component: Gabion Work for protection</t>
  </si>
  <si>
    <t>Total Protection Work</t>
  </si>
  <si>
    <t>Component: Gabion Work</t>
  </si>
  <si>
    <t>Gabion Work</t>
  </si>
  <si>
    <t xml:space="preserve">Access road Construction </t>
  </si>
  <si>
    <t>Catch Drain</t>
  </si>
  <si>
    <t xml:space="preserve">Retaining wall </t>
  </si>
  <si>
    <t xml:space="preserve">Rate per meter </t>
  </si>
  <si>
    <t xml:space="preserve"> Sedimentation Unit</t>
  </si>
  <si>
    <t>Site Development around the</t>
  </si>
  <si>
    <t>Site Development around the  HRF</t>
  </si>
  <si>
    <t>S.N.</t>
  </si>
  <si>
    <t>Description of Works</t>
  </si>
  <si>
    <t>No</t>
  </si>
  <si>
    <t>Quantity</t>
  </si>
  <si>
    <t>m</t>
  </si>
  <si>
    <t>Site Clearence</t>
  </si>
  <si>
    <t>Earth Work in Excavation in</t>
  </si>
  <si>
    <t>Foundation in Boulder Mixed Soil</t>
  </si>
  <si>
    <t>Sand Mortar</t>
  </si>
  <si>
    <t>Centring and Shuttering Works for</t>
  </si>
  <si>
    <t>P.C.C. and R.C.C Works</t>
  </si>
  <si>
    <t>Reiforcement Works with Deformed</t>
  </si>
  <si>
    <t>no</t>
  </si>
  <si>
    <t>Bars Including Supplying,Cutting,</t>
  </si>
  <si>
    <t>Bending and Placing in Position</t>
  </si>
  <si>
    <t>20 mm Thick Cement Sand Plaster in</t>
  </si>
  <si>
    <t>3 mm Thick Punning in 1: 1 Cement</t>
  </si>
  <si>
    <t>Size including Fixing all Complete as</t>
  </si>
  <si>
    <t>per Drawing and Specification</t>
  </si>
  <si>
    <t>lumpsum</t>
  </si>
  <si>
    <t>Ministry of Physical Planning and Work</t>
  </si>
  <si>
    <t>Drinking Water Quality Improvement Project</t>
  </si>
  <si>
    <t>SSF</t>
  </si>
  <si>
    <t xml:space="preserve">4 </t>
  </si>
  <si>
    <t xml:space="preserve">5 </t>
  </si>
  <si>
    <t>Laying of P.C.C. 1:3:6 on Base of</t>
  </si>
  <si>
    <t>Foundation</t>
  </si>
  <si>
    <t>7</t>
  </si>
  <si>
    <t>Drawing and Specification</t>
  </si>
  <si>
    <t xml:space="preserve">6 </t>
  </si>
  <si>
    <t>Earth Work Excavation in</t>
  </si>
  <si>
    <t>R.m.</t>
  </si>
  <si>
    <t>Stone Soling in Base of Foundation</t>
  </si>
  <si>
    <t>M 15 P.C.C. (1:2:4) in Panel of</t>
  </si>
  <si>
    <t>2.0 m x 1.0 m</t>
  </si>
  <si>
    <t>Central Long Wall</t>
  </si>
  <si>
    <t>Short Wall Outer</t>
  </si>
  <si>
    <t>Levelling of the Ground</t>
  </si>
  <si>
    <t>Side Wall</t>
  </si>
  <si>
    <t>Drainage</t>
  </si>
  <si>
    <t>Layer with Sprinkling of Water</t>
  </si>
  <si>
    <t>Earth Filling in Foundation</t>
  </si>
  <si>
    <t>Base Slab</t>
  </si>
  <si>
    <t>Long Wall</t>
  </si>
  <si>
    <t>Slotted Wall</t>
  </si>
  <si>
    <t>Short Wall</t>
  </si>
  <si>
    <t>12.5 mm Thick Cement Sand Plaster in</t>
  </si>
  <si>
    <t>c. Sr. Mason</t>
  </si>
  <si>
    <t xml:space="preserve">d. Allowance and Snacks for Trainees </t>
  </si>
  <si>
    <t>e. File, Pen &amp; Stationaries</t>
  </si>
  <si>
    <t>f. Pour Flush Latrine construction</t>
  </si>
  <si>
    <t>g. Transportation</t>
  </si>
  <si>
    <t xml:space="preserve">h.Training Manual Preparation </t>
  </si>
  <si>
    <t>i. Miscellaneous</t>
  </si>
  <si>
    <t xml:space="preserve">Institutional Strengthening,  </t>
  </si>
  <si>
    <t xml:space="preserve">Operation and Maintenance </t>
  </si>
  <si>
    <t>1:3 Mortar with 2% Water Proof</t>
  </si>
  <si>
    <t>Compound</t>
  </si>
  <si>
    <t>Long Walls</t>
  </si>
  <si>
    <t>1:4 Mortar in Base Slab</t>
  </si>
  <si>
    <t>Two Coat of Enamel Paint of</t>
  </si>
  <si>
    <t>Appropriate Colour on Exposed</t>
  </si>
  <si>
    <t>Surface of Tank</t>
  </si>
  <si>
    <t>Preparation and Placing of 40-20 mm</t>
  </si>
  <si>
    <t>dia. Gravel Filter Media as per</t>
  </si>
  <si>
    <t>Specification</t>
  </si>
  <si>
    <t>Preparation and Placing of 20-10 mm</t>
  </si>
  <si>
    <t>Pipe Pieces and Fittings for Inlet,</t>
  </si>
  <si>
    <t>Outlet and W/O Complete as per</t>
  </si>
  <si>
    <t>Outer Long Wall</t>
  </si>
  <si>
    <t>Haunch Bar</t>
  </si>
  <si>
    <t>Component: Disinfection Chamber</t>
  </si>
  <si>
    <t>rm</t>
  </si>
  <si>
    <t>kg</t>
  </si>
  <si>
    <t>Unit</t>
  </si>
  <si>
    <t>Component: Sand Wash Platform</t>
  </si>
  <si>
    <t>Total Amount</t>
  </si>
  <si>
    <t>set</t>
  </si>
  <si>
    <t>a. Training Expert</t>
  </si>
  <si>
    <t>days</t>
  </si>
  <si>
    <t>b. Training Assistant</t>
  </si>
  <si>
    <t>c. Audio-Video (Hire Charge &amp; Production)</t>
  </si>
  <si>
    <t>d. Poster Distribution</t>
  </si>
  <si>
    <t>e. Mass Meeting (Tea and Snacks, paper etc.)</t>
  </si>
  <si>
    <t>f. Transportation</t>
  </si>
  <si>
    <t>persons</t>
  </si>
  <si>
    <t>g. Miscellaneous</t>
  </si>
  <si>
    <t>Sub-Total:</t>
  </si>
  <si>
    <t>pack</t>
  </si>
  <si>
    <t>Horizontal Roughing Filter</t>
  </si>
  <si>
    <t>Length (m)</t>
  </si>
  <si>
    <t>Breadth (m)</t>
  </si>
  <si>
    <t>Height (m)</t>
  </si>
  <si>
    <t xml:space="preserve">Units </t>
  </si>
  <si>
    <t>Remarks</t>
  </si>
  <si>
    <t>Nepal Government</t>
  </si>
  <si>
    <t>Long wall</t>
  </si>
  <si>
    <t>Short wall</t>
  </si>
  <si>
    <t>Inlet VC</t>
  </si>
  <si>
    <t>Outlet VC</t>
  </si>
  <si>
    <t xml:space="preserve"> Long Wall</t>
  </si>
  <si>
    <t>Outer part of Outer Long Wall</t>
  </si>
  <si>
    <t>Inner part of Outer Long Wall</t>
  </si>
  <si>
    <t>Outer part of Short Wall</t>
  </si>
  <si>
    <t>Inner part of Short Wall</t>
  </si>
  <si>
    <t>Reiforcement Works with Deformed bars</t>
  </si>
  <si>
    <t>kg/m</t>
  </si>
  <si>
    <t>Slab of Valve Chamber</t>
  </si>
  <si>
    <t xml:space="preserve">Inlet VC Long side </t>
  </si>
  <si>
    <t>Short side</t>
  </si>
  <si>
    <t>Slab cover of Inlet VC</t>
  </si>
  <si>
    <t>Slab cover of Outlet VC</t>
  </si>
  <si>
    <t>Outlet VC two numbers Long side</t>
  </si>
  <si>
    <t>Base Slab Long wall</t>
  </si>
  <si>
    <t>Top</t>
  </si>
  <si>
    <t>short wall</t>
  </si>
  <si>
    <t>Valve chambers</t>
  </si>
  <si>
    <t>Inner part of  Long Wall</t>
  </si>
  <si>
    <t>Slabs</t>
  </si>
  <si>
    <t>inner plastered surfaces of SSF and CWC</t>
  </si>
  <si>
    <t>L.S.</t>
  </si>
  <si>
    <t>Nos.</t>
  </si>
  <si>
    <t>Outer plastered surfaces of SSF and CWC</t>
  </si>
  <si>
    <t>Cum</t>
  </si>
  <si>
    <t>Sqm</t>
  </si>
  <si>
    <t>Channel</t>
  </si>
  <si>
    <t>No.</t>
  </si>
  <si>
    <t>Scum collector</t>
  </si>
  <si>
    <t xml:space="preserve">Main bar 10 mm @ 150 mm c/c </t>
  </si>
  <si>
    <t>Distribution bar 10 mm @ 100 mm c/c</t>
  </si>
  <si>
    <t>sides  Inlet VC</t>
  </si>
  <si>
    <t>sides  outlet VC</t>
  </si>
  <si>
    <t>Deduct manhole</t>
  </si>
  <si>
    <t>Net Reinforcement</t>
  </si>
  <si>
    <t>Standard Manhole Cover (60cm dia)</t>
  </si>
  <si>
    <t xml:space="preserve"> including M.S. Angle of 1.5" in</t>
  </si>
  <si>
    <t>Inlet VC                           Long Wall</t>
  </si>
  <si>
    <t>Outlet VC                           Long Wall</t>
  </si>
  <si>
    <t>Deduct manhole opening</t>
  </si>
  <si>
    <t>Outlet     Outer part of  Long Wall</t>
  </si>
  <si>
    <t>Inlet     Outer part of  Long Wall</t>
  </si>
  <si>
    <t>m 3</t>
  </si>
  <si>
    <t xml:space="preserve"> in Boulder Mixed Soil</t>
  </si>
  <si>
    <t>Earth Work Excavation in Foundation</t>
  </si>
  <si>
    <t xml:space="preserve">Baffle </t>
  </si>
  <si>
    <t>Plain Sedimentation Tank</t>
  </si>
  <si>
    <t>PS</t>
  </si>
  <si>
    <t>Total</t>
  </si>
  <si>
    <t xml:space="preserve"> Long wall</t>
  </si>
  <si>
    <t xml:space="preserve"> short wall</t>
  </si>
  <si>
    <t>Sub Total</t>
  </si>
  <si>
    <t xml:space="preserve">Deduct </t>
  </si>
  <si>
    <t xml:space="preserve">Stone Soling with sand packing on                                         </t>
  </si>
  <si>
    <t>Base of Foundation,               PS</t>
  </si>
  <si>
    <t xml:space="preserve">Foundation                            PS                </t>
  </si>
  <si>
    <t xml:space="preserve">Laying of One Layer Tarfelt Over </t>
  </si>
  <si>
    <t>Lean Concrete                    PS</t>
  </si>
  <si>
    <t>Channel    base</t>
  </si>
  <si>
    <t>height</t>
  </si>
  <si>
    <t>Scum through collector     base</t>
  </si>
  <si>
    <t>Baffle slab</t>
  </si>
  <si>
    <t>Outer part of  Long Wall</t>
  </si>
  <si>
    <t xml:space="preserve">Baffle bottom </t>
  </si>
  <si>
    <t xml:space="preserve">Baffle wall </t>
  </si>
  <si>
    <t>sides</t>
  </si>
  <si>
    <t xml:space="preserve">Reiforcement Works with Deformed </t>
  </si>
  <si>
    <t xml:space="preserve">bars  Bars Including  supplying, </t>
  </si>
  <si>
    <t xml:space="preserve">Cutting, Bending and Placing in </t>
  </si>
  <si>
    <t>………….</t>
  </si>
  <si>
    <t>…………….</t>
  </si>
  <si>
    <t>Outlet VC one number Long side</t>
  </si>
  <si>
    <t>1:6 Cement Sand mortar</t>
  </si>
  <si>
    <t>12.5 mm Thick Cement Sand Plaster</t>
  </si>
  <si>
    <t xml:space="preserve"> in 1:3 Mortar with 2% Water Proof</t>
  </si>
  <si>
    <t>Compound                          PS</t>
  </si>
  <si>
    <t xml:space="preserve">Pieces and Fittings for Inlet, Outlet and W/O Complete as per Drawing </t>
  </si>
  <si>
    <t>and Specification</t>
  </si>
  <si>
    <t xml:space="preserve">Base of Foundation,             </t>
  </si>
  <si>
    <t xml:space="preserve">Loading Unloading charge </t>
  </si>
  <si>
    <t>Loading Unloading charge</t>
  </si>
  <si>
    <t xml:space="preserve">Foundation                                      </t>
  </si>
  <si>
    <t xml:space="preserve">Lean Concrete                  </t>
  </si>
  <si>
    <t xml:space="preserve">Position                  </t>
  </si>
  <si>
    <t>Cement Sand mortar</t>
  </si>
  <si>
    <t xml:space="preserve">Compound                        </t>
  </si>
  <si>
    <t>lump sum</t>
  </si>
  <si>
    <t>Boulder Soling with Sand packing</t>
  </si>
  <si>
    <t xml:space="preserve">P.C.C (1: 2 : 4) on Base </t>
  </si>
  <si>
    <t xml:space="preserve">                        on top of wall </t>
  </si>
  <si>
    <t xml:space="preserve">Installation  of  Pipe Pieces and  </t>
  </si>
  <si>
    <t xml:space="preserve">Fittings for Inlet, Outlet and W/O </t>
  </si>
  <si>
    <t xml:space="preserve">Complete as per Drawing and </t>
  </si>
  <si>
    <t>tank with necessary fittings</t>
  </si>
  <si>
    <t>job</t>
  </si>
  <si>
    <t>P.C.C (1: 2 : 4) on Base and top</t>
  </si>
  <si>
    <t xml:space="preserve">tank with necessary fittings including </t>
  </si>
  <si>
    <t>pipes and feeding accessories</t>
  </si>
  <si>
    <t xml:space="preserve">Component: Site Development Work </t>
  </si>
  <si>
    <t xml:space="preserve">Earth Filling with Compaction </t>
  </si>
  <si>
    <t>Dry Stone Soling in           Foot Path</t>
  </si>
  <si>
    <t>Brick Masonry Work with 1:6</t>
  </si>
  <si>
    <t>Cement Mortar in walls of  Drain</t>
  </si>
  <si>
    <t xml:space="preserve">                                          walls</t>
  </si>
  <si>
    <t xml:space="preserve"> in 1:4 Mortar</t>
  </si>
  <si>
    <t>m 2</t>
  </si>
  <si>
    <t>and Gravel Mixed Soil</t>
  </si>
  <si>
    <t xml:space="preserve">Earth Work Excavation in Boulder </t>
  </si>
  <si>
    <t xml:space="preserve">P.C.C. (1:3:6)     </t>
  </si>
  <si>
    <t xml:space="preserve">Cement Mortar </t>
  </si>
  <si>
    <t>Dry Stone Soling with sand</t>
  </si>
  <si>
    <t xml:space="preserve"> in 1:4 mortar</t>
  </si>
  <si>
    <t xml:space="preserve">Inlet valve chamber </t>
  </si>
  <si>
    <t>Outlet valve cmaber</t>
  </si>
  <si>
    <t>m3</t>
  </si>
  <si>
    <t>Earth Filling in Foundation in  Boulder</t>
  </si>
  <si>
    <t xml:space="preserve">Inlet valve chamber              -long wall </t>
  </si>
  <si>
    <t>Outlet valve chamber           -long wall</t>
  </si>
  <si>
    <t xml:space="preserve">Stone Soling with sand packing on             </t>
  </si>
  <si>
    <t xml:space="preserve">Base of Foundation ,                 HRF       </t>
  </si>
  <si>
    <t xml:space="preserve">Foundation                               HRF  </t>
  </si>
  <si>
    <t>Lean Concrete   HRF</t>
  </si>
  <si>
    <t>m2</t>
  </si>
  <si>
    <t>HRF      Base Slab</t>
  </si>
  <si>
    <t>Inlet &amp; outlet channel-base</t>
  </si>
  <si>
    <t xml:space="preserve">Channel walls  </t>
  </si>
  <si>
    <t xml:space="preserve"> Inlet Valve Chamber cover Slab </t>
  </si>
  <si>
    <t xml:space="preserve">Outlet Valve Chambercover Slab </t>
  </si>
  <si>
    <t>Deduction                           Inlet weir</t>
  </si>
  <si>
    <t xml:space="preserve">               manhole opening</t>
  </si>
  <si>
    <t>Net PCC Required</t>
  </si>
  <si>
    <t>HRF      Base Slab  Long wall</t>
  </si>
  <si>
    <t xml:space="preserve">  short wall</t>
  </si>
  <si>
    <t>Long Wall Outer</t>
  </si>
  <si>
    <t>Short Wall inner</t>
  </si>
  <si>
    <t>Long Wall Inner</t>
  </si>
  <si>
    <t xml:space="preserve">Inlet and Outlet Channel </t>
  </si>
  <si>
    <t>outer base</t>
  </si>
  <si>
    <t>wall</t>
  </si>
  <si>
    <t>Deduction              manhole opening</t>
  </si>
  <si>
    <t>Inlet VC                              Long Wall</t>
  </si>
  <si>
    <t>Long Walls-outer side</t>
  </si>
  <si>
    <t>Base of water chamber</t>
  </si>
  <si>
    <t>inner base</t>
  </si>
  <si>
    <t>Top of walls- long</t>
  </si>
  <si>
    <t>Central long</t>
  </si>
  <si>
    <t xml:space="preserve">Outershort </t>
  </si>
  <si>
    <t>Inner Short</t>
  </si>
  <si>
    <t>Inlet and outlet channel top</t>
  </si>
  <si>
    <t>Valve Chambers long wall outside</t>
  </si>
  <si>
    <t>Short Wall out side</t>
  </si>
  <si>
    <t>Inner part of - long wall</t>
  </si>
  <si>
    <t>Slab cover inlet</t>
  </si>
  <si>
    <t>Inner part of  chamber-long wall</t>
  </si>
  <si>
    <t>Slab cover outlet</t>
  </si>
  <si>
    <t>1:4 Mortar in                   Base Slab</t>
  </si>
  <si>
    <t>Compartment 1</t>
  </si>
  <si>
    <t>Compartment 2</t>
  </si>
  <si>
    <t>Compartment 3</t>
  </si>
  <si>
    <t>inner plastered surfaces of HRF compartments</t>
  </si>
  <si>
    <t>Preparation and Placing of 04-10 mm</t>
  </si>
  <si>
    <t>Job</t>
  </si>
  <si>
    <t xml:space="preserve"> Mixed Soil                         </t>
  </si>
  <si>
    <t xml:space="preserve">Base of Foundation      </t>
  </si>
  <si>
    <t xml:space="preserve">Foundation               </t>
  </si>
  <si>
    <t xml:space="preserve">Lean Concrete  </t>
  </si>
  <si>
    <t xml:space="preserve">1:4 Mortar in         </t>
  </si>
  <si>
    <t xml:space="preserve">Quantity </t>
  </si>
  <si>
    <t>Slow Sand Filter</t>
  </si>
  <si>
    <t>Disinfection Chamber</t>
  </si>
  <si>
    <t>Pipes and Fittings Procurement</t>
  </si>
  <si>
    <t>Pipe Line Relaying and Jointing</t>
  </si>
  <si>
    <t>Sand Wash Platform</t>
  </si>
  <si>
    <t xml:space="preserve">Grand Total </t>
  </si>
  <si>
    <t>Laterals</t>
  </si>
  <si>
    <t>Clear water chamber</t>
  </si>
  <si>
    <t>SSF Long wall</t>
  </si>
  <si>
    <t>SSF short wall</t>
  </si>
  <si>
    <t>Laying of One Layer Tarfelt Over Lean</t>
  </si>
  <si>
    <t>Inner Long Wall</t>
  </si>
  <si>
    <t>Clear water chamber,              base</t>
  </si>
  <si>
    <t>Slab cover of Clear water chamber</t>
  </si>
  <si>
    <t xml:space="preserve">sides  CWC </t>
  </si>
  <si>
    <t>Compound                          SSF</t>
  </si>
  <si>
    <t>Inner wall</t>
  </si>
  <si>
    <t>Outer part of Long Wall</t>
  </si>
  <si>
    <t>Inner part of Long Wall</t>
  </si>
  <si>
    <t>Support in 1:4 Cement Sand Mortar</t>
  </si>
  <si>
    <t>Laterals,</t>
  </si>
  <si>
    <t>Salient Features ( Schemewise ) of Project</t>
  </si>
  <si>
    <t>Name of Project</t>
  </si>
  <si>
    <t>Name of District</t>
  </si>
  <si>
    <t>Bame</t>
  </si>
  <si>
    <t>Wards Covered</t>
  </si>
  <si>
    <t>Number of Schemes</t>
  </si>
  <si>
    <t>Parameters</t>
  </si>
  <si>
    <t>Scheme 1</t>
  </si>
  <si>
    <t>Households(Survey year:2017)</t>
  </si>
  <si>
    <t>Population(Survey year:2017)</t>
  </si>
  <si>
    <t>Households(Base year:2019)</t>
  </si>
  <si>
    <t>Population(Base year:2019)</t>
  </si>
  <si>
    <t>Households(Design year:2039)</t>
  </si>
  <si>
    <t>Population(Design year:2039)</t>
  </si>
  <si>
    <t>Design Period</t>
  </si>
  <si>
    <t>Yrs.</t>
  </si>
  <si>
    <t>Annual growth rate</t>
  </si>
  <si>
    <t>Source Information</t>
  </si>
  <si>
    <t>Source Name</t>
  </si>
  <si>
    <t>Kakune Khola</t>
  </si>
  <si>
    <t>Bara Khola</t>
  </si>
  <si>
    <t>Source Type &amp; Number</t>
  </si>
  <si>
    <t>Type/No.</t>
  </si>
  <si>
    <t xml:space="preserve">Tapped Discharge source - </t>
  </si>
  <si>
    <t>Lps</t>
  </si>
  <si>
    <t>Approximate  Distance from Project Site</t>
  </si>
  <si>
    <t>Water Quality of Source</t>
  </si>
  <si>
    <t>Fair</t>
  </si>
  <si>
    <t>C.</t>
  </si>
  <si>
    <t>Water provision &amp; Demand</t>
  </si>
  <si>
    <t>Provision for Domestic use</t>
  </si>
  <si>
    <t>lpcd</t>
  </si>
  <si>
    <t>Provision for Institutional use</t>
  </si>
  <si>
    <t>Provision for Live Stock</t>
  </si>
  <si>
    <t>Yes/No</t>
  </si>
  <si>
    <t>Total Water Demand (Design Year)</t>
  </si>
  <si>
    <t>Lpd</t>
  </si>
  <si>
    <t>Project Components</t>
  </si>
  <si>
    <t xml:space="preserve">Actual  Length of Transmission Main </t>
  </si>
  <si>
    <t xml:space="preserve">Actual  Length of Distribution Pipe Line </t>
  </si>
  <si>
    <t>Institutional connections</t>
  </si>
  <si>
    <t>Number of Private Connection Provided</t>
  </si>
  <si>
    <t xml:space="preserve">Reservoir Number/ Capacity  </t>
  </si>
  <si>
    <t>m³/no</t>
  </si>
  <si>
    <t>20,4</t>
  </si>
  <si>
    <t>20,2</t>
  </si>
  <si>
    <t>Total Number of CC, DC, IC, VC &amp; AVC</t>
  </si>
  <si>
    <t>Crossing</t>
  </si>
  <si>
    <t>Institutional latrine</t>
  </si>
  <si>
    <t>E.</t>
  </si>
  <si>
    <t>Project Cost Data</t>
  </si>
  <si>
    <t>Total Estimated Cost(without physical 
&amp; price adjustment contingencies</t>
  </si>
  <si>
    <t>NRs.</t>
  </si>
  <si>
    <t>Average Per Capita Cost at Base Year</t>
  </si>
  <si>
    <t>Average Per Capita Cost at Design Year</t>
  </si>
  <si>
    <t>Community Contribution Amount as per Estimate</t>
  </si>
  <si>
    <t>Community Contribution as per % of Estimate</t>
  </si>
  <si>
    <t>Number of  WUSC  Members/VMW</t>
  </si>
  <si>
    <t>Summary of Cost ( With  Schemewise Cost  )</t>
  </si>
  <si>
    <t>Items</t>
  </si>
  <si>
    <t>Unit Rate</t>
  </si>
  <si>
    <t>Qty</t>
  </si>
  <si>
    <t>Community Education Awareness</t>
  </si>
  <si>
    <t>Program</t>
  </si>
  <si>
    <t>Pre-construction Training</t>
  </si>
  <si>
    <t>Appraisal &amp; Comm. Preparation</t>
  </si>
  <si>
    <t>VMWs Training</t>
  </si>
  <si>
    <t>Pre-handover Training</t>
  </si>
  <si>
    <t>Motivators/Volunteers Training</t>
  </si>
  <si>
    <t>Total A</t>
  </si>
  <si>
    <t>Water Supply &amp; Sanitation</t>
  </si>
  <si>
    <t>B1</t>
  </si>
  <si>
    <t>Civil Works</t>
  </si>
  <si>
    <t>Detailed Survey &amp; Design Work</t>
  </si>
  <si>
    <t>Stream intake(without VC)</t>
  </si>
  <si>
    <t>Collection Chamber</t>
  </si>
  <si>
    <t>Private Connection (including institution)</t>
  </si>
  <si>
    <t>Distribution Chamber (Two chamber)</t>
  </si>
  <si>
    <t>Air Valve Chamber at Junction</t>
  </si>
  <si>
    <t xml:space="preserve">Washout Valve Chamber </t>
  </si>
  <si>
    <t xml:space="preserve">Sectional Valve Chamber at Junction </t>
  </si>
  <si>
    <t>BPC/IC</t>
  </si>
  <si>
    <t>Pipeline works ( E/W and jointing )</t>
  </si>
  <si>
    <t>i.  Transmission</t>
  </si>
  <si>
    <t>Km</t>
  </si>
  <si>
    <t>ii. Distribution</t>
  </si>
  <si>
    <t>Transportation of Pipes, Fittings &amp; Tools from store to site)</t>
  </si>
  <si>
    <t>Sub-Total (B1)</t>
  </si>
  <si>
    <t>B2</t>
  </si>
  <si>
    <t>Materials &amp; Equipments</t>
  </si>
  <si>
    <t>Pipes</t>
  </si>
  <si>
    <t>Fittings</t>
  </si>
  <si>
    <t>Tools &amp; Plants</t>
  </si>
  <si>
    <t>Sub-Total (B2)</t>
  </si>
  <si>
    <t>Total B (B1+B2)</t>
  </si>
  <si>
    <t>Total (A+B)</t>
  </si>
  <si>
    <t>Contingencies &amp; Overhead</t>
  </si>
  <si>
    <t>Total C</t>
  </si>
  <si>
    <t>Total  Cost of Scheme (A+B+C)</t>
  </si>
  <si>
    <t>Add Physical Contingencies@10%</t>
  </si>
  <si>
    <t>Add Price Escalation@10%</t>
  </si>
  <si>
    <t xml:space="preserve">Total Cost of Project : </t>
  </si>
  <si>
    <t>Description of  Sources</t>
  </si>
  <si>
    <t>Discharge</t>
  </si>
  <si>
    <t>Date</t>
  </si>
  <si>
    <t>Yield</t>
  </si>
  <si>
    <t>Quality</t>
  </si>
  <si>
    <t>Dispute</t>
  </si>
  <si>
    <t>S.No.</t>
  </si>
  <si>
    <t>Name of Source</t>
  </si>
  <si>
    <t>Location of source</t>
  </si>
  <si>
    <t>Type of Source</t>
  </si>
  <si>
    <t xml:space="preserve"> measured</t>
  </si>
  <si>
    <t>of</t>
  </si>
  <si>
    <t>Safe</t>
  </si>
  <si>
    <t>Tapped</t>
  </si>
  <si>
    <t>(by eye 
observation)</t>
  </si>
  <si>
    <t>(Specify if land slide upstream settlement, 
pollution, etc)</t>
  </si>
  <si>
    <t>Place, VDC-wards</t>
  </si>
  <si>
    <t>Measurement</t>
  </si>
  <si>
    <t>Stream</t>
  </si>
  <si>
    <t>Good</t>
  </si>
  <si>
    <t>Not any</t>
  </si>
  <si>
    <t xml:space="preserve">Procurement of Pipes </t>
  </si>
  <si>
    <t>Rate of HDPE Pipe =</t>
  </si>
  <si>
    <t>(per kg)</t>
  </si>
  <si>
    <t>Pipe size and series</t>
  </si>
  <si>
    <t>Rs./unit</t>
  </si>
  <si>
    <t>HDPE pipes</t>
  </si>
  <si>
    <t>Tr</t>
  </si>
  <si>
    <t>Dr</t>
  </si>
  <si>
    <t>DL</t>
  </si>
  <si>
    <t>GPM-15</t>
  </si>
  <si>
    <t>GPM-20</t>
  </si>
  <si>
    <t>GPM-25</t>
  </si>
  <si>
    <t>GPM-32</t>
  </si>
  <si>
    <t>GPM-40</t>
  </si>
  <si>
    <t>GPM-50</t>
  </si>
  <si>
    <t>HP6-32</t>
  </si>
  <si>
    <t>HP6-40</t>
  </si>
  <si>
    <t>HP6-50</t>
  </si>
  <si>
    <t>HP6-63</t>
  </si>
  <si>
    <t>HP6-75</t>
  </si>
  <si>
    <t>HP6-90</t>
  </si>
  <si>
    <t>HP6-110</t>
  </si>
  <si>
    <t>HP6-125</t>
  </si>
  <si>
    <t>HP10-16</t>
  </si>
  <si>
    <t>HP10-20</t>
  </si>
  <si>
    <t>HP10-25</t>
  </si>
  <si>
    <t>HP10-32</t>
  </si>
  <si>
    <t>HP10-40</t>
  </si>
  <si>
    <t>HP10-50</t>
  </si>
  <si>
    <t>HP10-63</t>
  </si>
  <si>
    <t>HP10-75</t>
  </si>
  <si>
    <t>Subtotal</t>
  </si>
  <si>
    <t>HP10-90</t>
  </si>
  <si>
    <t>Add transportation cost</t>
  </si>
  <si>
    <t>HP10-110</t>
  </si>
  <si>
    <t>HP10-125</t>
  </si>
  <si>
    <t>Value added Tax</t>
  </si>
  <si>
    <t>Total cost of HDPE pipes</t>
  </si>
  <si>
    <t xml:space="preserve">GI pipes </t>
  </si>
  <si>
    <t>GI (Heavy)</t>
  </si>
  <si>
    <t>Total cost of GI pipes</t>
  </si>
  <si>
    <t>Total Cost of GI Pipes With VAT</t>
  </si>
  <si>
    <t>Total cost of HDPE and GI pipes</t>
  </si>
  <si>
    <t>Detailed Quantities of Pipes &amp; Fittings and Transportation</t>
  </si>
  <si>
    <t>Actual length</t>
  </si>
  <si>
    <t>Unit weight</t>
  </si>
  <si>
    <t>Total  weight        ( kg )</t>
  </si>
  <si>
    <t>Scheme No - 1</t>
  </si>
  <si>
    <t>Total weight of pipe and fittings for transportation</t>
  </si>
  <si>
    <t xml:space="preserve">Abstract of costs </t>
  </si>
  <si>
    <t>Pipeline Works</t>
  </si>
  <si>
    <t>Description</t>
  </si>
  <si>
    <t>Transmission line</t>
  </si>
  <si>
    <t>E/W in excavation in hard soil</t>
  </si>
  <si>
    <r>
      <t>m</t>
    </r>
    <r>
      <rPr>
        <vertAlign val="superscript"/>
        <sz val="9"/>
        <rFont val="Times New Roman"/>
        <family val="1"/>
      </rPr>
      <t>3</t>
    </r>
  </si>
  <si>
    <t>E/W in backfilling with hard soil</t>
  </si>
  <si>
    <t xml:space="preserve"> Laying &amp; Jointing  of Pipes</t>
  </si>
  <si>
    <t xml:space="preserve">32 mmØ HDPE pipe </t>
  </si>
  <si>
    <t xml:space="preserve">40,50 mmØ HDPE pipe </t>
  </si>
  <si>
    <t>63-90 mmØ HDPE</t>
  </si>
  <si>
    <t xml:space="preserve">25,32 mmØ GI pipe </t>
  </si>
  <si>
    <t xml:space="preserve">40,50 mmØ GI pipe </t>
  </si>
  <si>
    <t xml:space="preserve">65,80 mmØ GI pipe </t>
  </si>
  <si>
    <t>Sub-total</t>
  </si>
  <si>
    <t>Total cost of transmission pipe line works</t>
  </si>
  <si>
    <t>Distribution line</t>
  </si>
  <si>
    <t xml:space="preserve">E/W in excavation in hard  soil </t>
  </si>
  <si>
    <t>16 mmØ HDPE pipe</t>
  </si>
  <si>
    <t>20,25 mmØ HDPE pipe</t>
  </si>
  <si>
    <t>32 mmØ HDPE pipe</t>
  </si>
  <si>
    <t>40, 50 mmØ HDPE pipe</t>
  </si>
  <si>
    <t>110,125 mmØ HDPE pipe</t>
  </si>
  <si>
    <t>15,20 mmØ GI pipe</t>
  </si>
  <si>
    <t>Total cost of distribution pipeline works</t>
  </si>
  <si>
    <t xml:space="preserve">Total cost of pipeline works </t>
  </si>
  <si>
    <t>Transportation Cost of Pipes and fittings</t>
  </si>
  <si>
    <t>Description of items</t>
  </si>
  <si>
    <t>Transportation Cost of Pipes and fittings from store to site</t>
  </si>
  <si>
    <t>Total transportation cost</t>
  </si>
  <si>
    <t>Rs</t>
  </si>
  <si>
    <t>Barbed Wire Fencing &amp; Gate</t>
  </si>
  <si>
    <t>Barbed Wire Fencing ( Type - A)</t>
  </si>
  <si>
    <t xml:space="preserve"> Total length of fencing =</t>
  </si>
  <si>
    <t>Earthwork in excavation</t>
  </si>
  <si>
    <t xml:space="preserve"> MS angle post(40*40*6mm size and 2.1m long) </t>
  </si>
  <si>
    <t xml:space="preserve"> -     horizontal ( 7 layers)</t>
  </si>
  <si>
    <t xml:space="preserve"> - Diagonals</t>
  </si>
  <si>
    <t>Enamel painting on MS angle</t>
  </si>
  <si>
    <t>Total Amount  ( Without VAT )</t>
  </si>
  <si>
    <t>Rate per metre ( Without VAT )</t>
  </si>
  <si>
    <t>Entrance Gate</t>
  </si>
  <si>
    <t>For barbed wire fencing Type-A</t>
  </si>
  <si>
    <t>Rates</t>
  </si>
  <si>
    <t xml:space="preserve">Stone soling </t>
  </si>
  <si>
    <t>Stone masonry in 1:6 c-s  mortar</t>
  </si>
  <si>
    <t xml:space="preserve"> for support pillars</t>
  </si>
  <si>
    <t>Deduct for holdfast PCC blocks</t>
  </si>
  <si>
    <t>PCC (1:2:4) for holdfast blocks</t>
  </si>
  <si>
    <t>on top of pillar</t>
  </si>
  <si>
    <t>12.5mm 1:4 c - s plaster         -Pillars</t>
  </si>
  <si>
    <t xml:space="preserve">        -On top</t>
  </si>
  <si>
    <t xml:space="preserve"> Mild Steel angle ( 25 x 25 x 3 mm Size ) framed gate with Iron Grill shutter (0.95 x 1.5 m size) all complete  including fixing </t>
  </si>
  <si>
    <t>Enamel Painting</t>
  </si>
  <si>
    <t>Total Amount ( Without VAT )</t>
  </si>
  <si>
    <t>Barbed Wire Fencing ( Type - B )</t>
  </si>
  <si>
    <t>Earthwork in excavation in HS</t>
  </si>
  <si>
    <t>Dry stone soling</t>
  </si>
  <si>
    <t>PCC (1:3:6)</t>
  </si>
  <si>
    <t xml:space="preserve"> -  deduction for RCC post  </t>
  </si>
  <si>
    <t>Net PCC</t>
  </si>
  <si>
    <t xml:space="preserve">Barbed wire fencing on pre-cast RCC post </t>
  </si>
  <si>
    <t>- Barbed wire fencing  - 5 horizontals</t>
  </si>
  <si>
    <t>- diagonals</t>
  </si>
  <si>
    <t>PCC (1:2:4) for RCC posts</t>
  </si>
  <si>
    <t>- Mild steel reinforcement</t>
  </si>
  <si>
    <t xml:space="preserve"> 10 mm ø bar, 4 nos 2.2 m long</t>
  </si>
  <si>
    <t xml:space="preserve">- Stirrup - 6 mm ø bar, 240 mm long </t>
  </si>
  <si>
    <t xml:space="preserve"> </t>
  </si>
  <si>
    <t>- Anchor hooks - 6 mm ø bar bent into shape to held barbed wire</t>
  </si>
  <si>
    <t>Centering and shuttering</t>
  </si>
  <si>
    <t>For barbed wire fencing Type-B</t>
  </si>
  <si>
    <t>Earth work in excavation in hard soil</t>
  </si>
  <si>
    <t xml:space="preserve">Boulder soling </t>
  </si>
  <si>
    <t>Wooden work for post &amp; style</t>
  </si>
  <si>
    <t>Wooden post, 100 x 100mm</t>
  </si>
  <si>
    <t>Door Style, 75 x 20mm</t>
  </si>
  <si>
    <t>Top, Bottom, 75 x 20mm</t>
  </si>
  <si>
    <t xml:space="preserve">Diagonal Bracing 75 x 20mm </t>
  </si>
  <si>
    <t>Barbed wire 1 m long each</t>
  </si>
  <si>
    <t>U - hooks</t>
  </si>
  <si>
    <t xml:space="preserve">Inner size  of  chamber  =  </t>
  </si>
  <si>
    <t>x</t>
  </si>
  <si>
    <t xml:space="preserve">Total height = </t>
  </si>
  <si>
    <t>Earthwork in excavation for fondation work in hard soil</t>
  </si>
  <si>
    <t xml:space="preserve">Plain Cement Concrete (1:2:4) </t>
  </si>
  <si>
    <t xml:space="preserve">in foundation </t>
  </si>
  <si>
    <t>Pipe embeddment block</t>
  </si>
  <si>
    <t>top of baffle wall</t>
  </si>
  <si>
    <t>Cover slab</t>
  </si>
  <si>
    <t>Deduct:</t>
  </si>
  <si>
    <t xml:space="preserve">  -Manhole cover</t>
  </si>
  <si>
    <t>Stone masonry work in 1:4 c-s mortar</t>
  </si>
  <si>
    <t>CC  portion</t>
  </si>
  <si>
    <t>baffle wall</t>
  </si>
  <si>
    <t>Deduct -  for  PCC blocks</t>
  </si>
  <si>
    <t>Centering &amp; shuttering work for PCC/RCC</t>
  </si>
  <si>
    <t>Bottom of cover slab  - CC portion</t>
  </si>
  <si>
    <t xml:space="preserve">  -Outer edge of cover slab</t>
  </si>
  <si>
    <t>Total form work</t>
  </si>
  <si>
    <t>Steel reinforcement</t>
  </si>
  <si>
    <t>8 mm ø @ 150 mm c/c bothways</t>
  </si>
  <si>
    <t>Total reinforcement</t>
  </si>
  <si>
    <t xml:space="preserve">12.5 mm thick 1:4 c-s plaster </t>
  </si>
  <si>
    <t>floor of CC</t>
  </si>
  <si>
    <t xml:space="preserve">Inner sides of Walls of  CC </t>
  </si>
  <si>
    <t xml:space="preserve">  -</t>
  </si>
  <si>
    <t>Side of baffle wall</t>
  </si>
  <si>
    <t>Outer portion of all walls above GL</t>
  </si>
  <si>
    <t>3 mm thick 1:1 c-s punning</t>
  </si>
  <si>
    <t>as per plaster</t>
  </si>
  <si>
    <t>Deduct for outer portion</t>
  </si>
  <si>
    <t>Supply and installation of standard man hole cover - 600×600 mm²</t>
  </si>
  <si>
    <t>Installation of pipes and fittings</t>
  </si>
  <si>
    <t>Add Value  Added Tax</t>
  </si>
  <si>
    <t>Distribution Chamber</t>
  </si>
  <si>
    <t>Inner size  of  CC portion:</t>
  </si>
  <si>
    <t>Total height</t>
  </si>
  <si>
    <t>8 mm ø @ 175 mm c/c bothways</t>
  </si>
  <si>
    <t>Deduct for man hole</t>
  </si>
  <si>
    <t>Net reinforcement</t>
  </si>
  <si>
    <t>Side of partition wall</t>
  </si>
  <si>
    <t>Outer Portion of all walls above GL</t>
  </si>
  <si>
    <t>Quantity Estimate</t>
  </si>
  <si>
    <t>House Connections</t>
  </si>
  <si>
    <t>Total nos. of connections</t>
  </si>
  <si>
    <t>Earth works for pipe laying</t>
  </si>
  <si>
    <t xml:space="preserve">E/W in backfilling in hard soil </t>
  </si>
  <si>
    <t xml:space="preserve">Quantity of Pipe and fittings </t>
  </si>
  <si>
    <t xml:space="preserve">GI pipe 1/2" </t>
  </si>
  <si>
    <t>Water Meter</t>
  </si>
  <si>
    <t>Elbow 1/2"</t>
  </si>
  <si>
    <t>Socket 1/2"</t>
  </si>
  <si>
    <t>Nipple 1/2"</t>
  </si>
  <si>
    <t>Ferrule 1/2"</t>
  </si>
  <si>
    <t>Union 1/2"</t>
  </si>
  <si>
    <t>Brass bib cock 1/2"</t>
  </si>
  <si>
    <t xml:space="preserve">VAT @ 13% </t>
  </si>
  <si>
    <t xml:space="preserve">Total With Vat </t>
  </si>
  <si>
    <t>Rate Per HH Connection</t>
  </si>
  <si>
    <t>Stream Intake ( Type II )</t>
  </si>
  <si>
    <t>(Without valve chamber )</t>
  </si>
  <si>
    <t xml:space="preserve">Total length of wing walls </t>
  </si>
  <si>
    <t>Size of C.C</t>
  </si>
  <si>
    <t>Height of structure</t>
  </si>
  <si>
    <r>
      <t>m</t>
    </r>
    <r>
      <rPr>
        <vertAlign val="superscript"/>
        <sz val="9"/>
        <rFont val="Times New Roman"/>
        <family val="1"/>
      </rPr>
      <t>2</t>
    </r>
  </si>
  <si>
    <t>wing wall</t>
  </si>
  <si>
    <t>Catchment portion</t>
  </si>
  <si>
    <t>Pipe trench for washout</t>
  </si>
  <si>
    <t>water diversion and drainage ditch</t>
  </si>
  <si>
    <t>Total earth work</t>
  </si>
  <si>
    <t>Plain Cement Concrete (1:2:4)</t>
  </si>
  <si>
    <t>Wing Walls</t>
  </si>
  <si>
    <t>Catchment Portion</t>
  </si>
  <si>
    <t>At the top of Wing Wall</t>
  </si>
  <si>
    <t>Lintel over drywall</t>
  </si>
  <si>
    <t>Pipe Embeddment blocks</t>
  </si>
  <si>
    <t>For cover slab</t>
  </si>
  <si>
    <t>Deduct :</t>
  </si>
  <si>
    <t>Manhole Cover</t>
  </si>
  <si>
    <t>Stone masonry in 1:4 c-s  mortar</t>
  </si>
  <si>
    <t>Wing Wall</t>
  </si>
  <si>
    <t>Walls of CC</t>
  </si>
  <si>
    <t>Deduction</t>
  </si>
  <si>
    <t xml:space="preserve"> for embeddment block</t>
  </si>
  <si>
    <t>for dry wall</t>
  </si>
  <si>
    <t>Total masonry work</t>
  </si>
  <si>
    <t>Dry stone masonry</t>
  </si>
  <si>
    <r>
      <t xml:space="preserve">8mm </t>
    </r>
    <r>
      <rPr>
        <sz val="9"/>
        <rFont val="Symbol"/>
        <family val="1"/>
        <charset val="2"/>
      </rPr>
      <t>f</t>
    </r>
    <r>
      <rPr>
        <sz val="9"/>
        <rFont val="Times New Roman"/>
        <family val="1"/>
      </rPr>
      <t xml:space="preserve"> bars @ 150c/c both ways</t>
    </r>
  </si>
  <si>
    <t>for cover slab</t>
  </si>
  <si>
    <t>Deduction for Manhole Opening</t>
  </si>
  <si>
    <t>Centering &amp; shuttering works for RCC/PCC</t>
  </si>
  <si>
    <t>edge of slab</t>
  </si>
  <si>
    <t>Slab Cover                           - of CC</t>
  </si>
  <si>
    <t>Top of wing wall</t>
  </si>
  <si>
    <t xml:space="preserve">12.5 mm thick 1:3 cement sand  plaster </t>
  </si>
  <si>
    <t>inside of wing walls</t>
  </si>
  <si>
    <t>Inside of CC walls</t>
  </si>
  <si>
    <t>Floor of CC</t>
  </si>
  <si>
    <t>Outside of CC</t>
  </si>
  <si>
    <t>Total plastering work</t>
  </si>
  <si>
    <t>3 mm 1:1cement sand punnig</t>
  </si>
  <si>
    <t>as plastering work</t>
  </si>
  <si>
    <t>Deduct for outside of walls</t>
  </si>
  <si>
    <t>Total punning work</t>
  </si>
  <si>
    <t>Boulder packing</t>
  </si>
  <si>
    <t>Standard manhole over 60cm×60cm size</t>
  </si>
  <si>
    <t>Barbed wire fencing (Type - B)</t>
  </si>
  <si>
    <t>Wooden entrance gate (1 m x 1.5 m)</t>
  </si>
  <si>
    <t>Dewatering</t>
  </si>
  <si>
    <t>Installation of Pipes &amp; Fittings</t>
  </si>
  <si>
    <t>Total Amount with VAT</t>
  </si>
  <si>
    <t>Ferrocement Storage Tank</t>
  </si>
  <si>
    <t>Diameter, d =</t>
  </si>
  <si>
    <t>Tank wall height, h =</t>
  </si>
  <si>
    <t>Dome height, =</t>
  </si>
  <si>
    <t>For Scheme # no:</t>
  </si>
  <si>
    <t>Radius</t>
  </si>
  <si>
    <t>Length/Radius</t>
  </si>
  <si>
    <t>Qty.</t>
  </si>
  <si>
    <t xml:space="preserve">Rate </t>
  </si>
  <si>
    <t>Site Clearance(L= d+2*2.0m,B=d+1m)</t>
  </si>
  <si>
    <t>Earthwork in excavation for foundation in hard soil</t>
  </si>
  <si>
    <t>Valve Chamber</t>
  </si>
  <si>
    <t>Storage tank</t>
  </si>
  <si>
    <t>π</t>
  </si>
  <si>
    <t xml:space="preserve"> -</t>
  </si>
  <si>
    <r>
      <t xml:space="preserve">(Q = </t>
    </r>
    <r>
      <rPr>
        <sz val="9"/>
        <rFont val="Symbol"/>
        <family val="1"/>
        <charset val="2"/>
      </rPr>
      <t xml:space="preserve">p </t>
    </r>
    <r>
      <rPr>
        <sz val="9"/>
        <rFont val="Times New Roman"/>
        <family val="1"/>
      </rPr>
      <t>x R² x h, R = d/2+0.05+0.75</t>
    </r>
  </si>
  <si>
    <t>Earthwork in back filling with</t>
  </si>
  <si>
    <r>
      <t>in storage tank : total trench (</t>
    </r>
    <r>
      <rPr>
        <sz val="9"/>
        <rFont val="Symbol"/>
        <family val="1"/>
        <charset val="2"/>
      </rPr>
      <t>p</t>
    </r>
    <r>
      <rPr>
        <sz val="9"/>
        <rFont val="Times New Roman"/>
        <family val="1"/>
      </rPr>
      <t>*R</t>
    </r>
    <r>
      <rPr>
        <vertAlign val="superscript"/>
        <sz val="9"/>
        <rFont val="Times New Roman"/>
        <family val="1"/>
      </rPr>
      <t>2</t>
    </r>
    <r>
      <rPr>
        <sz val="9"/>
        <rFont val="Times New Roman"/>
        <family val="1"/>
      </rPr>
      <t>*h')</t>
    </r>
  </si>
  <si>
    <r>
      <t>Deduct tank portion (</t>
    </r>
    <r>
      <rPr>
        <sz val="9"/>
        <rFont val="Symbol"/>
        <family val="1"/>
        <charset val="2"/>
      </rPr>
      <t>p</t>
    </r>
    <r>
      <rPr>
        <sz val="9"/>
        <rFont val="Times New Roman"/>
        <family val="1"/>
      </rPr>
      <t>*r</t>
    </r>
    <r>
      <rPr>
        <vertAlign val="superscript"/>
        <sz val="9"/>
        <rFont val="Times New Roman"/>
        <family val="1"/>
      </rPr>
      <t>2</t>
    </r>
    <r>
      <rPr>
        <sz val="9"/>
        <rFont val="Times New Roman"/>
        <family val="1"/>
      </rPr>
      <t>*h'): r=d/2+.05</t>
    </r>
  </si>
  <si>
    <t>Net backfilling work</t>
  </si>
  <si>
    <t>Stone soling work</t>
  </si>
  <si>
    <t xml:space="preserve"> - </t>
  </si>
  <si>
    <r>
      <t xml:space="preserve">(Q = </t>
    </r>
    <r>
      <rPr>
        <sz val="9"/>
        <rFont val="Symbol"/>
        <family val="1"/>
        <charset val="2"/>
      </rPr>
      <t>p</t>
    </r>
    <r>
      <rPr>
        <sz val="9"/>
        <rFont val="Times New Roman"/>
        <family val="1"/>
      </rPr>
      <t xml:space="preserve"> x r² x h, r = d/2+0.05+0.25</t>
    </r>
  </si>
  <si>
    <t>deduction for overlapping with  VC portion</t>
  </si>
  <si>
    <t xml:space="preserve">Stone masonry in 1:6 c-s  mortar </t>
  </si>
  <si>
    <t xml:space="preserve">Plain cement concrete (1:2:4) </t>
  </si>
  <si>
    <t>Cover slab of valve chamber</t>
  </si>
  <si>
    <t>Deduction for manhole opening</t>
  </si>
  <si>
    <t>(Q = p x r² x h, r = 0.30)</t>
  </si>
  <si>
    <t>Manhole Cover  of tank</t>
  </si>
  <si>
    <t>Plain Cement Concrete (1:1.5:3)</t>
  </si>
  <si>
    <r>
      <t xml:space="preserve"> for tank base(Q = </t>
    </r>
    <r>
      <rPr>
        <sz val="9"/>
        <rFont val="Symbol"/>
        <family val="1"/>
        <charset val="2"/>
      </rPr>
      <t>p</t>
    </r>
    <r>
      <rPr>
        <sz val="9"/>
        <rFont val="Times New Roman"/>
        <family val="1"/>
      </rPr>
      <t xml:space="preserve"> x r² x h, r = d/2+0.05+0.10</t>
    </r>
  </si>
  <si>
    <r>
      <t>for VC slab cover 8 mm</t>
    </r>
    <r>
      <rPr>
        <sz val="9"/>
        <rFont val="Symbol"/>
        <family val="1"/>
        <charset val="2"/>
      </rPr>
      <t>f</t>
    </r>
    <r>
      <rPr>
        <sz val="9"/>
        <rFont val="Times New Roman"/>
        <family val="1"/>
      </rPr>
      <t xml:space="preserve"> bars @ 15 cm c/c both ways</t>
    </r>
  </si>
  <si>
    <t>Longer span</t>
  </si>
  <si>
    <t>Shorter span</t>
  </si>
  <si>
    <t xml:space="preserve">Shuttering works for RCC </t>
  </si>
  <si>
    <t xml:space="preserve">   -  Cover slab  bottom</t>
  </si>
  <si>
    <t xml:space="preserve">                                                                          Side</t>
  </si>
  <si>
    <t>HDPE formwork for ferrocement</t>
  </si>
  <si>
    <r>
      <t xml:space="preserve"> - Wall portion (Q = 2 x</t>
    </r>
    <r>
      <rPr>
        <sz val="9"/>
        <rFont val="Symbol"/>
        <family val="1"/>
        <charset val="2"/>
      </rPr>
      <t xml:space="preserve"> p</t>
    </r>
    <r>
      <rPr>
        <sz val="9"/>
        <rFont val="Times New Roman"/>
        <family val="1"/>
      </rPr>
      <t xml:space="preserve"> x r x h, r = d/2+.025)</t>
    </r>
  </si>
  <si>
    <t>2π</t>
  </si>
  <si>
    <t>- Roof portion</t>
  </si>
  <si>
    <r>
      <t>Q = 2 x</t>
    </r>
    <r>
      <rPr>
        <sz val="9"/>
        <rFont val="Symbol"/>
        <family val="1"/>
        <charset val="2"/>
      </rPr>
      <t xml:space="preserve"> p</t>
    </r>
    <r>
      <rPr>
        <sz val="9"/>
        <rFont val="Times New Roman"/>
        <family val="1"/>
      </rPr>
      <t xml:space="preserve"> x R x h,   R = ((d+.05)² +4h²)/8h,h=dome height</t>
    </r>
  </si>
  <si>
    <r>
      <t>- Deduction for manhole opening  Q=</t>
    </r>
    <r>
      <rPr>
        <sz val="9"/>
        <rFont val="Symbol"/>
        <family val="1"/>
        <charset val="2"/>
      </rPr>
      <t>p</t>
    </r>
    <r>
      <rPr>
        <sz val="9"/>
        <rFont val="Times New Roman"/>
        <family val="1"/>
      </rPr>
      <t>xr², r=0.30</t>
    </r>
  </si>
  <si>
    <t>RT size:</t>
  </si>
  <si>
    <t>Bar binding work including  chicken wire mesh,</t>
  </si>
  <si>
    <t>MS bar, GI wire, etc.</t>
  </si>
  <si>
    <t>as per HDPE form work</t>
  </si>
  <si>
    <t>12.5 mm thick 1:2 cement-sand plaster</t>
  </si>
  <si>
    <t xml:space="preserve">4 layers for ferrocement </t>
  </si>
  <si>
    <r>
      <t xml:space="preserve"> - Wall portion (Q = 4x2</t>
    </r>
    <r>
      <rPr>
        <sz val="9"/>
        <rFont val="Symbol"/>
        <family val="1"/>
        <charset val="2"/>
      </rPr>
      <t xml:space="preserve"> p</t>
    </r>
    <r>
      <rPr>
        <sz val="9"/>
        <rFont val="Times New Roman"/>
        <family val="1"/>
      </rPr>
      <t xml:space="preserve"> x r x h, r = d/2+.025)</t>
    </r>
  </si>
  <si>
    <t>4×2π</t>
  </si>
  <si>
    <t/>
  </si>
  <si>
    <t>- Deduction for manhole opening</t>
  </si>
  <si>
    <r>
      <t xml:space="preserve"> (Q = 4 x</t>
    </r>
    <r>
      <rPr>
        <sz val="9"/>
        <rFont val="Symbol"/>
        <family val="1"/>
        <charset val="2"/>
      </rPr>
      <t xml:space="preserve"> p</t>
    </r>
    <r>
      <rPr>
        <sz val="9"/>
        <rFont val="Times New Roman"/>
        <family val="1"/>
      </rPr>
      <t xml:space="preserve"> x r², r = 0.60/2 = 0.30)</t>
    </r>
  </si>
  <si>
    <t>Total plaster</t>
  </si>
  <si>
    <t>12.5 mm thick 1:3 cement-sand plaster</t>
  </si>
  <si>
    <t>sand mortar for</t>
  </si>
  <si>
    <t>- Floor portion of storage tank</t>
  </si>
  <si>
    <r>
      <t xml:space="preserve">(Q = </t>
    </r>
    <r>
      <rPr>
        <sz val="9"/>
        <rFont val="Symbol"/>
        <family val="1"/>
        <charset val="2"/>
      </rPr>
      <t xml:space="preserve">p </t>
    </r>
    <r>
      <rPr>
        <sz val="9"/>
        <rFont val="Times New Roman"/>
        <family val="1"/>
      </rPr>
      <t>x r², r = d/2)</t>
    </r>
  </si>
  <si>
    <t>12.5 mm thick 1:4 cement-sand plaster</t>
  </si>
  <si>
    <t xml:space="preserve"> - Floor portion of valve chamber</t>
  </si>
  <si>
    <t xml:space="preserve"> - inner wall of valve chamber</t>
  </si>
  <si>
    <t xml:space="preserve">3 mm thick 1:1  cement sand punning </t>
  </si>
  <si>
    <r>
      <t xml:space="preserve"> -  Floor portion of storage tank(Q = </t>
    </r>
    <r>
      <rPr>
        <sz val="9"/>
        <rFont val="Symbol"/>
        <family val="1"/>
        <charset val="2"/>
      </rPr>
      <t>p</t>
    </r>
    <r>
      <rPr>
        <sz val="9"/>
        <rFont val="Times New Roman"/>
        <family val="1"/>
      </rPr>
      <t xml:space="preserve"> x r², r = d/2)</t>
    </r>
  </si>
  <si>
    <r>
      <t xml:space="preserve"> -  Wall portion of storage tank (Q = 2 x </t>
    </r>
    <r>
      <rPr>
        <sz val="9"/>
        <rFont val="Symbol"/>
        <family val="1"/>
        <charset val="2"/>
      </rPr>
      <t>p</t>
    </r>
    <r>
      <rPr>
        <sz val="9"/>
        <rFont val="Times New Roman"/>
        <family val="1"/>
      </rPr>
      <t xml:space="preserve"> x r x h)</t>
    </r>
  </si>
  <si>
    <t>Total punning</t>
  </si>
  <si>
    <t>Bitumen paint on the buried surface of storage tank</t>
  </si>
  <si>
    <r>
      <t xml:space="preserve">(Q = 2 x </t>
    </r>
    <r>
      <rPr>
        <sz val="9"/>
        <rFont val="Symbol"/>
        <family val="1"/>
        <charset val="2"/>
      </rPr>
      <t>p</t>
    </r>
    <r>
      <rPr>
        <sz val="9"/>
        <rFont val="Times New Roman"/>
        <family val="1"/>
      </rPr>
      <t xml:space="preserve"> x r x h, r = d/2+0.05)</t>
    </r>
  </si>
  <si>
    <t>Snowcem paint on exposed surface of storage tank</t>
  </si>
  <si>
    <t>-  Wall portion</t>
  </si>
  <si>
    <r>
      <t>(Q = 2 x</t>
    </r>
    <r>
      <rPr>
        <sz val="9"/>
        <rFont val="Symbol"/>
        <family val="1"/>
        <charset val="2"/>
      </rPr>
      <t xml:space="preserve"> p</t>
    </r>
    <r>
      <rPr>
        <sz val="9"/>
        <rFont val="Times New Roman"/>
        <family val="1"/>
      </rPr>
      <t xml:space="preserve"> x r x h, r = d/2+0.05)</t>
    </r>
  </si>
  <si>
    <r>
      <t>(Q = 2x</t>
    </r>
    <r>
      <rPr>
        <sz val="9"/>
        <rFont val="Symbol"/>
        <family val="1"/>
        <charset val="2"/>
      </rPr>
      <t>p</t>
    </r>
    <r>
      <rPr>
        <sz val="9"/>
        <rFont val="Times New Roman"/>
        <family val="1"/>
      </rPr>
      <t>xRxh,  R = (D²+4h²)/8h,  D = d+0.10, h= dome height)</t>
    </r>
  </si>
  <si>
    <r>
      <t>600 mm</t>
    </r>
    <r>
      <rPr>
        <sz val="9"/>
        <rFont val="Symbol"/>
        <family val="1"/>
        <charset val="2"/>
      </rPr>
      <t>f</t>
    </r>
    <r>
      <rPr>
        <sz val="9"/>
        <rFont val="Times New Roman"/>
        <family val="1"/>
      </rPr>
      <t xml:space="preserve"> circular metal manhole cover for ferrocement</t>
    </r>
  </si>
  <si>
    <t>Installation of Pipes &amp; fittings</t>
  </si>
  <si>
    <t>Barbed wire fencing  (Type-A)</t>
  </si>
  <si>
    <t>Entrancce gate in barbed wire fencing (Type-A)</t>
  </si>
  <si>
    <t>Total Amount without VAT</t>
  </si>
  <si>
    <t>Total cost of reservoir tank with fencing and gate</t>
  </si>
  <si>
    <t>Air Valve Chamber</t>
  </si>
  <si>
    <t>Earthwork in excavation for foundation in BMS</t>
  </si>
  <si>
    <t>Dry stone filling</t>
  </si>
  <si>
    <t>Slab cover</t>
  </si>
  <si>
    <t>Manhole cover</t>
  </si>
  <si>
    <t>Centering &amp; Shuttering Works</t>
  </si>
  <si>
    <t>Selected material filling (stone Packing)</t>
  </si>
  <si>
    <t>Standard manhole cover 45×45 cm with metal frame</t>
  </si>
  <si>
    <t>Installation of pipes &amp; fittings</t>
  </si>
  <si>
    <t>Inner dimension</t>
  </si>
  <si>
    <t>m x</t>
  </si>
  <si>
    <t>Earthwork in excavation for foundation</t>
  </si>
  <si>
    <t xml:space="preserve">Stone masonry in 1:6 c-s mortar </t>
  </si>
  <si>
    <t>Deduction for manhole</t>
  </si>
  <si>
    <t>8 mm ø at 150 mm spacing bothways</t>
  </si>
  <si>
    <t>Centering &amp; Shuttering work for RCC</t>
  </si>
  <si>
    <t>Cover slab bottom</t>
  </si>
  <si>
    <t>Standard manhole cover 60*60 cm with metal frame</t>
  </si>
  <si>
    <t xml:space="preserve">BREAK PRESSURE CHAMBER </t>
  </si>
  <si>
    <t>( Without valve chamber )</t>
  </si>
  <si>
    <t>Inner size  of BPT portion:</t>
  </si>
  <si>
    <t>Total height=</t>
  </si>
  <si>
    <t>Boulder soling</t>
  </si>
  <si>
    <t xml:space="preserve">Total </t>
  </si>
  <si>
    <t>Deduct for pipe embeddment block</t>
  </si>
  <si>
    <t>Centering &amp; shuttering works</t>
  </si>
  <si>
    <t xml:space="preserve">Bottom of cover slab  </t>
  </si>
  <si>
    <t>Steel reinforcement (for cover slab)</t>
  </si>
  <si>
    <t>12.5 mm thick 1:4 c-s plaster</t>
  </si>
  <si>
    <t xml:space="preserve">floor </t>
  </si>
  <si>
    <t xml:space="preserve">Inner sides of Walls </t>
  </si>
  <si>
    <t>3 mm 1:1 c-s punning</t>
  </si>
  <si>
    <t xml:space="preserve">  -Inner side of BPT</t>
  </si>
  <si>
    <t>Standard manhole cover 60x60 cm ø with metal frame</t>
  </si>
  <si>
    <t xml:space="preserve">Scheme No: </t>
  </si>
  <si>
    <t>Scheme Name :</t>
  </si>
  <si>
    <t>Summary of structurewise fittings</t>
  </si>
  <si>
    <t>SN</t>
  </si>
  <si>
    <t>ItemCode</t>
  </si>
  <si>
    <t>Units</t>
  </si>
  <si>
    <t>BPT-01</t>
  </si>
  <si>
    <t>IC-01</t>
  </si>
  <si>
    <t>CoC-01</t>
  </si>
  <si>
    <t>CoC-02</t>
  </si>
  <si>
    <t>CoC-03</t>
  </si>
  <si>
    <t>DiC-01</t>
  </si>
  <si>
    <t>DiC-02</t>
  </si>
  <si>
    <t>SINT-01</t>
  </si>
  <si>
    <t>SINT-02</t>
  </si>
  <si>
    <t>SINT-03</t>
  </si>
  <si>
    <t>S-VaC-J1</t>
  </si>
  <si>
    <t>W-VaC-J5</t>
  </si>
  <si>
    <t>A-VaC-J40</t>
  </si>
  <si>
    <t>VaC-J50</t>
  </si>
  <si>
    <t>VaC-J51</t>
  </si>
  <si>
    <t>VaC-J57</t>
  </si>
  <si>
    <t>TotalQty</t>
  </si>
  <si>
    <t>UnitWt(kg)</t>
  </si>
  <si>
    <t>TotalWt(Kg)</t>
  </si>
  <si>
    <t>Rate(Rs)</t>
  </si>
  <si>
    <t>TotalAmount(Rs)</t>
  </si>
  <si>
    <t>Nos</t>
  </si>
  <si>
    <t>Brass Union (15x20 mmØ)</t>
  </si>
  <si>
    <t>BU-15</t>
  </si>
  <si>
    <t>Brass Union (20x25 mmØ)</t>
  </si>
  <si>
    <t>BU-20</t>
  </si>
  <si>
    <t>Brass Union (25x32 mmØ)</t>
  </si>
  <si>
    <t>BU-25</t>
  </si>
  <si>
    <t>Brass Union (32x40 mmØ)</t>
  </si>
  <si>
    <t>BU-32</t>
  </si>
  <si>
    <t>Brass Union (40x50 mmØ)</t>
  </si>
  <si>
    <t>BU-40</t>
  </si>
  <si>
    <t>GI Blind flange set (100 mmØ)</t>
  </si>
  <si>
    <t>GBF-100</t>
  </si>
  <si>
    <t>GI Blind flange set (65 mmØ)</t>
  </si>
  <si>
    <t>GBF-65</t>
  </si>
  <si>
    <t>GI Elbow (100 mmØ)</t>
  </si>
  <si>
    <t>GEL-100</t>
  </si>
  <si>
    <t>GI Elbow (15 mmØ)</t>
  </si>
  <si>
    <t>GEL-15</t>
  </si>
  <si>
    <t>GI Elbow (20 mmØ)</t>
  </si>
  <si>
    <t>GEL-20</t>
  </si>
  <si>
    <t>GI Elbow (25 mmØ)</t>
  </si>
  <si>
    <t>GEL-25</t>
  </si>
  <si>
    <t>GI Elbow (32 mmØ)</t>
  </si>
  <si>
    <t>GEL-32</t>
  </si>
  <si>
    <t>GI Elbow (40 mmØ)</t>
  </si>
  <si>
    <t>GEL-40</t>
  </si>
  <si>
    <t>GI Elbow (50 mmØ)</t>
  </si>
  <si>
    <t>GEL-50</t>
  </si>
  <si>
    <t>GI Elbow (63 mmØ)</t>
  </si>
  <si>
    <t>GEL-65</t>
  </si>
  <si>
    <t>GI Elbow (75 mmØ)</t>
  </si>
  <si>
    <t>GEL-80</t>
  </si>
  <si>
    <t>GI Equal Tee (100 mmØ)</t>
  </si>
  <si>
    <t>GET-100</t>
  </si>
  <si>
    <t>GI Equal Tee (15 mmØ)</t>
  </si>
  <si>
    <t>GET-15</t>
  </si>
  <si>
    <t>GI Equal Tee (20 mmØ)</t>
  </si>
  <si>
    <t>GET-20</t>
  </si>
  <si>
    <t>GI Equal Tee (25 mmØ)</t>
  </si>
  <si>
    <t>GET-25</t>
  </si>
  <si>
    <t>GI Equal Tee (32 mmØ)</t>
  </si>
  <si>
    <t>GET-32</t>
  </si>
  <si>
    <t>GI Equal Tee (40 mmØ)</t>
  </si>
  <si>
    <t>GET-40</t>
  </si>
  <si>
    <t>GI Equal Tee (80 mmØ)</t>
  </si>
  <si>
    <t>GET-80</t>
  </si>
  <si>
    <t>GI Equal Tee(40 mmØ)</t>
  </si>
  <si>
    <t>GI Nipple (100 mmØ)</t>
  </si>
  <si>
    <t>GNI-100</t>
  </si>
  <si>
    <t>GI Nipple (15 mmØ)</t>
  </si>
  <si>
    <t>GNI-15</t>
  </si>
  <si>
    <t>GI Nipple (20 mmØ)</t>
  </si>
  <si>
    <t>GNI-20</t>
  </si>
  <si>
    <t>GI Nipple (25 mmØ)</t>
  </si>
  <si>
    <t>GNI-25</t>
  </si>
  <si>
    <t>GI Nipple (32 mmØ)</t>
  </si>
  <si>
    <t>GNI-32</t>
  </si>
  <si>
    <t>GI Nipple (40 mmØ)</t>
  </si>
  <si>
    <t>GNI-40</t>
  </si>
  <si>
    <t>GI Nipple (50 mmØ)</t>
  </si>
  <si>
    <t>GNI-50</t>
  </si>
  <si>
    <t>GI Nipple (65 mmØ)</t>
  </si>
  <si>
    <t>GNI-63</t>
  </si>
  <si>
    <t>GI Nipple (80 mmØ)</t>
  </si>
  <si>
    <t>GNI-80</t>
  </si>
  <si>
    <t>GI Pipe (100mm)-MC</t>
  </si>
  <si>
    <t>GPM-100</t>
  </si>
  <si>
    <t>GI Pipe (15mm)-MC</t>
  </si>
  <si>
    <t>GI Pipe (20mm)-MC</t>
  </si>
  <si>
    <t>GI Pipe (25mm)-MC</t>
  </si>
  <si>
    <t>GI Pipe (32mm)-MC</t>
  </si>
  <si>
    <t>GI Pipe (40mm)-MC</t>
  </si>
  <si>
    <t>GI Pipe (50mm)-MC</t>
  </si>
  <si>
    <t>GI Pipe (63mm)-MC</t>
  </si>
  <si>
    <t>GPM-65</t>
  </si>
  <si>
    <t>GI Pipe (75mm)-MC</t>
  </si>
  <si>
    <t>GPM-80</t>
  </si>
  <si>
    <t>GI Plug (40 mmØ)</t>
  </si>
  <si>
    <t>GIP-40</t>
  </si>
  <si>
    <t>GI Plug (50 mmØ)</t>
  </si>
  <si>
    <t>GIP-50</t>
  </si>
  <si>
    <t>GI Reducer Socket (100x40 mmØ)</t>
  </si>
  <si>
    <t>GRS-100x40</t>
  </si>
  <si>
    <t>GI Reducer Socket (100x80 mmØ)</t>
  </si>
  <si>
    <t>GRS-100x80</t>
  </si>
  <si>
    <t>GI Reducer Socket (125x100 mmØ)</t>
  </si>
  <si>
    <t>GRS-125x100</t>
  </si>
  <si>
    <t>GI Reducer Socket (32x25 mmØ)</t>
  </si>
  <si>
    <t>GRS-32x25</t>
  </si>
  <si>
    <t>GI Reducer Socket (40x32 mmØ)</t>
  </si>
  <si>
    <t>GRS-40x32</t>
  </si>
  <si>
    <t>GI Reducer Socket (50x40 mmØ)</t>
  </si>
  <si>
    <t>GRS-50x40</t>
  </si>
  <si>
    <t>GI Reducer Socket (65x50 mmØ)</t>
  </si>
  <si>
    <t>GRS-65x50</t>
  </si>
  <si>
    <t>GI Reducer Socket (80x40 mmØ)</t>
  </si>
  <si>
    <t>GRS-80x40</t>
  </si>
  <si>
    <t>GI Socket 100 mmØ</t>
  </si>
  <si>
    <t>GS-100</t>
  </si>
  <si>
    <t>GI Socket 15 mmØ</t>
  </si>
  <si>
    <t>GS-15</t>
  </si>
  <si>
    <t>GI Socket 25 mmØ</t>
  </si>
  <si>
    <t>GS-25</t>
  </si>
  <si>
    <t>GI Socket 40 mmØ</t>
  </si>
  <si>
    <t>GS-40</t>
  </si>
  <si>
    <t>GI Socket 50 mmØ</t>
  </si>
  <si>
    <t>GS-50</t>
  </si>
  <si>
    <t>GI Socket 75 mmØ</t>
  </si>
  <si>
    <t>GS-80</t>
  </si>
  <si>
    <t>GI Unequal Tee (100x15 mmØ)</t>
  </si>
  <si>
    <t>GUT-100x15</t>
  </si>
  <si>
    <t>GI Unequal Tee (100x25 mmØ)</t>
  </si>
  <si>
    <t>GUT-100x25</t>
  </si>
  <si>
    <t>GI Unequal Tee (100x40 mmØ)</t>
  </si>
  <si>
    <t>GUT-100x40</t>
  </si>
  <si>
    <t>GI Unequal Tee (100x50 mmØ)</t>
  </si>
  <si>
    <t>GUT-100x50</t>
  </si>
  <si>
    <t>GI Unequal Tee (100x80 mmØ)</t>
  </si>
  <si>
    <t>GUT-100x80</t>
  </si>
  <si>
    <t>GI Unequal Tee (25x15 mmØ)</t>
  </si>
  <si>
    <t>GUT-25x15</t>
  </si>
  <si>
    <t>GI Unequal Tee (32x15 mmØ)</t>
  </si>
  <si>
    <t>GUT-32x15</t>
  </si>
  <si>
    <t>GI Unequal Tee (40x15 mmØ)</t>
  </si>
  <si>
    <t>GUT-40x15</t>
  </si>
  <si>
    <t>GI Unequal Tee (50x15 mmØ)</t>
  </si>
  <si>
    <t>GUT-50x15</t>
  </si>
  <si>
    <t>GI Unequal Tee (80x15 mmØ)</t>
  </si>
  <si>
    <t>GUT-80x15</t>
  </si>
  <si>
    <t>GI Unequal Tee (80x20 mmØ)</t>
  </si>
  <si>
    <t>GUT-80x20</t>
  </si>
  <si>
    <t>GI Unequal Tee (80x40 mmØ)</t>
  </si>
  <si>
    <t>GUT-80x40</t>
  </si>
  <si>
    <t>GI Unequal Tee (80x50 mmØ)</t>
  </si>
  <si>
    <t>GUT-80x50</t>
  </si>
  <si>
    <t>GI Union (15 mmØ)</t>
  </si>
  <si>
    <t>GUN-15</t>
  </si>
  <si>
    <t>GI Union (20 mmØ)</t>
  </si>
  <si>
    <t>GUN-20</t>
  </si>
  <si>
    <t>GI Union (25 mmØ)</t>
  </si>
  <si>
    <t>GUN-25</t>
  </si>
  <si>
    <t>GI Union (32 mmØ)</t>
  </si>
  <si>
    <t>GUN-32</t>
  </si>
  <si>
    <t>GI Union (40 mmØ)</t>
  </si>
  <si>
    <t>GUN-40</t>
  </si>
  <si>
    <t>GI Union (50 mmØ)</t>
  </si>
  <si>
    <t>GUN-50</t>
  </si>
  <si>
    <t>GI Union (80 mmØ)</t>
  </si>
  <si>
    <t>GUN-80</t>
  </si>
  <si>
    <t>GI-GI flange set (100 mmØ)</t>
  </si>
  <si>
    <t>GFL-100</t>
  </si>
  <si>
    <t>GI-HDP flange set (100x125 mmØ)</t>
  </si>
  <si>
    <t>GHF-100</t>
  </si>
  <si>
    <t>GI-HDP flange set (40x50 mmØ)</t>
  </si>
  <si>
    <t>GHF-50</t>
  </si>
  <si>
    <t>GI-HDP flange set (50x63 mmØ)</t>
  </si>
  <si>
    <t>GHF-63</t>
  </si>
  <si>
    <t>GI-HDP flange set (80x90 mmØ)</t>
  </si>
  <si>
    <t>GHF-80</t>
  </si>
  <si>
    <t>GI-HDP flange set (75x63 mmØ)</t>
  </si>
  <si>
    <t>GHF-75</t>
  </si>
  <si>
    <t>GM Gate Valve (100 mmØ)</t>
  </si>
  <si>
    <t>GMGAV-100</t>
  </si>
  <si>
    <t>GM Gate Valve (15 mmØ)</t>
  </si>
  <si>
    <t>GMGAV-15</t>
  </si>
  <si>
    <t>GM Gate Valve (20 mmØ)</t>
  </si>
  <si>
    <t>GMGAV-20</t>
  </si>
  <si>
    <t>GM Gate Valve (25 mmØ)</t>
  </si>
  <si>
    <t>GMGAV-25</t>
  </si>
  <si>
    <t>GM Gate Valve (32 mmØ)</t>
  </si>
  <si>
    <t>GMGAV-32</t>
  </si>
  <si>
    <t>GM Gate Valve (40 mmØ)</t>
  </si>
  <si>
    <t>GMGAV-40</t>
  </si>
  <si>
    <t>GM Gate Valve (50 mmØ)</t>
  </si>
  <si>
    <t>GMGAV-50</t>
  </si>
  <si>
    <t>GM Gate Valve (65 mmØ)</t>
  </si>
  <si>
    <t>BGAV-65</t>
  </si>
  <si>
    <t>`1</t>
  </si>
  <si>
    <t>GM Gate Valve (80 mmØ)</t>
  </si>
  <si>
    <t>GMGAV-80</t>
  </si>
  <si>
    <t>GM Globe Valve (100 mmØ)</t>
  </si>
  <si>
    <t>GMGLV-100</t>
  </si>
  <si>
    <t>GM Globe Valve (15 mmØ)</t>
  </si>
  <si>
    <t>GMGLV-15</t>
  </si>
  <si>
    <t>GM Globe Valve (20 mmØ)</t>
  </si>
  <si>
    <t>GMGLV-20</t>
  </si>
  <si>
    <t>GM Globe Valve (25 mmØ)</t>
  </si>
  <si>
    <t>GMGLV-25</t>
  </si>
  <si>
    <t>GM Globe Valve (32 mmØ)</t>
  </si>
  <si>
    <t>GMGLV-32</t>
  </si>
  <si>
    <t>GM Globe Valve (40 mmØ)</t>
  </si>
  <si>
    <t>GMGLV-40</t>
  </si>
  <si>
    <t>GM Globe Valve (50 mmØ)</t>
  </si>
  <si>
    <t>GMGLV-50</t>
  </si>
  <si>
    <t>GM Globe Valve (80 mmØ)</t>
  </si>
  <si>
    <t>GMGLV-80</t>
  </si>
  <si>
    <t>G.I. Bracket 1/2"</t>
  </si>
  <si>
    <t>GBR-15</t>
  </si>
  <si>
    <t>G.I. Bracket 1"</t>
  </si>
  <si>
    <t>GBR-25</t>
  </si>
  <si>
    <t>G.I. Bracket 1-1/4"</t>
  </si>
  <si>
    <t>GBR-32</t>
  </si>
  <si>
    <t>G.I. Bracket 1-1/2"</t>
  </si>
  <si>
    <t>GBR-40</t>
  </si>
  <si>
    <t>G.I. Bracket 2"</t>
  </si>
  <si>
    <t>GBR-50</t>
  </si>
  <si>
    <t>G.I. Bracket 2-1/2"</t>
  </si>
  <si>
    <t>GBR-63</t>
  </si>
  <si>
    <t>G.I. Mouth Piece (2")</t>
  </si>
  <si>
    <t>GMP-63</t>
  </si>
  <si>
    <t>Air Valve (15 mmØ)</t>
  </si>
  <si>
    <t>Air Valve (20 mmØ)</t>
  </si>
  <si>
    <t>HDPE Pipe (75 mmØ)</t>
  </si>
  <si>
    <t>HDPE Pipe (90 mmØ)</t>
  </si>
  <si>
    <t>Float Valve (15 mmØ)</t>
  </si>
  <si>
    <t>Float Valve (25 mmØ)</t>
  </si>
  <si>
    <t>End Cap (20 mmØ)</t>
  </si>
  <si>
    <t>End Cap (50 mmØ)</t>
  </si>
  <si>
    <t>Brass bib Cock 15mm (250gm)</t>
  </si>
  <si>
    <t>Brass Bib Cock 15mm (400gm)</t>
  </si>
  <si>
    <t>VAT@13%</t>
  </si>
  <si>
    <t>Procurement of Tools &amp; Plants</t>
  </si>
  <si>
    <t>Unit Price</t>
  </si>
  <si>
    <t>Type of Tools</t>
  </si>
  <si>
    <t>Wt/Unit</t>
  </si>
  <si>
    <t>Wt</t>
  </si>
  <si>
    <t>2072/73</t>
  </si>
  <si>
    <t>(Rs)</t>
  </si>
  <si>
    <t>Shovel</t>
  </si>
  <si>
    <t>Pc</t>
  </si>
  <si>
    <t>Pick Axe</t>
  </si>
  <si>
    <t>Hoe</t>
  </si>
  <si>
    <t>Crowbar 1" x 5"</t>
  </si>
  <si>
    <t>Sledge Hammer 10 lbs</t>
  </si>
  <si>
    <t>Stone Chisel 1" x  6"</t>
  </si>
  <si>
    <t>Stone Chisel 1" x  12"</t>
  </si>
  <si>
    <t>Tools Box with locking set</t>
  </si>
  <si>
    <t>Heating Plate (100 mm dia.)</t>
  </si>
  <si>
    <t>Heating Plate (150 mm dia.)</t>
  </si>
  <si>
    <t>Teflon Cover (18cm x 18cm -  bag size)</t>
  </si>
  <si>
    <t>Thermocrome Crayon</t>
  </si>
  <si>
    <t>Blow Torch</t>
  </si>
  <si>
    <t>Thread seal tape</t>
  </si>
  <si>
    <t>Pipe Wrench 36"</t>
  </si>
  <si>
    <t>Pipe Wrench 24"</t>
  </si>
  <si>
    <t>Pipe Wrench 14"</t>
  </si>
  <si>
    <t>Pipe Wrench 18"</t>
  </si>
  <si>
    <t>Pipe Wrench 12"</t>
  </si>
  <si>
    <t>Hacksaw Frame</t>
  </si>
  <si>
    <t>Hacksaw Blade</t>
  </si>
  <si>
    <t>dz.</t>
  </si>
  <si>
    <t>Adjustable Spanner 18"</t>
  </si>
  <si>
    <t>Iron Pan (medium size)</t>
  </si>
  <si>
    <t>Building Trowel</t>
  </si>
  <si>
    <t>Pointing Trowel</t>
  </si>
  <si>
    <t>Iron Brush</t>
  </si>
  <si>
    <t>Die Set ½"-1" with teeth</t>
  </si>
  <si>
    <t>Die Set 1½"-2½" with teeth</t>
  </si>
  <si>
    <t>Spare Die Teeth (½"-2½")</t>
  </si>
  <si>
    <t>Spare Die Teeth (3"-4")</t>
  </si>
  <si>
    <t>Die Teeth Oil with cane</t>
  </si>
  <si>
    <t>Lt.</t>
  </si>
  <si>
    <t>Measuring Tape(fibre glass) 30 m.</t>
  </si>
  <si>
    <t>FY</t>
  </si>
  <si>
    <t>For  Analysis of Rates</t>
  </si>
  <si>
    <t>Name of Project  :</t>
  </si>
  <si>
    <t>For distance for transportation of non local materials</t>
  </si>
  <si>
    <t>Name of  market</t>
  </si>
  <si>
    <t>Name of roadhead:</t>
  </si>
  <si>
    <t>Distance of project site from market on :</t>
  </si>
  <si>
    <t xml:space="preserve"> - Earthen road</t>
  </si>
  <si>
    <t xml:space="preserve"> =</t>
  </si>
  <si>
    <t xml:space="preserve"> - Gravel road</t>
  </si>
  <si>
    <t xml:space="preserve"> - Metalled road</t>
  </si>
  <si>
    <t xml:space="preserve"> - Foot</t>
  </si>
  <si>
    <t>kosh</t>
  </si>
  <si>
    <t>For sand collection</t>
  </si>
  <si>
    <t xml:space="preserve">Sand is available in </t>
  </si>
  <si>
    <t>Mode of transportation of sand</t>
  </si>
  <si>
    <t>cft</t>
  </si>
  <si>
    <t>CuM</t>
  </si>
  <si>
    <t>If head load is there specify haul distance</t>
  </si>
  <si>
    <t>If there is tractor/ truck  road  specify  distance</t>
  </si>
  <si>
    <t xml:space="preserve"> - Earthen road </t>
  </si>
  <si>
    <t xml:space="preserve"> - Gravel road </t>
  </si>
  <si>
    <t>iii</t>
  </si>
  <si>
    <r>
      <t>If sand is to be purchased, specify cost/m</t>
    </r>
    <r>
      <rPr>
        <vertAlign val="superscript"/>
        <sz val="10"/>
        <rFont val="Times New Roman"/>
        <family val="1"/>
      </rPr>
      <t>3</t>
    </r>
    <r>
      <rPr>
        <sz val="10"/>
        <rFont val="Times New Roman"/>
        <family val="1"/>
      </rPr>
      <t xml:space="preserve"> </t>
    </r>
  </si>
  <si>
    <r>
      <t>Rs/m</t>
    </r>
    <r>
      <rPr>
        <vertAlign val="superscript"/>
        <sz val="10"/>
        <rFont val="Times New Roman"/>
        <family val="1"/>
      </rPr>
      <t>3</t>
    </r>
  </si>
  <si>
    <t>Collection of stone</t>
  </si>
  <si>
    <t xml:space="preserve">Distance of quarry from site </t>
  </si>
  <si>
    <r>
      <t>If stone is to be purchased, specify cost/m</t>
    </r>
    <r>
      <rPr>
        <vertAlign val="superscript"/>
        <sz val="10"/>
        <rFont val="Times New Roman"/>
        <family val="1"/>
      </rPr>
      <t>3</t>
    </r>
    <r>
      <rPr>
        <sz val="10"/>
        <rFont val="Times New Roman"/>
        <family val="1"/>
      </rPr>
      <t xml:space="preserve"> </t>
    </r>
  </si>
  <si>
    <t>Aggregates</t>
  </si>
  <si>
    <r>
      <t>If aggregate is to be purchased, specify cost/m</t>
    </r>
    <r>
      <rPr>
        <vertAlign val="superscript"/>
        <sz val="10"/>
        <rFont val="Times New Roman"/>
        <family val="1"/>
      </rPr>
      <t>3</t>
    </r>
    <r>
      <rPr>
        <sz val="10"/>
        <rFont val="Times New Roman"/>
        <family val="1"/>
      </rPr>
      <t xml:space="preserve"> </t>
    </r>
  </si>
  <si>
    <t>If it is obtained from sawing,</t>
  </si>
  <si>
    <t>specify distance of its availability</t>
  </si>
  <si>
    <r>
      <t>If  it is to be purchased, specify cost/m</t>
    </r>
    <r>
      <rPr>
        <vertAlign val="superscript"/>
        <sz val="10"/>
        <rFont val="Times New Roman"/>
        <family val="1"/>
      </rPr>
      <t>3</t>
    </r>
    <r>
      <rPr>
        <sz val="10"/>
        <rFont val="Times New Roman"/>
        <family val="1"/>
      </rPr>
      <t xml:space="preserve"> </t>
    </r>
  </si>
  <si>
    <t>Salwood</t>
  </si>
  <si>
    <t>Approved District Rates for transportatiopn and labours:</t>
  </si>
  <si>
    <t xml:space="preserve">District rate of transportation by head load for :  </t>
  </si>
  <si>
    <t xml:space="preserve"> - convenient load</t>
  </si>
  <si>
    <t>Rs./kg.kosh</t>
  </si>
  <si>
    <t xml:space="preserve"> - inconvenient load as bars, ms angle, etc.</t>
  </si>
  <si>
    <t xml:space="preserve"> - GI &amp; HDPE pipes</t>
  </si>
  <si>
    <t>If there no approved district rate for  transportation by truck, and it is to be analyse</t>
  </si>
  <si>
    <r>
      <t>Please click here</t>
    </r>
    <r>
      <rPr>
        <b/>
        <sz val="12"/>
        <rFont val="Times New Roman"/>
        <family val="1"/>
      </rPr>
      <t xml:space="preserve">, </t>
    </r>
  </si>
  <si>
    <t>Truck analysis</t>
  </si>
  <si>
    <t>District rate of transportation by truck for convenient load on :</t>
  </si>
  <si>
    <t>Rs./km.quintal</t>
  </si>
  <si>
    <t xml:space="preserve">               - Gravel road </t>
  </si>
  <si>
    <t>District rate of transportation by truck for inconvenient load on :</t>
  </si>
  <si>
    <t>Rate of load / unload</t>
  </si>
  <si>
    <t xml:space="preserve">  =</t>
  </si>
  <si>
    <t>Rs./quintal</t>
  </si>
  <si>
    <t>District rates of labours</t>
  </si>
  <si>
    <t>Rate of skilled labour</t>
  </si>
  <si>
    <t>Rs./day</t>
  </si>
  <si>
    <t>Rate of unskilled labour</t>
  </si>
  <si>
    <t>Rate of plumber</t>
  </si>
  <si>
    <t>Driver</t>
  </si>
  <si>
    <t>Asistant  to driver</t>
  </si>
  <si>
    <t>Approved rate of nonlocal materials</t>
  </si>
  <si>
    <t>Rate/ unit</t>
  </si>
  <si>
    <t>Cement, bag</t>
  </si>
  <si>
    <t>Binding wire, kg</t>
  </si>
  <si>
    <t>Comercial GI plain wire, kg</t>
  </si>
  <si>
    <t>Nails, kg</t>
  </si>
  <si>
    <r>
      <t>Chicken wire, m</t>
    </r>
    <r>
      <rPr>
        <b/>
        <vertAlign val="superscript"/>
        <sz val="10"/>
        <rFont val="Times New Roman"/>
        <family val="1"/>
      </rPr>
      <t>2</t>
    </r>
  </si>
  <si>
    <t>Fly proof net, m²</t>
  </si>
  <si>
    <t>M.S. Angle, kg</t>
  </si>
  <si>
    <t>Barbed wire ( 12 SWG ), kg</t>
  </si>
  <si>
    <r>
      <t>GI Plain Sheet ( 26 SWG ), m</t>
    </r>
    <r>
      <rPr>
        <b/>
        <vertAlign val="superscript"/>
        <sz val="10"/>
        <rFont val="Times New Roman"/>
        <family val="1"/>
      </rPr>
      <t>2</t>
    </r>
  </si>
  <si>
    <r>
      <t>CGI  Sheet (26 SWG ), m</t>
    </r>
    <r>
      <rPr>
        <b/>
        <vertAlign val="superscript"/>
        <sz val="10"/>
        <rFont val="Times New Roman"/>
        <family val="1"/>
      </rPr>
      <t>2</t>
    </r>
  </si>
  <si>
    <t>17.5 m² =  1 bundle</t>
  </si>
  <si>
    <t>GI Plain Sheet  for ridge cover, m</t>
  </si>
  <si>
    <t>Primer, L</t>
  </si>
  <si>
    <t>Enamel paint, L</t>
  </si>
  <si>
    <t>Bitumen paint, kg</t>
  </si>
  <si>
    <t>Snowcem paint, kg</t>
  </si>
  <si>
    <t>Polythene sheet, m2</t>
  </si>
  <si>
    <t>Water proofing compound, kg</t>
  </si>
  <si>
    <t>Fuel (Petrol), L</t>
  </si>
  <si>
    <t>Holdfast, no</t>
  </si>
  <si>
    <t>Screw, no</t>
  </si>
  <si>
    <t>80 per box</t>
  </si>
  <si>
    <t>Hinge 150 mm , no</t>
  </si>
  <si>
    <t>Tower bolt 150mm , no</t>
  </si>
  <si>
    <t>Tower bolt 300mm, no</t>
  </si>
  <si>
    <t>Lockset 250 mm, no</t>
  </si>
  <si>
    <t>Handle, no</t>
  </si>
  <si>
    <t>Nut &amp; Bolts, no</t>
  </si>
  <si>
    <t xml:space="preserve"> 16 no/kg</t>
  </si>
  <si>
    <t>J-Hook, no</t>
  </si>
  <si>
    <t>10 no/kg</t>
  </si>
  <si>
    <t>U-Hook, no</t>
  </si>
  <si>
    <t>Bitumen Washer, no</t>
  </si>
  <si>
    <t>Water seal pan, set</t>
  </si>
  <si>
    <t>MS angle grill gate, of 12 kg</t>
  </si>
  <si>
    <t>MS angle manhole cover 60×60cm, set</t>
  </si>
  <si>
    <t>19.75kg</t>
  </si>
  <si>
    <t>MS angle manhole cover 60 cmØ, set</t>
  </si>
  <si>
    <t>13.7 kg</t>
  </si>
  <si>
    <t>MS angle manhole cover 45×45cm, set</t>
  </si>
  <si>
    <t>15.05 kg</t>
  </si>
  <si>
    <r>
      <t>Suspender cable, 10 mm</t>
    </r>
    <r>
      <rPr>
        <b/>
        <sz val="10"/>
        <rFont val="Symbol"/>
        <family val="1"/>
        <charset val="2"/>
      </rPr>
      <t xml:space="preserve">f, </t>
    </r>
    <r>
      <rPr>
        <b/>
        <sz val="10"/>
        <rFont val="Times New Roman"/>
        <family val="1"/>
      </rPr>
      <t>kg</t>
    </r>
  </si>
  <si>
    <r>
      <t>Suspender cable, 14 mm</t>
    </r>
    <r>
      <rPr>
        <b/>
        <sz val="10"/>
        <rFont val="Symbol"/>
        <family val="1"/>
        <charset val="2"/>
      </rPr>
      <t xml:space="preserve">f, </t>
    </r>
    <r>
      <rPr>
        <b/>
        <sz val="10"/>
        <rFont val="Times New Roman"/>
        <family val="1"/>
      </rPr>
      <t>kg</t>
    </r>
  </si>
  <si>
    <t>Bamboo,  no</t>
  </si>
  <si>
    <t>District rate of sawing per cft.</t>
  </si>
  <si>
    <t>Royalty per cft</t>
  </si>
  <si>
    <t>Mud per m³</t>
  </si>
  <si>
    <t>Tools and plant for pipe jointing, day</t>
  </si>
  <si>
    <t>If transportation cost is to be analysed, enter data here</t>
  </si>
  <si>
    <t>Cost of truck  ( including VAT )</t>
  </si>
  <si>
    <t>Cost of tyre including  VAT</t>
  </si>
  <si>
    <t>Salary of driver</t>
  </si>
  <si>
    <t>Salary of  asistant</t>
  </si>
  <si>
    <t>H.S.D.,L</t>
  </si>
  <si>
    <t>Mobil ,L</t>
  </si>
  <si>
    <t>Gear oil ,L</t>
  </si>
  <si>
    <t>Grease,L</t>
  </si>
  <si>
    <t>Current Rate of Value Added Tax</t>
  </si>
  <si>
    <t>Installation of pipes and fitings for spring intake, job</t>
  </si>
  <si>
    <t>Installation of pipes and fitings for stream intake, job</t>
  </si>
  <si>
    <t>Installation of pipes and fitings for ferrocement RVT, job</t>
  </si>
  <si>
    <t>Installation of pipes and fitings for collection chamber, job</t>
  </si>
  <si>
    <t>Installation of pipes and fitings for distribution chamber, job</t>
  </si>
  <si>
    <t>Installation of pipes and fitings for break pressure chamber, job</t>
  </si>
  <si>
    <t>Installation of pipes and fitings for air valve chamber, job</t>
  </si>
  <si>
    <t>Installation of pipes and fitings for valve chamber, job</t>
  </si>
  <si>
    <t>Installation of pipes and fitings for public tap stand post, job</t>
  </si>
  <si>
    <t>Installation of pipes and fitings for stream crossingt, job</t>
  </si>
  <si>
    <t>Installation of pipes and fitings for cable crossingt, job</t>
  </si>
  <si>
    <t>Water diversion works in bed crossing, job</t>
  </si>
  <si>
    <t>Dewatering work in intake works, job</t>
  </si>
  <si>
    <t>Sn.</t>
  </si>
  <si>
    <t>Norms no</t>
  </si>
  <si>
    <t>Reference No.</t>
  </si>
  <si>
    <t>Earth Works</t>
  </si>
  <si>
    <t>1-8</t>
  </si>
  <si>
    <r>
      <t>m</t>
    </r>
    <r>
      <rPr>
        <vertAlign val="superscript"/>
        <sz val="8"/>
        <rFont val="Times New Roman"/>
        <family val="1"/>
      </rPr>
      <t>2</t>
    </r>
  </si>
  <si>
    <t>F4</t>
  </si>
  <si>
    <t>2-9</t>
  </si>
  <si>
    <t>Earthwork in Excavation in ordinary soil</t>
  </si>
  <si>
    <r>
      <t>m</t>
    </r>
    <r>
      <rPr>
        <vertAlign val="superscript"/>
        <sz val="8"/>
        <rFont val="Times New Roman"/>
        <family val="1"/>
      </rPr>
      <t>3</t>
    </r>
  </si>
  <si>
    <t>F5</t>
  </si>
  <si>
    <t>2-12</t>
  </si>
  <si>
    <t>Earthwork in Excavation in hard soil</t>
  </si>
  <si>
    <t>F6</t>
  </si>
  <si>
    <t>2-14</t>
  </si>
  <si>
    <t>Earthwork in Excavation in boulder mixed soil</t>
  </si>
  <si>
    <t>F7</t>
  </si>
  <si>
    <t>2-15a</t>
  </si>
  <si>
    <t>Earthwork in Excavation in soft rock</t>
  </si>
  <si>
    <t>F8</t>
  </si>
  <si>
    <t>2-15b</t>
  </si>
  <si>
    <t>Earthwork in Excavation in medium rock</t>
  </si>
  <si>
    <t>F9</t>
  </si>
  <si>
    <t>2-16b</t>
  </si>
  <si>
    <t>Earthwork in Excavation in hard  rock with chiselling</t>
  </si>
  <si>
    <t>F10</t>
  </si>
  <si>
    <t>2-25a</t>
  </si>
  <si>
    <t>Earthwork in backfilling in ordinary soil</t>
  </si>
  <si>
    <t>F11</t>
  </si>
  <si>
    <t>2-39c</t>
  </si>
  <si>
    <t>Earthwork in backfilling with hard soil</t>
  </si>
  <si>
    <t>F12</t>
  </si>
  <si>
    <t>2-39d</t>
  </si>
  <si>
    <t>Earthwork in backfilling with boulder mixed soil</t>
  </si>
  <si>
    <t>F13</t>
  </si>
  <si>
    <t>2-39e</t>
  </si>
  <si>
    <t>Earthwork in backfilling with soft rock</t>
  </si>
  <si>
    <t>F14</t>
  </si>
  <si>
    <t>6-5</t>
  </si>
  <si>
    <t>Stone soling  work</t>
  </si>
  <si>
    <t>F16</t>
  </si>
  <si>
    <t>Stone Pitching  with sand</t>
  </si>
  <si>
    <t>F17</t>
  </si>
  <si>
    <t>6-2.1</t>
  </si>
  <si>
    <t>F18</t>
  </si>
  <si>
    <t>6-2.2</t>
  </si>
  <si>
    <t>F19</t>
  </si>
  <si>
    <t>6-3.1</t>
  </si>
  <si>
    <t>R.R. masonry in 1:3 cement mortar</t>
  </si>
  <si>
    <t>F20</t>
  </si>
  <si>
    <t>6-3.2</t>
  </si>
  <si>
    <t>R.R. masonry in 1:4cement mortar</t>
  </si>
  <si>
    <t>F21</t>
  </si>
  <si>
    <t>6-3.3</t>
  </si>
  <si>
    <t>R.R. masonry in 1:6cement mortar</t>
  </si>
  <si>
    <t>F22</t>
  </si>
  <si>
    <t>Concrete Works</t>
  </si>
  <si>
    <t>7-2c</t>
  </si>
  <si>
    <t>Plain cement concrete (1:3:6) in sub Structure</t>
  </si>
  <si>
    <t>F24</t>
  </si>
  <si>
    <t>7-2d</t>
  </si>
  <si>
    <t>Plain cement concrete (1:2:4) sub Structure</t>
  </si>
  <si>
    <t>F25</t>
  </si>
  <si>
    <t>7-4 b</t>
  </si>
  <si>
    <t>Plain cement concrete (1:1:5:3) sub Structure</t>
  </si>
  <si>
    <t>F26</t>
  </si>
  <si>
    <t>7-2 d</t>
  </si>
  <si>
    <t>Plain cement concrete (1:2:4) in super structure</t>
  </si>
  <si>
    <t>F27</t>
  </si>
  <si>
    <t>Plain cement concrete (1:1.5:3) in super structure</t>
  </si>
  <si>
    <t>F28</t>
  </si>
  <si>
    <t>Plain cement concrete (1:2:4) substructure with 2% WPC</t>
  </si>
  <si>
    <t>F29</t>
  </si>
  <si>
    <t>Plain cement concrete (1:1:5:3) substructure with 2% WPC</t>
  </si>
  <si>
    <t>F30</t>
  </si>
  <si>
    <t>Miscelleneous Works</t>
  </si>
  <si>
    <t>F32</t>
  </si>
  <si>
    <t>8-2a</t>
  </si>
  <si>
    <t xml:space="preserve">Form work for concrete work in simple slab and structure  </t>
  </si>
  <si>
    <t>F33</t>
  </si>
  <si>
    <t>Form work for concrete work in arch,dome,etc                     ( Assuming form work canbe used 4 times)</t>
  </si>
  <si>
    <t>F34</t>
  </si>
  <si>
    <t>DWSS</t>
  </si>
  <si>
    <t>HDPE pipe formwork for ferro-cement works</t>
  </si>
  <si>
    <t>F35</t>
  </si>
  <si>
    <t xml:space="preserve">Bar binding works including  chicken wire, MS rods, GI plain wires etc </t>
  </si>
  <si>
    <t>F36</t>
  </si>
  <si>
    <t>F37</t>
  </si>
  <si>
    <t>Barbed wire fencing on wooden posts (2 diagonals &amp; 5 horizontals) @ 3m c\c</t>
  </si>
  <si>
    <t>F38</t>
  </si>
  <si>
    <t>Wood works for door window frame</t>
  </si>
  <si>
    <t>F39</t>
  </si>
  <si>
    <t>38 mm thick wooden shutter with 24 SWG plain sheet on one side</t>
  </si>
  <si>
    <t>F40</t>
  </si>
  <si>
    <t xml:space="preserve">38 mm thick panelled wooden shutter </t>
  </si>
  <si>
    <t>F41</t>
  </si>
  <si>
    <t>F42</t>
  </si>
  <si>
    <t xml:space="preserve">Laying of one layer of 500 G of Polythene sheet </t>
  </si>
  <si>
    <t>F43</t>
  </si>
  <si>
    <t>16-2a+14-5a</t>
  </si>
  <si>
    <t>Making gabion boxes including cutting, wire, netting etc. and placing in site and tying all complete : Mesh size: hex. 100×120mm, Mesh wire-10SWG, selvedge wire-7 SWG) : size 2×1×1 m</t>
  </si>
  <si>
    <t>F44</t>
  </si>
  <si>
    <t xml:space="preserve"> Filling of Gabion box with stone</t>
  </si>
  <si>
    <t>F45</t>
  </si>
  <si>
    <t>Gravel packing 20,25 mm dia</t>
  </si>
  <si>
    <t>F46</t>
  </si>
  <si>
    <t xml:space="preserve">Wood work for beams, rafters,etc. </t>
  </si>
  <si>
    <t>F47</t>
  </si>
  <si>
    <t>10-19</t>
  </si>
  <si>
    <t>25 mm thick eavesboard</t>
  </si>
  <si>
    <t>F48</t>
  </si>
  <si>
    <t>Plastering, Punning and Pointing works</t>
  </si>
  <si>
    <t>12-1a</t>
  </si>
  <si>
    <t>12.5 mm thick 1:2 c-s plaster</t>
  </si>
  <si>
    <t>F50</t>
  </si>
  <si>
    <t>12-1b</t>
  </si>
  <si>
    <t>12.5 mm thick 1:3 c-s plaster</t>
  </si>
  <si>
    <t>F51</t>
  </si>
  <si>
    <t>12-1c</t>
  </si>
  <si>
    <t>F52</t>
  </si>
  <si>
    <t>12-4a</t>
  </si>
  <si>
    <t>20 mm thick 1:3 c-s plaster</t>
  </si>
  <si>
    <t>F53</t>
  </si>
  <si>
    <t>12-4b</t>
  </si>
  <si>
    <t>20 mm thick 1:4 c-s plaster</t>
  </si>
  <si>
    <t>F54</t>
  </si>
  <si>
    <t>12-4c</t>
  </si>
  <si>
    <t>20 mm thick 1:6 c-s plaster</t>
  </si>
  <si>
    <t>F55</t>
  </si>
  <si>
    <t>12.5 mm thick 1:2 c-s plaster with 2% WPC</t>
  </si>
  <si>
    <t>F56</t>
  </si>
  <si>
    <t>12.5 mm thick 1:3 c-s plaster with 2% WPC</t>
  </si>
  <si>
    <t>F57</t>
  </si>
  <si>
    <t>20 mm thick 1:3 c-s plaster with 2% WPC</t>
  </si>
  <si>
    <t>F58</t>
  </si>
  <si>
    <t>13-10</t>
  </si>
  <si>
    <t>F59</t>
  </si>
  <si>
    <t>14-2c</t>
  </si>
  <si>
    <t>1:3 c-s Flush ruled pointing work</t>
  </si>
  <si>
    <t>F60</t>
  </si>
  <si>
    <t>Painting Works</t>
  </si>
  <si>
    <t>13-5</t>
  </si>
  <si>
    <t>Two coats of enamel painting with one coat of primer</t>
  </si>
  <si>
    <t>F61</t>
  </si>
  <si>
    <t>13-12b</t>
  </si>
  <si>
    <t>Two coats snowcem painting</t>
  </si>
  <si>
    <t>F62</t>
  </si>
  <si>
    <t>F63</t>
  </si>
  <si>
    <t>Pipe Jointing Works</t>
  </si>
  <si>
    <t>HDPE Pipes</t>
  </si>
  <si>
    <t>Laying and joining of 20,25 mmØ HDPE pipe with butt-weld joints</t>
  </si>
  <si>
    <t>F65</t>
  </si>
  <si>
    <t>Laying and joining of 32 mmØ HDPE pipe with butt-weld joints</t>
  </si>
  <si>
    <t>F66</t>
  </si>
  <si>
    <t>Laying and joining of 40,50 mmØ HDPE pipe with butt-weld joints</t>
  </si>
  <si>
    <t>F67</t>
  </si>
  <si>
    <t>Laying and joining of 63-90 mmØ HDPE pipe with butt-weld joints</t>
  </si>
  <si>
    <t>F68</t>
  </si>
  <si>
    <t>Laying and joining of 110,125 mmØ HDPE pipe with butt-weld joints</t>
  </si>
  <si>
    <t>F69</t>
  </si>
  <si>
    <t>Laying and joining of 140-180 mmØ HDPE pipe with butt-weld joints</t>
  </si>
  <si>
    <t>F70</t>
  </si>
  <si>
    <t>Laying and joining of 200-250 mmØ HDPE pipe with butt-weld joints</t>
  </si>
  <si>
    <t>F71</t>
  </si>
  <si>
    <t>GI Pipes</t>
  </si>
  <si>
    <t>17-4a</t>
  </si>
  <si>
    <t>Laying and joining of 15,20 mmØ GI pipe with socket joints</t>
  </si>
  <si>
    <t>F73</t>
  </si>
  <si>
    <t>Laying and joining of 25,32 mmØ GI pipe with socket joints</t>
  </si>
  <si>
    <t>F74</t>
  </si>
  <si>
    <t>Laying and joining of 40,50 mmØ GI pipe with socket joints</t>
  </si>
  <si>
    <t>F75</t>
  </si>
  <si>
    <t>Laying and joining of 65,80 mmØ GI pipe with socket joints</t>
  </si>
  <si>
    <t>F76</t>
  </si>
  <si>
    <t>Laying and joining of 100 mmØ GI pipe with socket joints</t>
  </si>
  <si>
    <t>F77</t>
  </si>
  <si>
    <t>Laying and joining of 125 mmØ GI pipe with socket joints</t>
  </si>
  <si>
    <t>F78</t>
  </si>
  <si>
    <t xml:space="preserve"> Standard mild steel angle ( 25×25×3 mm size ) framed grill gate </t>
  </si>
  <si>
    <t>Supply and fixing of  standard manhole cover ( 45×45 cm)</t>
  </si>
  <si>
    <t>Supply and fixing of  standard manhole cover of  60cm diameter</t>
  </si>
  <si>
    <t>Supply and fixing of  standard manhole cover ( 60×60 cm)</t>
  </si>
  <si>
    <t>Fly proof net fixing</t>
  </si>
  <si>
    <t>Transportation work</t>
  </si>
  <si>
    <t>Convenient load from store to site</t>
  </si>
  <si>
    <t>F80</t>
  </si>
  <si>
    <t>Transportation of pipes and fittings from store to project site</t>
  </si>
  <si>
    <t>F81</t>
  </si>
  <si>
    <t>Installation of pipes and fittins in structures:-</t>
  </si>
  <si>
    <t xml:space="preserve"> Installation of pipes and fittings for spring intake</t>
  </si>
  <si>
    <t>F83</t>
  </si>
  <si>
    <t xml:space="preserve"> Installation of pipes and fittings for stream intake</t>
  </si>
  <si>
    <t>F84</t>
  </si>
  <si>
    <t xml:space="preserve"> Installation of pipes and fittings for ferrocement RVT</t>
  </si>
  <si>
    <t>F85</t>
  </si>
  <si>
    <t xml:space="preserve"> Installation of pipes and fittings for collection chamber</t>
  </si>
  <si>
    <t>F86</t>
  </si>
  <si>
    <t xml:space="preserve"> Installation of pipes and fittings for distribution chamber</t>
  </si>
  <si>
    <t>F87</t>
  </si>
  <si>
    <t xml:space="preserve"> Installation of pipes and fittings for break pressure chamber/RVT for school</t>
  </si>
  <si>
    <t>F88</t>
  </si>
  <si>
    <t xml:space="preserve"> Installation of pipes and fittings for air valve chamber</t>
  </si>
  <si>
    <t>F89</t>
  </si>
  <si>
    <t xml:space="preserve"> Installation of pipes and fittings for valve chamber</t>
  </si>
  <si>
    <t>F90</t>
  </si>
  <si>
    <t xml:space="preserve"> Installation of pipes and fittings for public tap stand post</t>
  </si>
  <si>
    <t>F91</t>
  </si>
  <si>
    <t xml:space="preserve"> Installation of pipes and fittings for stream crossing</t>
  </si>
  <si>
    <t>F92</t>
  </si>
  <si>
    <t xml:space="preserve"> Installation of pipes and fittings for cable crossing</t>
  </si>
  <si>
    <t>F93</t>
  </si>
  <si>
    <t>Water diversion works in bed crossing</t>
  </si>
  <si>
    <t>F94</t>
  </si>
  <si>
    <t>Dewatering work in intake works</t>
  </si>
  <si>
    <t>F95</t>
  </si>
  <si>
    <t>Supply and installation of water seal pan</t>
  </si>
  <si>
    <t>F96</t>
  </si>
  <si>
    <t>Supply and installation of wash basin</t>
  </si>
  <si>
    <t>Analysis of Rates</t>
  </si>
  <si>
    <t xml:space="preserve">Name of Scheme  :   </t>
  </si>
  <si>
    <t xml:space="preserve">Assumptions </t>
  </si>
  <si>
    <t xml:space="preserve">Density of sand </t>
  </si>
  <si>
    <t>kg/m³</t>
  </si>
  <si>
    <t xml:space="preserve">Density of rubble stone </t>
  </si>
  <si>
    <t>Density of aggregate</t>
  </si>
  <si>
    <t>Name of  market   :</t>
  </si>
  <si>
    <t>Name of roadhead :</t>
  </si>
  <si>
    <t>Distance  of project site from market on :</t>
  </si>
  <si>
    <t xml:space="preserve"> - Foot     </t>
  </si>
  <si>
    <t>Distance of river from project site  for sand collection</t>
  </si>
  <si>
    <t>for head load</t>
  </si>
  <si>
    <t>If there is tractor/ truck  road  distance of haulage for sand transportation on :</t>
  </si>
  <si>
    <t>Distance of quarry from project site for stone / aggregate</t>
  </si>
  <si>
    <t>District Rates :</t>
  </si>
  <si>
    <t xml:space="preserve">District rate of Skilled labour   </t>
  </si>
  <si>
    <t>Rs./d</t>
  </si>
  <si>
    <t>District rate of unskilled labour</t>
  </si>
  <si>
    <t>District rate of plumber</t>
  </si>
  <si>
    <t>Rate of some  local materials</t>
  </si>
  <si>
    <t>Sand for 1 m³</t>
  </si>
  <si>
    <t xml:space="preserve">Distance from site to </t>
  </si>
  <si>
    <r>
      <t xml:space="preserve">Labour required for collection,  screening and stacking </t>
    </r>
    <r>
      <rPr>
        <sz val="10"/>
        <rFont val="Times New Roman"/>
        <family val="1"/>
      </rPr>
      <t>of river sand</t>
    </r>
  </si>
  <si>
    <t>nos</t>
  </si>
  <si>
    <r>
      <t xml:space="preserve">Labour required for  transportation upto </t>
    </r>
    <r>
      <rPr>
        <b/>
        <sz val="10"/>
        <rFont val="Times New Roman"/>
        <family val="1"/>
      </rPr>
      <t>13 km by headload</t>
    </r>
  </si>
  <si>
    <t xml:space="preserve">Hence,Labour required for  transportation upto site </t>
  </si>
  <si>
    <r>
      <t>Total labour  required to collect and transport   1 m³</t>
    </r>
    <r>
      <rPr>
        <vertAlign val="superscript"/>
        <sz val="10"/>
        <rFont val="Times New Roman"/>
        <family val="1"/>
      </rPr>
      <t xml:space="preserve"> </t>
    </r>
    <r>
      <rPr>
        <sz val="10"/>
        <rFont val="Times New Roman"/>
        <family val="1"/>
      </rPr>
      <t>of sand upto site</t>
    </r>
  </si>
  <si>
    <t>Cost of labour for collection and transportation</t>
  </si>
  <si>
    <t xml:space="preserve">Cost of transportation by truck </t>
  </si>
  <si>
    <r>
      <t>Rate 1 m³ of sand at site (</t>
    </r>
    <r>
      <rPr>
        <sz val="10"/>
        <rFont val="Times New Roman"/>
        <family val="1"/>
      </rPr>
      <t xml:space="preserve"> transporation cost +collection or purchase cost</t>
    </r>
    <r>
      <rPr>
        <b/>
        <sz val="10"/>
        <rFont val="Times New Roman"/>
        <family val="1"/>
      </rPr>
      <t>)</t>
    </r>
  </si>
  <si>
    <t xml:space="preserve">Stone for 1 m³ </t>
  </si>
  <si>
    <t>If it is to be purchased,  cost/m³</t>
  </si>
  <si>
    <t>Labour required for collection  and stacking of 1 m³ of stone</t>
  </si>
  <si>
    <r>
      <t>Cost of labour  for collection  and stacking of 1 m³</t>
    </r>
    <r>
      <rPr>
        <vertAlign val="superscript"/>
        <sz val="10"/>
        <rFont val="Times New Roman"/>
        <family val="1"/>
      </rPr>
      <t xml:space="preserve"> </t>
    </r>
    <r>
      <rPr>
        <sz val="10"/>
        <rFont val="Times New Roman"/>
        <family val="1"/>
      </rPr>
      <t>of stone</t>
    </r>
  </si>
  <si>
    <r>
      <t>Cost of transportation of 1 m³</t>
    </r>
    <r>
      <rPr>
        <vertAlign val="superscript"/>
        <sz val="10"/>
        <rFont val="Times New Roman"/>
        <family val="1"/>
      </rPr>
      <t xml:space="preserve"> </t>
    </r>
    <r>
      <rPr>
        <sz val="10"/>
        <rFont val="Times New Roman"/>
        <family val="1"/>
      </rPr>
      <t>of stone up to site</t>
    </r>
  </si>
  <si>
    <t xml:space="preserve">Rate of 1 m³ of Stone at site </t>
  </si>
  <si>
    <t xml:space="preserve">Aggregates (20-40 mm size) for 1m³           </t>
  </si>
  <si>
    <t>Labour required for breaking and stacking of 1 m³ of</t>
  </si>
  <si>
    <t>aggregate(15/2 nos)</t>
  </si>
  <si>
    <t>nos.</t>
  </si>
  <si>
    <t>Cost of  labour for breaking and stacking of 1 m³ of aggregate</t>
  </si>
  <si>
    <r>
      <t>Cost of transportation of 1 m³</t>
    </r>
    <r>
      <rPr>
        <vertAlign val="superscript"/>
        <sz val="10"/>
        <rFont val="Times New Roman"/>
        <family val="1"/>
      </rPr>
      <t xml:space="preserve"> </t>
    </r>
    <r>
      <rPr>
        <sz val="10"/>
        <rFont val="Times New Roman"/>
        <family val="1"/>
      </rPr>
      <t>of aggregate up to site</t>
    </r>
  </si>
  <si>
    <t xml:space="preserve">Rate of 1 m³ aggregate </t>
  </si>
  <si>
    <t xml:space="preserve">Aggregates (10-20 mm size) for 1m³           </t>
  </si>
  <si>
    <t>aggregate(21.5/2 nos)</t>
  </si>
  <si>
    <t xml:space="preserve">Rate of Transportation : </t>
  </si>
  <si>
    <t>Road type</t>
  </si>
  <si>
    <t>Distance</t>
  </si>
  <si>
    <t>GI &amp; HDPE pipe</t>
  </si>
  <si>
    <t>Rs/kg</t>
  </si>
  <si>
    <t xml:space="preserve"> - For head load</t>
  </si>
  <si>
    <t>Loading - unloading</t>
  </si>
  <si>
    <t>Rate of transportation per kg :</t>
  </si>
  <si>
    <t>Rate of transportation of inconvenient load with CO ( Without VAT )</t>
  </si>
  <si>
    <t>Local Wood  per 1 m³</t>
  </si>
  <si>
    <t>If it is to be purchased, cost/m³</t>
  </si>
  <si>
    <t>Rs/cft.</t>
  </si>
  <si>
    <t>Value Added Tax  @ 10 % of royalty</t>
  </si>
  <si>
    <t>Sub total</t>
  </si>
  <si>
    <t>Asuming that prepared wood is 70% of trunk wood ,</t>
  </si>
  <si>
    <t>Total rate</t>
  </si>
  <si>
    <t>Transportation cost, per cft.</t>
  </si>
  <si>
    <t>Miscelleneous expenses  @ 5% of subtotal</t>
  </si>
  <si>
    <t>Total cost of  local wood  for 1 cft</t>
  </si>
  <si>
    <t>Rate of local wood per 1 m³</t>
  </si>
  <si>
    <t>Rs/m³</t>
  </si>
  <si>
    <t>Salwood  per 1 m³</t>
  </si>
  <si>
    <t>District rate of salwood, per m³</t>
  </si>
  <si>
    <t>Mud [per m³]</t>
  </si>
  <si>
    <t xml:space="preserve">District rate of mud </t>
  </si>
  <si>
    <t xml:space="preserve">[ If ther is no specific district rate of mud, it will be obtained as "1.5×labour cost] </t>
  </si>
  <si>
    <t xml:space="preserve">Unit Rate of Non-local Materials at Site </t>
  </si>
  <si>
    <t>Rate of  VAT</t>
  </si>
  <si>
    <t>Maket rate of material</t>
  </si>
  <si>
    <t>Transportation cost</t>
  </si>
  <si>
    <t xml:space="preserve">Rate of </t>
  </si>
  <si>
    <t>Without VAT</t>
  </si>
  <si>
    <t>With VAT</t>
  </si>
  <si>
    <t>weight</t>
  </si>
  <si>
    <t>material at site</t>
  </si>
  <si>
    <t>With VAT(Rs)</t>
  </si>
  <si>
    <t>4/(1+Vat/100) = 5</t>
  </si>
  <si>
    <t>(6 x 7) =8</t>
  </si>
  <si>
    <t>5+8</t>
  </si>
  <si>
    <t>Rate per kg</t>
  </si>
  <si>
    <t>GI Plain Wire</t>
  </si>
  <si>
    <t>Chicken wire mesh</t>
  </si>
  <si>
    <t>Fly proof net</t>
  </si>
  <si>
    <t>Barbed wire 12 SWG</t>
  </si>
  <si>
    <t>Rate per metre ( Assuming weight per metre as 0.17 kg )</t>
  </si>
  <si>
    <t>GI plain sheet ( 26 SWG )</t>
  </si>
  <si>
    <r>
      <t>m</t>
    </r>
    <r>
      <rPr>
        <vertAlign val="superscript"/>
        <sz val="10"/>
        <rFont val="Times New Roman"/>
        <family val="1"/>
      </rPr>
      <t>2</t>
    </r>
  </si>
  <si>
    <t>CGI  sheet ( 26 SWG )</t>
  </si>
  <si>
    <t>L</t>
  </si>
  <si>
    <t>Snowcem paint</t>
  </si>
  <si>
    <t>Water proofing compound</t>
  </si>
  <si>
    <t>Fuel (Petrol)</t>
  </si>
  <si>
    <t xml:space="preserve">L </t>
  </si>
  <si>
    <t>Screw</t>
  </si>
  <si>
    <t>Water seal pan</t>
  </si>
  <si>
    <t>MS angle grill gate, of 15 kg</t>
  </si>
  <si>
    <t>MS angle manhole cover 60×60cm</t>
  </si>
  <si>
    <t>MS angle manhole cover 60 cmØ</t>
  </si>
  <si>
    <t>MS angle manhole cover 45×45cm</t>
  </si>
  <si>
    <t xml:space="preserve">Cost of truck </t>
  </si>
  <si>
    <t>Cost of tyre</t>
  </si>
  <si>
    <t>H.S.D.</t>
  </si>
  <si>
    <t>VAT is not considered</t>
  </si>
  <si>
    <t>Mobil</t>
  </si>
  <si>
    <t xml:space="preserve">Gear oil </t>
  </si>
  <si>
    <t>Grease</t>
  </si>
  <si>
    <t xml:space="preserve">Unit Rate of  Local Materials </t>
  </si>
  <si>
    <t>and Labours</t>
  </si>
  <si>
    <t>Local materials</t>
  </si>
  <si>
    <r>
      <t>m</t>
    </r>
    <r>
      <rPr>
        <vertAlign val="superscript"/>
        <sz val="10"/>
        <rFont val="Times New Roman"/>
        <family val="1"/>
      </rPr>
      <t>3</t>
    </r>
  </si>
  <si>
    <t>10 - 20 mm Aggregate</t>
  </si>
  <si>
    <t>20 - 40 mm Aggregate</t>
  </si>
  <si>
    <t>Mud ( 1.5md of coolie)</t>
  </si>
  <si>
    <t>Labours</t>
  </si>
  <si>
    <t>Skilled labour  ( for all works )</t>
  </si>
  <si>
    <t>Unskilled labour  ( for all works )</t>
  </si>
  <si>
    <t>Analysis of Item Rates</t>
  </si>
  <si>
    <r>
      <t xml:space="preserve">This rate analysis is based on the HMG/N approved </t>
    </r>
    <r>
      <rPr>
        <b/>
        <sz val="14"/>
        <rFont val="Times New Roman"/>
        <family val="1"/>
      </rPr>
      <t>Norms 2041</t>
    </r>
    <r>
      <rPr>
        <sz val="12"/>
        <rFont val="Times New Roman"/>
        <family val="1"/>
      </rPr>
      <t xml:space="preserve"> ( Including second revision )</t>
    </r>
  </si>
  <si>
    <t>Name of Project :</t>
  </si>
  <si>
    <r>
      <t>A. Earthworks ( for 1 m³</t>
    </r>
    <r>
      <rPr>
        <b/>
        <vertAlign val="superscript"/>
        <sz val="10"/>
        <rFont val="Times New Roman"/>
        <family val="1"/>
      </rPr>
      <t xml:space="preserve"> </t>
    </r>
    <r>
      <rPr>
        <b/>
        <sz val="10"/>
        <rFont val="Times New Roman"/>
        <family val="1"/>
      </rPr>
      <t>) and Site clearance ( for 1 m² )</t>
    </r>
  </si>
  <si>
    <t xml:space="preserve"> Earthwork in excavation with 10m lead and 1.5 m lift in pipeline trench in :</t>
  </si>
  <si>
    <t>Materials and labours</t>
  </si>
  <si>
    <t xml:space="preserve">Unit </t>
  </si>
  <si>
    <t>Rate     Rs/unit</t>
  </si>
  <si>
    <r>
      <t xml:space="preserve">Hard soil                  </t>
    </r>
    <r>
      <rPr>
        <sz val="10"/>
        <rFont val="Times New Roman"/>
        <family val="1"/>
      </rPr>
      <t>(Norms No 2-12)</t>
    </r>
  </si>
  <si>
    <t>Boulder/Gravel mixedsoil  (Norms No 2-14)</t>
  </si>
  <si>
    <r>
      <t xml:space="preserve">Ordinary Soil               </t>
    </r>
    <r>
      <rPr>
        <sz val="10"/>
        <rFont val="Times New Roman"/>
        <family val="1"/>
      </rPr>
      <t>(Norms No 2-9)</t>
    </r>
  </si>
  <si>
    <r>
      <t xml:space="preserve">Soft  rock           </t>
    </r>
    <r>
      <rPr>
        <sz val="10"/>
        <rFont val="Times New Roman"/>
        <family val="1"/>
      </rPr>
      <t xml:space="preserve"> (Norms No 2-15a)</t>
    </r>
  </si>
  <si>
    <r>
      <t xml:space="preserve">Medium rock </t>
    </r>
    <r>
      <rPr>
        <sz val="10"/>
        <rFont val="Times New Roman"/>
        <family val="1"/>
      </rPr>
      <t>(Norms No 2-15b)</t>
    </r>
  </si>
  <si>
    <t>Cost Rs.</t>
  </si>
  <si>
    <t>Coolie</t>
  </si>
  <si>
    <t>Rs/day</t>
  </si>
  <si>
    <t>Tools and plants</t>
  </si>
  <si>
    <t>Contracror's Overhead</t>
  </si>
  <si>
    <r>
      <t xml:space="preserve">Rate/m³ </t>
    </r>
    <r>
      <rPr>
        <b/>
        <sz val="9"/>
        <rFont val="Times New Roman"/>
        <family val="1"/>
      </rPr>
      <t>( Without VAT )</t>
    </r>
  </si>
  <si>
    <r>
      <t xml:space="preserve">Hard rock              </t>
    </r>
    <r>
      <rPr>
        <sz val="10"/>
        <rFont val="Times New Roman"/>
        <family val="1"/>
      </rPr>
      <t>(Norms No. 2-16b)</t>
    </r>
  </si>
  <si>
    <t>Earthwork in back filling for pipe line trench with compaction in layers of 20cm with water sprinkling  and site clearance</t>
  </si>
  <si>
    <t>Hard soil                           (Norms No 2-39c)</t>
  </si>
  <si>
    <t>Boulder/Gravel mixed soil                                            (Norms No 2-39d)</t>
  </si>
  <si>
    <t>Ordinary Soil                 (Norms No )</t>
  </si>
  <si>
    <t>Soft  rock                (Norms No 2-39e)</t>
  </si>
  <si>
    <r>
      <t>Site clearance per m²</t>
    </r>
    <r>
      <rPr>
        <vertAlign val="superscript"/>
        <sz val="10"/>
        <rFont val="Times New Roman"/>
        <family val="1"/>
      </rPr>
      <t xml:space="preserve">    </t>
    </r>
    <r>
      <rPr>
        <sz val="10"/>
        <rFont val="Times New Roman"/>
        <family val="1"/>
      </rPr>
      <t xml:space="preserve">N(1-8) </t>
    </r>
  </si>
  <si>
    <r>
      <t xml:space="preserve">B.   Stone Works ( for 1m³ ) : </t>
    </r>
    <r>
      <rPr>
        <sz val="11"/>
        <rFont val="Times New Roman"/>
        <family val="1"/>
      </rPr>
      <t>With a lead of 30 m and upto height 5 m.</t>
    </r>
  </si>
  <si>
    <r>
      <t xml:space="preserve"> B.1  Stone Works ( for 1m</t>
    </r>
    <r>
      <rPr>
        <b/>
        <vertAlign val="superscript"/>
        <sz val="11"/>
        <rFont val="Times New Roman"/>
        <family val="1"/>
      </rPr>
      <t>3</t>
    </r>
    <r>
      <rPr>
        <b/>
        <sz val="11"/>
        <rFont val="Times New Roman"/>
        <family val="1"/>
      </rPr>
      <t xml:space="preserve"> ) : </t>
    </r>
    <r>
      <rPr>
        <sz val="11"/>
        <rFont val="Times New Roman"/>
        <family val="1"/>
      </rPr>
      <t>With a lead of 30 m and upto height 5 m.</t>
    </r>
  </si>
  <si>
    <t>Dry stone soling in foundation                                                         (N 6-5)</t>
  </si>
  <si>
    <t>Dry stone masonary                     (N6-2a)</t>
  </si>
  <si>
    <t>Stone masonary                    in mud mortar                                 (N6- 2b)</t>
  </si>
  <si>
    <t>RR Stone masonary                    in 1:4 cs mortar              (N6-1b)</t>
  </si>
  <si>
    <t>RR stone masonary in 1:6 cs mortar                   (N6-1c)</t>
  </si>
  <si>
    <t xml:space="preserve">  </t>
  </si>
  <si>
    <t>Stone pitching with sand (N 11-16)</t>
  </si>
  <si>
    <t>RR stone masonary            in 1:3 cs mortar           (N6-1c)</t>
  </si>
  <si>
    <t xml:space="preserve">Cement </t>
  </si>
  <si>
    <t xml:space="preserve">     -</t>
  </si>
  <si>
    <t xml:space="preserve">      -</t>
  </si>
  <si>
    <t xml:space="preserve">Sand </t>
  </si>
  <si>
    <t xml:space="preserve">Block Stone </t>
  </si>
  <si>
    <t xml:space="preserve">Mud </t>
  </si>
  <si>
    <r>
      <t xml:space="preserve">Rate/m ³ </t>
    </r>
    <r>
      <rPr>
        <b/>
        <sz val="9"/>
        <rFont val="Times New Roman"/>
        <family val="1"/>
      </rPr>
      <t>( Without VAT )</t>
    </r>
  </si>
  <si>
    <t>C.   Concrete work in substructure and super structure (for 1m³ )</t>
  </si>
  <si>
    <r>
      <t>C.1 Concrete work in substructure with 2% WPC(for 1m</t>
    </r>
    <r>
      <rPr>
        <b/>
        <vertAlign val="superscript"/>
        <sz val="11"/>
        <rFont val="Times New Roman"/>
        <family val="1"/>
      </rPr>
      <t>3</t>
    </r>
    <r>
      <rPr>
        <b/>
        <sz val="11"/>
        <rFont val="Times New Roman"/>
        <family val="1"/>
      </rPr>
      <t xml:space="preserve"> )</t>
    </r>
  </si>
  <si>
    <t>(With a lead of 30 m and all materials supplied )</t>
  </si>
  <si>
    <t xml:space="preserve"> P.C.C (1:3:6) work in sub structure                                (N 7-2c)</t>
  </si>
  <si>
    <t>P.C.C (1:2:4) work in sub structure                                    (N 7-2d)</t>
  </si>
  <si>
    <t>P.C.C(1:1.5:3) work in sub structure                                  ( N7-2d +N7-4b)</t>
  </si>
  <si>
    <t>P.C.C1:2:4) work In superstructure                       (N 7-4a)</t>
  </si>
  <si>
    <t>P.C.C(1:1.5:3) work In superstructure                 (N 7-4b)</t>
  </si>
  <si>
    <t xml:space="preserve">P.C.C (1:2:4) work in sub structure with 2% W.P.C(N 7-2d) </t>
  </si>
  <si>
    <t>P.C.C(1:1.5:3) work in sub structure with 2% W.P.C ( N7-2d +N7-4b)</t>
  </si>
  <si>
    <t xml:space="preserve">Aggregate-10-20mm </t>
  </si>
  <si>
    <t xml:space="preserve">Aggregate-20-40mm </t>
  </si>
  <si>
    <t>W.P.C @2%</t>
  </si>
  <si>
    <t>Skiled Labour</t>
  </si>
  <si>
    <t>D.   Steel reinforcement (kg), form work (m²) ,Ferrocement work(per m²), and wood work(per m³) for door-window frame etc.</t>
  </si>
  <si>
    <r>
      <t xml:space="preserve"> D.1 Form work (m</t>
    </r>
    <r>
      <rPr>
        <b/>
        <vertAlign val="superscript"/>
        <sz val="11"/>
        <rFont val="Times New Roman"/>
        <family val="1"/>
      </rPr>
      <t>2</t>
    </r>
    <r>
      <rPr>
        <b/>
        <sz val="11"/>
        <rFont val="Times New Roman"/>
        <family val="1"/>
      </rPr>
      <t xml:space="preserve">) </t>
    </r>
  </si>
  <si>
    <t>Steel rein for cement cutting,bending &amp;placing in place,etc,per kg                  (N7-5)</t>
  </si>
  <si>
    <t>Shuttering work for slabs,etc(per m²)                  N8-2a</t>
  </si>
  <si>
    <t xml:space="preserve">HDPE Formwork for ferrocement works per m²                        (DWSS-Standard) </t>
  </si>
  <si>
    <t>Barbinding work for            fe-c,including chicken wire,plain GI wire,M.S.bars etc. per m² (DWSS)</t>
  </si>
  <si>
    <t xml:space="preserve">Wood work for door/ window frame per m³                       N10-I7  </t>
  </si>
  <si>
    <r>
      <t>Shuttering work for arch,dome,etc(per m</t>
    </r>
    <r>
      <rPr>
        <b/>
        <vertAlign val="superscript"/>
        <sz val="9"/>
        <rFont val="Times New Roman"/>
        <family val="1"/>
      </rPr>
      <t>2</t>
    </r>
    <r>
      <rPr>
        <b/>
        <sz val="9"/>
        <rFont val="Times New Roman"/>
        <family val="1"/>
      </rPr>
      <t>)                N8-2a</t>
    </r>
  </si>
  <si>
    <t>staging work for culvert, bridge, dome, etc.(per m³)                N15-31a</t>
  </si>
  <si>
    <t xml:space="preserve">Wood work for beams, rafters,etc. per m³                       N10-I7  </t>
  </si>
  <si>
    <t xml:space="preserve">Steel bar </t>
  </si>
  <si>
    <t xml:space="preserve">       -</t>
  </si>
  <si>
    <t xml:space="preserve">Nail </t>
  </si>
  <si>
    <t xml:space="preserve">Binding  wire </t>
  </si>
  <si>
    <t>Wood for formwork</t>
  </si>
  <si>
    <t>0.0526/4x0.75</t>
  </si>
  <si>
    <t xml:space="preserve">GI Plain wire </t>
  </si>
  <si>
    <t>Wood for scaffolding</t>
  </si>
  <si>
    <t>0.075/4x0.75</t>
  </si>
  <si>
    <t xml:space="preserve">Chicken wire </t>
  </si>
  <si>
    <t xml:space="preserve">Skiled labour </t>
  </si>
  <si>
    <t>coolie</t>
  </si>
  <si>
    <t xml:space="preserve">Wood </t>
  </si>
  <si>
    <r>
      <t>32mm</t>
    </r>
    <r>
      <rPr>
        <sz val="9"/>
        <rFont val="Symbol"/>
        <family val="1"/>
        <charset val="2"/>
      </rPr>
      <t xml:space="preserve">f </t>
    </r>
    <r>
      <rPr>
        <sz val="9"/>
        <rFont val="Times New Roman"/>
        <family val="1"/>
      </rPr>
      <t>HDP pipe</t>
    </r>
  </si>
  <si>
    <r>
      <t xml:space="preserve">Rate/m² </t>
    </r>
    <r>
      <rPr>
        <b/>
        <sz val="9"/>
        <rFont val="Times New Roman"/>
        <family val="1"/>
      </rPr>
      <t>( Without VAT )</t>
    </r>
  </si>
  <si>
    <r>
      <t xml:space="preserve">Rate / Unit </t>
    </r>
    <r>
      <rPr>
        <b/>
        <sz val="9"/>
        <rFont val="Times New Roman"/>
        <family val="1"/>
      </rPr>
      <t>( Without VAT )</t>
    </r>
  </si>
  <si>
    <t>E. Plastering Work (for 1m²)</t>
  </si>
  <si>
    <r>
      <t>E.1 Plastering Work with 2% WPC (for 1m</t>
    </r>
    <r>
      <rPr>
        <b/>
        <vertAlign val="superscript"/>
        <sz val="11"/>
        <rFont val="Times New Roman"/>
        <family val="1"/>
      </rPr>
      <t>2</t>
    </r>
    <r>
      <rPr>
        <b/>
        <sz val="11"/>
        <rFont val="Times New Roman"/>
        <family val="1"/>
      </rPr>
      <t>)</t>
    </r>
  </si>
  <si>
    <t>12.5mm thick 1:2 c-s plaster( N12-1a)</t>
  </si>
  <si>
    <t>12.5mm thick 1:3 c-s plaster (N12-1b)</t>
  </si>
  <si>
    <t>12.5mm thick 1:4 c-s plaster (N12-1c)</t>
  </si>
  <si>
    <t>20mm  1:3 c-s plaster      (N12-4a)</t>
  </si>
  <si>
    <t>20mm  1:4 c-s plaster                                                                     (N12-4b)</t>
  </si>
  <si>
    <t>12.5mm thick 1:2 c-s plasterwith 2% W.P.C         ( N12-1a)</t>
  </si>
  <si>
    <t>12.5mm thick 1:3 c-s plaster with 2% W.P.C(N12-1b)</t>
  </si>
  <si>
    <t>20mm  1:3 c-s plaster      with 2% W.P.C       (N12-4a)</t>
  </si>
  <si>
    <t>20mm  1:6 c-s plaster                                                                     (N12-4c)</t>
  </si>
  <si>
    <t>W.P.C.</t>
  </si>
  <si>
    <t>Skilled labour</t>
  </si>
  <si>
    <t>F . Pointing ,Punning ,Barbed wire fencing, C.G.I. sheet roofing</t>
  </si>
  <si>
    <t>3mm 1:1 c-s Punning     (for 1m²)  (N14 -6)</t>
  </si>
  <si>
    <t xml:space="preserve"> 1:3 c-s Flush ruled Pointing (m²)  (N14 -26)</t>
  </si>
  <si>
    <t>G.I barbed wire fencing     (1m)                                                                 N24 -6</t>
  </si>
  <si>
    <t>G.I barbed wire fencing on wooden posts (5 horz.,2 diagonals)@3mc/c for 1m</t>
  </si>
  <si>
    <t>C.G.Isheet roofing (1m²)                                                                 N -9 -1</t>
  </si>
  <si>
    <t>GI Barbed wire</t>
  </si>
  <si>
    <t xml:space="preserve">Local wood </t>
  </si>
  <si>
    <t>CGI sheet-26G</t>
  </si>
  <si>
    <t>Nuts &amp; bolts</t>
  </si>
  <si>
    <t>J - hook</t>
  </si>
  <si>
    <t>U - hook</t>
  </si>
  <si>
    <t>LS</t>
  </si>
  <si>
    <t>Skilled labours</t>
  </si>
  <si>
    <t>Collies</t>
  </si>
  <si>
    <t>G. Enamel &amp; Bitumen Paints and white washing (For 1m²)</t>
  </si>
  <si>
    <t>Two coats of enamel paint                                                                     N-13-5</t>
  </si>
  <si>
    <t>Two coats of Bitumen paint                                                                     N-13-10</t>
  </si>
  <si>
    <t>Two coats of Snowcem paint                                                                     N-13-12</t>
  </si>
  <si>
    <t>Making gabion boxes including cutting, wire, netting etc. and placing in site and tying all complete : Mesh size: hex. 100×120mm, Mesh wire-10SWG, selvedge wire-7 SWG) : size 2×1×1 m(N 16-05a+14-05a)</t>
  </si>
  <si>
    <r>
      <t>Filling of Gabion crate with block stone for 1 m</t>
    </r>
    <r>
      <rPr>
        <vertAlign val="superscript"/>
        <sz val="9"/>
        <rFont val="Times New Roman"/>
        <family val="1"/>
      </rPr>
      <t>3</t>
    </r>
  </si>
  <si>
    <t>Enamel</t>
  </si>
  <si>
    <t>Snowcem</t>
  </si>
  <si>
    <t>GI Plain wire (10 SWG)</t>
  </si>
  <si>
    <t>Selvage wire (7 SWG)</t>
  </si>
  <si>
    <t>Tying wire (12 SWG)</t>
  </si>
  <si>
    <t>H. HDPE Pipe Jointing (For 1m) Norms No 17 - 2</t>
  </si>
  <si>
    <t xml:space="preserve"> H.1 HDPE Pipe Jointing (For 1m) Norms No 17 - 2</t>
  </si>
  <si>
    <t>20,25mm dia HDPE For (1000m)</t>
  </si>
  <si>
    <t>32 mm dia HDPE For (1000m)</t>
  </si>
  <si>
    <t>40,50mm dia HDPE For (1000m)</t>
  </si>
  <si>
    <t>63,75,90 mm dia HDPE For (50m)</t>
  </si>
  <si>
    <t>110,125 mm dia HDPE For (50m)</t>
  </si>
  <si>
    <t xml:space="preserve">Material and labour </t>
  </si>
  <si>
    <t>Rate Rs/unit</t>
  </si>
  <si>
    <t>140-180 mm dia HDPE For (50m)</t>
  </si>
  <si>
    <t>200-250 mm dia HDPE For (50m)</t>
  </si>
  <si>
    <t>Coolis</t>
  </si>
  <si>
    <t>Contingencies</t>
  </si>
  <si>
    <t xml:space="preserve">Tools &amp; plants </t>
  </si>
  <si>
    <t>day</t>
  </si>
  <si>
    <t>Petrol</t>
  </si>
  <si>
    <t>C.P&amp;VAT</t>
  </si>
  <si>
    <t>Grand Total</t>
  </si>
  <si>
    <t>Rate /m</t>
  </si>
  <si>
    <t>I. GI Pipe jointing work (For 1m) N - 17- 4 a</t>
  </si>
  <si>
    <t xml:space="preserve"> I.1 GI Pipe jointing work (For 1m) N - 17- 4 a</t>
  </si>
  <si>
    <t>15,20 mm dia GI                 For (30m)</t>
  </si>
  <si>
    <t>25,32 mm dia GI                 For (30m)</t>
  </si>
  <si>
    <t>40,50mm dia GI                  For (30m)</t>
  </si>
  <si>
    <t>65,80 mm dia GI                For (30m)</t>
  </si>
  <si>
    <t>100 mm dia GI                For (30m)</t>
  </si>
  <si>
    <t>Rate      Rs/unit</t>
  </si>
  <si>
    <t>125 mm dia GI                For (30m)</t>
  </si>
  <si>
    <t>Red lead , Hemp etc.</t>
  </si>
  <si>
    <t>C.P</t>
  </si>
  <si>
    <t>J. Gravel Packing and door shutter</t>
  </si>
  <si>
    <r>
      <t>Gravel packing for 1 m</t>
    </r>
    <r>
      <rPr>
        <vertAlign val="superscript"/>
        <sz val="10"/>
        <rFont val="Times New Roman"/>
        <family val="1"/>
      </rPr>
      <t>3</t>
    </r>
  </si>
  <si>
    <r>
      <t>38 mm thick wooden shutter with  GI plain sheet for 1 m</t>
    </r>
    <r>
      <rPr>
        <vertAlign val="superscript"/>
        <sz val="10"/>
        <rFont val="Times New Roman"/>
        <family val="1"/>
      </rPr>
      <t xml:space="preserve">2 </t>
    </r>
    <r>
      <rPr>
        <sz val="10"/>
        <rFont val="Times New Roman"/>
        <family val="1"/>
      </rPr>
      <t>[ Norms no 10-9)</t>
    </r>
  </si>
  <si>
    <r>
      <t>38 mm thick panelled wooden shutter  for 1 m</t>
    </r>
    <r>
      <rPr>
        <vertAlign val="superscript"/>
        <sz val="10"/>
        <rFont val="Times New Roman"/>
        <family val="1"/>
      </rPr>
      <t>2</t>
    </r>
    <r>
      <rPr>
        <sz val="10"/>
        <rFont val="Times New Roman"/>
        <family val="1"/>
      </rPr>
      <t xml:space="preserve">    [ Norms no 10-2)</t>
    </r>
  </si>
  <si>
    <t xml:space="preserve">25 mm thick eavesboard. per m²                       N10-I9  </t>
  </si>
  <si>
    <t>Aggregate - 40mm</t>
  </si>
  <si>
    <t xml:space="preserve">Nails </t>
  </si>
  <si>
    <t>Hinges</t>
  </si>
  <si>
    <t>Tower bolt 150mm</t>
  </si>
  <si>
    <t>Rate /Unit</t>
  </si>
  <si>
    <t xml:space="preserve">Analysis of Transportation cost </t>
  </si>
  <si>
    <t xml:space="preserve">from </t>
  </si>
  <si>
    <t>Truck Analysis</t>
  </si>
  <si>
    <t>Cost of truck :                                   -With VAT</t>
  </si>
  <si>
    <t>-Without VAT</t>
  </si>
  <si>
    <t>Total working period</t>
  </si>
  <si>
    <t>hr.</t>
  </si>
  <si>
    <t xml:space="preserve">Yearly working period </t>
  </si>
  <si>
    <t>Proprietory cost</t>
  </si>
  <si>
    <t xml:space="preserve">a) Depreciation value  </t>
  </si>
  <si>
    <t>cost of truck / working period</t>
  </si>
  <si>
    <t>Rs./hour</t>
  </si>
  <si>
    <t>b) Insurance cost</t>
  </si>
  <si>
    <t>2% of (cost of truck / yearly</t>
  </si>
  <si>
    <t>working period)</t>
  </si>
  <si>
    <t>c) Interest</t>
  </si>
  <si>
    <t>1% of (cost of truck / yearly</t>
  </si>
  <si>
    <t>Operation expenses</t>
  </si>
  <si>
    <t>Repair &amp; Maintennance cost</t>
  </si>
  <si>
    <t>a) Overhauling cost</t>
  </si>
  <si>
    <t xml:space="preserve">55% of 1(a) </t>
  </si>
  <si>
    <t>b) Repair &amp; maintennance cost</t>
  </si>
  <si>
    <t xml:space="preserve">23% of 1(a) </t>
  </si>
  <si>
    <t>Actual operation cost</t>
  </si>
  <si>
    <t xml:space="preserve">a) Cost of  fuel and lubrication </t>
  </si>
  <si>
    <t>L @</t>
  </si>
  <si>
    <t>Rs/L</t>
  </si>
  <si>
    <t xml:space="preserve">Mobil </t>
  </si>
  <si>
    <t>kg @</t>
  </si>
  <si>
    <t>b) Extra machinery parts</t>
  </si>
  <si>
    <t xml:space="preserve">Life of tyre =  </t>
  </si>
  <si>
    <t>hr</t>
  </si>
  <si>
    <t>Cost of tyre with VAT =</t>
  </si>
  <si>
    <t>Cost of tyre without  VAT =</t>
  </si>
  <si>
    <t>Cost of tyre per hour</t>
  </si>
  <si>
    <t>cost of tyre/life x 6</t>
  </si>
  <si>
    <t>Other parts at lump- sump</t>
  </si>
  <si>
    <t>Other expenses at lump- sump</t>
  </si>
  <si>
    <t>c) Salary</t>
  </si>
  <si>
    <t xml:space="preserve">Loading / unloading </t>
  </si>
  <si>
    <t>incorporated in transportation rate</t>
  </si>
  <si>
    <t>d)Improve &amp;  small repair works</t>
  </si>
  <si>
    <t>Hence actual operation cost</t>
  </si>
  <si>
    <t>2.1+2.2(a)+2.2(b)+2.2(c)+2.2(d)</t>
  </si>
  <si>
    <t>Supervision and overhead cost</t>
  </si>
  <si>
    <t>@ 5% of  cost of truck / yearly working hour</t>
  </si>
  <si>
    <t>Total expenses in transportation by truck per hour</t>
  </si>
  <si>
    <t>1+2+3</t>
  </si>
  <si>
    <t>Assuming  speed of truck as 8 km/hr  in eathen, 12 km/hr in gravel, and 20 km/hr in metalled road :</t>
  </si>
  <si>
    <t>Using the formula , the rate of transportation  comes to be :</t>
  </si>
  <si>
    <t>Rate /kg=</t>
  </si>
  <si>
    <t>( 2x distance/truck speed+0.75) x total expence /6000</t>
  </si>
  <si>
    <t>Rate/km.quintal</t>
  </si>
  <si>
    <t xml:space="preserve">Type of road </t>
  </si>
  <si>
    <t>Distance,km</t>
  </si>
  <si>
    <t>Time, hr</t>
  </si>
  <si>
    <t xml:space="preserve">Inconvenient </t>
  </si>
  <si>
    <t>Earthen road</t>
  </si>
  <si>
    <t>Gravel road</t>
  </si>
  <si>
    <t>Metalled road</t>
  </si>
  <si>
    <t xml:space="preserve">Quantity of </t>
  </si>
  <si>
    <t xml:space="preserve">Ferrocement Tanks </t>
  </si>
  <si>
    <r>
      <t>1 m</t>
    </r>
    <r>
      <rPr>
        <vertAlign val="superscript"/>
        <sz val="12"/>
        <rFont val="Times New Roman"/>
        <family val="1"/>
      </rPr>
      <t>3</t>
    </r>
    <r>
      <rPr>
        <sz val="12"/>
        <rFont val="Times New Roman"/>
        <family val="1"/>
      </rPr>
      <t xml:space="preserve"> </t>
    </r>
  </si>
  <si>
    <r>
      <t>2 m</t>
    </r>
    <r>
      <rPr>
        <vertAlign val="superscript"/>
        <sz val="12"/>
        <rFont val="Times New Roman"/>
        <family val="1"/>
      </rPr>
      <t>3</t>
    </r>
    <r>
      <rPr>
        <sz val="12"/>
        <rFont val="Times New Roman"/>
        <family val="1"/>
      </rPr>
      <t xml:space="preserve"> </t>
    </r>
  </si>
  <si>
    <r>
      <t>3 m</t>
    </r>
    <r>
      <rPr>
        <vertAlign val="superscript"/>
        <sz val="12"/>
        <rFont val="Times New Roman"/>
        <family val="1"/>
      </rPr>
      <t>3</t>
    </r>
    <r>
      <rPr>
        <sz val="12"/>
        <rFont val="Times New Roman"/>
        <family val="1"/>
      </rPr>
      <t xml:space="preserve"> </t>
    </r>
  </si>
  <si>
    <r>
      <t>4 m</t>
    </r>
    <r>
      <rPr>
        <vertAlign val="superscript"/>
        <sz val="12"/>
        <rFont val="Times New Roman"/>
        <family val="1"/>
      </rPr>
      <t>3</t>
    </r>
    <r>
      <rPr>
        <sz val="12"/>
        <rFont val="Times New Roman"/>
        <family val="1"/>
      </rPr>
      <t xml:space="preserve"> </t>
    </r>
  </si>
  <si>
    <r>
      <t>5 m</t>
    </r>
    <r>
      <rPr>
        <vertAlign val="superscript"/>
        <sz val="12"/>
        <rFont val="Times New Roman"/>
        <family val="1"/>
      </rPr>
      <t>3</t>
    </r>
    <r>
      <rPr>
        <sz val="12"/>
        <rFont val="Times New Roman"/>
        <family val="1"/>
      </rPr>
      <t xml:space="preserve"> </t>
    </r>
  </si>
  <si>
    <r>
      <t>6 m</t>
    </r>
    <r>
      <rPr>
        <vertAlign val="superscript"/>
        <sz val="12"/>
        <rFont val="Times New Roman"/>
        <family val="1"/>
      </rPr>
      <t>3</t>
    </r>
    <r>
      <rPr>
        <sz val="12"/>
        <rFont val="Times New Roman"/>
        <family val="1"/>
      </rPr>
      <t xml:space="preserve"> </t>
    </r>
  </si>
  <si>
    <r>
      <t>7 m</t>
    </r>
    <r>
      <rPr>
        <vertAlign val="superscript"/>
        <sz val="12"/>
        <rFont val="Times New Roman"/>
        <family val="1"/>
      </rPr>
      <t>3</t>
    </r>
    <r>
      <rPr>
        <sz val="12"/>
        <rFont val="Times New Roman"/>
        <family val="1"/>
      </rPr>
      <t xml:space="preserve"> </t>
    </r>
  </si>
  <si>
    <r>
      <t>8 m</t>
    </r>
    <r>
      <rPr>
        <vertAlign val="superscript"/>
        <sz val="12"/>
        <rFont val="Times New Roman"/>
        <family val="1"/>
      </rPr>
      <t>3</t>
    </r>
    <r>
      <rPr>
        <sz val="12"/>
        <rFont val="Times New Roman"/>
        <family val="1"/>
      </rPr>
      <t xml:space="preserve"> </t>
    </r>
  </si>
  <si>
    <r>
      <t>9 m</t>
    </r>
    <r>
      <rPr>
        <vertAlign val="superscript"/>
        <sz val="12"/>
        <rFont val="Times New Roman"/>
        <family val="1"/>
      </rPr>
      <t>3</t>
    </r>
    <r>
      <rPr>
        <sz val="12"/>
        <rFont val="Times New Roman"/>
        <family val="1"/>
      </rPr>
      <t xml:space="preserve"> </t>
    </r>
  </si>
  <si>
    <r>
      <t>10 m</t>
    </r>
    <r>
      <rPr>
        <vertAlign val="superscript"/>
        <sz val="12"/>
        <rFont val="Times New Roman"/>
        <family val="1"/>
      </rPr>
      <t>3</t>
    </r>
    <r>
      <rPr>
        <sz val="12"/>
        <rFont val="Times New Roman"/>
        <family val="1"/>
      </rPr>
      <t xml:space="preserve"> </t>
    </r>
  </si>
  <si>
    <r>
      <t>12 m</t>
    </r>
    <r>
      <rPr>
        <vertAlign val="superscript"/>
        <sz val="12"/>
        <rFont val="Times New Roman"/>
        <family val="1"/>
      </rPr>
      <t>3</t>
    </r>
    <r>
      <rPr>
        <sz val="12"/>
        <rFont val="Times New Roman"/>
        <family val="1"/>
      </rPr>
      <t xml:space="preserve"> </t>
    </r>
  </si>
  <si>
    <r>
      <t>14 m</t>
    </r>
    <r>
      <rPr>
        <vertAlign val="superscript"/>
        <sz val="12"/>
        <rFont val="Times New Roman"/>
        <family val="1"/>
      </rPr>
      <t>3</t>
    </r>
    <r>
      <rPr>
        <sz val="12"/>
        <rFont val="Times New Roman"/>
        <family val="1"/>
      </rPr>
      <t xml:space="preserve"> </t>
    </r>
  </si>
  <si>
    <r>
      <t>16 m</t>
    </r>
    <r>
      <rPr>
        <vertAlign val="superscript"/>
        <sz val="12"/>
        <rFont val="Times New Roman"/>
        <family val="1"/>
      </rPr>
      <t>3</t>
    </r>
    <r>
      <rPr>
        <sz val="12"/>
        <rFont val="Times New Roman"/>
        <family val="1"/>
      </rPr>
      <t xml:space="preserve"> </t>
    </r>
  </si>
  <si>
    <r>
      <t>18 m</t>
    </r>
    <r>
      <rPr>
        <vertAlign val="superscript"/>
        <sz val="12"/>
        <rFont val="Times New Roman"/>
        <family val="1"/>
      </rPr>
      <t>3</t>
    </r>
    <r>
      <rPr>
        <sz val="12"/>
        <rFont val="Times New Roman"/>
        <family val="1"/>
      </rPr>
      <t xml:space="preserve"> </t>
    </r>
  </si>
  <si>
    <r>
      <t>20 m</t>
    </r>
    <r>
      <rPr>
        <vertAlign val="superscript"/>
        <sz val="12"/>
        <rFont val="Times New Roman"/>
        <family val="1"/>
      </rPr>
      <t>3</t>
    </r>
    <r>
      <rPr>
        <sz val="12"/>
        <rFont val="Times New Roman"/>
        <family val="1"/>
      </rPr>
      <t xml:space="preserve"> </t>
    </r>
  </si>
  <si>
    <t>Earthwork in excavation in boulder mixed soil</t>
  </si>
  <si>
    <t>Earthwork in excavation in hard soil</t>
  </si>
  <si>
    <t>Stone soling</t>
  </si>
  <si>
    <t>Stone masonry in 1:6 c-s mortar</t>
  </si>
  <si>
    <t>Plain cement concrete (1:2:4) in sub-structure</t>
  </si>
  <si>
    <t>Plain cement concrete (1:1.5:3) sub-structure</t>
  </si>
  <si>
    <t>Centering &amp; shuttering work for concreting</t>
  </si>
  <si>
    <t>HDPE pipe-formwork for ferro-cement work</t>
  </si>
  <si>
    <t xml:space="preserve">Bar binding works including  chicken wire, steel bars, GI plain wires, etc </t>
  </si>
  <si>
    <t>12.5 mm thick  1:2 c-s plaster</t>
  </si>
  <si>
    <t>12.5 mm thick  1:3 c-s plaster</t>
  </si>
  <si>
    <t>12.5 mm thick  1:4 c-s plaster</t>
  </si>
  <si>
    <t xml:space="preserve">3 mm thick 1:1 c-s punning </t>
  </si>
  <si>
    <t xml:space="preserve">Two coats of  bitumen paint </t>
  </si>
  <si>
    <t>Two coats of  snowcem paint</t>
  </si>
  <si>
    <t>Standard manhole cover - circular(600Ø)</t>
  </si>
  <si>
    <t>For GI pipe : costing and transportation</t>
  </si>
  <si>
    <t xml:space="preserve">Design of Ferrocement Tank </t>
  </si>
  <si>
    <t>Weight per m</t>
  </si>
  <si>
    <t>Rate per m</t>
  </si>
  <si>
    <t>RT size(m³)</t>
  </si>
  <si>
    <t>Dome Height(m)</t>
  </si>
  <si>
    <t>Total tank height(m)</t>
  </si>
  <si>
    <t>inner diameter of Tank(m)</t>
  </si>
  <si>
    <t xml:space="preserve"> fencing length(m)</t>
  </si>
  <si>
    <t>GI (Medium)</t>
  </si>
  <si>
    <t>Data relating to HDPE pipes</t>
  </si>
  <si>
    <t>Code</t>
  </si>
  <si>
    <t>External Dia</t>
  </si>
  <si>
    <t>Pressure rating</t>
  </si>
  <si>
    <t>Weight/m</t>
  </si>
  <si>
    <t>Inner dia(bore)</t>
  </si>
  <si>
    <t>not available in other rate analysis</t>
  </si>
  <si>
    <t>Brick Works</t>
  </si>
  <si>
    <t>Chimney made Brick work in 1:4 cement mortar</t>
  </si>
  <si>
    <t>Chimney made Brick work in 1:6 cement mortar</t>
  </si>
  <si>
    <t>G.I  plain sheet ridge work, collecting material all complete</t>
  </si>
  <si>
    <t>Main bar 12 mm dia  at 175mm c/c Hor top</t>
  </si>
  <si>
    <t>Main bar 12 mm dia  at 175 mm c/c Hor bot</t>
  </si>
  <si>
    <t>Main bar inner 12 mm dia 150mm c/c verIF</t>
  </si>
  <si>
    <t>Installation of 5 inch dia. Pipe</t>
  </si>
  <si>
    <t>Manifold   160 mm dia.10 kg/cm2</t>
  </si>
  <si>
    <t>Installation charges of 5 inch dia. Pipe</t>
  </si>
  <si>
    <t>Installation charges of  160 mm dia.HDPE</t>
  </si>
  <si>
    <t xml:space="preserve">Laying and Jointing of 140 mm </t>
  </si>
  <si>
    <t>Brick Masonry Work in 1:6</t>
  </si>
  <si>
    <t>PipeCost (GI Heavy Duty)</t>
  </si>
  <si>
    <t>Diameter of pipe</t>
  </si>
  <si>
    <t>Pipe(Pg 64)</t>
  </si>
  <si>
    <t>Tee (Pg 65)</t>
  </si>
  <si>
    <t>Gate Valve</t>
  </si>
  <si>
    <t>Check Valve</t>
  </si>
  <si>
    <t>Elbow</t>
  </si>
  <si>
    <t>Union</t>
  </si>
  <si>
    <t>Socket</t>
  </si>
  <si>
    <t>CI Plug</t>
  </si>
  <si>
    <t>Hex Nipple</t>
  </si>
  <si>
    <t>Re. Tee</t>
  </si>
  <si>
    <t>Re. Elbow</t>
  </si>
  <si>
    <t>Re Socket</t>
  </si>
  <si>
    <t>Short bend</t>
  </si>
  <si>
    <t>Cross Tee</t>
  </si>
  <si>
    <t>Tank Nipple</t>
  </si>
  <si>
    <t>Nipple-2in</t>
  </si>
  <si>
    <t>Nipple-3in</t>
  </si>
  <si>
    <t>Nipple-4in</t>
  </si>
  <si>
    <t>Nipple-6in</t>
  </si>
  <si>
    <t>Nipple-9in</t>
  </si>
  <si>
    <t>Nipple-12in</t>
  </si>
  <si>
    <t>Nipple-18in</t>
  </si>
  <si>
    <t>GI/GI Flange</t>
  </si>
  <si>
    <t>GI/HDP</t>
  </si>
  <si>
    <t>HDPE/HDPE Flange set with adaptor</t>
  </si>
  <si>
    <t>Globe Valve</t>
  </si>
  <si>
    <t>Float Valve</t>
  </si>
  <si>
    <t>CI Air Valve</t>
  </si>
  <si>
    <t>Brass Union with Adapter</t>
  </si>
  <si>
    <t>Saddle Ferrule</t>
  </si>
  <si>
    <t>Flow Regulating</t>
  </si>
  <si>
    <t>CI Sluice</t>
  </si>
  <si>
    <t>Brass Ferule cock</t>
  </si>
  <si>
    <t>Ball Valve</t>
  </si>
  <si>
    <t>m/no.</t>
  </si>
  <si>
    <t xml:space="preserve">   </t>
  </si>
  <si>
    <t>District Rate Available</t>
  </si>
  <si>
    <t>Diameter of pipe (mm)</t>
  </si>
  <si>
    <t>Size in inch</t>
  </si>
  <si>
    <t>PN6</t>
  </si>
  <si>
    <t>PN10</t>
  </si>
  <si>
    <t>PN12.5</t>
  </si>
  <si>
    <t>PN16</t>
  </si>
  <si>
    <t>Equal Tee (PN10)</t>
  </si>
  <si>
    <t>0.5"</t>
  </si>
  <si>
    <t>0.75"</t>
  </si>
  <si>
    <t>1"</t>
  </si>
  <si>
    <t>1.25"</t>
  </si>
  <si>
    <t>1.5"</t>
  </si>
  <si>
    <t>2"</t>
  </si>
  <si>
    <t>2.5"</t>
  </si>
  <si>
    <t>3"</t>
  </si>
  <si>
    <t>4"</t>
  </si>
  <si>
    <t>4.5"</t>
  </si>
  <si>
    <t>5"</t>
  </si>
  <si>
    <t>6"</t>
  </si>
  <si>
    <t>7"</t>
  </si>
  <si>
    <t>8"</t>
  </si>
  <si>
    <t>9"</t>
  </si>
  <si>
    <t>10"</t>
  </si>
  <si>
    <t>11"</t>
  </si>
  <si>
    <t>12"</t>
  </si>
  <si>
    <t>14"</t>
  </si>
  <si>
    <t>16"</t>
  </si>
  <si>
    <t>18"</t>
  </si>
  <si>
    <t>20"</t>
  </si>
  <si>
    <t>PipeCost (GI Medium Duty)</t>
  </si>
  <si>
    <t xml:space="preserve"> 110 mm PE100 10 kg/cm2 (Inlet, Outlet, Washout) </t>
  </si>
  <si>
    <t xml:space="preserve"> 75 mm dia. PE100 10 kg/cm2</t>
  </si>
  <si>
    <t>Sankhu</t>
  </si>
  <si>
    <t>On Treatment Plant and existing Intake site</t>
  </si>
  <si>
    <t>8.0 LPS</t>
  </si>
  <si>
    <t>GPM-125</t>
  </si>
  <si>
    <t>GPM-150</t>
  </si>
  <si>
    <t>scheme 1</t>
  </si>
  <si>
    <t>scheme 2</t>
  </si>
  <si>
    <t>Weight of fittings and tools</t>
  </si>
  <si>
    <t xml:space="preserve">100 mmØ GI pipe </t>
  </si>
  <si>
    <t xml:space="preserve">125 mmØ GI pipe </t>
  </si>
  <si>
    <r>
      <t>m</t>
    </r>
    <r>
      <rPr>
        <vertAlign val="superscript"/>
        <sz val="9"/>
        <rFont val="Arial"/>
        <family val="2"/>
      </rPr>
      <t>3</t>
    </r>
  </si>
  <si>
    <t>Kathmandu</t>
  </si>
  <si>
    <t>Name of Municipality</t>
  </si>
  <si>
    <t>Shankharapur</t>
  </si>
  <si>
    <t>District: Kathmandu</t>
  </si>
  <si>
    <t>General Parameter</t>
  </si>
  <si>
    <t>Fedi</t>
  </si>
  <si>
    <t>ABSTRACT OF COST</t>
  </si>
  <si>
    <t xml:space="preserve">Description of works </t>
  </si>
  <si>
    <t>sqm</t>
  </si>
  <si>
    <t>Earthwork Excavation in River Bed</t>
  </si>
  <si>
    <t>P.C.C Works</t>
  </si>
  <si>
    <t>RCC works M20</t>
  </si>
  <si>
    <t>Form Works</t>
  </si>
  <si>
    <t>Reinforcement</t>
  </si>
  <si>
    <t xml:space="preserve"> 20 to 25mm thick screeding (1:4) on floors</t>
  </si>
  <si>
    <t xml:space="preserve"> Cement punning </t>
  </si>
  <si>
    <t xml:space="preserve">12.5 mm thick cement plaster on concrete surface with 1:3 cement sand mortar </t>
  </si>
  <si>
    <t>Gabion Works</t>
  </si>
  <si>
    <t>Launching Apron</t>
  </si>
  <si>
    <t>2mx1mx0.3m</t>
  </si>
  <si>
    <t>600dia. Manhole Cover</t>
  </si>
  <si>
    <t>Supplying and laying Pipes Fittings</t>
  </si>
  <si>
    <t>75∅ Tee</t>
  </si>
  <si>
    <t>75∅ Elbow</t>
  </si>
  <si>
    <t>75∅ Pipe Piece</t>
  </si>
  <si>
    <t>65∅ Gate Valve</t>
  </si>
  <si>
    <t>65∅ Union</t>
  </si>
  <si>
    <t>65∅ Nipple</t>
  </si>
  <si>
    <t>65/75 GI/PE Flanged set</t>
  </si>
  <si>
    <t>75∅ PE Stainer</t>
  </si>
  <si>
    <t>Back filling</t>
  </si>
  <si>
    <t>Masonary Works</t>
  </si>
  <si>
    <t>Stone Soling</t>
  </si>
  <si>
    <t>Stone Masonary(1:6)</t>
  </si>
  <si>
    <t>M10</t>
  </si>
  <si>
    <t>M15</t>
  </si>
  <si>
    <t>12.5mm thick c/s plaster (1:3)  in wall (both sides) and 100mm below GL</t>
  </si>
  <si>
    <t>Fencing by galvanised chain link of 10SWG with 50mm bore MS pipe (@2m c/c), 25x25x4 mm MS angle &amp; 100 mm long 3x20mm MS strip</t>
  </si>
  <si>
    <t>Gabions Works</t>
  </si>
  <si>
    <t>2x1x1</t>
  </si>
  <si>
    <t>QUANTITY ESTIMATE</t>
  </si>
  <si>
    <t>Length,m</t>
  </si>
  <si>
    <t>Breadth,m</t>
  </si>
  <si>
    <t>Height,m</t>
  </si>
  <si>
    <t>Earthwork Excavation</t>
  </si>
  <si>
    <t>RCC Weir</t>
  </si>
  <si>
    <t xml:space="preserve">Collection and Valve Chamber </t>
  </si>
  <si>
    <t>PCC  M10</t>
  </si>
  <si>
    <t>RCC Weir Wall</t>
  </si>
  <si>
    <t>Wall</t>
  </si>
  <si>
    <t>Deduction of Manhole Cover</t>
  </si>
  <si>
    <t xml:space="preserve">One layer of Water Proofing </t>
  </si>
  <si>
    <t>RCC Weir Base</t>
  </si>
  <si>
    <t>20 to 25mm thick screeding (1:4) on floors</t>
  </si>
  <si>
    <t xml:space="preserve">Cement punning </t>
  </si>
  <si>
    <t>Gabion Rip Rap Mesh</t>
  </si>
  <si>
    <t>Gate Pillar</t>
  </si>
  <si>
    <t xml:space="preserve"> In MS Posts Casting (Bottom)</t>
  </si>
  <si>
    <t xml:space="preserve"> In MS Posts Casting (Side)</t>
  </si>
  <si>
    <t>Wall Coping</t>
  </si>
  <si>
    <t>12.5mm thick c/s plaster (1:4)  in wall (both sides) and 100mm below GL</t>
  </si>
  <si>
    <t xml:space="preserve">                                                 </t>
  </si>
  <si>
    <t>Compound Wall with Barbed Wire Fencing and Gate</t>
  </si>
  <si>
    <t>Intake Hilechaur</t>
  </si>
  <si>
    <t>Intake Fedi</t>
  </si>
  <si>
    <t>G</t>
  </si>
  <si>
    <t>H</t>
  </si>
  <si>
    <t>Contingencies 2 % of (A+B)</t>
  </si>
  <si>
    <t>Sanitation Component 2 % of (A+B)</t>
  </si>
  <si>
    <t>Name of Scheme: Sankhu Drinking Water Supply Project</t>
  </si>
  <si>
    <t>TYPE OF WORK : Boulder Pitching in river</t>
  </si>
  <si>
    <t>TYPE OF WORK : Pitching works in river</t>
  </si>
  <si>
    <t>PCC pitching in river</t>
  </si>
  <si>
    <t>Fedi (Sc-1)</t>
  </si>
  <si>
    <t>Damai Kholsi (Sc-2)</t>
  </si>
  <si>
    <t>COST ESTIMATE OF CIRCULAR RCC RESERVOIR 400 Cu m</t>
  </si>
  <si>
    <t>Type of Building :- Circular RCC Reservoir 400 cu m</t>
  </si>
  <si>
    <r>
      <t>m</t>
    </r>
    <r>
      <rPr>
        <vertAlign val="superscript"/>
        <sz val="10"/>
        <rFont val="Arial"/>
        <family val="2"/>
      </rPr>
      <t>2</t>
    </r>
  </si>
  <si>
    <r>
      <t>m</t>
    </r>
    <r>
      <rPr>
        <vertAlign val="superscript"/>
        <sz val="10"/>
        <rFont val="Arial"/>
        <family val="2"/>
      </rPr>
      <t>3</t>
    </r>
  </si>
  <si>
    <t>Plain Cement Concrete P.C.C. (M10) in 1:3:6</t>
  </si>
  <si>
    <r>
      <t>Cement Concrete work for R.C.C (1:1.5:3) (M20)</t>
    </r>
    <r>
      <rPr>
        <b/>
        <sz val="10"/>
        <rFont val="Arial"/>
        <family val="2"/>
      </rPr>
      <t xml:space="preserve"> </t>
    </r>
  </si>
  <si>
    <t>6</t>
  </si>
  <si>
    <t>Reinforcement Bar for RCC</t>
  </si>
  <si>
    <t>Erecting, centering and shuttering of formwork for RCC</t>
  </si>
  <si>
    <t>8</t>
  </si>
  <si>
    <t>12.5 mm thick outside cement plaster in 1:4 C/M</t>
  </si>
  <si>
    <t>9</t>
  </si>
  <si>
    <t>20 mm thick cement plaster inside tank 1:3 C/M</t>
  </si>
  <si>
    <t>10</t>
  </si>
  <si>
    <t>12.5 mm thick Cement Sand plaster in 1:4 C/M in Ceiling</t>
  </si>
  <si>
    <t>11-a</t>
  </si>
  <si>
    <t>Providing Crystalline Water Proof Treatment</t>
  </si>
  <si>
    <t>11-b</t>
  </si>
  <si>
    <t>3 mm thick Cement Punning</t>
  </si>
  <si>
    <t>12</t>
  </si>
  <si>
    <t>Earthwork in backfilling</t>
  </si>
  <si>
    <t>13</t>
  </si>
  <si>
    <t>25 mm thick Plain G.l. Sheet of 16 SWG as a water-stop supplying and fixing</t>
  </si>
  <si>
    <t>14</t>
  </si>
  <si>
    <t>32mm día. Gl pipe railings and staircase</t>
  </si>
  <si>
    <t>15</t>
  </si>
  <si>
    <t>2 coat enamel paint in railing &amp; inspection ladders on top of primer</t>
  </si>
  <si>
    <t>Ventilations of Wooden Frame With Chicken Wire Mesh &amp; Mosquito Mesh</t>
  </si>
  <si>
    <t>16</t>
  </si>
  <si>
    <r>
      <t>DETAIL QUANTITY ESTIMATES OF CIRCULAR RCC RESERVOIR 400 m</t>
    </r>
    <r>
      <rPr>
        <b/>
        <vertAlign val="superscript"/>
        <sz val="12"/>
        <color indexed="8"/>
        <rFont val="Arial"/>
        <family val="2"/>
      </rPr>
      <t>3</t>
    </r>
  </si>
  <si>
    <t>Description of Work :- Circular RCC Ground Reservoir (400 cu m)</t>
  </si>
  <si>
    <t xml:space="preserve">Breadth </t>
  </si>
  <si>
    <t>I.</t>
  </si>
  <si>
    <t>Area</t>
  </si>
  <si>
    <r>
      <t>m</t>
    </r>
    <r>
      <rPr>
        <b/>
        <vertAlign val="superscript"/>
        <sz val="10"/>
        <color indexed="8"/>
        <rFont val="Arial"/>
        <family val="2"/>
      </rPr>
      <t>2</t>
    </r>
  </si>
  <si>
    <r>
      <t>m</t>
    </r>
    <r>
      <rPr>
        <b/>
        <vertAlign val="superscript"/>
        <sz val="10"/>
        <color indexed="8"/>
        <rFont val="Arial"/>
        <family val="2"/>
      </rPr>
      <t>3</t>
    </r>
  </si>
  <si>
    <r>
      <t>Cement Concrete work for R.C.C (1:1.5:3) (M20)</t>
    </r>
    <r>
      <rPr>
        <b/>
        <sz val="10"/>
        <rFont val="Arial"/>
        <family val="2"/>
      </rPr>
      <t xml:space="preserve"> </t>
    </r>
    <r>
      <rPr>
        <sz val="10"/>
        <rFont val="Arial"/>
        <family val="2"/>
      </rPr>
      <t>for</t>
    </r>
  </si>
  <si>
    <t>Wall                L = pi * 11.825m</t>
  </si>
  <si>
    <t>Ring Beam</t>
  </si>
  <si>
    <t>Top slab</t>
  </si>
  <si>
    <t>Cu m</t>
  </si>
  <si>
    <t>Deduction for ventilation</t>
  </si>
  <si>
    <t>Wall of ventilation</t>
  </si>
  <si>
    <t>Ventilation slab cover on top</t>
  </si>
  <si>
    <t>Deduction for ventilating holes on slab tob</t>
  </si>
  <si>
    <t>Base edge</t>
  </si>
  <si>
    <t>Tank Base edge</t>
  </si>
  <si>
    <t>Inner Wall</t>
  </si>
  <si>
    <t>Outer Wall</t>
  </si>
  <si>
    <t>Top Slab Bottom</t>
  </si>
  <si>
    <t>Ventilation Wall (Inner)</t>
  </si>
  <si>
    <t>Ventilation Wall (Outer)</t>
  </si>
  <si>
    <t>Top Ventilating Slab</t>
  </si>
  <si>
    <t>Edge of top ventilating slab</t>
  </si>
  <si>
    <t>Slab tob</t>
  </si>
  <si>
    <t>Ventilation Wall</t>
  </si>
  <si>
    <t xml:space="preserve">Cover slab edge </t>
  </si>
  <si>
    <t xml:space="preserve">Deduction for ventilation </t>
  </si>
  <si>
    <t>Floor</t>
  </si>
  <si>
    <t>Ceiling</t>
  </si>
  <si>
    <t>250 mm thick Plain G.l. Sheet of 16SW Gas a water-stop supplying and fixing</t>
  </si>
  <si>
    <t>Supply and installation Pipes &amp; Fittings</t>
  </si>
  <si>
    <t>250mm dia DI Pipes</t>
  </si>
  <si>
    <t>250mm dia Sluice Valve</t>
  </si>
  <si>
    <t>Mechanical Coupling 250mm dia</t>
  </si>
  <si>
    <t>250 Bend 90</t>
  </si>
  <si>
    <t>II.</t>
  </si>
  <si>
    <t>Surface Drainage Works</t>
  </si>
  <si>
    <t>1</t>
  </si>
  <si>
    <t>Earthwork in Excavation</t>
  </si>
  <si>
    <t>2</t>
  </si>
  <si>
    <t>Fiat Brick Soiing</t>
  </si>
  <si>
    <t>Sq m</t>
  </si>
  <si>
    <t>3</t>
  </si>
  <si>
    <t>M-10 Grade Concreting Work for Lean Concrete (1:3:6) in Foundation</t>
  </si>
  <si>
    <t>4</t>
  </si>
  <si>
    <t>Formwork</t>
  </si>
  <si>
    <t>5</t>
  </si>
  <si>
    <t>Brick Work in 1:4 C/S</t>
  </si>
  <si>
    <t>12.5 mm thick cement plaster in 1:4 C/M</t>
  </si>
  <si>
    <t>Earth Work in Back Filling</t>
  </si>
  <si>
    <t>Grass Turfing Around Tank Área</t>
  </si>
  <si>
    <t>Component: Pipe Suppor Pillars</t>
  </si>
  <si>
    <t>2m</t>
  </si>
  <si>
    <t>cu.m</t>
  </si>
  <si>
    <t xml:space="preserve">Filling of trenches, </t>
  </si>
  <si>
    <t>RRM in CM 1:4</t>
  </si>
  <si>
    <t>PCC 1:2:4</t>
  </si>
  <si>
    <t>3m</t>
  </si>
  <si>
    <t>&gt;3m</t>
  </si>
  <si>
    <t>RCC 1:2:4</t>
  </si>
  <si>
    <t>TMT bars</t>
  </si>
  <si>
    <t>12mmØ</t>
  </si>
  <si>
    <t>8mmØ</t>
  </si>
  <si>
    <t>Shuttering</t>
  </si>
  <si>
    <t>sq.m</t>
  </si>
  <si>
    <t>Component: Thrust Block</t>
  </si>
  <si>
    <t>90°</t>
  </si>
  <si>
    <t>Excavation</t>
  </si>
  <si>
    <t>PCC 1:2:4, 40mm agg</t>
  </si>
  <si>
    <t>PCC 1:3:6</t>
  </si>
  <si>
    <t>Pipe Support for pipeline</t>
  </si>
  <si>
    <t>HP10-140</t>
  </si>
  <si>
    <t>HP10-160</t>
  </si>
  <si>
    <t>HP10-180</t>
  </si>
  <si>
    <t>HP10-200</t>
  </si>
  <si>
    <t>HP10-225</t>
  </si>
  <si>
    <t>HP10-250</t>
  </si>
  <si>
    <t xml:space="preserve">150 mmØ GI pipe </t>
  </si>
  <si>
    <t>Laying and joining of 150 mmØ GI pipe with socket joints</t>
  </si>
  <si>
    <t>150 mm dia</t>
  </si>
  <si>
    <t>250 mmØ HDPE pipe</t>
  </si>
  <si>
    <t>Reservoir</t>
  </si>
  <si>
    <t xml:space="preserve"> 6" G.I./HDPE Flange</t>
  </si>
  <si>
    <t xml:space="preserve"> 6" G.I.Nipple 6" long</t>
  </si>
  <si>
    <t xml:space="preserve"> 6" GI Gate Valve</t>
  </si>
  <si>
    <t xml:space="preserve"> 6" G.I. Elbow</t>
  </si>
  <si>
    <t xml:space="preserve"> 6" G.I. /G.I.Flange </t>
  </si>
  <si>
    <t xml:space="preserve"> 6" G.I.cross Tee</t>
  </si>
  <si>
    <t>TYPE OF WORK : Intake Construction-Fedi</t>
  </si>
  <si>
    <t>TYPE OF WORK : Intake-3 Construction works-Fedi</t>
  </si>
  <si>
    <t>Intake: Damai Kholsi</t>
  </si>
  <si>
    <t>ma</t>
  </si>
  <si>
    <t>Existing</t>
  </si>
  <si>
    <t>Damai Kholsi</t>
  </si>
  <si>
    <t>400 cum Reservoir at Fedi and Damai Kholsi</t>
  </si>
  <si>
    <t>Sump Well System</t>
  </si>
  <si>
    <t xml:space="preserve">Roof Truss in existing </t>
  </si>
  <si>
    <t>Abstract of Cost of Truss and Roofing</t>
  </si>
  <si>
    <t>Items Of works</t>
  </si>
  <si>
    <t>Unit rate</t>
  </si>
  <si>
    <t>Clearing the site from trees, logs, bushes, weeds, grass, debris &amp; rubbish of any nature to make the site suitable for construction work and clearing the site from construction materials and equipment after completion of the work as per instruction of the engineer.</t>
  </si>
  <si>
    <t>Earthwork in excavation in foundation in hard with a lead of 10 m. i&gt;  Upto  depth 4M</t>
  </si>
  <si>
    <t>Cft</t>
  </si>
  <si>
    <t>Providing and backfilling the earth in the trenches in layers not exceeding more than 225 mm with watering and ramming for the proper compaction as per the instruction and specification all complete.</t>
  </si>
  <si>
    <t>Providing and laying first class chimney made brick soling on flat as per the instruction of the Engineer</t>
  </si>
  <si>
    <t>Sft</t>
  </si>
  <si>
    <t>Providing and laying of 75mm thick PCC (1:3:6) in foundation with a size of aggregate not exceeding 38 mm  all complete as per the specification and instruction of the engineer</t>
  </si>
  <si>
    <t xml:space="preserve">Supplying, mixing, placing, compacting and cure concrete  PCC (1:1.5:3) for lintel as per drawing, specification and instruction of Engineer </t>
  </si>
  <si>
    <t>Brickwork in walls and foundation in cement sand mortar (1:4) with 1st class chimney bricks in perfect lines and levels with necessary scaffolding including wetting the brick, properly packing the joint with cement mortar and curing the works all complete</t>
  </si>
  <si>
    <t>Providing and fitting of roof truss with black iron pipe including all necessary joints and accessories as per drawing and instruction, all complete.</t>
  </si>
  <si>
    <t>Kgs</t>
  </si>
  <si>
    <t>Roofing with 0.5 mm thick corrugated coloured GI Sheet with necessary 8mm nut bolts, J-hooks, bitumin washers as per drawing and instruction, all complete.</t>
  </si>
  <si>
    <t>Providing and fixing gutter of 0.5mm coloured plain sheet 150 mm width and 450 mm depth with 40*3 mm iron braket, nutbolt, washer, all complete</t>
  </si>
  <si>
    <t>Rft</t>
  </si>
  <si>
    <t>Providing and fixing ridge of 0.5mm coloured plain sheet , nutbolt, washer, all complete</t>
  </si>
  <si>
    <t>providing 10 SWG 3"X3" Chain mesh Fecing on all faces  of the truss structure with  metal door and proper locking system along with required support system</t>
  </si>
  <si>
    <t>Details Quantity Estimate Truss</t>
  </si>
  <si>
    <t>Length
(ft)</t>
  </si>
  <si>
    <t>Breadth
(ft)</t>
  </si>
  <si>
    <t>Height
(ft)</t>
  </si>
  <si>
    <t>Remark</t>
  </si>
  <si>
    <t>Site Clearance Work:</t>
  </si>
  <si>
    <t>Earthwork in Excavation:</t>
  </si>
  <si>
    <t>Total (Cft)</t>
  </si>
  <si>
    <t>Earthwork in Backfilling:</t>
  </si>
  <si>
    <t>@ 30% of Excavation:</t>
  </si>
  <si>
    <t>Brick Soling Works</t>
  </si>
  <si>
    <t>At Foundation</t>
  </si>
  <si>
    <t>Total (Sft)</t>
  </si>
  <si>
    <t>3" PCC Work:</t>
  </si>
  <si>
    <t>PCC for  lintel ( 1:1.5:3)</t>
  </si>
  <si>
    <t>For Foundation of 4" Pipe</t>
  </si>
  <si>
    <t>Brick Work:</t>
  </si>
  <si>
    <t>Below DPC: 1st  step</t>
  </si>
  <si>
    <t>CSA</t>
  </si>
  <si>
    <t>2nd and 3rd step</t>
  </si>
  <si>
    <t>Total (Cft):</t>
  </si>
  <si>
    <t>Black Iron Pipe Truss Work:</t>
  </si>
  <si>
    <t>4'' Iron Post</t>
  </si>
  <si>
    <t>Kg/m</t>
  </si>
  <si>
    <t>2" Base Tie</t>
  </si>
  <si>
    <t>2" Rafter</t>
  </si>
  <si>
    <t>1.5" Purlins:</t>
  </si>
  <si>
    <t>1.5"  Struts:</t>
  </si>
  <si>
    <t>Total (Kg):</t>
  </si>
  <si>
    <t>Coloured CGI Roofing Work:</t>
  </si>
  <si>
    <t>Total (Sft):</t>
  </si>
  <si>
    <t>Ridge Work:</t>
  </si>
  <si>
    <t>Total (Rft):</t>
  </si>
  <si>
    <t>Gutter Work:</t>
  </si>
  <si>
    <t>QUANTITY ESTIMATES</t>
  </si>
  <si>
    <t>SUMP WELL FOR PUMPS IN GROUND RESERVOIR</t>
  </si>
  <si>
    <t>a</t>
  </si>
  <si>
    <t>E/W in Excavation</t>
  </si>
  <si>
    <t>b</t>
  </si>
  <si>
    <t>35% of Total Earth Work</t>
  </si>
  <si>
    <t>c</t>
  </si>
  <si>
    <t>d</t>
  </si>
  <si>
    <t>M10 Cement Concrete Work for PCC</t>
  </si>
  <si>
    <t>e</t>
  </si>
  <si>
    <t>M20 Cement Concrete Work for PCC</t>
  </si>
  <si>
    <t>Bottom Slab</t>
  </si>
  <si>
    <t xml:space="preserve">Long Wall </t>
  </si>
  <si>
    <t xml:space="preserve">Roof Slab </t>
  </si>
  <si>
    <t>f</t>
  </si>
  <si>
    <t xml:space="preserve">Outer Side of Wall </t>
  </si>
  <si>
    <t>Inner Side of Wall</t>
  </si>
  <si>
    <t>Bottom Face of Slab</t>
  </si>
  <si>
    <t>g</t>
  </si>
  <si>
    <t xml:space="preserve">Reinforcement </t>
  </si>
  <si>
    <t>12 Dia. Bar in Base Slab in Longer Dir.</t>
  </si>
  <si>
    <t>12 Dia. Bar in Base Slab in Short Dir.</t>
  </si>
  <si>
    <t>16 Dia. Vertical Wall (Long)</t>
  </si>
  <si>
    <t>16 Dia. Vertical Wall (Short)</t>
  </si>
  <si>
    <t>12 Dia. Horizontal Bar</t>
  </si>
  <si>
    <t>17 Dia. Bar in Base Slab in Longer Dir.</t>
  </si>
  <si>
    <t>8 Dia. Main Bar in Roof Slab</t>
  </si>
  <si>
    <t>8 Dia. Mainor Bar in Roof Slab</t>
  </si>
  <si>
    <t>8 Extra Bar in Roof Slab</t>
  </si>
  <si>
    <t xml:space="preserve">21 Dia. Chair Bar </t>
  </si>
  <si>
    <t>Extra for Lapping, Chiar, etc.</t>
  </si>
  <si>
    <t>h</t>
  </si>
  <si>
    <t>Plaster (1:4) 12.5 and Punning</t>
  </si>
  <si>
    <t>Wall of Tank</t>
  </si>
  <si>
    <t>Same as Inner form Work</t>
  </si>
  <si>
    <t>Base of Tank</t>
  </si>
  <si>
    <t>i</t>
  </si>
  <si>
    <t>Plaster (1:4) 12.5 in Ceiling</t>
  </si>
  <si>
    <t>j</t>
  </si>
  <si>
    <t>Providing Crystalline Cater Proof Treatment</t>
  </si>
  <si>
    <t>k</t>
  </si>
  <si>
    <t>Mild Steel Iron Step</t>
  </si>
  <si>
    <t>l</t>
  </si>
  <si>
    <t>600 X 600 Manhole Cover (Cash Iron)</t>
  </si>
  <si>
    <t>18 SWG Water Stopper (with 15% for Lapping)</t>
  </si>
  <si>
    <t>n</t>
  </si>
  <si>
    <t>Pump Set and all accessories</t>
  </si>
  <si>
    <t>WTP Maintenance including plaster in RVT</t>
  </si>
  <si>
    <t>Shankharapur Municipality</t>
  </si>
  <si>
    <t>Office of Municipal Executive</t>
  </si>
  <si>
    <t>Sankhu, Kathmandu</t>
  </si>
  <si>
    <t>Detail Estimated Sheet</t>
  </si>
  <si>
    <t>Project:- Sankhu Khanepaani</t>
  </si>
  <si>
    <t>Location:- Shankharapur Municipality-06,07</t>
  </si>
  <si>
    <t>FY :78/79</t>
  </si>
  <si>
    <t>‍</t>
  </si>
  <si>
    <t>Stone Soling in foundation in perfect line and level all complete(जगमा ढुंगा भर्ने काम)</t>
  </si>
  <si>
    <t>1:2:4 PCC (पी. सी सी)</t>
  </si>
  <si>
    <t>ls</t>
  </si>
  <si>
    <t>PCC for RCC works in CSA 1:1.5:3 (ढलानको कार्य) with water proofing chemical all complete in water tank and slab cover</t>
  </si>
  <si>
    <t>`</t>
  </si>
  <si>
    <t>Length(m)</t>
  </si>
  <si>
    <t>Total Length(m)</t>
  </si>
  <si>
    <t>Total weight(kg)</t>
  </si>
  <si>
    <t xml:space="preserve">  12 mm Ø circular</t>
  </si>
  <si>
    <t xml:space="preserve">  8 mm Ø stirrups @ 200mm c/c</t>
  </si>
  <si>
    <t>Project Information Board</t>
  </si>
  <si>
    <t>Lab Test Report</t>
  </si>
  <si>
    <t>Contingencies 3%</t>
  </si>
  <si>
    <t>0.15x7</t>
  </si>
  <si>
    <t>with 0/H</t>
  </si>
  <si>
    <t>Earthworks in excavation in hard soil</t>
  </si>
  <si>
    <t>RCC drain</t>
  </si>
  <si>
    <t>shear wall</t>
  </si>
  <si>
    <t>Shear wall</t>
  </si>
  <si>
    <t>RCC Drain</t>
  </si>
  <si>
    <t>Retaining wall at boundary</t>
  </si>
  <si>
    <t>Retaining wall  near roughing filter</t>
  </si>
  <si>
    <t>Random Rubble Stone Masonry in C/S 1:4 including weep holes in perfect line and level with proper curing all complete.</t>
  </si>
  <si>
    <t>Check dam</t>
  </si>
  <si>
    <t>Reinforcement works</t>
  </si>
  <si>
    <t xml:space="preserve">Form work for concrete work in shear wall,etc     </t>
  </si>
  <si>
    <t>Behind retaining wall</t>
  </si>
  <si>
    <t>Retaining wall near the intake</t>
  </si>
  <si>
    <t xml:space="preserve">VAT 13% </t>
  </si>
  <si>
    <t xml:space="preserve"> Sub Total</t>
  </si>
  <si>
    <t xml:space="preserve"> Total</t>
  </si>
  <si>
    <t>Plaster works 1:4 प्लास्टरको काम 12.5mm with 3mm punning</t>
  </si>
  <si>
    <t>side Wall</t>
  </si>
  <si>
    <t>Retaining wall near the old intake</t>
  </si>
  <si>
    <t>new Intake at burkamala</t>
  </si>
  <si>
    <t>burkamala Intake PCC</t>
  </si>
  <si>
    <t xml:space="preserve">Burkamala intake </t>
  </si>
  <si>
    <t>Burkamala intake</t>
  </si>
  <si>
    <t>burkamala intake</t>
  </si>
  <si>
    <t>PCC  M15</t>
  </si>
  <si>
    <t>Burkamala Intake</t>
  </si>
  <si>
    <t xml:space="preserve">Supply and fitting of Rectangular 24"x24" (50 kg) C.I. tank manhole Cover locking types for burkamala Intake </t>
  </si>
  <si>
    <t>Gabion Works: Gabion Preparation, mesh forming etc. (size 2mx1mx1m)</t>
  </si>
  <si>
    <t>Gabion Works: Filling of gabion box with stones</t>
  </si>
  <si>
    <t>2mx1mx1m</t>
  </si>
  <si>
    <t>Insurance</t>
  </si>
  <si>
    <t>Other necessary fittings as required on site</t>
  </si>
  <si>
    <t>ps</t>
  </si>
  <si>
    <t>Earthworks in excavation in hard soil as per standard specification</t>
  </si>
  <si>
    <t>Backfilling with Hard Soil as per standard specifications all complete</t>
  </si>
  <si>
    <t>Dry Stone Soling in foundation in perfect line and level all complete</t>
  </si>
  <si>
    <t>Providing and laying of 1:2:4 PCC as per drawing and Standard specifications all complete</t>
  </si>
  <si>
    <t>Providing Plaster works 1:4 , 12.5mm with 3mm punning all complete as per standard specifications</t>
  </si>
  <si>
    <t xml:space="preserve">Providing of Form work for concrete work in shear wall,etc as per standard norms and specifications all complete    </t>
  </si>
  <si>
    <t>Cutting , bending and laying of Reinforcement works FE-500 as per given drawing and standard specifications all complete</t>
  </si>
  <si>
    <t>Collection tank and chamber</t>
  </si>
  <si>
    <t>Weir</t>
  </si>
  <si>
    <t>Damn</t>
  </si>
  <si>
    <t>under Collection tank&amp; chamber</t>
  </si>
  <si>
    <t xml:space="preserve">For Raft </t>
  </si>
  <si>
    <t xml:space="preserve"> Collection tank &amp; chamber</t>
  </si>
  <si>
    <t>Short wall &amp; Partition</t>
  </si>
  <si>
    <t>Raft for  tank &amp; chamber</t>
  </si>
  <si>
    <t>Slab</t>
  </si>
  <si>
    <t>Parapet above tank</t>
  </si>
  <si>
    <t>Raft For Damn</t>
  </si>
  <si>
    <t>damn Part-1</t>
  </si>
  <si>
    <t>damn Part-2</t>
  </si>
  <si>
    <t xml:space="preserve">Raft for  tank &amp; chamber </t>
  </si>
  <si>
    <t>Shear wall (Slope)</t>
  </si>
  <si>
    <t>two step</t>
  </si>
  <si>
    <t>section 1</t>
  </si>
  <si>
    <t>section 2</t>
  </si>
  <si>
    <t>section 3</t>
  </si>
  <si>
    <t>section 4</t>
  </si>
  <si>
    <t>section 5</t>
  </si>
  <si>
    <t>section 6</t>
  </si>
  <si>
    <t>section 7</t>
  </si>
  <si>
    <t>section 8</t>
  </si>
  <si>
    <t>section 9</t>
  </si>
  <si>
    <t>section 10</t>
  </si>
  <si>
    <t>section 11</t>
  </si>
  <si>
    <t>section 12</t>
  </si>
  <si>
    <t xml:space="preserve">  10 mm Ø circular</t>
  </si>
  <si>
    <t xml:space="preserve">  10 mm Ø stirrups @ 200mm c/c</t>
  </si>
  <si>
    <t>Difference</t>
  </si>
  <si>
    <t>Total with VAT and PS</t>
  </si>
  <si>
    <t>योजनाको नामः</t>
  </si>
  <si>
    <t>बिलको क्रम सङ्ख्याः</t>
  </si>
  <si>
    <t>योजना कार्यान्वयन हुने स्थानः</t>
  </si>
  <si>
    <t>कार्य आदेश मितिः</t>
  </si>
  <si>
    <t>ठेकदारको नामः</t>
  </si>
  <si>
    <t>काम सम्पन्न गर्नु पर्ने मितिः</t>
  </si>
  <si>
    <t>ठेक्का पट्टाको सङ्केतः</t>
  </si>
  <si>
    <t>SMO/078/79/56</t>
  </si>
  <si>
    <t>म्याद थप/भेरिएसन मितिः</t>
  </si>
  <si>
    <t>नापी किताब नं</t>
  </si>
  <si>
    <t>काम सम्पन्न भएको मितिः</t>
  </si>
  <si>
    <t>Item.No</t>
  </si>
  <si>
    <t>सम्झौता बमोजिम</t>
  </si>
  <si>
    <t>हाल भएको काम</t>
  </si>
  <si>
    <t>अगिल्लो बिलमा भएको  काम</t>
  </si>
  <si>
    <t>हाल सम्म भएको काम</t>
  </si>
  <si>
    <t>बाकि काम</t>
  </si>
  <si>
    <t>परिमाण</t>
  </si>
  <si>
    <t>दर</t>
  </si>
  <si>
    <t>रकम</t>
  </si>
  <si>
    <t>13 % VAT</t>
  </si>
  <si>
    <t>Total with VAT</t>
  </si>
  <si>
    <t xml:space="preserve">Provisional sum </t>
  </si>
  <si>
    <t>Grand total Rs.</t>
  </si>
  <si>
    <t>उपर्युक्त बमोजिम ठीक छ भनी प्रमाणित गर्नेको सही ः–</t>
  </si>
  <si>
    <t>यो बमोजिमको जम्मा रु.</t>
  </si>
  <si>
    <t>भ्याट सहित</t>
  </si>
  <si>
    <t xml:space="preserve">ङ) धरौटी @5% का दरले </t>
  </si>
  <si>
    <t xml:space="preserve">अघिल्लो बिलबाट भुक्तानी भएको रु. </t>
  </si>
  <si>
    <t>च) अग्रीम आयकरः – 1.5% का दरले जम्मा रु.</t>
  </si>
  <si>
    <t>बाँकी दिनु पर्ने रु.</t>
  </si>
  <si>
    <t>ठेकेदारको सही ः–</t>
  </si>
  <si>
    <t xml:space="preserve">कट्टा गर्नू पर्ने रु </t>
  </si>
  <si>
    <t>खुद दिनु पर्ने रु.</t>
  </si>
  <si>
    <t xml:space="preserve">क) पेश्की </t>
  </si>
  <si>
    <t>जम्मा रु: …………………..……...अक्षेरेपी...............को चेक नं</t>
  </si>
  <si>
    <t>नाप जाँच गर्नेको सही</t>
  </si>
  <si>
    <t>चेक गर्नेको सही</t>
  </si>
  <si>
    <t xml:space="preserve">स्वीकृत गर्नेको सही </t>
  </si>
  <si>
    <t>First Running Bill</t>
  </si>
  <si>
    <t>Sankhu Khanepani</t>
  </si>
  <si>
    <t>shankharapur-6,7,4</t>
  </si>
  <si>
    <t xml:space="preserve">Consolidated Builders and Engineers Pvt. Ltd., lalitpur
</t>
  </si>
  <si>
    <t>June 20 2022</t>
  </si>
  <si>
    <t>Abstract of Valuated Cost</t>
  </si>
  <si>
    <t>Bill No.: First Running Bill</t>
  </si>
  <si>
    <t xml:space="preserve">Contractors Name: Consolidated Builders and Engineers Pvt. Ltd., lalitpur
</t>
  </si>
  <si>
    <t>Contract No.: SMO/078/79/51</t>
  </si>
  <si>
    <t>Date: 2079/03/09</t>
  </si>
  <si>
    <t>Detail measurement Sheet</t>
  </si>
  <si>
    <t>Total With VAT and PS</t>
  </si>
  <si>
    <t>Detail Measurement Sheet</t>
  </si>
  <si>
    <t>148 per kg</t>
  </si>
  <si>
    <t>S</t>
  </si>
  <si>
    <t>DESCRIPTION</t>
  </si>
  <si>
    <t>Rad.</t>
  </si>
  <si>
    <t>QNTTY</t>
  </si>
  <si>
    <t>norms</t>
  </si>
  <si>
    <t>N</t>
  </si>
  <si>
    <t>(m)</t>
  </si>
  <si>
    <t>Wall Height  =</t>
  </si>
  <si>
    <t>Wall Thickness   =</t>
  </si>
  <si>
    <t>Inside Dia.  =</t>
  </si>
  <si>
    <t>(Gross Volume =</t>
  </si>
  <si>
    <t>Cum)</t>
  </si>
  <si>
    <t>Dome Height   =</t>
  </si>
  <si>
    <t>Excavation work in BMS soils</t>
  </si>
  <si>
    <t>VC</t>
  </si>
  <si>
    <t>Tank</t>
  </si>
  <si>
    <t>washout pipe trench</t>
  </si>
  <si>
    <t>Back filling with loose soils</t>
  </si>
  <si>
    <t>2.39a</t>
  </si>
  <si>
    <t>Boulder Soling with sand</t>
  </si>
  <si>
    <t>6.5a</t>
  </si>
  <si>
    <t>RRM  in 1:6 c/s mortar in VC</t>
  </si>
  <si>
    <t>6.1c</t>
  </si>
  <si>
    <t xml:space="preserve">PCC(1:3:6) work as Lean Concrete for floor </t>
  </si>
  <si>
    <t>7.2c</t>
  </si>
  <si>
    <t>PCC (1:2:4) in RCC components</t>
  </si>
  <si>
    <t>cover slab of VC</t>
  </si>
  <si>
    <t>manhole cover</t>
  </si>
  <si>
    <t>deduction for MH opening</t>
  </si>
  <si>
    <t>Base slab</t>
  </si>
  <si>
    <t>Circular wall</t>
  </si>
  <si>
    <t>Haunch at base</t>
  </si>
  <si>
    <t>Circular dome beam</t>
  </si>
  <si>
    <t>Conical roof slab</t>
  </si>
  <si>
    <t>Deduction for Manhole cover</t>
  </si>
  <si>
    <t>7.4b1</t>
  </si>
  <si>
    <t>Formwork for concreting work</t>
  </si>
  <si>
    <t>bottom of cover slab of VC</t>
  </si>
  <si>
    <t>sides of cover slab of VC</t>
  </si>
  <si>
    <t>sides of base slab of tank</t>
  </si>
  <si>
    <t>tank walls</t>
  </si>
  <si>
    <t>soffit of conical roof slab</t>
  </si>
  <si>
    <t>deduction for MH cover</t>
  </si>
  <si>
    <t>8.2a</t>
  </si>
  <si>
    <t>Reinforcement work in RCC components</t>
  </si>
  <si>
    <t>(1)</t>
  </si>
  <si>
    <t>12mm @ 170 c/c both ways on both faces of base slab"</t>
  </si>
  <si>
    <t>(2)</t>
  </si>
  <si>
    <t>12mm vertical bars 160 c/c b/s  upto 1.0m height"</t>
  </si>
  <si>
    <t>(3)</t>
  </si>
  <si>
    <t>12mm vertical bars @ 160 c/c b/s  for walls-long"</t>
  </si>
  <si>
    <t>(4)</t>
  </si>
  <si>
    <t>12mm circular hoop bars @ 150 c/c upto 1m height"</t>
  </si>
  <si>
    <t>(5)</t>
  </si>
  <si>
    <t>12mm inclined bars @ 160 c/c  for base haunch"</t>
  </si>
  <si>
    <t>(6)</t>
  </si>
  <si>
    <t>12mm circular hoop bars @ 170 c/c 1m to 3m height"</t>
  </si>
  <si>
    <t>(7)</t>
  </si>
  <si>
    <t>8mm @ 150 c/c stirrups for beam"</t>
  </si>
  <si>
    <t>(8)</t>
  </si>
  <si>
    <t>12mm  bars 8 nos for circular beam"</t>
  </si>
  <si>
    <t>(9)</t>
  </si>
  <si>
    <t>12mm radial arc bars @ 150 c/c for conical roofslab"</t>
  </si>
  <si>
    <t>(10)</t>
  </si>
  <si>
    <t>12mm circular bars @ 160 c/c for conical roof slab"</t>
  </si>
  <si>
    <t>(11)</t>
  </si>
  <si>
    <t>6mm  Spacer bars(seperators)"</t>
  </si>
  <si>
    <t>(12)</t>
  </si>
  <si>
    <t>8mm @ 150 c/c both ways for VC"</t>
  </si>
  <si>
    <t>inner face of tank wall</t>
  </si>
  <si>
    <t>floor</t>
  </si>
  <si>
    <t>12.1a</t>
  </si>
  <si>
    <t>12.5mm outside plaster in 1:4 c/m</t>
  </si>
  <si>
    <t>outer face of tank wall</t>
  </si>
  <si>
    <t>conical roof, both faces</t>
  </si>
  <si>
    <t>12.1c</t>
  </si>
  <si>
    <t>3mm punning with 1:1 c/s mortar</t>
  </si>
  <si>
    <t xml:space="preserve">floor portion </t>
  </si>
  <si>
    <t>inner face of wall</t>
  </si>
  <si>
    <t>11.20</t>
  </si>
  <si>
    <t>Double coat Snowcem paint on exposed surface</t>
  </si>
  <si>
    <t>outer face of wall</t>
  </si>
  <si>
    <t>conical roof</t>
  </si>
  <si>
    <t>13.4b</t>
  </si>
  <si>
    <t>2 coats bitumen painting over unexposed surface</t>
  </si>
  <si>
    <t>13.10b</t>
  </si>
  <si>
    <t>Supply and installation of outer and inner steel</t>
  </si>
  <si>
    <t>pipe ladders as directed by site Engineer</t>
  </si>
  <si>
    <t>mh60</t>
  </si>
  <si>
    <t>transporting and fixing at place,</t>
  </si>
  <si>
    <t>Installation of Pipe fittings</t>
  </si>
  <si>
    <t>Construction site cleareance,  leak proof test</t>
  </si>
  <si>
    <t>and disinfection of reservoir all complete</t>
  </si>
  <si>
    <t xml:space="preserve">Component: BARBED  WIRE  FENCING </t>
  </si>
  <si>
    <t>vc</t>
  </si>
  <si>
    <t>Scafolding work</t>
  </si>
  <si>
    <t>60 cm dia. MS MH cover including procuring</t>
  </si>
  <si>
    <t>Supply of Fittings for inlet, outlets,washout &amp; overflow as per drawing, instruction and standard specification</t>
  </si>
  <si>
    <t>2-1/2" Dia outlet -3 Nos</t>
  </si>
  <si>
    <t>2-1/2" Dia 2m long G.I. Nipple</t>
  </si>
  <si>
    <t>pc</t>
  </si>
  <si>
    <t>2-1/2" Dia  G.I. Nipple 30cm long</t>
  </si>
  <si>
    <t>2-1/2" Dia  G.I.Socket</t>
  </si>
  <si>
    <t>2-1/2" Dia  G.I. Elbow</t>
  </si>
  <si>
    <t>2-1/2" Dia  G.I. Strainer50 cm long</t>
  </si>
  <si>
    <t>2-1/2" Dia  Sluice valve</t>
  </si>
  <si>
    <t>2-1/2" Dia  G.I. Flange</t>
  </si>
  <si>
    <t>2-1/2" Dia  G.I. /HDPE Flange</t>
  </si>
  <si>
    <t>2-1/2" Dia  C.I. Plug .</t>
  </si>
  <si>
    <t>2-1/2"*3/4" GI Unequal Tee</t>
  </si>
  <si>
    <t xml:space="preserve">3/4" GI nipple 2m long </t>
  </si>
  <si>
    <t xml:space="preserve">3/4" GI nipple 1 m long </t>
  </si>
  <si>
    <t xml:space="preserve">3/4" GI nipple 0.35 m long </t>
  </si>
  <si>
    <t>3/4"GI elbow</t>
  </si>
  <si>
    <t>3/4"GI Socket</t>
  </si>
  <si>
    <t>3/4"GIUnion</t>
  </si>
  <si>
    <t>3/4" short nipple 4"</t>
  </si>
  <si>
    <t>3" Dia overflow</t>
  </si>
  <si>
    <t>3" Dia 2m long G.I. Nipple</t>
  </si>
  <si>
    <t>3" Dia  G.I. Nipple 0.6 m long</t>
  </si>
  <si>
    <t>3" Dia  G.I. Elbow</t>
  </si>
  <si>
    <t>3" Dia  G.I. Socket</t>
  </si>
  <si>
    <t>3" Dia  G.I. Plug .</t>
  </si>
  <si>
    <t>3" Dia  G.I/HDPE.Flange Set.</t>
  </si>
  <si>
    <t>1-1/2" Dia Inlet - 1 No.</t>
  </si>
  <si>
    <t>1-1/2" Dia 2m long G.I. Nipple</t>
  </si>
  <si>
    <t>1-1/2" Dia  G.I. Nipple 1m long</t>
  </si>
  <si>
    <t>1-1/2" Dia  G.I. Elbow</t>
  </si>
  <si>
    <t>1-1/2" Dia  G.I. Socket</t>
  </si>
  <si>
    <t>1-1/2"Dia  G.I. Short nipple</t>
  </si>
  <si>
    <t>1-1/2" Dia  gate Valve</t>
  </si>
  <si>
    <t>1-1/2"Dia  G.I. Plug .</t>
  </si>
  <si>
    <t>1-1/2" Dia  G.I/HDPE.Flange Set.</t>
  </si>
  <si>
    <t>3" Dia Washout</t>
  </si>
  <si>
    <t>3" Dia 2.8 m long G.I. Nipple</t>
  </si>
  <si>
    <t>3" Dia  Sluice valve</t>
  </si>
  <si>
    <t>3" Dia  MS. Flange</t>
  </si>
  <si>
    <t>3" Dia  G.I./HDPE Flange Set.</t>
  </si>
  <si>
    <t>PCC (1:1.5:3) for RCC components with 2 % WPC</t>
  </si>
  <si>
    <t>12.5mm inside plaster in 1:3 c/s mortar with 2% WPC</t>
  </si>
  <si>
    <t xml:space="preserve">60 cm dia. MS MH cover including procuring transporting and fixing at place, </t>
  </si>
  <si>
    <t>Construction site cleareance,  leak proof test and disinfection of reservoir all complete</t>
  </si>
  <si>
    <t>Supply and installation of outer and inner steel pipe ladders  as directed by site Engineer</t>
  </si>
  <si>
    <t xml:space="preserve">Reservoir 50,150,200, 3 sedimentation tank, barbed wire fencing </t>
  </si>
  <si>
    <t>All Total</t>
  </si>
  <si>
    <t>Excavation work Soft soils</t>
  </si>
  <si>
    <t>Excavation work in Soft soils for semi underground water tanks and sedimentation tanks all complete as per specifications</t>
  </si>
  <si>
    <t>Earth work in refilling with ordinary hard soil in 15cm layers including water sprinking and compaction after each layer all complete</t>
  </si>
  <si>
    <t>Boulder Soling with sand for the foundation of structures as per required specification all complete</t>
  </si>
  <si>
    <t>Stone masonry   in 1:6 c/s mortar in valve chamber and boundary wall as per required specification all complete</t>
  </si>
  <si>
    <t>Providing and laying PCC(1:3:6) work as Lean Concrete for floor as per required specification for foundation of water tank and sedimentation tank all complete</t>
  </si>
  <si>
    <t>Providing and laying of PCC (1:2:4) in RCC components in Valve chamber and in RRM works all complete</t>
  </si>
  <si>
    <t>Providing and laying of PCC (1:1.5:3) for RCC components with 2 % WPC in structutral components of water tank and sedimentation tank al complete</t>
  </si>
  <si>
    <t>Providing of Formwork for concreting work in water tank and sedimentaion tank as per drawing and specification all complete</t>
  </si>
  <si>
    <t xml:space="preserve">Providing of extra Scafolding work(support for top slab) in water tank </t>
  </si>
  <si>
    <t>Site Clearance-off rooting of small trees, bushes and removing of top soil for 3 semi underground reservoirs and 3 sedimentation tanks</t>
  </si>
  <si>
    <t>Cutting bending,placing in position and binding Reinforcement steel bar in bottom slab wall ring beam, spherical dome of the tank and valve chamber cover slab and bottom as well as walls of sedimentation tank according to the drawing and specification (Size and quantity of bars required are given in Drg</t>
  </si>
  <si>
    <t>Brick Masonry Work in 1:6 cement sand mortar for sedimentation tank all complete</t>
  </si>
  <si>
    <t>Providing 12.5mm inside plaster in 1:3 c/s mortar with 2% WPC for water tank and sedimentation tank</t>
  </si>
  <si>
    <t>Providing 12.5mm outside plaster in 1:4 c/m  for water tank and sedimentation tank</t>
  </si>
  <si>
    <t>Providing 3mm punning with 1:1 c/s mortar for water tank and sedimentation tank</t>
  </si>
  <si>
    <t>Providing Double coat Snowcem paint on exposed surface of structures</t>
  </si>
  <si>
    <t>Providing 2 coats bitumen painting over unexposed surface on water tank</t>
  </si>
  <si>
    <t>Providing Two Coat of Enamel Paint of Appropriate Colour on Exposed Surface of sedimentation Tank</t>
  </si>
  <si>
    <t>Installation of Pipe fittings for  water tanks</t>
  </si>
  <si>
    <t>Supply of Fittings for outlet of water tanks , 2-1/2" Dia 2m long G.I. Nipple</t>
  </si>
  <si>
    <t>Supply of Fittings for outlet of water tanks  ,2-1/2" Dia  G.I. Nipple 30cm long</t>
  </si>
  <si>
    <t>Supply of Fittings for outlet of water tanks ,2-1/2" Dia  G.I.Socket</t>
  </si>
  <si>
    <t>Supply of Fittings for outlet of water tanks ,2-1/2" Dia  G.I. Elbow</t>
  </si>
  <si>
    <t>Supply of Fittings for outlet of water tanks ,2-1/2" Dia  G.I. Strainer50 cm long</t>
  </si>
  <si>
    <t>Supply of Fittings for outlet of water tanks ,2-1/2" Dia  Sluice valve</t>
  </si>
  <si>
    <t>Supply of Fittings for outlet of water tanks ,2-1/2" Dia  G.I. Flange</t>
  </si>
  <si>
    <t>Supply of Fittings for outlet of water tanks ,2-1/2" Dia  G.I. /HDPE Flange</t>
  </si>
  <si>
    <t>Supply of Fittings for outlet of water tanks ,2-1/2" Dia  C.I. Plug .</t>
  </si>
  <si>
    <t>Supply of Fittings for outlet of water tanks ,2-1/2"*3/4" GI Unequal Tee</t>
  </si>
  <si>
    <t xml:space="preserve">Supply of Fittings for outlet of water tanks ,3/4" GI nipple 2m long </t>
  </si>
  <si>
    <t xml:space="preserve">Supply of Fittings for outlet of water tanks ,3/4" GI nipple 1 m long </t>
  </si>
  <si>
    <t xml:space="preserve">Supply of Fittings for outlet of water tanks ,3/4" GI nipple 0.35 m long </t>
  </si>
  <si>
    <t>Supply of Fittings for outlet of water tanks ,3/4"GI elbow</t>
  </si>
  <si>
    <t>Supply of Fittings for outlet of water tanks ,3/4"GI Socket</t>
  </si>
  <si>
    <t>Supply of Fittings for outlet of water tanks ,3/4"GIUnion</t>
  </si>
  <si>
    <t>Supply of Fittings for outlet of water tanks ,3/4" short nipple 4"</t>
  </si>
  <si>
    <t>Supply of Fittings for overflow of water tanks ,3" Dia 2m long G.I. Nipple</t>
  </si>
  <si>
    <t>Supply of Fittings for overflow of water tanks ,3" Dia  G.I. Nipple 0.6 m long</t>
  </si>
  <si>
    <t>Supply of Fittings for overflow of water tanks ,3" Dia  G.I. Elbow</t>
  </si>
  <si>
    <t>Supply of Fittings for overflow of water tanks ,3" Dia  G.I. Socket</t>
  </si>
  <si>
    <t>Supply of Fittings for overflow of water tanks ,3" Dia  G.I. Plug .</t>
  </si>
  <si>
    <t>Supply of Fittings for overflow of water tanks ,3" Dia  G.I/HDPE.Flange Set.</t>
  </si>
  <si>
    <t>Supply of Fittings for inlet of water tanks ,1-1/2" Dia 2m long G.I. Nipple</t>
  </si>
  <si>
    <t>Supply of Fittings for inlet of water tanks ,1-1/2" Dia  G.I. Nipple 1m long</t>
  </si>
  <si>
    <t>Supply of Fittings for inlet of water tanks ,1-1/2" Dia  G.I. Elbow</t>
  </si>
  <si>
    <t>Supply of Fittings for inlet of water tanks ,1-1/2" Dia  G.I. Socket</t>
  </si>
  <si>
    <t>Supply of Fittings for inlet of water tanks ,1-1/2"Dia  G.I. Short nipple</t>
  </si>
  <si>
    <t>Supply of Fittings for inlet of water tanks ,1-1/2" Dia  gate Valve</t>
  </si>
  <si>
    <t>Supply of Fittings for inlet of water tanks ,1-1/2"Dia  G.I. Plug .</t>
  </si>
  <si>
    <t>Supply of Fittings for inlet of water tanks ,1-1/2" Dia  G.I/HDPE.Flange Set.</t>
  </si>
  <si>
    <t>Supply of Fittings for washout of water tanks ,3" Dia 2.8 m long G.I. Nipple</t>
  </si>
  <si>
    <t>Supply of Fittings for washout of water tanks ,3" Dia  G.I. Elbow</t>
  </si>
  <si>
    <t>Supply of Fittings for washout of water tanks ,3" Dia  MS. Flange</t>
  </si>
  <si>
    <t>Supply of Fittings for washout of water tanks ,3" Dia  G.I. Plug .</t>
  </si>
  <si>
    <t>Supply of Fittings for washout of water tanks ,3" Dia  G.I./HDPE Flange Set.</t>
  </si>
  <si>
    <t xml:space="preserve">Providing and fixing of Barbed wire fencing all complete </t>
  </si>
  <si>
    <t>providing 6 mm ø mild steel rod for hooks, 650 mm long each for fencing works</t>
  </si>
  <si>
    <t>providing M.S. 40 x 40 x 6 angle bar, 2.5 m long for fencing all complete</t>
  </si>
  <si>
    <t>Providing and laying  granular sub-base without compaction  on prepared surface, mixing , complete as per Drawing and Technical Specifications., By Mechanical means</t>
  </si>
  <si>
    <t>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 as required on site for Access road required for the proposed  Structures</t>
  </si>
  <si>
    <t xml:space="preserve">Project information Board with metal frame on site </t>
  </si>
  <si>
    <t>Lab test for concrete as instructed by site engineer</t>
  </si>
  <si>
    <t>Supply of required fittings and required materials and extra works on site as per the approval of Engineer</t>
  </si>
  <si>
    <t>Shankharapur Municipaltiy Office</t>
  </si>
  <si>
    <t>Office of Municipal Executuve</t>
  </si>
  <si>
    <t>Bagmati Pradesh, Sankhu Kathmandu</t>
  </si>
  <si>
    <t>Project: Construction of semi underground water tanks and sedimentaion tanks, Manichood Khanepani</t>
  </si>
  <si>
    <t>Location: Shankharapur-8</t>
  </si>
  <si>
    <t>F/Y: 079/80</t>
  </si>
  <si>
    <t>Date: 2079/8/25</t>
  </si>
  <si>
    <t>Abstract of Cost</t>
  </si>
  <si>
    <t>dham retaining wall</t>
  </si>
  <si>
    <t>26\</t>
  </si>
  <si>
    <t xml:space="preserve">Cross Barbed Wire  </t>
  </si>
  <si>
    <t>dham</t>
  </si>
  <si>
    <t>Dham</t>
  </si>
  <si>
    <t>Ranatole</t>
  </si>
  <si>
    <t>Bill No: Final Bill</t>
  </si>
  <si>
    <t>both side</t>
  </si>
  <si>
    <t xml:space="preserve">Base of Foundation,        dham      </t>
  </si>
  <si>
    <t>Base of Foundation,        ranatole</t>
  </si>
  <si>
    <t>Base of Foundation,       goldhunga</t>
  </si>
  <si>
    <t>goldhunga</t>
  </si>
  <si>
    <t>long wall</t>
  </si>
  <si>
    <t>shortwall</t>
  </si>
  <si>
    <t>inlet</t>
  </si>
  <si>
    <t>outlet dedn</t>
  </si>
  <si>
    <t>outlet</t>
  </si>
  <si>
    <t>medium wall</t>
  </si>
  <si>
    <t>Goldhunga</t>
  </si>
  <si>
    <t>top</t>
  </si>
  <si>
    <t>dedn</t>
  </si>
  <si>
    <t>inlet and outlet</t>
  </si>
  <si>
    <t>ranatole</t>
  </si>
  <si>
    <t>wall in between</t>
  </si>
  <si>
    <t>Baffle wall</t>
  </si>
  <si>
    <t xml:space="preserve">1:4 Mortar </t>
  </si>
  <si>
    <t>outer side</t>
  </si>
  <si>
    <t>chamber</t>
  </si>
  <si>
    <t>cover</t>
  </si>
  <si>
    <t>less</t>
  </si>
  <si>
    <t xml:space="preserve">S.No. </t>
  </si>
  <si>
    <t>4" GI Nipple</t>
  </si>
  <si>
    <t>4" GI Socket</t>
  </si>
  <si>
    <t>4" GI Sluice Valve</t>
  </si>
  <si>
    <t>4" GI Plug</t>
  </si>
  <si>
    <t>3" GI Elbow</t>
  </si>
  <si>
    <t>3" GI Plug</t>
  </si>
  <si>
    <t>3" GI Socket</t>
  </si>
  <si>
    <t>2-1/2 GI Socket</t>
  </si>
  <si>
    <t>2-1/2 GI Plug</t>
  </si>
  <si>
    <t>3/4x 3" long GI Nipple</t>
  </si>
  <si>
    <t>3/4x 9" long GI Nipple</t>
  </si>
  <si>
    <t>3/4 GI socket</t>
  </si>
  <si>
    <t>3/4 GI Union</t>
  </si>
  <si>
    <t>3/4 GI Gate Valve</t>
  </si>
  <si>
    <t>3/4 x 4 GI Nipple</t>
  </si>
  <si>
    <t>3/4 x 6 GI Nipple</t>
  </si>
  <si>
    <t>4x24" nipple Pipe</t>
  </si>
  <si>
    <t>4"x6.5' GI Nipple Pipe</t>
  </si>
  <si>
    <t>3" x 6.5' GI pipe nipple</t>
  </si>
  <si>
    <t>3x4 Nipple</t>
  </si>
  <si>
    <t>2-1/2 x 6.5' GI Nipple</t>
  </si>
  <si>
    <t>2" x 6.5' long Nipple</t>
  </si>
  <si>
    <t>3/4" x 6.5 ft Nipple</t>
  </si>
  <si>
    <t xml:space="preserve">3/4" x 10" GI Nipple </t>
  </si>
  <si>
    <t>VAT 13%</t>
  </si>
  <si>
    <t>All total</t>
  </si>
  <si>
    <t>Provisional Sum Items</t>
  </si>
  <si>
    <t>previous bill amount (insurance extra)</t>
  </si>
  <si>
    <t>Work Completion Report</t>
  </si>
  <si>
    <t>Contractor Name: SMO/079/80/84</t>
  </si>
  <si>
    <t>Contractor's Name: Goldenstar Construction and Suppliers pvt. Ltd. ,Madhyapur thimi-3</t>
  </si>
  <si>
    <t>Date: 2080/3/21</t>
  </si>
  <si>
    <t>Construction of semi underground water tanks and sedimentaion tanks, Manichood Khanepani</t>
  </si>
  <si>
    <t>shankharapur-8</t>
  </si>
  <si>
    <t>Goldenstar Construction and Suppliers Pvt. Ltd.</t>
  </si>
  <si>
    <t>SMO/079/80/84</t>
  </si>
  <si>
    <t>म्याद थप मितिः</t>
  </si>
  <si>
    <t>FInal Bill</t>
  </si>
  <si>
    <t>Shankharpur Municipality</t>
  </si>
  <si>
    <t>kabja</t>
  </si>
  <si>
    <t>cement paint</t>
  </si>
  <si>
    <t>micro silica</t>
  </si>
  <si>
    <t>Tmt steel bars, kg</t>
  </si>
  <si>
    <t>83/84</t>
  </si>
  <si>
    <t>Summary of Rate Analysis for Water Supply and Irrigation For F/Y 2083/84</t>
  </si>
  <si>
    <t>Rate Per Unit    ( without VAT ) + overhead</t>
  </si>
  <si>
    <t>without overhead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</si>
</sst>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5">
    <numFmt numFmtId="43" formatCode="_(* #,##0.00_);_(* \(#,##0.00\);_(* &quot;-&quot;??_);_(@_)"/>
    <numFmt numFmtId="164" formatCode="0.000"/>
    <numFmt numFmtId="165" formatCode="0.0"/>
    <numFmt numFmtId="166" formatCode="0.00_)"/>
    <numFmt numFmtId="167" formatCode="0.0_)"/>
    <numFmt numFmtId="168" formatCode="0.000_)"/>
    <numFmt numFmtId="169" formatCode="0_)"/>
    <numFmt numFmtId="170" formatCode="General_)"/>
    <numFmt numFmtId="171" formatCode="_(* #,##0.0_);_(* \(#,##0.0\);_(* &quot;-&quot;??_);_(@_)"/>
    <numFmt numFmtId="172" formatCode="_(* #,##0_);_(* \(#,##0\);_(* &quot;-&quot;??_);_(@_)"/>
    <numFmt numFmtId="173" formatCode="##\ ##\ ##0.00"/>
    <numFmt numFmtId="174" formatCode="General&quot; mmØ&quot;"/>
    <numFmt numFmtId="175" formatCode="General&quot;  kg/cm²&quot;"/>
    <numFmt numFmtId="176" formatCode="&quot;@ &quot;0.00&quot; %&quot;"/>
    <numFmt numFmtId="177" formatCode="General&quot; mmØ GI ( Medium )&quot;"/>
    <numFmt numFmtId="178" formatCode="&quot;Value Added Tax @ &quot;#.00\ &quot;%&quot;"/>
    <numFmt numFmtId="179" formatCode="&quot;@ &quot;#.00\ &quot;kg/m&quot;"/>
    <numFmt numFmtId="180" formatCode="0.00_);\(0.00\)"/>
    <numFmt numFmtId="181" formatCode="0.0000_)"/>
    <numFmt numFmtId="182" formatCode="&quot;@ &quot;#0.000\ &quot;kg/m&quot;"/>
    <numFmt numFmtId="183" formatCode="&quot;@ &quot;0.00&quot;%&quot;"/>
    <numFmt numFmtId="184" formatCode="General&quot; m³ Capacity&quot;"/>
    <numFmt numFmtId="185" formatCode="General\ \ \ \ "/>
    <numFmt numFmtId="186" formatCode="&quot;@ &quot;#.000\ &quot;kg/m&quot;"/>
    <numFmt numFmtId="187" formatCode="##\ ##\ ##\ ##\ ##0.00"/>
    <numFmt numFmtId="188" formatCode="#\ ??/16"/>
    <numFmt numFmtId="189" formatCode="&quot;= &quot;#0.00&quot;%&quot;"/>
    <numFmt numFmtId="190" formatCode="0.0000"/>
    <numFmt numFmtId="191" formatCode="0&quot; m³&quot;"/>
    <numFmt numFmtId="192" formatCode="_ * #,##0.00_ ;_ * \-#,##0.00_ ;_ * &quot;-&quot;??_ ;_ @_ "/>
    <numFmt numFmtId="193" formatCode="_(* #,##0.000_);_(* \(#,##0.000\);_(* &quot;-&quot;??_);_(@_)"/>
    <numFmt numFmtId="194" formatCode="0.00000"/>
    <numFmt numFmtId="195" formatCode="&quot;CI &quot;0%"/>
    <numFmt numFmtId="196" formatCode="#,##0.0"/>
    <numFmt numFmtId="197" formatCode="yyyy/m/d"/>
  </numFmts>
  <fonts count="14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Times New Roman"/>
      <family val="1"/>
    </font>
    <font>
      <sz val="9.5"/>
      <name val="Times New Roman"/>
      <family val="1"/>
    </font>
    <font>
      <b/>
      <sz val="9.5"/>
      <name val="Times New Roman"/>
      <family val="1"/>
    </font>
    <font>
      <b/>
      <sz val="12.5"/>
      <name val="Times New Roman"/>
      <family val="1"/>
    </font>
    <font>
      <sz val="7"/>
      <name val="Times New Roman"/>
      <family val="1"/>
    </font>
    <font>
      <sz val="8"/>
      <name val="Times New Roman"/>
      <family val="1"/>
    </font>
    <font>
      <sz val="10"/>
      <name val="Tms Rmn"/>
    </font>
    <font>
      <b/>
      <sz val="13"/>
      <name val="Times New Roman"/>
      <family val="1"/>
    </font>
    <font>
      <b/>
      <sz val="14"/>
      <name val="Times New Roman"/>
      <family val="1"/>
    </font>
    <font>
      <b/>
      <sz val="11"/>
      <name val="Times New Roman"/>
      <family val="1"/>
    </font>
    <font>
      <b/>
      <sz val="12"/>
      <name val="Times New Roman"/>
      <family val="1"/>
    </font>
    <font>
      <b/>
      <sz val="8"/>
      <name val="Times New Roman"/>
      <family val="1"/>
    </font>
    <font>
      <b/>
      <sz val="9"/>
      <name val="Times New Roman"/>
      <family val="1"/>
    </font>
    <font>
      <b/>
      <sz val="18"/>
      <name val="Times New Roman"/>
      <family val="1"/>
    </font>
    <font>
      <sz val="11"/>
      <name val="Times New Roman"/>
      <family val="1"/>
    </font>
    <font>
      <i/>
      <sz val="11"/>
      <name val="Times New Roman"/>
      <family val="1"/>
    </font>
    <font>
      <u/>
      <sz val="10"/>
      <name val="Arial"/>
      <family val="2"/>
    </font>
    <font>
      <u/>
      <sz val="10"/>
      <name val="Times New Roman"/>
      <family val="1"/>
    </font>
    <font>
      <sz val="12"/>
      <name val="Times New Roman"/>
      <family val="1"/>
    </font>
    <font>
      <b/>
      <sz val="20"/>
      <name val="Times New Roman"/>
      <family val="1"/>
    </font>
    <font>
      <b/>
      <sz val="11"/>
      <name val="Arial"/>
      <family val="2"/>
    </font>
    <font>
      <sz val="9"/>
      <name val="Times New Roman"/>
      <family val="1"/>
    </font>
    <font>
      <sz val="9"/>
      <name val="Arial"/>
      <family val="2"/>
    </font>
    <font>
      <b/>
      <sz val="10"/>
      <name val="Arial"/>
      <family val="2"/>
    </font>
    <font>
      <sz val="8"/>
      <name val="Arial"/>
      <family val="2"/>
    </font>
    <font>
      <sz val="12"/>
      <name val="Arial"/>
      <family val="2"/>
    </font>
    <font>
      <b/>
      <sz val="7"/>
      <name val="Times New Roman"/>
      <family val="1"/>
    </font>
    <font>
      <b/>
      <sz val="6"/>
      <name val="Times New Roman"/>
      <family val="1"/>
    </font>
    <font>
      <sz val="7"/>
      <name val="Arial"/>
      <family val="2"/>
    </font>
    <font>
      <sz val="10"/>
      <name val="Arial"/>
      <family val="2"/>
    </font>
    <font>
      <sz val="10"/>
      <name val="Arial"/>
      <family val="2"/>
    </font>
    <font>
      <sz val="10"/>
      <name val="Arial"/>
      <family val="2"/>
    </font>
    <font>
      <vertAlign val="superscript"/>
      <sz val="10"/>
      <name val="Arial"/>
      <family val="2"/>
    </font>
    <font>
      <b/>
      <sz val="10"/>
      <name val="Times New Roman"/>
      <family val="1"/>
    </font>
    <font>
      <sz val="10"/>
      <name val="Arial"/>
      <family val="2"/>
    </font>
    <font>
      <u/>
      <sz val="10"/>
      <name val="Tms Rmn"/>
    </font>
    <font>
      <vertAlign val="superscript"/>
      <sz val="10"/>
      <name val="Times New Roman"/>
      <family val="1"/>
    </font>
    <font>
      <sz val="8"/>
      <color indexed="9"/>
      <name val="Times New Roman"/>
      <family val="1"/>
    </font>
    <font>
      <u/>
      <sz val="12"/>
      <name val="Arial"/>
      <family val="2"/>
    </font>
    <font>
      <b/>
      <u/>
      <sz val="10"/>
      <name val="Times New Roman"/>
      <family val="1"/>
    </font>
    <font>
      <sz val="10"/>
      <name val="Arial"/>
      <family val="2"/>
    </font>
    <font>
      <u/>
      <sz val="10"/>
      <name val="Arial"/>
      <family val="2"/>
    </font>
    <font>
      <b/>
      <sz val="10"/>
      <name val="Arial"/>
      <family val="2"/>
    </font>
    <font>
      <b/>
      <u/>
      <sz val="12"/>
      <name val="Times New Roman"/>
      <family val="1"/>
    </font>
    <font>
      <b/>
      <sz val="12"/>
      <name val="Arial"/>
      <family val="2"/>
    </font>
    <font>
      <b/>
      <u/>
      <sz val="12"/>
      <name val="Arial"/>
      <family val="2"/>
    </font>
    <font>
      <b/>
      <sz val="11"/>
      <color theme="1"/>
      <name val="Calibri"/>
      <family val="2"/>
      <scheme val="minor"/>
    </font>
    <font>
      <sz val="18"/>
      <name val="Times New Roman"/>
      <family val="1"/>
    </font>
    <font>
      <sz val="20"/>
      <name val="Times New Roman"/>
      <family val="1"/>
    </font>
    <font>
      <sz val="14"/>
      <name val="Arial"/>
      <family val="2"/>
    </font>
    <font>
      <sz val="10"/>
      <color rgb="FFFF0000"/>
      <name val="Times New Roman"/>
      <family val="1"/>
    </font>
    <font>
      <b/>
      <sz val="12"/>
      <color rgb="FFFF0000"/>
      <name val="Times New Roman"/>
      <family val="1"/>
    </font>
    <font>
      <u/>
      <sz val="12"/>
      <name val="Times New Roman"/>
      <family val="1"/>
    </font>
    <font>
      <b/>
      <sz val="10"/>
      <color theme="5" tint="-0.249977111117893"/>
      <name val="Times New Roman"/>
      <family val="1"/>
    </font>
    <font>
      <sz val="14"/>
      <name val="Times New Roman"/>
      <family val="1"/>
    </font>
    <font>
      <sz val="10"/>
      <name val="Helv"/>
    </font>
    <font>
      <vertAlign val="superscript"/>
      <sz val="9"/>
      <name val="Times New Roman"/>
      <family val="1"/>
    </font>
    <font>
      <sz val="10"/>
      <name val="Arial MT"/>
    </font>
    <font>
      <sz val="16"/>
      <name val="Times New Roman"/>
      <family val="1"/>
    </font>
    <font>
      <b/>
      <u/>
      <sz val="9"/>
      <name val="Times New Roman"/>
      <family val="1"/>
    </font>
    <font>
      <sz val="13"/>
      <name val="Times New Roman"/>
      <family val="1"/>
    </font>
    <font>
      <b/>
      <i/>
      <sz val="14"/>
      <name val="Arial"/>
      <family val="2"/>
    </font>
    <font>
      <b/>
      <sz val="9"/>
      <color indexed="10"/>
      <name val="Times New Roman"/>
      <family val="1"/>
    </font>
    <font>
      <sz val="9"/>
      <name val="Symbol"/>
      <family val="1"/>
      <charset val="2"/>
    </font>
    <font>
      <b/>
      <sz val="14"/>
      <color theme="1"/>
      <name val="Calibri"/>
      <family val="2"/>
      <scheme val="minor"/>
    </font>
    <font>
      <b/>
      <sz val="12"/>
      <color theme="1"/>
      <name val="Calibri"/>
      <family val="2"/>
      <scheme val="minor"/>
    </font>
    <font>
      <b/>
      <sz val="10"/>
      <color theme="1"/>
      <name val="Calibri"/>
      <family val="2"/>
      <scheme val="minor"/>
    </font>
    <font>
      <i/>
      <sz val="11"/>
      <color theme="1"/>
      <name val="Calibri"/>
      <family val="2"/>
      <scheme val="minor"/>
    </font>
    <font>
      <b/>
      <i/>
      <sz val="11"/>
      <color theme="1"/>
      <name val="Calibri"/>
      <family val="2"/>
      <scheme val="minor"/>
    </font>
    <font>
      <sz val="10"/>
      <color rgb="FF000000"/>
      <name val="Arial"/>
      <family val="2"/>
    </font>
    <font>
      <sz val="10"/>
      <color indexed="10"/>
      <name val="Times New Roman"/>
      <family val="1"/>
    </font>
    <font>
      <b/>
      <sz val="12"/>
      <color indexed="10"/>
      <name val="Times New Roman"/>
      <family val="1"/>
    </font>
    <font>
      <sz val="11"/>
      <color indexed="39"/>
      <name val="Times New Roman"/>
      <family val="1"/>
    </font>
    <font>
      <b/>
      <vertAlign val="superscript"/>
      <sz val="10"/>
      <name val="Times New Roman"/>
      <family val="1"/>
    </font>
    <font>
      <b/>
      <sz val="10"/>
      <name val="Symbol"/>
      <family val="1"/>
      <charset val="2"/>
    </font>
    <font>
      <vertAlign val="superscript"/>
      <sz val="8"/>
      <name val="Times New Roman"/>
      <family val="1"/>
    </font>
    <font>
      <b/>
      <sz val="10"/>
      <color indexed="10"/>
      <name val="Times New Roman"/>
      <family val="1"/>
    </font>
    <font>
      <b/>
      <sz val="16"/>
      <name val="Times New Roman"/>
      <family val="1"/>
    </font>
    <font>
      <sz val="10"/>
      <color indexed="39"/>
      <name val="Times New Roman"/>
      <family val="1"/>
    </font>
    <font>
      <b/>
      <vertAlign val="superscript"/>
      <sz val="11"/>
      <name val="Times New Roman"/>
      <family val="1"/>
    </font>
    <font>
      <b/>
      <vertAlign val="superscript"/>
      <sz val="9"/>
      <name val="Times New Roman"/>
      <family val="1"/>
    </font>
    <font>
      <b/>
      <sz val="14"/>
      <name val="Arial"/>
      <family val="2"/>
    </font>
    <font>
      <b/>
      <u/>
      <sz val="16"/>
      <name val="Times New Roman"/>
      <family val="1"/>
    </font>
    <font>
      <vertAlign val="superscript"/>
      <sz val="12"/>
      <name val="Times New Roman"/>
      <family val="1"/>
    </font>
    <font>
      <b/>
      <sz val="9"/>
      <name val="Arial"/>
      <family val="2"/>
    </font>
    <font>
      <b/>
      <sz val="10"/>
      <color rgb="FFFF0000"/>
      <name val="Times New Roman"/>
      <family val="1"/>
    </font>
    <font>
      <b/>
      <u/>
      <sz val="10"/>
      <name val="Tms Rmn"/>
    </font>
    <font>
      <sz val="11"/>
      <name val="Arial Narrow"/>
      <family val="2"/>
      <charset val="238"/>
    </font>
    <font>
      <sz val="11"/>
      <name val="Arial Narrow"/>
      <family val="2"/>
    </font>
    <font>
      <sz val="10"/>
      <color theme="1"/>
      <name val="Arial"/>
      <family val="2"/>
    </font>
    <font>
      <sz val="18"/>
      <name val="Arial"/>
      <family val="2"/>
    </font>
    <font>
      <b/>
      <sz val="12"/>
      <color indexed="12"/>
      <name val="Arial"/>
      <family val="2"/>
    </font>
    <font>
      <vertAlign val="superscript"/>
      <sz val="9"/>
      <name val="Arial"/>
      <family val="2"/>
    </font>
    <font>
      <b/>
      <sz val="10"/>
      <color theme="5" tint="-0.249977111117893"/>
      <name val="Arial"/>
      <family val="2"/>
    </font>
    <font>
      <sz val="11"/>
      <name val="Arial"/>
      <family val="2"/>
    </font>
    <font>
      <b/>
      <sz val="10"/>
      <color theme="1"/>
      <name val="Times New Roman"/>
      <family val="1"/>
    </font>
    <font>
      <sz val="12"/>
      <name val="Helv"/>
    </font>
    <font>
      <sz val="12"/>
      <color theme="1"/>
      <name val="Times New Roman"/>
      <family val="1"/>
    </font>
    <font>
      <sz val="10"/>
      <color theme="1"/>
      <name val="Times New Roman"/>
      <family val="1"/>
    </font>
    <font>
      <b/>
      <sz val="12"/>
      <color theme="1"/>
      <name val="Times New Roman"/>
      <family val="1"/>
    </font>
    <font>
      <sz val="10"/>
      <color rgb="FF0070C0"/>
      <name val="Arial"/>
      <family val="2"/>
    </font>
    <font>
      <sz val="10"/>
      <color rgb="FFFF0000"/>
      <name val="Arial"/>
      <family val="2"/>
    </font>
    <font>
      <b/>
      <sz val="8"/>
      <name val="Arial"/>
      <family val="2"/>
    </font>
    <font>
      <sz val="10"/>
      <color theme="0"/>
      <name val="Arial"/>
      <family val="2"/>
    </font>
    <font>
      <sz val="10"/>
      <color theme="0"/>
      <name val="Arial Narrow"/>
      <family val="2"/>
      <charset val="238"/>
    </font>
    <font>
      <sz val="10"/>
      <name val="Arial Narrow"/>
      <family val="2"/>
      <charset val="238"/>
    </font>
    <font>
      <sz val="10"/>
      <color indexed="8"/>
      <name val="Arial"/>
      <family val="2"/>
    </font>
    <font>
      <b/>
      <sz val="10"/>
      <color theme="0"/>
      <name val="Arial"/>
      <family val="2"/>
    </font>
    <font>
      <b/>
      <sz val="12"/>
      <color indexed="8"/>
      <name val="Arial"/>
      <family val="2"/>
    </font>
    <font>
      <b/>
      <vertAlign val="superscript"/>
      <sz val="12"/>
      <color indexed="8"/>
      <name val="Arial"/>
      <family val="2"/>
    </font>
    <font>
      <sz val="11"/>
      <color indexed="8"/>
      <name val="Arial"/>
      <family val="2"/>
    </font>
    <font>
      <b/>
      <sz val="10"/>
      <color indexed="8"/>
      <name val="Arial"/>
      <family val="2"/>
    </font>
    <font>
      <b/>
      <sz val="11"/>
      <color indexed="8"/>
      <name val="Arial"/>
      <family val="2"/>
    </font>
    <font>
      <b/>
      <vertAlign val="superscript"/>
      <sz val="10"/>
      <color indexed="8"/>
      <name val="Arial"/>
      <family val="2"/>
    </font>
    <font>
      <sz val="11"/>
      <color indexed="10"/>
      <name val="Arial"/>
      <family val="2"/>
    </font>
    <font>
      <u/>
      <sz val="10"/>
      <color theme="10"/>
      <name val="Arial"/>
      <family val="2"/>
    </font>
    <font>
      <b/>
      <sz val="13"/>
      <color theme="1"/>
      <name val="Calibri"/>
      <family val="2"/>
      <scheme val="minor"/>
    </font>
    <font>
      <b/>
      <sz val="11"/>
      <color theme="1"/>
      <name val="Times New Roman"/>
      <family val="1"/>
    </font>
    <font>
      <sz val="11"/>
      <color theme="1"/>
      <name val="Times New Roman"/>
      <family val="1"/>
    </font>
    <font>
      <b/>
      <sz val="12.5"/>
      <color theme="1"/>
      <name val="Times New Roman"/>
      <family val="1"/>
    </font>
    <font>
      <b/>
      <sz val="11"/>
      <color theme="1"/>
      <name val="Arial"/>
      <family val="2"/>
    </font>
    <font>
      <sz val="11"/>
      <color theme="1"/>
      <name val="Arial"/>
      <family val="2"/>
    </font>
    <font>
      <sz val="11"/>
      <color rgb="FFFF0000"/>
      <name val="Arial"/>
      <family val="2"/>
    </font>
    <font>
      <b/>
      <sz val="14"/>
      <color theme="1"/>
      <name val="Times New Roman"/>
      <family val="1"/>
    </font>
    <font>
      <b/>
      <sz val="16"/>
      <color theme="1"/>
      <name val="Times New Roman"/>
      <family val="1"/>
    </font>
    <font>
      <sz val="14"/>
      <name val="Preeti"/>
    </font>
    <font>
      <sz val="12"/>
      <name val="Preeti"/>
    </font>
    <font>
      <b/>
      <sz val="10"/>
      <color rgb="FFFF0000"/>
      <name val="Arial"/>
      <family val="2"/>
    </font>
    <font>
      <sz val="11"/>
      <color indexed="8"/>
      <name val="Calibri"/>
      <family val="2"/>
      <scheme val="minor"/>
    </font>
    <font>
      <b/>
      <sz val="10"/>
      <color theme="1" tint="4.9989318521683403E-2"/>
      <name val="Calibri"/>
      <family val="2"/>
      <scheme val="minor"/>
    </font>
    <font>
      <b/>
      <sz val="11"/>
      <color theme="1" tint="4.9989318521683403E-2"/>
      <name val="Calibri"/>
      <family val="2"/>
      <scheme val="minor"/>
    </font>
    <font>
      <sz val="10"/>
      <color theme="1" tint="4.9989318521683403E-2"/>
      <name val="Calibri"/>
      <family val="2"/>
      <scheme val="minor"/>
    </font>
    <font>
      <b/>
      <u/>
      <sz val="10"/>
      <color theme="1" tint="4.9989318521683403E-2"/>
      <name val="Calibri"/>
      <family val="2"/>
      <scheme val="minor"/>
    </font>
    <font>
      <sz val="9"/>
      <color theme="1"/>
      <name val="Laila"/>
    </font>
    <font>
      <sz val="10"/>
      <color theme="1" tint="4.9989318521683403E-2"/>
      <name val="Times New Roman"/>
      <family val="1"/>
    </font>
    <font>
      <b/>
      <sz val="10"/>
      <color theme="1" tint="4.9989318521683403E-2"/>
      <name val="Times New Roman"/>
      <family val="1"/>
    </font>
    <font>
      <sz val="10"/>
      <name val="Kalimati"/>
      <charset val="1"/>
    </font>
    <font>
      <b/>
      <u/>
      <sz val="10"/>
      <name val="Kalimati"/>
      <charset val="1"/>
    </font>
    <font>
      <sz val="8"/>
      <name val="Arial Narrow"/>
      <family val="2"/>
    </font>
    <font>
      <u/>
      <sz val="9"/>
      <name val="Times New Roman"/>
      <family val="1"/>
    </font>
    <font>
      <sz val="10"/>
      <color theme="1"/>
      <name val="Times New Roman"/>
      <family val="2"/>
    </font>
    <font>
      <sz val="10"/>
      <name val="Times New Roman"/>
      <family val="2"/>
    </font>
    <font>
      <i/>
      <sz val="10"/>
      <name val="Times New Roman"/>
      <family val="1"/>
    </font>
    <font>
      <sz val="8"/>
      <color rgb="FFFF0000"/>
      <name val="Times New Roman"/>
      <family val="1"/>
    </font>
  </fonts>
  <fills count="21">
    <fill>
      <patternFill patternType="none"/>
    </fill>
    <fill>
      <patternFill patternType="gray125"/>
    </fill>
    <fill>
      <patternFill patternType="solid">
        <fgColor indexed="22"/>
        <bgColor indexed="64"/>
      </patternFill>
    </fill>
    <fill>
      <patternFill patternType="solid">
        <fgColor indexed="41"/>
        <bgColor indexed="64"/>
      </patternFill>
    </fill>
    <fill>
      <patternFill patternType="solid">
        <fgColor theme="8" tint="0.79998168889431442"/>
        <bgColor indexed="64"/>
      </patternFill>
    </fill>
    <fill>
      <patternFill patternType="solid">
        <fgColor theme="0"/>
        <bgColor indexed="64"/>
      </patternFill>
    </fill>
    <fill>
      <patternFill patternType="solid">
        <fgColor indexed="5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indexed="43"/>
        <bgColor indexed="64"/>
      </patternFill>
    </fill>
    <fill>
      <patternFill patternType="solid">
        <fgColor indexed="42"/>
        <bgColor indexed="64"/>
      </patternFill>
    </fill>
    <fill>
      <patternFill patternType="solid">
        <fgColor indexed="9"/>
        <bgColor indexed="64"/>
      </patternFill>
    </fill>
    <fill>
      <patternFill patternType="solid">
        <fgColor indexed="40"/>
        <bgColor indexed="64"/>
      </patternFill>
    </fill>
    <fill>
      <patternFill patternType="solid">
        <fgColor rgb="FFFFFF00"/>
        <bgColor indexed="64"/>
      </patternFill>
    </fill>
    <fill>
      <patternFill patternType="solid">
        <fgColor indexed="44"/>
        <bgColor indexed="64"/>
      </patternFill>
    </fill>
    <fill>
      <patternFill patternType="solid">
        <fgColor rgb="FFFF0000"/>
        <bgColor indexed="64"/>
      </patternFill>
    </fill>
    <fill>
      <patternFill patternType="solid">
        <fgColor indexed="13"/>
        <bgColor indexed="64"/>
      </patternFill>
    </fill>
    <fill>
      <patternFill patternType="solid">
        <fgColor theme="7" tint="0.79998168889431442"/>
        <bgColor indexed="64"/>
      </patternFill>
    </fill>
    <fill>
      <patternFill patternType="solid">
        <fgColor indexed="45"/>
        <bgColor indexed="64"/>
      </patternFill>
    </fill>
    <fill>
      <patternFill patternType="solid">
        <fgColor rgb="FF92D050"/>
        <bgColor indexed="64"/>
      </patternFill>
    </fill>
    <fill>
      <patternFill patternType="solid">
        <fgColor theme="6" tint="-0.249977111117893"/>
        <bgColor indexed="64"/>
      </patternFill>
    </fill>
  </fills>
  <borders count="23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8"/>
      </left>
      <right style="thin">
        <color indexed="8"/>
      </right>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right style="thin">
        <color indexed="8"/>
      </right>
      <top style="hair">
        <color indexed="64"/>
      </top>
      <bottom style="hair">
        <color indexed="64"/>
      </bottom>
      <diagonal/>
    </border>
    <border>
      <left style="thin">
        <color indexed="8"/>
      </left>
      <right style="thin">
        <color indexed="64"/>
      </right>
      <top style="hair">
        <color indexed="64"/>
      </top>
      <bottom style="hair">
        <color indexed="64"/>
      </bottom>
      <diagonal/>
    </border>
    <border>
      <left/>
      <right style="thin">
        <color indexed="8"/>
      </right>
      <top style="hair">
        <color indexed="64"/>
      </top>
      <bottom style="thin">
        <color indexed="64"/>
      </bottom>
      <diagonal/>
    </border>
    <border>
      <left style="thin">
        <color indexed="8"/>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top/>
      <bottom/>
      <diagonal/>
    </border>
    <border>
      <left/>
      <right style="hair">
        <color indexed="64"/>
      </right>
      <top/>
      <bottom/>
      <diagonal/>
    </border>
    <border>
      <left style="hair">
        <color indexed="64"/>
      </left>
      <right style="thin">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style="hair">
        <color indexed="64"/>
      </left>
      <right style="thin">
        <color indexed="64"/>
      </right>
      <top/>
      <bottom style="thin">
        <color indexed="64"/>
      </bottom>
      <diagonal/>
    </border>
    <border>
      <left style="hair">
        <color indexed="64"/>
      </left>
      <right/>
      <top style="thin">
        <color indexed="64"/>
      </top>
      <bottom/>
      <diagonal/>
    </border>
    <border>
      <left style="hair">
        <color indexed="64"/>
      </left>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right/>
      <top style="hair">
        <color indexed="64"/>
      </top>
      <bottom style="thin">
        <color indexed="64"/>
      </bottom>
      <diagonal/>
    </border>
    <border>
      <left/>
      <right/>
      <top/>
      <bottom style="thin">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style="thin">
        <color indexed="8"/>
      </right>
      <top style="thin">
        <color indexed="8"/>
      </top>
      <bottom style="hair">
        <color indexed="8"/>
      </bottom>
      <diagonal/>
    </border>
    <border>
      <left style="thin">
        <color indexed="8"/>
      </left>
      <right style="hair">
        <color indexed="8"/>
      </right>
      <top style="hair">
        <color indexed="8"/>
      </top>
      <bottom/>
      <diagonal/>
    </border>
    <border>
      <left style="hair">
        <color indexed="8"/>
      </left>
      <right style="hair">
        <color indexed="8"/>
      </right>
      <top style="hair">
        <color indexed="8"/>
      </top>
      <bottom/>
      <diagonal/>
    </border>
    <border>
      <left style="hair">
        <color indexed="8"/>
      </left>
      <right style="thin">
        <color indexed="8"/>
      </right>
      <top style="hair">
        <color indexed="8"/>
      </top>
      <bottom/>
      <diagonal/>
    </border>
    <border>
      <left style="thin">
        <color indexed="8"/>
      </left>
      <right style="hair">
        <color indexed="8"/>
      </right>
      <top/>
      <bottom/>
      <diagonal/>
    </border>
    <border>
      <left style="hair">
        <color indexed="8"/>
      </left>
      <right style="hair">
        <color indexed="8"/>
      </right>
      <top/>
      <bottom/>
      <diagonal/>
    </border>
    <border>
      <left style="hair">
        <color indexed="8"/>
      </left>
      <right style="thin">
        <color indexed="8"/>
      </right>
      <top/>
      <bottom/>
      <diagonal/>
    </border>
    <border>
      <left style="hair">
        <color indexed="8"/>
      </left>
      <right/>
      <top/>
      <bottom/>
      <diagonal/>
    </border>
    <border>
      <left/>
      <right style="hair">
        <color indexed="8"/>
      </right>
      <top/>
      <bottom/>
      <diagonal/>
    </border>
    <border>
      <left style="thin">
        <color indexed="8"/>
      </left>
      <right style="hair">
        <color indexed="8"/>
      </right>
      <top/>
      <bottom style="hair">
        <color indexed="8"/>
      </bottom>
      <diagonal/>
    </border>
    <border>
      <left style="hair">
        <color indexed="8"/>
      </left>
      <right style="hair">
        <color indexed="8"/>
      </right>
      <top/>
      <bottom style="hair">
        <color indexed="8"/>
      </bottom>
      <diagonal/>
    </border>
    <border>
      <left style="thin">
        <color indexed="64"/>
      </left>
      <right/>
      <top style="hair">
        <color indexed="8"/>
      </top>
      <bottom style="hair">
        <color indexed="64"/>
      </bottom>
      <diagonal/>
    </border>
    <border>
      <left/>
      <right/>
      <top style="hair">
        <color indexed="8"/>
      </top>
      <bottom style="hair">
        <color indexed="64"/>
      </bottom>
      <diagonal/>
    </border>
    <border>
      <left/>
      <right style="thin">
        <color indexed="64"/>
      </right>
      <top style="hair">
        <color indexed="8"/>
      </top>
      <bottom style="hair">
        <color indexed="64"/>
      </bottom>
      <diagonal/>
    </border>
    <border>
      <left style="hair">
        <color indexed="8"/>
      </left>
      <right style="thin">
        <color indexed="64"/>
      </right>
      <top style="thin">
        <color indexed="8"/>
      </top>
      <bottom style="hair">
        <color indexed="8"/>
      </bottom>
      <diagonal/>
    </border>
    <border>
      <left style="hair">
        <color indexed="8"/>
      </left>
      <right style="thin">
        <color indexed="64"/>
      </right>
      <top style="hair">
        <color indexed="8"/>
      </top>
      <bottom/>
      <diagonal/>
    </border>
    <border>
      <left style="hair">
        <color indexed="8"/>
      </left>
      <right style="thin">
        <color indexed="64"/>
      </right>
      <top/>
      <bottom/>
      <diagonal/>
    </border>
    <border>
      <left style="hair">
        <color indexed="8"/>
      </left>
      <right style="hair">
        <color indexed="8"/>
      </right>
      <top/>
      <bottom style="hair">
        <color indexed="64"/>
      </bottom>
      <diagonal/>
    </border>
    <border>
      <left style="hair">
        <color indexed="8"/>
      </left>
      <right style="thin">
        <color indexed="8"/>
      </right>
      <top/>
      <bottom style="hair">
        <color indexed="64"/>
      </bottom>
      <diagonal/>
    </border>
    <border>
      <left style="thin">
        <color indexed="64"/>
      </left>
      <right/>
      <top style="hair">
        <color indexed="64"/>
      </top>
      <bottom/>
      <diagonal/>
    </border>
    <border>
      <left/>
      <right/>
      <top style="hair">
        <color indexed="8"/>
      </top>
      <bottom/>
      <diagonal/>
    </border>
    <border>
      <left/>
      <right/>
      <top style="hair">
        <color indexed="64"/>
      </top>
      <bottom/>
      <diagonal/>
    </border>
    <border>
      <left/>
      <right style="thin">
        <color indexed="64"/>
      </right>
      <top style="hair">
        <color indexed="64"/>
      </top>
      <bottom/>
      <diagonal/>
    </border>
    <border>
      <left style="thin">
        <color indexed="8"/>
      </left>
      <right style="hair">
        <color indexed="8"/>
      </right>
      <top/>
      <bottom style="thin">
        <color indexed="64"/>
      </bottom>
      <diagonal/>
    </border>
    <border>
      <left style="hair">
        <color indexed="8"/>
      </left>
      <right style="hair">
        <color indexed="8"/>
      </right>
      <top/>
      <bottom style="thin">
        <color indexed="64"/>
      </bottom>
      <diagonal/>
    </border>
    <border>
      <left style="hair">
        <color indexed="8"/>
      </left>
      <right style="thin">
        <color indexed="8"/>
      </right>
      <top/>
      <bottom style="thin">
        <color indexed="64"/>
      </bottom>
      <diagonal/>
    </border>
    <border>
      <left style="thin">
        <color indexed="8"/>
      </left>
      <right/>
      <top/>
      <bottom/>
      <diagonal/>
    </border>
    <border>
      <left style="hair">
        <color indexed="8"/>
      </left>
      <right style="hair">
        <color indexed="8"/>
      </right>
      <top/>
      <bottom style="thin">
        <color indexed="8"/>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thin">
        <color indexed="8"/>
      </top>
      <bottom style="hair">
        <color indexed="64"/>
      </bottom>
      <diagonal/>
    </border>
    <border>
      <left style="hair">
        <color indexed="64"/>
      </left>
      <right style="hair">
        <color indexed="64"/>
      </right>
      <top style="thin">
        <color indexed="8"/>
      </top>
      <bottom style="hair">
        <color indexed="64"/>
      </bottom>
      <diagonal/>
    </border>
    <border>
      <left style="thin">
        <color indexed="64"/>
      </left>
      <right style="hair">
        <color indexed="64"/>
      </right>
      <top style="thin">
        <color indexed="64"/>
      </top>
      <bottom style="thin">
        <color indexed="8"/>
      </bottom>
      <diagonal/>
    </border>
    <border>
      <left style="hair">
        <color indexed="64"/>
      </left>
      <right style="hair">
        <color indexed="64"/>
      </right>
      <top style="thin">
        <color indexed="64"/>
      </top>
      <bottom style="thin">
        <color indexed="8"/>
      </bottom>
      <diagonal/>
    </border>
    <border>
      <left style="thin">
        <color indexed="64"/>
      </left>
      <right style="hair">
        <color indexed="64"/>
      </right>
      <top style="thin">
        <color indexed="8"/>
      </top>
      <bottom/>
      <diagonal/>
    </border>
    <border>
      <left style="hair">
        <color indexed="64"/>
      </left>
      <right style="hair">
        <color indexed="64"/>
      </right>
      <top style="thin">
        <color indexed="8"/>
      </top>
      <bottom/>
      <diagonal/>
    </border>
    <border>
      <left style="thin">
        <color indexed="8"/>
      </left>
      <right style="hair">
        <color indexed="8"/>
      </right>
      <top style="thin">
        <color indexed="8"/>
      </top>
      <bottom style="thin">
        <color indexed="8"/>
      </bottom>
      <diagonal/>
    </border>
    <border>
      <left style="hair">
        <color indexed="8"/>
      </left>
      <right style="hair">
        <color indexed="8"/>
      </right>
      <top style="thin">
        <color indexed="8"/>
      </top>
      <bottom style="thin">
        <color indexed="8"/>
      </bottom>
      <diagonal/>
    </border>
    <border>
      <left style="hair">
        <color indexed="8"/>
      </left>
      <right style="hair">
        <color indexed="8"/>
      </right>
      <top style="thin">
        <color indexed="64"/>
      </top>
      <bottom style="thin">
        <color indexed="64"/>
      </bottom>
      <diagonal/>
    </border>
    <border>
      <left style="hair">
        <color indexed="8"/>
      </left>
      <right style="thin">
        <color indexed="64"/>
      </right>
      <top style="thin">
        <color indexed="64"/>
      </top>
      <bottom style="thin">
        <color indexed="64"/>
      </bottom>
      <diagonal/>
    </border>
    <border>
      <left style="thin">
        <color indexed="8"/>
      </left>
      <right style="hair">
        <color indexed="8"/>
      </right>
      <top style="thin">
        <color indexed="8"/>
      </top>
      <bottom/>
      <diagonal/>
    </border>
    <border>
      <left style="hair">
        <color indexed="8"/>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hair">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thin">
        <color indexed="64"/>
      </left>
      <right/>
      <top style="thin">
        <color indexed="64"/>
      </top>
      <bottom style="double">
        <color indexed="64"/>
      </bottom>
      <diagonal/>
    </border>
    <border>
      <left/>
      <right style="hair">
        <color indexed="64"/>
      </right>
      <top/>
      <bottom style="thin">
        <color indexed="64"/>
      </bottom>
      <diagonal/>
    </border>
    <border>
      <left/>
      <right style="thin">
        <color indexed="8"/>
      </right>
      <top style="thin">
        <color indexed="64"/>
      </top>
      <bottom style="hair">
        <color indexed="64"/>
      </bottom>
      <diagonal/>
    </border>
    <border>
      <left/>
      <right style="thin">
        <color indexed="8"/>
      </right>
      <top style="hair">
        <color indexed="64"/>
      </top>
      <bottom/>
      <diagonal/>
    </border>
    <border>
      <left style="thin">
        <color indexed="8"/>
      </left>
      <right style="thin">
        <color indexed="8"/>
      </right>
      <top style="hair">
        <color indexed="64"/>
      </top>
      <bottom style="hair">
        <color indexed="64"/>
      </bottom>
      <diagonal/>
    </border>
    <border>
      <left style="thin">
        <color indexed="8"/>
      </left>
      <right style="thin">
        <color indexed="8"/>
      </right>
      <top style="hair">
        <color indexed="64"/>
      </top>
      <bottom style="thin">
        <color indexed="64"/>
      </bottom>
      <diagonal/>
    </border>
    <border>
      <left/>
      <right style="hair">
        <color indexed="64"/>
      </right>
      <top style="hair">
        <color indexed="64"/>
      </top>
      <bottom style="thin">
        <color indexed="64"/>
      </bottom>
      <diagonal/>
    </border>
    <border>
      <left/>
      <right style="hair">
        <color indexed="64"/>
      </right>
      <top style="hair">
        <color indexed="64"/>
      </top>
      <bottom/>
      <diagonal/>
    </border>
    <border>
      <left/>
      <right style="hair">
        <color auto="1"/>
      </right>
      <top style="hair">
        <color auto="1"/>
      </top>
      <bottom style="hair">
        <color auto="1"/>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indexed="64"/>
      </left>
      <right style="medium">
        <color theme="7" tint="-0.24994659260841701"/>
      </right>
      <top style="medium">
        <color indexed="64"/>
      </top>
      <bottom/>
      <diagonal/>
    </border>
    <border>
      <left style="medium">
        <color theme="7" tint="-0.24994659260841701"/>
      </left>
      <right style="thin">
        <color theme="7" tint="0.39994506668294322"/>
      </right>
      <top style="medium">
        <color indexed="64"/>
      </top>
      <bottom style="thin">
        <color theme="7" tint="0.39994506668294322"/>
      </bottom>
      <diagonal/>
    </border>
    <border>
      <left style="thin">
        <color theme="7" tint="0.39994506668294322"/>
      </left>
      <right style="thin">
        <color theme="7" tint="0.39994506668294322"/>
      </right>
      <top style="medium">
        <color indexed="64"/>
      </top>
      <bottom style="thin">
        <color theme="7" tint="0.39994506668294322"/>
      </bottom>
      <diagonal/>
    </border>
    <border>
      <left style="thin">
        <color theme="7" tint="0.39994506668294322"/>
      </left>
      <right style="medium">
        <color indexed="64"/>
      </right>
      <top style="medium">
        <color indexed="64"/>
      </top>
      <bottom style="thin">
        <color theme="7" tint="0.39994506668294322"/>
      </bottom>
      <diagonal/>
    </border>
    <border>
      <left style="medium">
        <color indexed="64"/>
      </left>
      <right style="medium">
        <color theme="7" tint="-0.24994659260841701"/>
      </right>
      <top/>
      <bottom/>
      <diagonal/>
    </border>
    <border>
      <left style="thin">
        <color theme="7" tint="0.39994506668294322"/>
      </left>
      <right style="thin">
        <color theme="7" tint="0.39994506668294322"/>
      </right>
      <top/>
      <bottom style="thin">
        <color theme="7" tint="0.39994506668294322"/>
      </bottom>
      <diagonal/>
    </border>
    <border>
      <left style="thin">
        <color theme="7" tint="0.39994506668294322"/>
      </left>
      <right/>
      <top style="thin">
        <color theme="7" tint="-0.24994659260841701"/>
      </top>
      <bottom/>
      <diagonal/>
    </border>
    <border>
      <left style="thin">
        <color theme="7" tint="0.39997558519241921"/>
      </left>
      <right style="medium">
        <color indexed="64"/>
      </right>
      <top style="thin">
        <color theme="7" tint="0.39997558519241921"/>
      </top>
      <bottom style="thin">
        <color theme="7" tint="0.39997558519241921"/>
      </bottom>
      <diagonal/>
    </border>
    <border>
      <left style="thin">
        <color theme="7" tint="0.39994506668294322"/>
      </left>
      <right style="thin">
        <color theme="7" tint="0.39994506668294322"/>
      </right>
      <top style="thin">
        <color theme="7" tint="0.39994506668294322"/>
      </top>
      <bottom style="thin">
        <color theme="7" tint="0.39994506668294322"/>
      </bottom>
      <diagonal/>
    </border>
    <border>
      <left style="thin">
        <color theme="7" tint="0.39994506668294322"/>
      </left>
      <right/>
      <top/>
      <bottom style="thin">
        <color theme="7" tint="0.39994506668294322"/>
      </bottom>
      <diagonal/>
    </border>
    <border>
      <left style="thin">
        <color theme="7" tint="0.39994506668294322"/>
      </left>
      <right style="thin">
        <color theme="7" tint="0.39997558519241921"/>
      </right>
      <top style="thin">
        <color theme="7" tint="0.39994506668294322"/>
      </top>
      <bottom style="thin">
        <color theme="7" tint="0.39994506668294322"/>
      </bottom>
      <diagonal/>
    </border>
    <border>
      <left style="thin">
        <color theme="7" tint="0.39997558519241921"/>
      </left>
      <right style="thin">
        <color theme="7" tint="0.39997558519241921"/>
      </right>
      <top style="thin">
        <color theme="7" tint="0.39997558519241921"/>
      </top>
      <bottom/>
      <diagonal/>
    </border>
    <border>
      <left style="thin">
        <color theme="7" tint="0.39994506668294322"/>
      </left>
      <right style="thin">
        <color theme="7" tint="0.39994506668294322"/>
      </right>
      <top style="thin">
        <color theme="7" tint="0.39994506668294322"/>
      </top>
      <bottom/>
      <diagonal/>
    </border>
    <border>
      <left style="thin">
        <color theme="7" tint="0.39994506668294322"/>
      </left>
      <right style="thin">
        <color theme="7" tint="0.39994506668294322"/>
      </right>
      <top/>
      <bottom/>
      <diagonal/>
    </border>
    <border>
      <left style="thin">
        <color theme="7" tint="0.39994506668294322"/>
      </left>
      <right style="thin">
        <color theme="7" tint="0.39997558519241921"/>
      </right>
      <top/>
      <bottom/>
      <diagonal/>
    </border>
    <border>
      <left style="thin">
        <color theme="7" tint="0.39997558519241921"/>
      </left>
      <right style="medium">
        <color indexed="64"/>
      </right>
      <top style="thin">
        <color theme="7" tint="0.39997558519241921"/>
      </top>
      <bottom/>
      <diagonal/>
    </border>
    <border>
      <left style="medium">
        <color theme="7" tint="-0.24994659260841701"/>
      </left>
      <right style="medium">
        <color theme="7" tint="-0.24994659260841701"/>
      </right>
      <top style="medium">
        <color theme="7" tint="-0.24994659260841701"/>
      </top>
      <bottom/>
      <diagonal/>
    </border>
    <border>
      <left style="medium">
        <color theme="7" tint="-0.24994659260841701"/>
      </left>
      <right style="thin">
        <color theme="7" tint="0.39994506668294322"/>
      </right>
      <top style="medium">
        <color theme="7" tint="-0.24994659260841701"/>
      </top>
      <bottom style="thin">
        <color theme="7" tint="0.39994506668294322"/>
      </bottom>
      <diagonal/>
    </border>
    <border>
      <left style="thin">
        <color theme="7" tint="0.39994506668294322"/>
      </left>
      <right/>
      <top style="medium">
        <color theme="7" tint="-0.24994659260841701"/>
      </top>
      <bottom/>
      <diagonal/>
    </border>
    <border>
      <left/>
      <right/>
      <top style="medium">
        <color theme="7" tint="-0.24994659260841701"/>
      </top>
      <bottom/>
      <diagonal/>
    </border>
    <border>
      <left/>
      <right style="medium">
        <color theme="7" tint="-0.24994659260841701"/>
      </right>
      <top style="medium">
        <color theme="7" tint="-0.24994659260841701"/>
      </top>
      <bottom/>
      <diagonal/>
    </border>
    <border>
      <left style="medium">
        <color theme="7" tint="-0.24994659260841701"/>
      </left>
      <right style="medium">
        <color theme="7" tint="-0.24994659260841701"/>
      </right>
      <top/>
      <bottom/>
      <diagonal/>
    </border>
    <border>
      <left style="thin">
        <color theme="7" tint="0.39997558519241921"/>
      </left>
      <right style="medium">
        <color theme="7" tint="-0.24994659260841701"/>
      </right>
      <top style="thin">
        <color theme="7" tint="0.39997558519241921"/>
      </top>
      <bottom style="thin">
        <color theme="7" tint="0.39997558519241921"/>
      </bottom>
      <diagonal/>
    </border>
    <border>
      <left style="medium">
        <color theme="7" tint="-0.24994659260841701"/>
      </left>
      <right style="medium">
        <color theme="7" tint="-0.24994659260841701"/>
      </right>
      <top/>
      <bottom style="medium">
        <color theme="7" tint="-0.24994659260841701"/>
      </bottom>
      <diagonal/>
    </border>
    <border>
      <left/>
      <right style="thin">
        <color theme="7" tint="0.39994506668294322"/>
      </right>
      <top/>
      <bottom style="medium">
        <color theme="7" tint="-0.24994659260841701"/>
      </bottom>
      <diagonal/>
    </border>
    <border>
      <left style="thin">
        <color theme="7" tint="0.39994506668294322"/>
      </left>
      <right style="thin">
        <color theme="7" tint="0.39994506668294322"/>
      </right>
      <top/>
      <bottom style="medium">
        <color theme="7" tint="-0.24994659260841701"/>
      </bottom>
      <diagonal/>
    </border>
    <border>
      <left style="thin">
        <color theme="7" tint="0.39994506668294322"/>
      </left>
      <right/>
      <top/>
      <bottom style="medium">
        <color theme="7" tint="-0.24994659260841701"/>
      </bottom>
      <diagonal/>
    </border>
    <border>
      <left/>
      <right style="medium">
        <color theme="7" tint="-0.24994659260841701"/>
      </right>
      <top/>
      <bottom style="medium">
        <color theme="7" tint="-0.24994659260841701"/>
      </bottom>
      <diagonal/>
    </border>
    <border>
      <left style="thin">
        <color indexed="64"/>
      </left>
      <right style="medium">
        <color theme="7" tint="-0.24994659260841701"/>
      </right>
      <top/>
      <bottom/>
      <diagonal/>
    </border>
    <border>
      <left style="medium">
        <color theme="7" tint="-0.24994659260841701"/>
      </left>
      <right style="thin">
        <color theme="7" tint="0.39994506668294322"/>
      </right>
      <top/>
      <bottom style="thin">
        <color theme="7" tint="0.39994506668294322"/>
      </bottom>
      <diagonal/>
    </border>
    <border>
      <left style="thin">
        <color theme="7" tint="0.39994506668294322"/>
      </left>
      <right style="thin">
        <color indexed="64"/>
      </right>
      <top/>
      <bottom style="thin">
        <color theme="7" tint="0.39994506668294322"/>
      </bottom>
      <diagonal/>
    </border>
    <border>
      <left style="thin">
        <color theme="7" tint="0.39997558519241921"/>
      </left>
      <right style="thin">
        <color indexed="64"/>
      </right>
      <top style="thin">
        <color theme="7" tint="0.39997558519241921"/>
      </top>
      <bottom style="thin">
        <color theme="7" tint="0.39997558519241921"/>
      </bottom>
      <diagonal/>
    </border>
    <border>
      <left style="thin">
        <color theme="7" tint="0.39994506668294322"/>
      </left>
      <right style="thin">
        <color theme="7" tint="0.39997558519241921"/>
      </right>
      <top/>
      <bottom style="thin">
        <color indexed="64"/>
      </bottom>
      <diagonal/>
    </border>
    <border>
      <left style="thin">
        <color indexed="64"/>
      </left>
      <right style="medium">
        <color theme="7" tint="-0.24994659260841701"/>
      </right>
      <top/>
      <bottom style="thin">
        <color indexed="64"/>
      </bottom>
      <diagonal/>
    </border>
    <border>
      <left/>
      <right style="thin">
        <color theme="7" tint="0.39994506668294322"/>
      </right>
      <top/>
      <bottom style="thin">
        <color indexed="64"/>
      </bottom>
      <diagonal/>
    </border>
    <border>
      <left style="thin">
        <color theme="7" tint="0.39994506668294322"/>
      </left>
      <right style="thin">
        <color theme="7" tint="0.39994506668294322"/>
      </right>
      <top/>
      <bottom style="thin">
        <color indexed="64"/>
      </bottom>
      <diagonal/>
    </border>
    <border>
      <left style="thin">
        <color theme="7" tint="0.39994506668294322"/>
      </left>
      <right/>
      <top/>
      <bottom style="thin">
        <color indexed="64"/>
      </bottom>
      <diagonal/>
    </border>
    <border>
      <left style="thin">
        <color indexed="64"/>
      </left>
      <right style="medium">
        <color theme="7" tint="-0.24994659260841701"/>
      </right>
      <top style="thin">
        <color indexed="64"/>
      </top>
      <bottom/>
      <diagonal/>
    </border>
    <border>
      <left style="medium">
        <color theme="7" tint="-0.24994659260841701"/>
      </left>
      <right style="thin">
        <color theme="7" tint="0.39994506668294322"/>
      </right>
      <top style="thin">
        <color indexed="64"/>
      </top>
      <bottom style="thin">
        <color theme="7" tint="0.39994506668294322"/>
      </bottom>
      <diagonal/>
    </border>
    <border>
      <left style="thin">
        <color theme="7" tint="0.39994506668294322"/>
      </left>
      <right style="thin">
        <color theme="7" tint="0.39994506668294322"/>
      </right>
      <top style="thin">
        <color indexed="64"/>
      </top>
      <bottom style="thin">
        <color theme="7" tint="0.39994506668294322"/>
      </bottom>
      <diagonal/>
    </border>
    <border>
      <left style="thin">
        <color theme="7" tint="0.39994506668294322"/>
      </left>
      <right style="thin">
        <color indexed="64"/>
      </right>
      <top style="thin">
        <color indexed="64"/>
      </top>
      <bottom style="thin">
        <color theme="7" tint="0.39994506668294322"/>
      </bottom>
      <diagonal/>
    </border>
    <border>
      <left style="thin">
        <color theme="7" tint="0.39994506668294322"/>
      </left>
      <right style="thin">
        <color indexed="64"/>
      </right>
      <top style="thin">
        <color theme="7" tint="0.39994506668294322"/>
      </top>
      <bottom style="thin">
        <color theme="7" tint="0.39994506668294322"/>
      </bottom>
      <diagonal/>
    </border>
    <border>
      <left style="thin">
        <color theme="7" tint="0.39994506668294322"/>
      </left>
      <right style="thin">
        <color theme="7" tint="0.39994506668294322"/>
      </right>
      <top/>
      <bottom style="thin">
        <color theme="7" tint="-0.24994659260841701"/>
      </bottom>
      <diagonal/>
    </border>
    <border>
      <left style="thin">
        <color theme="7" tint="0.39994506668294322"/>
      </left>
      <right style="thin">
        <color indexed="64"/>
      </right>
      <top style="thin">
        <color theme="7" tint="0.39994506668294322"/>
      </top>
      <bottom style="thin">
        <color theme="7" tint="-0.24994659260841701"/>
      </bottom>
      <diagonal/>
    </border>
    <border>
      <left style="medium">
        <color theme="7" tint="-0.24994659260841701"/>
      </left>
      <right style="thin">
        <color theme="7" tint="0.39994506668294322"/>
      </right>
      <top style="thin">
        <color theme="7" tint="0.39994506668294322"/>
      </top>
      <bottom style="thin">
        <color indexed="64"/>
      </bottom>
      <diagonal/>
    </border>
    <border>
      <left style="thin">
        <color theme="7" tint="0.39994506668294322"/>
      </left>
      <right style="thin">
        <color theme="7" tint="0.39994506668294322"/>
      </right>
      <top style="thin">
        <color theme="7" tint="0.39994506668294322"/>
      </top>
      <bottom style="thin">
        <color indexed="64"/>
      </bottom>
      <diagonal/>
    </border>
    <border>
      <left style="thin">
        <color theme="7" tint="0.39997558519241921"/>
      </left>
      <right style="thin">
        <color indexed="64"/>
      </right>
      <top style="thin">
        <color theme="7" tint="0.39997558519241921"/>
      </top>
      <bottom style="thin">
        <color indexed="64"/>
      </bottom>
      <diagonal/>
    </border>
    <border>
      <left style="double">
        <color indexed="64"/>
      </left>
      <right style="thin">
        <color indexed="64"/>
      </right>
      <top style="double">
        <color indexed="64"/>
      </top>
      <bottom style="double">
        <color indexed="64"/>
      </bottom>
      <diagonal/>
    </border>
    <border>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medium">
        <color indexed="64"/>
      </left>
      <right style="medium">
        <color indexed="64"/>
      </right>
      <top style="medium">
        <color indexed="64"/>
      </top>
      <bottom style="medium">
        <color indexed="64"/>
      </bottom>
      <diagonal/>
    </border>
    <border>
      <left style="double">
        <color indexed="64"/>
      </left>
      <right style="thin">
        <color indexed="64"/>
      </right>
      <top style="hair">
        <color indexed="64"/>
      </top>
      <bottom style="hair">
        <color indexed="64"/>
      </bottom>
      <diagonal/>
    </border>
    <border>
      <left style="thin">
        <color indexed="64"/>
      </left>
      <right style="double">
        <color indexed="64"/>
      </right>
      <top/>
      <bottom style="hair">
        <color indexed="64"/>
      </bottom>
      <diagonal/>
    </border>
    <border>
      <left style="thin">
        <color indexed="64"/>
      </left>
      <right style="double">
        <color indexed="64"/>
      </right>
      <top style="hair">
        <color indexed="64"/>
      </top>
      <bottom style="hair">
        <color indexed="64"/>
      </bottom>
      <diagonal/>
    </border>
    <border>
      <left style="double">
        <color indexed="64"/>
      </left>
      <right style="thin">
        <color indexed="64"/>
      </right>
      <top style="hair">
        <color indexed="64"/>
      </top>
      <bottom/>
      <diagonal/>
    </border>
    <border>
      <left style="thin">
        <color indexed="64"/>
      </left>
      <right style="double">
        <color indexed="64"/>
      </right>
      <top style="hair">
        <color indexed="64"/>
      </top>
      <bottom/>
      <diagonal/>
    </border>
    <border>
      <left style="thin">
        <color indexed="64"/>
      </left>
      <right style="double">
        <color indexed="64"/>
      </right>
      <top style="double">
        <color indexed="64"/>
      </top>
      <bottom style="double">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thin">
        <color indexed="64"/>
      </top>
      <bottom/>
      <diagonal/>
    </border>
    <border>
      <left style="double">
        <color indexed="64"/>
      </left>
      <right style="thin">
        <color indexed="64"/>
      </right>
      <top style="thin">
        <color indexed="64"/>
      </top>
      <bottom style="hair">
        <color indexed="64"/>
      </bottom>
      <diagonal/>
    </border>
    <border>
      <left style="thin">
        <color indexed="64"/>
      </left>
      <right style="double">
        <color indexed="64"/>
      </right>
      <top style="thin">
        <color indexed="64"/>
      </top>
      <bottom style="hair">
        <color indexed="64"/>
      </bottom>
      <diagonal/>
    </border>
    <border>
      <left style="thin">
        <color indexed="64"/>
      </left>
      <right/>
      <top style="double">
        <color indexed="64"/>
      </top>
      <bottom style="thin">
        <color indexed="64"/>
      </bottom>
      <diagonal/>
    </border>
    <border>
      <left style="thin">
        <color indexed="64"/>
      </left>
      <right/>
      <top style="thin">
        <color indexed="64"/>
      </top>
      <bottom style="hair">
        <color indexed="64"/>
      </bottom>
      <diagonal/>
    </border>
    <border>
      <left style="double">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style="thin">
        <color indexed="64"/>
      </left>
      <right style="double">
        <color indexed="64"/>
      </right>
      <top/>
      <bottom style="double">
        <color indexed="64"/>
      </bottom>
      <diagonal/>
    </border>
    <border>
      <left style="hair">
        <color indexed="64"/>
      </left>
      <right/>
      <top style="hair">
        <color indexed="64"/>
      </top>
      <bottom/>
      <diagonal/>
    </border>
    <border>
      <left style="thin">
        <color indexed="8"/>
      </left>
      <right style="thin">
        <color indexed="8"/>
      </right>
      <top style="thin">
        <color indexed="8"/>
      </top>
      <bottom style="thin">
        <color indexed="8"/>
      </bottom>
      <diagonal/>
    </border>
    <border>
      <left style="thin">
        <color indexed="8"/>
      </left>
      <right style="thin">
        <color indexed="64"/>
      </right>
      <top style="hair">
        <color indexed="64"/>
      </top>
      <bottom/>
      <diagonal/>
    </border>
    <border>
      <left/>
      <right style="thin">
        <color indexed="8"/>
      </right>
      <top/>
      <bottom style="hair">
        <color indexed="64"/>
      </bottom>
      <diagonal/>
    </border>
    <border>
      <left style="thin">
        <color indexed="64"/>
      </left>
      <right/>
      <top style="medium">
        <color indexed="64"/>
      </top>
      <bottom style="thin">
        <color indexed="64"/>
      </bottom>
      <diagonal/>
    </border>
  </borders>
  <cellStyleXfs count="42">
    <xf numFmtId="0" fontId="0" fillId="0" borderId="0"/>
    <xf numFmtId="43" fontId="4" fillId="0" borderId="0" applyFont="0" applyFill="0" applyBorder="0" applyAlignment="0" applyProtection="0"/>
    <xf numFmtId="0" fontId="11" fillId="0" borderId="0"/>
    <xf numFmtId="0" fontId="5" fillId="0" borderId="0"/>
    <xf numFmtId="0" fontId="4" fillId="0" borderId="0"/>
    <xf numFmtId="9" fontId="4" fillId="0" borderId="0" applyFont="0" applyFill="0" applyBorder="0" applyAlignment="0" applyProtection="0"/>
    <xf numFmtId="170" fontId="60" fillId="0" borderId="0"/>
    <xf numFmtId="170" fontId="62" fillId="0" borderId="0"/>
    <xf numFmtId="0" fontId="4" fillId="0" borderId="0"/>
    <xf numFmtId="168" fontId="62" fillId="0" borderId="0"/>
    <xf numFmtId="0" fontId="3" fillId="0" borderId="0"/>
    <xf numFmtId="0" fontId="3" fillId="0" borderId="0"/>
    <xf numFmtId="0" fontId="23" fillId="0" borderId="0"/>
    <xf numFmtId="0" fontId="23" fillId="0" borderId="0"/>
    <xf numFmtId="0" fontId="5" fillId="0" borderId="0"/>
    <xf numFmtId="0" fontId="23" fillId="0" borderId="0"/>
    <xf numFmtId="0" fontId="23" fillId="0" borderId="0"/>
    <xf numFmtId="0" fontId="23" fillId="0" borderId="0"/>
    <xf numFmtId="0" fontId="4" fillId="0" borderId="0"/>
    <xf numFmtId="166" fontId="101" fillId="0" borderId="0"/>
    <xf numFmtId="192" fontId="4" fillId="0" borderId="0" applyFont="0" applyFill="0" applyBorder="0" applyAlignment="0" applyProtection="0"/>
    <xf numFmtId="0" fontId="4" fillId="0" borderId="0"/>
    <xf numFmtId="43" fontId="4" fillId="0" borderId="0" applyFont="0" applyFill="0" applyBorder="0" applyAlignment="0" applyProtection="0"/>
    <xf numFmtId="193" fontId="101" fillId="0" borderId="0"/>
    <xf numFmtId="43" fontId="4" fillId="0" borderId="0" applyFont="0" applyFill="0" applyBorder="0" applyAlignment="0" applyProtection="0"/>
    <xf numFmtId="0" fontId="2" fillId="0" borderId="0"/>
    <xf numFmtId="0" fontId="2" fillId="0" borderId="0"/>
    <xf numFmtId="0" fontId="4" fillId="0" borderId="0"/>
    <xf numFmtId="0" fontId="2" fillId="0" borderId="0"/>
    <xf numFmtId="43" fontId="4" fillId="0" borderId="0" applyFont="0" applyFill="0" applyBorder="0" applyAlignment="0" applyProtection="0"/>
    <xf numFmtId="0" fontId="120" fillId="0" borderId="0" applyNumberFormat="0" applyFill="0" applyBorder="0" applyAlignment="0" applyProtection="0"/>
    <xf numFmtId="0" fontId="1" fillId="0" borderId="0"/>
    <xf numFmtId="43" fontId="1" fillId="0" borderId="0" applyFont="0" applyFill="0" applyBorder="0" applyAlignment="0" applyProtection="0"/>
    <xf numFmtId="0" fontId="4" fillId="0" borderId="0"/>
    <xf numFmtId="0" fontId="133" fillId="0" borderId="0"/>
    <xf numFmtId="43" fontId="133" fillId="0" borderId="0" applyFont="0" applyFill="0" applyBorder="0" applyAlignment="0" applyProtection="0"/>
    <xf numFmtId="0" fontId="4" fillId="0" borderId="0"/>
    <xf numFmtId="43" fontId="4" fillId="0" borderId="0" applyFont="0" applyFill="0" applyBorder="0" applyAlignment="0" applyProtection="0"/>
    <xf numFmtId="0" fontId="143" fillId="0" borderId="0"/>
    <xf numFmtId="0" fontId="60" fillId="0" borderId="0"/>
    <xf numFmtId="0" fontId="4" fillId="0" borderId="0"/>
    <xf numFmtId="0" fontId="4" fillId="0" borderId="0"/>
  </cellStyleXfs>
  <cellXfs count="3135">
    <xf numFmtId="0" fontId="0" fillId="0" borderId="0" xfId="0"/>
    <xf numFmtId="0" fontId="6" fillId="0" borderId="0" xfId="0" applyFont="1"/>
    <xf numFmtId="0" fontId="5" fillId="0" borderId="0" xfId="0" applyFont="1" applyAlignment="1">
      <alignment wrapText="1"/>
    </xf>
    <xf numFmtId="0" fontId="7" fillId="0" borderId="0" xfId="0" applyFont="1"/>
    <xf numFmtId="0" fontId="8" fillId="0" borderId="0" xfId="0" applyFont="1"/>
    <xf numFmtId="0" fontId="5" fillId="0" borderId="1" xfId="0" applyFont="1" applyBorder="1" applyAlignment="1">
      <alignment horizontal="center" vertical="top" wrapText="1"/>
    </xf>
    <xf numFmtId="2" fontId="0" fillId="0" borderId="0" xfId="0" applyNumberFormat="1"/>
    <xf numFmtId="0" fontId="0" fillId="0" borderId="2" xfId="0" applyBorder="1"/>
    <xf numFmtId="0" fontId="0" fillId="0" borderId="3" xfId="0" applyBorder="1"/>
    <xf numFmtId="0" fontId="14" fillId="0" borderId="0" xfId="0" applyFont="1"/>
    <xf numFmtId="0" fontId="5" fillId="0" borderId="0" xfId="0" applyFont="1"/>
    <xf numFmtId="0" fontId="15" fillId="0" borderId="0" xfId="0" applyFont="1"/>
    <xf numFmtId="0" fontId="16" fillId="0" borderId="4" xfId="0" applyFont="1" applyBorder="1" applyAlignment="1">
      <alignment horizontal="center"/>
    </xf>
    <xf numFmtId="0" fontId="16" fillId="0" borderId="1" xfId="0" applyFont="1" applyBorder="1" applyAlignment="1">
      <alignment horizontal="centerContinuous"/>
    </xf>
    <xf numFmtId="0" fontId="16" fillId="0" borderId="5" xfId="0" applyFont="1" applyBorder="1" applyAlignment="1">
      <alignment horizontal="centerContinuous"/>
    </xf>
    <xf numFmtId="0" fontId="16" fillId="0" borderId="6" xfId="0" applyFont="1" applyBorder="1" applyAlignment="1">
      <alignment horizontal="centerContinuous"/>
    </xf>
    <xf numFmtId="0" fontId="16" fillId="0" borderId="7" xfId="0" applyFont="1" applyBorder="1" applyAlignment="1">
      <alignment horizontal="center"/>
    </xf>
    <xf numFmtId="0" fontId="16" fillId="0" borderId="7" xfId="0" applyFont="1" applyBorder="1"/>
    <xf numFmtId="0" fontId="16" fillId="0" borderId="8" xfId="0" applyFont="1" applyBorder="1" applyAlignment="1">
      <alignment horizontal="center"/>
    </xf>
    <xf numFmtId="0" fontId="16" fillId="0" borderId="9" xfId="0" applyFont="1" applyBorder="1" applyAlignment="1">
      <alignment horizontal="center"/>
    </xf>
    <xf numFmtId="0" fontId="16" fillId="0" borderId="10" xfId="0" applyFont="1" applyBorder="1" applyAlignment="1">
      <alignment horizontal="center"/>
    </xf>
    <xf numFmtId="0" fontId="16" fillId="0" borderId="10" xfId="0" quotePrefix="1" applyFont="1" applyBorder="1" applyAlignment="1">
      <alignment horizontal="center"/>
    </xf>
    <xf numFmtId="0" fontId="16" fillId="0" borderId="10" xfId="0" applyFont="1" applyBorder="1"/>
    <xf numFmtId="0" fontId="16" fillId="0" borderId="11" xfId="0" applyFont="1" applyBorder="1" applyAlignment="1">
      <alignment horizontal="centerContinuous"/>
    </xf>
    <xf numFmtId="0" fontId="16" fillId="0" borderId="1" xfId="0" applyFont="1" applyBorder="1" applyAlignment="1">
      <alignment horizontal="center"/>
    </xf>
    <xf numFmtId="0" fontId="16" fillId="0" borderId="11" xfId="0" applyFont="1" applyBorder="1" applyAlignment="1">
      <alignment horizontal="center"/>
    </xf>
    <xf numFmtId="0" fontId="16" fillId="0" borderId="12" xfId="0" applyFont="1" applyBorder="1" applyAlignment="1">
      <alignment horizontal="center"/>
    </xf>
    <xf numFmtId="0" fontId="17" fillId="0" borderId="5" xfId="0" applyFont="1" applyBorder="1" applyAlignment="1">
      <alignment horizontal="right"/>
    </xf>
    <xf numFmtId="0" fontId="17" fillId="0" borderId="5" xfId="0" applyFont="1" applyBorder="1" applyAlignment="1">
      <alignment horizontal="left"/>
    </xf>
    <xf numFmtId="0" fontId="16" fillId="0" borderId="5" xfId="0" applyFont="1" applyBorder="1" applyAlignment="1">
      <alignment horizontal="center"/>
    </xf>
    <xf numFmtId="0" fontId="16" fillId="0" borderId="5" xfId="0" quotePrefix="1" applyFont="1" applyBorder="1" applyAlignment="1">
      <alignment horizontal="center"/>
    </xf>
    <xf numFmtId="0" fontId="10" fillId="0" borderId="7" xfId="0" applyFont="1" applyBorder="1" applyAlignment="1">
      <alignment horizontal="left"/>
    </xf>
    <xf numFmtId="0" fontId="10" fillId="0" borderId="13" xfId="0" applyFont="1" applyBorder="1" applyAlignment="1">
      <alignment horizontal="left"/>
    </xf>
    <xf numFmtId="0" fontId="10" fillId="0" borderId="13" xfId="0" applyFont="1" applyBorder="1"/>
    <xf numFmtId="0" fontId="10" fillId="0" borderId="14" xfId="0" applyFont="1" applyBorder="1"/>
    <xf numFmtId="0" fontId="5" fillId="0" borderId="13" xfId="0" applyFont="1" applyBorder="1"/>
    <xf numFmtId="0" fontId="10" fillId="0" borderId="7" xfId="0" applyFont="1" applyBorder="1" applyAlignment="1">
      <alignment horizontal="center"/>
    </xf>
    <xf numFmtId="0" fontId="10" fillId="0" borderId="7" xfId="0" applyFont="1" applyBorder="1"/>
    <xf numFmtId="169" fontId="10" fillId="0" borderId="13" xfId="0" applyNumberFormat="1" applyFont="1" applyBorder="1"/>
    <xf numFmtId="0" fontId="10" fillId="0" borderId="7" xfId="0" applyFont="1" applyBorder="1" applyAlignment="1">
      <alignment horizontal="right"/>
    </xf>
    <xf numFmtId="43" fontId="10" fillId="0" borderId="7" xfId="0" applyNumberFormat="1" applyFont="1" applyBorder="1"/>
    <xf numFmtId="2" fontId="10" fillId="0" borderId="10" xfId="0" applyNumberFormat="1" applyFont="1" applyBorder="1"/>
    <xf numFmtId="0" fontId="5" fillId="0" borderId="8" xfId="0" applyFont="1" applyBorder="1"/>
    <xf numFmtId="0" fontId="10" fillId="0" borderId="10" xfId="0" applyFont="1" applyBorder="1" applyAlignment="1">
      <alignment horizontal="center"/>
    </xf>
    <xf numFmtId="0" fontId="10" fillId="0" borderId="10" xfId="0" applyFont="1" applyBorder="1"/>
    <xf numFmtId="0" fontId="10" fillId="0" borderId="10" xfId="0" applyFont="1" applyBorder="1" applyAlignment="1">
      <alignment horizontal="left"/>
    </xf>
    <xf numFmtId="0" fontId="10" fillId="0" borderId="8" xfId="0" applyFont="1" applyBorder="1"/>
    <xf numFmtId="0" fontId="10" fillId="0" borderId="9" xfId="0" applyFont="1" applyBorder="1"/>
    <xf numFmtId="0" fontId="16" fillId="0" borderId="11" xfId="0" applyFont="1" applyBorder="1"/>
    <xf numFmtId="2" fontId="16" fillId="0" borderId="5" xfId="0" applyNumberFormat="1" applyFont="1" applyBorder="1"/>
    <xf numFmtId="0" fontId="16" fillId="0" borderId="6" xfId="0" applyFont="1" applyBorder="1" applyAlignment="1">
      <alignment horizontal="right"/>
    </xf>
    <xf numFmtId="2" fontId="16" fillId="0" borderId="9" xfId="0" applyNumberFormat="1" applyFont="1" applyBorder="1"/>
    <xf numFmtId="43" fontId="16" fillId="0" borderId="10" xfId="1" applyFont="1" applyBorder="1"/>
    <xf numFmtId="169" fontId="5" fillId="0" borderId="13" xfId="0" applyNumberFormat="1" applyFont="1" applyBorder="1"/>
    <xf numFmtId="166" fontId="5" fillId="0" borderId="13" xfId="0" applyNumberFormat="1" applyFont="1" applyBorder="1"/>
    <xf numFmtId="166" fontId="10" fillId="0" borderId="13" xfId="0" applyNumberFormat="1" applyFont="1" applyBorder="1"/>
    <xf numFmtId="0" fontId="5" fillId="0" borderId="10" xfId="0" applyFont="1" applyBorder="1"/>
    <xf numFmtId="0" fontId="10" fillId="0" borderId="8" xfId="0" applyFont="1" applyBorder="1" applyAlignment="1">
      <alignment horizontal="left"/>
    </xf>
    <xf numFmtId="0" fontId="10" fillId="0" borderId="12" xfId="0" applyFont="1" applyBorder="1"/>
    <xf numFmtId="0" fontId="10" fillId="0" borderId="1" xfId="0" applyFont="1" applyBorder="1"/>
    <xf numFmtId="0" fontId="10" fillId="0" borderId="0" xfId="0" applyFont="1"/>
    <xf numFmtId="2" fontId="10" fillId="0" borderId="7" xfId="0" applyNumberFormat="1" applyFont="1" applyBorder="1"/>
    <xf numFmtId="2" fontId="10" fillId="0" borderId="9" xfId="0" applyNumberFormat="1" applyFont="1" applyBorder="1"/>
    <xf numFmtId="43" fontId="10" fillId="0" borderId="10" xfId="1" applyFont="1" applyBorder="1"/>
    <xf numFmtId="43" fontId="16" fillId="0" borderId="1" xfId="1" applyFont="1" applyBorder="1"/>
    <xf numFmtId="0" fontId="10" fillId="0" borderId="8" xfId="0" applyFont="1" applyBorder="1" applyAlignment="1">
      <alignment horizontal="center"/>
    </xf>
    <xf numFmtId="0" fontId="10" fillId="0" borderId="1" xfId="0" applyFont="1" applyBorder="1" applyAlignment="1">
      <alignment horizontal="left"/>
    </xf>
    <xf numFmtId="0" fontId="10" fillId="0" borderId="5" xfId="0" applyFont="1" applyBorder="1"/>
    <xf numFmtId="0" fontId="10" fillId="0" borderId="6" xfId="0" applyFont="1" applyBorder="1"/>
    <xf numFmtId="0" fontId="5" fillId="0" borderId="11" xfId="0" applyFont="1" applyBorder="1"/>
    <xf numFmtId="43" fontId="10" fillId="0" borderId="10" xfId="0" applyNumberFormat="1" applyFont="1" applyBorder="1"/>
    <xf numFmtId="166" fontId="5" fillId="0" borderId="11" xfId="0" applyNumberFormat="1" applyFont="1" applyBorder="1"/>
    <xf numFmtId="0" fontId="10" fillId="0" borderId="11" xfId="0" applyFont="1" applyBorder="1" applyAlignment="1">
      <alignment horizontal="center"/>
    </xf>
    <xf numFmtId="2" fontId="10" fillId="0" borderId="1" xfId="0" applyNumberFormat="1" applyFont="1" applyBorder="1"/>
    <xf numFmtId="0" fontId="10" fillId="0" borderId="15" xfId="0" applyFont="1" applyBorder="1" applyAlignment="1">
      <alignment horizontal="center"/>
    </xf>
    <xf numFmtId="2" fontId="5" fillId="0" borderId="13" xfId="0" applyNumberFormat="1" applyFont="1" applyBorder="1"/>
    <xf numFmtId="0" fontId="10" fillId="0" borderId="4" xfId="0" applyFont="1" applyBorder="1"/>
    <xf numFmtId="0" fontId="10" fillId="0" borderId="16" xfId="0" applyFont="1" applyBorder="1"/>
    <xf numFmtId="0" fontId="10" fillId="0" borderId="17" xfId="0" applyFont="1" applyBorder="1"/>
    <xf numFmtId="2" fontId="10" fillId="0" borderId="4" xfId="0" applyNumberFormat="1" applyFont="1" applyBorder="1"/>
    <xf numFmtId="43" fontId="10" fillId="0" borderId="7" xfId="1" applyFont="1" applyBorder="1"/>
    <xf numFmtId="43" fontId="16" fillId="0" borderId="7" xfId="1" applyFont="1" applyBorder="1"/>
    <xf numFmtId="0" fontId="10" fillId="0" borderId="11" xfId="0" applyFont="1" applyBorder="1"/>
    <xf numFmtId="0" fontId="17" fillId="0" borderId="5" xfId="0" applyFont="1" applyBorder="1"/>
    <xf numFmtId="2" fontId="10" fillId="0" borderId="5" xfId="0" applyNumberFormat="1" applyFont="1" applyBorder="1"/>
    <xf numFmtId="43" fontId="10" fillId="0" borderId="5" xfId="0" applyNumberFormat="1" applyFont="1" applyBorder="1"/>
    <xf numFmtId="43" fontId="10" fillId="0" borderId="5" xfId="1" applyFont="1" applyBorder="1"/>
    <xf numFmtId="43" fontId="16" fillId="0" borderId="6" xfId="1" applyFont="1" applyBorder="1"/>
    <xf numFmtId="0" fontId="5" fillId="0" borderId="13" xfId="0" applyFont="1" applyBorder="1" applyAlignment="1">
      <alignment horizontal="left"/>
    </xf>
    <xf numFmtId="0" fontId="16" fillId="0" borderId="5" xfId="0" applyFont="1" applyBorder="1"/>
    <xf numFmtId="2" fontId="10" fillId="0" borderId="14" xfId="0" applyNumberFormat="1" applyFont="1" applyBorder="1"/>
    <xf numFmtId="2" fontId="16" fillId="0" borderId="12" xfId="0" applyNumberFormat="1" applyFont="1" applyBorder="1"/>
    <xf numFmtId="43" fontId="16" fillId="0" borderId="9" xfId="1" applyFont="1" applyBorder="1"/>
    <xf numFmtId="43" fontId="10" fillId="0" borderId="1" xfId="0" applyNumberFormat="1" applyFont="1" applyBorder="1"/>
    <xf numFmtId="2" fontId="10" fillId="0" borderId="6" xfId="0" applyNumberFormat="1" applyFont="1" applyBorder="1"/>
    <xf numFmtId="0" fontId="10" fillId="0" borderId="1" xfId="0" applyFont="1" applyBorder="1" applyAlignment="1">
      <alignment horizontal="center"/>
    </xf>
    <xf numFmtId="43" fontId="10" fillId="0" borderId="1" xfId="1" applyFont="1" applyBorder="1"/>
    <xf numFmtId="16" fontId="10" fillId="0" borderId="7" xfId="0" quotePrefix="1" applyNumberFormat="1" applyFont="1" applyBorder="1"/>
    <xf numFmtId="171" fontId="16" fillId="0" borderId="10" xfId="1" applyNumberFormat="1" applyFont="1" applyBorder="1"/>
    <xf numFmtId="43" fontId="10" fillId="0" borderId="4" xfId="0" applyNumberFormat="1" applyFont="1" applyBorder="1"/>
    <xf numFmtId="0" fontId="16" fillId="0" borderId="15" xfId="0" applyFont="1" applyBorder="1"/>
    <xf numFmtId="0" fontId="10" fillId="0" borderId="7" xfId="0" quotePrefix="1" applyFont="1" applyBorder="1"/>
    <xf numFmtId="0" fontId="10" fillId="0" borderId="10" xfId="0" quotePrefix="1" applyFont="1" applyBorder="1" applyAlignment="1">
      <alignment horizontal="center"/>
    </xf>
    <xf numFmtId="0" fontId="16" fillId="0" borderId="5" xfId="0" applyFont="1" applyBorder="1" applyAlignment="1">
      <alignment horizontal="right"/>
    </xf>
    <xf numFmtId="43" fontId="16" fillId="0" borderId="5" xfId="1" applyFont="1" applyBorder="1"/>
    <xf numFmtId="164" fontId="10" fillId="0" borderId="14" xfId="0" applyNumberFormat="1" applyFont="1" applyBorder="1"/>
    <xf numFmtId="0" fontId="10" fillId="0" borderId="10" xfId="0" quotePrefix="1" applyFont="1" applyBorder="1"/>
    <xf numFmtId="0" fontId="16" fillId="0" borderId="17" xfId="0" applyFont="1" applyBorder="1" applyAlignment="1">
      <alignment horizontal="right"/>
    </xf>
    <xf numFmtId="171" fontId="16" fillId="0" borderId="9" xfId="1" applyNumberFormat="1" applyFont="1" applyBorder="1"/>
    <xf numFmtId="0" fontId="10" fillId="0" borderId="13" xfId="0" applyFont="1" applyBorder="1" applyAlignment="1">
      <alignment horizontal="center"/>
    </xf>
    <xf numFmtId="43" fontId="10" fillId="0" borderId="14" xfId="1" applyFont="1" applyBorder="1"/>
    <xf numFmtId="43" fontId="10" fillId="0" borderId="9" xfId="1" applyFont="1" applyBorder="1"/>
    <xf numFmtId="0" fontId="16" fillId="0" borderId="9" xfId="0" applyFont="1" applyBorder="1" applyAlignment="1">
      <alignment horizontal="right"/>
    </xf>
    <xf numFmtId="0" fontId="10" fillId="0" borderId="0" xfId="0" applyFont="1" applyAlignment="1">
      <alignment horizontal="right"/>
    </xf>
    <xf numFmtId="2" fontId="16" fillId="0" borderId="14" xfId="0" applyNumberFormat="1" applyFont="1" applyBorder="1"/>
    <xf numFmtId="2" fontId="16" fillId="0" borderId="16" xfId="0" applyNumberFormat="1" applyFont="1" applyBorder="1"/>
    <xf numFmtId="0" fontId="16" fillId="0" borderId="16" xfId="0" applyFont="1" applyBorder="1" applyAlignment="1">
      <alignment horizontal="center"/>
    </xf>
    <xf numFmtId="43" fontId="16" fillId="0" borderId="14" xfId="1" applyFont="1" applyBorder="1"/>
    <xf numFmtId="2" fontId="10" fillId="0" borderId="17" xfId="0" applyNumberFormat="1" applyFont="1" applyBorder="1"/>
    <xf numFmtId="0" fontId="10" fillId="0" borderId="4" xfId="0" applyFont="1" applyBorder="1" applyAlignment="1">
      <alignment horizontal="center"/>
    </xf>
    <xf numFmtId="43" fontId="10" fillId="0" borderId="4" xfId="1" applyFont="1" applyBorder="1"/>
    <xf numFmtId="2" fontId="16" fillId="0" borderId="6" xfId="0" applyNumberFormat="1" applyFont="1" applyBorder="1"/>
    <xf numFmtId="0" fontId="0" fillId="0" borderId="11" xfId="0" applyBorder="1"/>
    <xf numFmtId="0" fontId="0" fillId="0" borderId="5" xfId="0" applyBorder="1"/>
    <xf numFmtId="0" fontId="10" fillId="0" borderId="4" xfId="0" applyFont="1" applyBorder="1" applyAlignment="1">
      <alignment horizontal="left"/>
    </xf>
    <xf numFmtId="0" fontId="10" fillId="0" borderId="15" xfId="0" applyFont="1" applyBorder="1"/>
    <xf numFmtId="43" fontId="10" fillId="0" borderId="4" xfId="0" applyNumberFormat="1" applyFont="1" applyBorder="1" applyAlignment="1">
      <alignment horizontal="right"/>
    </xf>
    <xf numFmtId="166" fontId="10" fillId="0" borderId="13" xfId="0" applyNumberFormat="1" applyFont="1" applyBorder="1" applyAlignment="1">
      <alignment horizontal="left"/>
    </xf>
    <xf numFmtId="166" fontId="10" fillId="0" borderId="13" xfId="0" applyNumberFormat="1" applyFont="1" applyBorder="1" applyAlignment="1">
      <alignment horizontal="right"/>
    </xf>
    <xf numFmtId="166" fontId="10" fillId="0" borderId="13" xfId="0" applyNumberFormat="1" applyFont="1" applyBorder="1" applyAlignment="1">
      <alignment horizontal="center"/>
    </xf>
    <xf numFmtId="0" fontId="10" fillId="0" borderId="13" xfId="0" applyFont="1" applyBorder="1" applyAlignment="1">
      <alignment horizontal="centerContinuous"/>
    </xf>
    <xf numFmtId="0" fontId="10" fillId="0" borderId="14" xfId="0" applyFont="1" applyBorder="1" applyAlignment="1">
      <alignment horizontal="centerContinuous"/>
    </xf>
    <xf numFmtId="166" fontId="10" fillId="0" borderId="8" xfId="0" applyNumberFormat="1" applyFont="1" applyBorder="1"/>
    <xf numFmtId="166" fontId="10" fillId="0" borderId="8" xfId="0" applyNumberFormat="1" applyFont="1" applyBorder="1" applyAlignment="1">
      <alignment horizontal="left"/>
    </xf>
    <xf numFmtId="166" fontId="10" fillId="0" borderId="8" xfId="0" applyNumberFormat="1" applyFont="1" applyBorder="1" applyAlignment="1">
      <alignment horizontal="right"/>
    </xf>
    <xf numFmtId="0" fontId="0" fillId="0" borderId="10" xfId="0" applyBorder="1"/>
    <xf numFmtId="0" fontId="10" fillId="0" borderId="8" xfId="0" applyFont="1" applyBorder="1" applyAlignment="1">
      <alignment horizontal="right"/>
    </xf>
    <xf numFmtId="166" fontId="10" fillId="0" borderId="5" xfId="0" applyNumberFormat="1" applyFont="1" applyBorder="1"/>
    <xf numFmtId="0" fontId="17" fillId="0" borderId="12" xfId="0" applyFont="1" applyBorder="1"/>
    <xf numFmtId="0" fontId="16" fillId="0" borderId="12" xfId="0" applyFont="1" applyBorder="1"/>
    <xf numFmtId="0" fontId="16" fillId="0" borderId="12" xfId="0" applyFont="1" applyBorder="1" applyAlignment="1">
      <alignment horizontal="right"/>
    </xf>
    <xf numFmtId="43" fontId="16" fillId="0" borderId="12" xfId="1" applyFont="1" applyBorder="1"/>
    <xf numFmtId="170" fontId="10" fillId="0" borderId="15" xfId="0" applyNumberFormat="1" applyFont="1" applyBorder="1"/>
    <xf numFmtId="171" fontId="10" fillId="0" borderId="13" xfId="0" applyNumberFormat="1" applyFont="1" applyBorder="1"/>
    <xf numFmtId="43" fontId="16" fillId="0" borderId="4" xfId="1" applyFont="1" applyBorder="1"/>
    <xf numFmtId="0" fontId="5" fillId="0" borderId="7" xfId="0" applyFont="1" applyBorder="1"/>
    <xf numFmtId="170" fontId="10" fillId="0" borderId="13" xfId="0" applyNumberFormat="1" applyFont="1" applyBorder="1"/>
    <xf numFmtId="2" fontId="10" fillId="0" borderId="13" xfId="0" applyNumberFormat="1" applyFont="1" applyBorder="1"/>
    <xf numFmtId="43" fontId="10" fillId="0" borderId="13" xfId="0" applyNumberFormat="1" applyFont="1" applyBorder="1"/>
    <xf numFmtId="2" fontId="16" fillId="0" borderId="8" xfId="0" applyNumberFormat="1" applyFont="1" applyBorder="1"/>
    <xf numFmtId="0" fontId="16" fillId="0" borderId="8" xfId="0" applyFont="1" applyBorder="1" applyAlignment="1">
      <alignment horizontal="right"/>
    </xf>
    <xf numFmtId="2" fontId="16" fillId="0" borderId="10" xfId="0" applyNumberFormat="1" applyFont="1" applyBorder="1"/>
    <xf numFmtId="2" fontId="10" fillId="0" borderId="8" xfId="0" applyNumberFormat="1" applyFont="1" applyBorder="1"/>
    <xf numFmtId="43" fontId="10" fillId="0" borderId="8" xfId="0" applyNumberFormat="1" applyFont="1" applyBorder="1" applyAlignment="1">
      <alignment horizontal="center"/>
    </xf>
    <xf numFmtId="2" fontId="16" fillId="0" borderId="1" xfId="0" applyNumberFormat="1" applyFont="1" applyBorder="1"/>
    <xf numFmtId="170" fontId="10" fillId="0" borderId="7" xfId="0" applyNumberFormat="1" applyFont="1" applyBorder="1"/>
    <xf numFmtId="165" fontId="10" fillId="0" borderId="13" xfId="0" applyNumberFormat="1" applyFont="1" applyBorder="1"/>
    <xf numFmtId="170" fontId="5" fillId="0" borderId="10" xfId="0" applyNumberFormat="1" applyFont="1" applyBorder="1"/>
    <xf numFmtId="165" fontId="10" fillId="0" borderId="8" xfId="0" applyNumberFormat="1" applyFont="1" applyBorder="1"/>
    <xf numFmtId="43" fontId="10" fillId="0" borderId="7" xfId="0" applyNumberFormat="1" applyFont="1" applyBorder="1" applyAlignment="1">
      <alignment horizontal="right"/>
    </xf>
    <xf numFmtId="2" fontId="16" fillId="0" borderId="13" xfId="0" applyNumberFormat="1" applyFont="1" applyBorder="1"/>
    <xf numFmtId="0" fontId="16" fillId="0" borderId="13" xfId="0" applyFont="1" applyBorder="1" applyAlignment="1">
      <alignment horizontal="right"/>
    </xf>
    <xf numFmtId="2" fontId="16" fillId="0" borderId="7" xfId="0" applyNumberFormat="1" applyFont="1" applyBorder="1"/>
    <xf numFmtId="2" fontId="0" fillId="0" borderId="13" xfId="0" applyNumberFormat="1" applyBorder="1"/>
    <xf numFmtId="0" fontId="10" fillId="0" borderId="13" xfId="0" quotePrefix="1" applyFont="1" applyBorder="1"/>
    <xf numFmtId="43" fontId="10" fillId="0" borderId="13" xfId="0" applyNumberFormat="1" applyFont="1" applyBorder="1" applyAlignment="1">
      <alignment horizontal="center"/>
    </xf>
    <xf numFmtId="168" fontId="10" fillId="0" borderId="13" xfId="0" applyNumberFormat="1" applyFont="1" applyBorder="1"/>
    <xf numFmtId="166" fontId="10" fillId="0" borderId="8" xfId="0" applyNumberFormat="1" applyFont="1" applyBorder="1" applyAlignment="1">
      <alignment horizontal="center"/>
    </xf>
    <xf numFmtId="2" fontId="10" fillId="0" borderId="14" xfId="0" applyNumberFormat="1" applyFont="1" applyBorder="1" applyAlignment="1">
      <alignment horizontal="right"/>
    </xf>
    <xf numFmtId="43" fontId="10" fillId="0" borderId="8" xfId="0" applyNumberFormat="1" applyFont="1" applyBorder="1"/>
    <xf numFmtId="0" fontId="10" fillId="0" borderId="10" xfId="0" applyFont="1" applyBorder="1" applyAlignment="1">
      <alignment horizontal="right"/>
    </xf>
    <xf numFmtId="0" fontId="10" fillId="0" borderId="12" xfId="0" applyFont="1" applyBorder="1" applyAlignment="1">
      <alignment horizontal="right"/>
    </xf>
    <xf numFmtId="0" fontId="10" fillId="0" borderId="4" xfId="0" quotePrefix="1" applyFont="1" applyBorder="1" applyAlignment="1">
      <alignment horizontal="left"/>
    </xf>
    <xf numFmtId="164" fontId="10" fillId="0" borderId="7" xfId="0" applyNumberFormat="1" applyFont="1" applyBorder="1"/>
    <xf numFmtId="0" fontId="5" fillId="0" borderId="10" xfId="0" applyFont="1" applyBorder="1" applyAlignment="1">
      <alignment horizontal="left"/>
    </xf>
    <xf numFmtId="0" fontId="10" fillId="0" borderId="10" xfId="0" applyFont="1" applyBorder="1" applyAlignment="1">
      <alignment vertical="top"/>
    </xf>
    <xf numFmtId="0" fontId="0" fillId="0" borderId="18" xfId="0" applyBorder="1" applyAlignment="1">
      <alignment horizontal="left"/>
    </xf>
    <xf numFmtId="166" fontId="0" fillId="0" borderId="18" xfId="0" applyNumberFormat="1" applyBorder="1"/>
    <xf numFmtId="2" fontId="0" fillId="0" borderId="5" xfId="0" applyNumberFormat="1" applyBorder="1"/>
    <xf numFmtId="0" fontId="10" fillId="0" borderId="0" xfId="0" applyFont="1" applyAlignment="1">
      <alignment horizontal="left"/>
    </xf>
    <xf numFmtId="0" fontId="10" fillId="0" borderId="5" xfId="0" applyFont="1" applyBorder="1" applyAlignment="1">
      <alignment horizontal="center"/>
    </xf>
    <xf numFmtId="170" fontId="5" fillId="0" borderId="0" xfId="0" applyNumberFormat="1" applyFont="1"/>
    <xf numFmtId="170" fontId="0" fillId="0" borderId="0" xfId="0" applyNumberFormat="1"/>
    <xf numFmtId="0" fontId="10" fillId="0" borderId="0" xfId="0" quotePrefix="1" applyFont="1"/>
    <xf numFmtId="171" fontId="10" fillId="0" borderId="7" xfId="0" applyNumberFormat="1" applyFont="1" applyBorder="1"/>
    <xf numFmtId="0" fontId="19" fillId="0" borderId="0" xfId="0" applyFont="1"/>
    <xf numFmtId="0" fontId="20" fillId="0" borderId="0" xfId="0" applyFont="1"/>
    <xf numFmtId="0" fontId="21" fillId="0" borderId="0" xfId="0" applyFont="1"/>
    <xf numFmtId="0" fontId="22" fillId="0" borderId="0" xfId="0" applyFont="1"/>
    <xf numFmtId="0" fontId="8" fillId="0" borderId="0" xfId="0" applyFont="1" applyAlignment="1">
      <alignment horizontal="center"/>
    </xf>
    <xf numFmtId="0" fontId="5" fillId="0" borderId="0" xfId="0" applyFont="1" applyAlignment="1">
      <alignment vertical="top" wrapText="1"/>
    </xf>
    <xf numFmtId="0" fontId="5" fillId="0" borderId="19" xfId="0" applyFont="1" applyBorder="1" applyAlignment="1">
      <alignment horizontal="center" vertical="top" wrapText="1"/>
    </xf>
    <xf numFmtId="0" fontId="5" fillId="0" borderId="19" xfId="0" applyFont="1" applyBorder="1" applyAlignment="1">
      <alignment vertical="top" wrapText="1"/>
    </xf>
    <xf numFmtId="0" fontId="5" fillId="0" borderId="19" xfId="0" applyFont="1" applyBorder="1" applyAlignment="1">
      <alignment horizontal="center" vertical="center" wrapText="1"/>
    </xf>
    <xf numFmtId="4" fontId="5" fillId="0" borderId="19" xfId="0" applyNumberFormat="1" applyFont="1" applyBorder="1" applyAlignment="1">
      <alignment vertical="top" wrapText="1"/>
    </xf>
    <xf numFmtId="0" fontId="5" fillId="0" borderId="2" xfId="0" applyFont="1" applyBorder="1" applyAlignment="1">
      <alignment horizontal="center" vertical="top" wrapText="1"/>
    </xf>
    <xf numFmtId="0" fontId="5" fillId="0" borderId="2" xfId="0" applyFont="1" applyBorder="1" applyAlignment="1">
      <alignment vertical="top" wrapText="1"/>
    </xf>
    <xf numFmtId="0" fontId="5" fillId="0" borderId="2" xfId="0" applyFont="1" applyBorder="1" applyAlignment="1">
      <alignment horizontal="center" vertical="center" wrapText="1"/>
    </xf>
    <xf numFmtId="4" fontId="5" fillId="0" borderId="2" xfId="0" applyNumberFormat="1" applyFont="1" applyBorder="1" applyAlignment="1">
      <alignment vertical="top" wrapText="1"/>
    </xf>
    <xf numFmtId="0" fontId="5" fillId="0" borderId="2" xfId="0" applyFont="1" applyBorder="1" applyAlignment="1">
      <alignment horizontal="right" vertical="top" wrapText="1"/>
    </xf>
    <xf numFmtId="0" fontId="5" fillId="0" borderId="3" xfId="0" applyFont="1" applyBorder="1" applyAlignment="1">
      <alignment horizontal="right" vertical="top" wrapText="1"/>
    </xf>
    <xf numFmtId="0" fontId="5" fillId="0" borderId="3" xfId="0" applyFont="1" applyBorder="1" applyAlignment="1">
      <alignment horizontal="center" vertical="center" wrapText="1"/>
    </xf>
    <xf numFmtId="4" fontId="5" fillId="0" borderId="3" xfId="0" applyNumberFormat="1" applyFont="1" applyBorder="1" applyAlignment="1">
      <alignment vertical="top" wrapText="1"/>
    </xf>
    <xf numFmtId="0" fontId="25" fillId="0" borderId="0" xfId="0" applyFont="1"/>
    <xf numFmtId="0" fontId="5" fillId="0" borderId="0" xfId="0" applyFont="1" applyAlignment="1">
      <alignment horizontal="right" vertical="top" wrapText="1"/>
    </xf>
    <xf numFmtId="0" fontId="5" fillId="0" borderId="0" xfId="0" applyFont="1" applyAlignment="1">
      <alignment horizontal="center" vertical="center" wrapText="1"/>
    </xf>
    <xf numFmtId="4" fontId="5" fillId="0" borderId="0" xfId="0" applyNumberFormat="1" applyFont="1" applyAlignment="1">
      <alignment vertical="top" wrapText="1"/>
    </xf>
    <xf numFmtId="0" fontId="5" fillId="0" borderId="20" xfId="0" applyFont="1" applyBorder="1" applyAlignment="1">
      <alignment horizontal="center" vertical="top" wrapText="1"/>
    </xf>
    <xf numFmtId="0" fontId="5" fillId="0" borderId="20" xfId="0" applyFont="1" applyBorder="1" applyAlignment="1">
      <alignment vertical="top" wrapText="1"/>
    </xf>
    <xf numFmtId="0" fontId="5" fillId="0" borderId="20" xfId="0" applyFont="1" applyBorder="1" applyAlignment="1">
      <alignment horizontal="center" vertical="center" wrapText="1"/>
    </xf>
    <xf numFmtId="4" fontId="5" fillId="0" borderId="20" xfId="0" applyNumberFormat="1" applyFont="1" applyBorder="1" applyAlignment="1">
      <alignment vertical="top" wrapText="1"/>
    </xf>
    <xf numFmtId="0" fontId="17" fillId="0" borderId="15" xfId="0" applyFont="1" applyBorder="1"/>
    <xf numFmtId="0" fontId="17" fillId="0" borderId="17" xfId="0" applyFont="1" applyBorder="1"/>
    <xf numFmtId="0" fontId="17" fillId="0" borderId="4" xfId="0" applyFont="1" applyBorder="1" applyAlignment="1">
      <alignment horizontal="center"/>
    </xf>
    <xf numFmtId="0" fontId="17" fillId="0" borderId="16" xfId="0" applyFont="1" applyBorder="1" applyAlignment="1">
      <alignment horizontal="center"/>
    </xf>
    <xf numFmtId="0" fontId="17" fillId="0" borderId="15" xfId="0" applyFont="1" applyBorder="1" applyAlignment="1">
      <alignment horizontal="centerContinuous"/>
    </xf>
    <xf numFmtId="0" fontId="17" fillId="0" borderId="6" xfId="0" applyFont="1" applyBorder="1" applyAlignment="1">
      <alignment horizontal="centerContinuous"/>
    </xf>
    <xf numFmtId="0" fontId="26" fillId="0" borderId="0" xfId="0" applyFont="1"/>
    <xf numFmtId="0" fontId="27" fillId="0" borderId="0" xfId="0" applyFont="1"/>
    <xf numFmtId="0" fontId="17" fillId="0" borderId="13" xfId="0" applyFont="1" applyBorder="1"/>
    <xf numFmtId="0" fontId="17" fillId="0" borderId="14" xfId="0" applyFont="1" applyBorder="1"/>
    <xf numFmtId="0" fontId="17" fillId="0" borderId="0" xfId="0" applyFont="1"/>
    <xf numFmtId="0" fontId="17" fillId="0" borderId="7" xfId="0" applyFont="1" applyBorder="1" applyAlignment="1">
      <alignment horizontal="center"/>
    </xf>
    <xf numFmtId="0" fontId="17" fillId="0" borderId="0" xfId="0" applyFont="1" applyAlignment="1">
      <alignment horizontal="center"/>
    </xf>
    <xf numFmtId="0" fontId="17" fillId="0" borderId="14" xfId="0" applyFont="1" applyBorder="1" applyAlignment="1">
      <alignment horizontal="center"/>
    </xf>
    <xf numFmtId="0" fontId="17" fillId="0" borderId="8" xfId="0" applyFont="1" applyBorder="1"/>
    <xf numFmtId="0" fontId="17" fillId="0" borderId="9" xfId="0" applyFont="1" applyBorder="1"/>
    <xf numFmtId="0" fontId="17" fillId="0" borderId="10" xfId="0" applyFont="1" applyBorder="1" applyAlignment="1">
      <alignment horizontal="center"/>
    </xf>
    <xf numFmtId="0" fontId="17" fillId="0" borderId="0" xfId="0" quotePrefix="1" applyFont="1" applyAlignment="1">
      <alignment horizontal="center"/>
    </xf>
    <xf numFmtId="0" fontId="17" fillId="0" borderId="9" xfId="0" applyFont="1" applyBorder="1" applyAlignment="1">
      <alignment horizontal="center"/>
    </xf>
    <xf numFmtId="0" fontId="26" fillId="0" borderId="1" xfId="0" applyFont="1" applyBorder="1" applyAlignment="1">
      <alignment horizontal="center"/>
    </xf>
    <xf numFmtId="0" fontId="26" fillId="0" borderId="4" xfId="0" applyFont="1" applyBorder="1" applyAlignment="1">
      <alignment horizontal="center"/>
    </xf>
    <xf numFmtId="0" fontId="26" fillId="0" borderId="7" xfId="0" applyFont="1" applyBorder="1" applyAlignment="1">
      <alignment horizontal="center"/>
    </xf>
    <xf numFmtId="0" fontId="26" fillId="0" borderId="11" xfId="0" applyFont="1" applyBorder="1" applyAlignment="1">
      <alignment horizontal="center"/>
    </xf>
    <xf numFmtId="0" fontId="26" fillId="0" borderId="5" xfId="0" applyFont="1" applyBorder="1" applyAlignment="1">
      <alignment horizontal="center"/>
    </xf>
    <xf numFmtId="0" fontId="17" fillId="0" borderId="11" xfId="0" applyFont="1" applyBorder="1" applyAlignment="1">
      <alignment horizontal="centerContinuous"/>
    </xf>
    <xf numFmtId="0" fontId="17" fillId="0" borderId="12" xfId="0" applyFont="1" applyBorder="1" applyAlignment="1">
      <alignment horizontal="center"/>
    </xf>
    <xf numFmtId="0" fontId="17" fillId="0" borderId="1" xfId="0" applyFont="1" applyBorder="1" applyAlignment="1">
      <alignment horizontal="center"/>
    </xf>
    <xf numFmtId="0" fontId="16" fillId="0" borderId="0" xfId="0" applyFont="1" applyAlignment="1">
      <alignment horizontal="centerContinuous"/>
    </xf>
    <xf numFmtId="0" fontId="29" fillId="0" borderId="0" xfId="0" applyFont="1"/>
    <xf numFmtId="0" fontId="16" fillId="0" borderId="4" xfId="0" applyFont="1" applyBorder="1"/>
    <xf numFmtId="0" fontId="16" fillId="0" borderId="17" xfId="0" applyFont="1" applyBorder="1" applyAlignment="1">
      <alignment horizontal="center"/>
    </xf>
    <xf numFmtId="0" fontId="16" fillId="0" borderId="15" xfId="0" applyFont="1" applyBorder="1" applyAlignment="1">
      <alignment horizontal="center"/>
    </xf>
    <xf numFmtId="0" fontId="16" fillId="0" borderId="13" xfId="0" applyFont="1" applyBorder="1"/>
    <xf numFmtId="0" fontId="16" fillId="0" borderId="14" xfId="0" applyFont="1" applyBorder="1"/>
    <xf numFmtId="0" fontId="16" fillId="0" borderId="0" xfId="0" applyFont="1" applyAlignment="1">
      <alignment horizontal="center"/>
    </xf>
    <xf numFmtId="0" fontId="16" fillId="0" borderId="13" xfId="0" applyFont="1" applyBorder="1" applyAlignment="1">
      <alignment horizontal="center"/>
    </xf>
    <xf numFmtId="0" fontId="16" fillId="0" borderId="8" xfId="0" applyFont="1" applyBorder="1"/>
    <xf numFmtId="0" fontId="10" fillId="0" borderId="6" xfId="0" applyFont="1" applyBorder="1" applyAlignment="1">
      <alignment horizontal="center"/>
    </xf>
    <xf numFmtId="43" fontId="10" fillId="0" borderId="1" xfId="1" applyFont="1" applyFill="1" applyBorder="1"/>
    <xf numFmtId="2" fontId="10" fillId="0" borderId="1" xfId="0" applyNumberFormat="1" applyFont="1" applyBorder="1" applyAlignment="1">
      <alignment horizontal="center"/>
    </xf>
    <xf numFmtId="0" fontId="10" fillId="0" borderId="12" xfId="0" applyFont="1" applyBorder="1" applyAlignment="1">
      <alignment horizontal="left"/>
    </xf>
    <xf numFmtId="0" fontId="9" fillId="0" borderId="12" xfId="0" applyFont="1" applyBorder="1"/>
    <xf numFmtId="0" fontId="9" fillId="0" borderId="12" xfId="0" applyFont="1" applyBorder="1" applyAlignment="1">
      <alignment horizontal="right"/>
    </xf>
    <xf numFmtId="0" fontId="9" fillId="0" borderId="0" xfId="0" applyFont="1"/>
    <xf numFmtId="43" fontId="31" fillId="0" borderId="10" xfId="1" applyFont="1" applyBorder="1"/>
    <xf numFmtId="43" fontId="9" fillId="0" borderId="7" xfId="1" applyFont="1" applyBorder="1"/>
    <xf numFmtId="43" fontId="32" fillId="0" borderId="10" xfId="1" applyFont="1" applyBorder="1" applyAlignment="1">
      <alignment horizontal="left"/>
    </xf>
    <xf numFmtId="2" fontId="9" fillId="0" borderId="14" xfId="0" applyNumberFormat="1" applyFont="1" applyBorder="1"/>
    <xf numFmtId="2" fontId="9" fillId="0" borderId="9" xfId="0" applyNumberFormat="1" applyFont="1" applyBorder="1"/>
    <xf numFmtId="43" fontId="9" fillId="0" borderId="7" xfId="0" applyNumberFormat="1" applyFont="1" applyBorder="1"/>
    <xf numFmtId="0" fontId="33" fillId="0" borderId="0" xfId="0" applyFont="1"/>
    <xf numFmtId="0" fontId="31" fillId="0" borderId="6" xfId="0" applyFont="1" applyBorder="1" applyAlignment="1">
      <alignment horizontal="centerContinuous"/>
    </xf>
    <xf numFmtId="0" fontId="31" fillId="0" borderId="7" xfId="0" applyFont="1" applyBorder="1" applyAlignment="1">
      <alignment horizontal="center"/>
    </xf>
    <xf numFmtId="0" fontId="31" fillId="0" borderId="10" xfId="0" applyFont="1" applyBorder="1"/>
    <xf numFmtId="0" fontId="31" fillId="0" borderId="1" xfId="0" applyFont="1" applyBorder="1" applyAlignment="1">
      <alignment horizontal="center"/>
    </xf>
    <xf numFmtId="0" fontId="31" fillId="0" borderId="10" xfId="0" applyFont="1" applyBorder="1" applyAlignment="1">
      <alignment horizontal="center"/>
    </xf>
    <xf numFmtId="0" fontId="31" fillId="0" borderId="6" xfId="0" applyFont="1" applyBorder="1" applyAlignment="1">
      <alignment horizontal="center"/>
    </xf>
    <xf numFmtId="0" fontId="31" fillId="0" borderId="4" xfId="0" applyFont="1" applyBorder="1" applyAlignment="1">
      <alignment horizontal="center"/>
    </xf>
    <xf numFmtId="43" fontId="9" fillId="0" borderId="10" xfId="1" applyFont="1" applyBorder="1"/>
    <xf numFmtId="43" fontId="31" fillId="0" borderId="6" xfId="1" applyFont="1" applyBorder="1"/>
    <xf numFmtId="43" fontId="9" fillId="0" borderId="4" xfId="1" applyFont="1" applyBorder="1"/>
    <xf numFmtId="0" fontId="33" fillId="0" borderId="6" xfId="0" applyFont="1" applyBorder="1"/>
    <xf numFmtId="43" fontId="31" fillId="0" borderId="7" xfId="1" applyFont="1" applyBorder="1"/>
    <xf numFmtId="43" fontId="31" fillId="0" borderId="9" xfId="1" applyFont="1" applyBorder="1"/>
    <xf numFmtId="43" fontId="31" fillId="0" borderId="4" xfId="1" applyFont="1" applyBorder="1"/>
    <xf numFmtId="43" fontId="9" fillId="0" borderId="6" xfId="1" applyFont="1" applyBorder="1"/>
    <xf numFmtId="0" fontId="31" fillId="0" borderId="16" xfId="0" applyFont="1" applyBorder="1" applyAlignment="1">
      <alignment horizontal="center"/>
    </xf>
    <xf numFmtId="0" fontId="31" fillId="0" borderId="17" xfId="0" applyFont="1" applyBorder="1"/>
    <xf numFmtId="0" fontId="31" fillId="0" borderId="13" xfId="0" applyFont="1" applyBorder="1" applyAlignment="1">
      <alignment horizontal="centerContinuous"/>
    </xf>
    <xf numFmtId="0" fontId="31" fillId="0" borderId="14" xfId="0" applyFont="1" applyBorder="1" applyAlignment="1">
      <alignment horizontal="centerContinuous"/>
    </xf>
    <xf numFmtId="0" fontId="31" fillId="0" borderId="8" xfId="0" applyFont="1" applyBorder="1" applyAlignment="1">
      <alignment horizontal="center"/>
    </xf>
    <xf numFmtId="0" fontId="31" fillId="0" borderId="9" xfId="0" applyFont="1" applyBorder="1" applyAlignment="1">
      <alignment horizontal="center"/>
    </xf>
    <xf numFmtId="0" fontId="34" fillId="0" borderId="0" xfId="0" applyFont="1"/>
    <xf numFmtId="2" fontId="34" fillId="0" borderId="0" xfId="0" applyNumberFormat="1" applyFont="1" applyAlignment="1">
      <alignment horizontal="right"/>
    </xf>
    <xf numFmtId="0" fontId="28" fillId="0" borderId="0" xfId="0" applyFont="1"/>
    <xf numFmtId="0" fontId="35" fillId="0" borderId="1" xfId="0" applyFont="1" applyBorder="1" applyAlignment="1">
      <alignment horizontal="center" vertical="top" wrapText="1"/>
    </xf>
    <xf numFmtId="0" fontId="35" fillId="0" borderId="1" xfId="0" applyFont="1" applyBorder="1" applyAlignment="1">
      <alignment vertical="top" wrapText="1"/>
    </xf>
    <xf numFmtId="2" fontId="35" fillId="0" borderId="1" xfId="0" applyNumberFormat="1" applyFont="1" applyBorder="1" applyAlignment="1">
      <alignment horizontal="right" vertical="top" wrapText="1"/>
    </xf>
    <xf numFmtId="0" fontId="36" fillId="0" borderId="0" xfId="0" applyFont="1"/>
    <xf numFmtId="39" fontId="5" fillId="0" borderId="7" xfId="0" applyNumberFormat="1" applyFont="1" applyBorder="1" applyAlignment="1">
      <alignment vertical="top" wrapText="1"/>
    </xf>
    <xf numFmtId="0" fontId="5" fillId="0" borderId="11" xfId="0" applyFont="1" applyBorder="1" applyAlignment="1">
      <alignment horizontal="center" vertical="top" wrapText="1"/>
    </xf>
    <xf numFmtId="0" fontId="5" fillId="0" borderId="5" xfId="0" applyFont="1" applyBorder="1" applyAlignment="1">
      <alignment vertical="top" wrapText="1"/>
    </xf>
    <xf numFmtId="2" fontId="5" fillId="0" borderId="7" xfId="0" applyNumberFormat="1" applyFont="1" applyBorder="1" applyAlignment="1">
      <alignment horizontal="right" vertical="top" wrapText="1"/>
    </xf>
    <xf numFmtId="43" fontId="38" fillId="0" borderId="6" xfId="0" applyNumberFormat="1" applyFont="1" applyBorder="1" applyAlignment="1">
      <alignment vertical="top" wrapText="1"/>
    </xf>
    <xf numFmtId="0" fontId="39" fillId="0" borderId="0" xfId="0" applyFont="1"/>
    <xf numFmtId="0" fontId="5" fillId="0" borderId="0" xfId="0" applyFont="1" applyAlignment="1">
      <alignment horizontal="center" vertical="top" wrapText="1"/>
    </xf>
    <xf numFmtId="2" fontId="38" fillId="0" borderId="0" xfId="0" applyNumberFormat="1" applyFont="1" applyAlignment="1">
      <alignment horizontal="center" vertical="top" wrapText="1"/>
    </xf>
    <xf numFmtId="43" fontId="38" fillId="0" borderId="0" xfId="0" applyNumberFormat="1" applyFont="1" applyAlignment="1">
      <alignment vertical="top" wrapText="1"/>
    </xf>
    <xf numFmtId="0" fontId="5" fillId="0" borderId="10" xfId="0" applyFont="1" applyBorder="1" applyAlignment="1">
      <alignment vertical="top" wrapText="1"/>
    </xf>
    <xf numFmtId="0" fontId="5" fillId="0" borderId="6" xfId="0" applyFont="1" applyBorder="1" applyAlignment="1">
      <alignment horizontal="center" vertical="top" wrapText="1"/>
    </xf>
    <xf numFmtId="2" fontId="38" fillId="0" borderId="0" xfId="0" applyNumberFormat="1" applyFont="1" applyAlignment="1">
      <alignment horizontal="right" vertical="top" wrapText="1"/>
    </xf>
    <xf numFmtId="43" fontId="38" fillId="0" borderId="1" xfId="0" applyNumberFormat="1" applyFont="1" applyBorder="1" applyAlignment="1">
      <alignment vertical="top" wrapText="1"/>
    </xf>
    <xf numFmtId="0" fontId="5" fillId="0" borderId="0" xfId="0" applyFont="1" applyAlignment="1">
      <alignment horizontal="center"/>
    </xf>
    <xf numFmtId="2" fontId="5" fillId="0" borderId="0" xfId="0" applyNumberFormat="1" applyFont="1" applyAlignment="1">
      <alignment horizontal="right"/>
    </xf>
    <xf numFmtId="2" fontId="5" fillId="0" borderId="20" xfId="0" applyNumberFormat="1" applyFont="1" applyBorder="1" applyAlignment="1">
      <alignment horizontal="right" vertical="top" wrapText="1"/>
    </xf>
    <xf numFmtId="2" fontId="5" fillId="0" borderId="2" xfId="0" applyNumberFormat="1" applyFont="1" applyBorder="1" applyAlignment="1">
      <alignment horizontal="right" vertical="top" wrapText="1"/>
    </xf>
    <xf numFmtId="39" fontId="5" fillId="0" borderId="2" xfId="0" applyNumberFormat="1" applyFont="1" applyBorder="1" applyAlignment="1">
      <alignment vertical="top" wrapText="1"/>
    </xf>
    <xf numFmtId="0" fontId="5" fillId="0" borderId="3" xfId="0" applyFont="1" applyBorder="1" applyAlignment="1">
      <alignment vertical="top" wrapText="1"/>
    </xf>
    <xf numFmtId="2" fontId="5" fillId="0" borderId="0" xfId="0" applyNumberFormat="1" applyFont="1" applyAlignment="1">
      <alignment horizontal="right" vertical="top" wrapText="1"/>
    </xf>
    <xf numFmtId="39" fontId="5" fillId="0" borderId="20" xfId="0" applyNumberFormat="1" applyFont="1" applyBorder="1" applyAlignment="1">
      <alignment vertical="top" wrapText="1"/>
    </xf>
    <xf numFmtId="0" fontId="5" fillId="0" borderId="3" xfId="0" applyFont="1" applyBorder="1" applyAlignment="1">
      <alignment horizontal="center" vertical="top" wrapText="1"/>
    </xf>
    <xf numFmtId="0" fontId="5" fillId="0" borderId="2" xfId="0" applyFont="1" applyBorder="1" applyAlignment="1">
      <alignment horizontal="left" vertical="top" wrapText="1"/>
    </xf>
    <xf numFmtId="43" fontId="5" fillId="0" borderId="2" xfId="0" applyNumberFormat="1" applyFont="1" applyBorder="1" applyAlignment="1">
      <alignment horizontal="center" vertical="top" wrapText="1"/>
    </xf>
    <xf numFmtId="2" fontId="5" fillId="0" borderId="3" xfId="0" applyNumberFormat="1" applyFont="1" applyBorder="1" applyAlignment="1">
      <alignment horizontal="right" vertical="top" wrapText="1"/>
    </xf>
    <xf numFmtId="2" fontId="5" fillId="0" borderId="1" xfId="0" applyNumberFormat="1" applyFont="1" applyBorder="1" applyAlignment="1">
      <alignment horizontal="right"/>
    </xf>
    <xf numFmtId="43" fontId="5" fillId="0" borderId="1" xfId="0" applyNumberFormat="1" applyFont="1" applyBorder="1"/>
    <xf numFmtId="0" fontId="5" fillId="0" borderId="11" xfId="2" applyFont="1" applyBorder="1"/>
    <xf numFmtId="0" fontId="5" fillId="0" borderId="5" xfId="2" applyFont="1" applyBorder="1"/>
    <xf numFmtId="2" fontId="5" fillId="0" borderId="5" xfId="2" applyNumberFormat="1" applyFont="1" applyBorder="1" applyAlignment="1">
      <alignment horizontal="right"/>
    </xf>
    <xf numFmtId="2" fontId="5" fillId="0" borderId="1" xfId="2" applyNumberFormat="1" applyFont="1" applyBorder="1" applyAlignment="1">
      <alignment horizontal="right"/>
    </xf>
    <xf numFmtId="0" fontId="5" fillId="0" borderId="1" xfId="2" applyFont="1" applyBorder="1"/>
    <xf numFmtId="0" fontId="5" fillId="0" borderId="19" xfId="2" applyFont="1" applyBorder="1"/>
    <xf numFmtId="0" fontId="22" fillId="0" borderId="19" xfId="2" applyFont="1" applyBorder="1" applyAlignment="1">
      <alignment horizontal="left"/>
    </xf>
    <xf numFmtId="2" fontId="5" fillId="0" borderId="19" xfId="2" applyNumberFormat="1" applyFont="1" applyBorder="1" applyAlignment="1">
      <alignment horizontal="right"/>
    </xf>
    <xf numFmtId="166" fontId="5" fillId="0" borderId="19" xfId="2" applyNumberFormat="1" applyFont="1" applyBorder="1"/>
    <xf numFmtId="0" fontId="5" fillId="0" borderId="2" xfId="2" applyFont="1" applyBorder="1" applyAlignment="1">
      <alignment horizontal="left"/>
    </xf>
    <xf numFmtId="2" fontId="5" fillId="0" borderId="2" xfId="2" applyNumberFormat="1" applyFont="1" applyBorder="1" applyAlignment="1">
      <alignment horizontal="right"/>
    </xf>
    <xf numFmtId="43" fontId="5" fillId="0" borderId="20" xfId="0" applyNumberFormat="1" applyFont="1" applyBorder="1" applyAlignment="1">
      <alignment horizontal="center" vertical="top" wrapText="1"/>
    </xf>
    <xf numFmtId="0" fontId="5" fillId="0" borderId="2" xfId="2" applyFont="1" applyBorder="1"/>
    <xf numFmtId="166" fontId="5" fillId="0" borderId="2" xfId="2" applyNumberFormat="1" applyFont="1" applyBorder="1" applyAlignment="1">
      <alignment horizontal="left"/>
    </xf>
    <xf numFmtId="2" fontId="38" fillId="0" borderId="14" xfId="0" applyNumberFormat="1" applyFont="1" applyBorder="1" applyAlignment="1">
      <alignment horizontal="right" vertical="top" wrapText="1"/>
    </xf>
    <xf numFmtId="0" fontId="5" fillId="0" borderId="1" xfId="0" applyFont="1" applyBorder="1" applyAlignment="1">
      <alignment vertical="top" wrapText="1"/>
    </xf>
    <xf numFmtId="2" fontId="5" fillId="0" borderId="1" xfId="0" applyNumberFormat="1" applyFont="1" applyBorder="1" applyAlignment="1">
      <alignment horizontal="right" vertical="top" wrapText="1"/>
    </xf>
    <xf numFmtId="39" fontId="38" fillId="0" borderId="1" xfId="0" applyNumberFormat="1" applyFont="1" applyBorder="1" applyAlignment="1">
      <alignment vertical="top" wrapText="1"/>
    </xf>
    <xf numFmtId="43" fontId="5" fillId="0" borderId="0" xfId="0" applyNumberFormat="1" applyFont="1" applyAlignment="1">
      <alignment horizontal="center" vertical="top" wrapText="1"/>
    </xf>
    <xf numFmtId="0" fontId="11" fillId="0" borderId="20" xfId="2" applyBorder="1"/>
    <xf numFmtId="0" fontId="40" fillId="0" borderId="20" xfId="2" applyFont="1" applyBorder="1" applyAlignment="1">
      <alignment horizontal="left"/>
    </xf>
    <xf numFmtId="2" fontId="11" fillId="0" borderId="20" xfId="2" applyNumberFormat="1" applyBorder="1" applyAlignment="1">
      <alignment horizontal="right"/>
    </xf>
    <xf numFmtId="43" fontId="38" fillId="0" borderId="1" xfId="0" applyNumberFormat="1" applyFont="1" applyBorder="1" applyAlignment="1">
      <alignment horizontal="center" vertical="top" wrapText="1"/>
    </xf>
    <xf numFmtId="43" fontId="38" fillId="0" borderId="0" xfId="0" applyNumberFormat="1" applyFont="1" applyAlignment="1">
      <alignment horizontal="center" vertical="top" wrapText="1"/>
    </xf>
    <xf numFmtId="43" fontId="5" fillId="0" borderId="1" xfId="0" applyNumberFormat="1" applyFont="1" applyBorder="1" applyAlignment="1">
      <alignment vertical="top" wrapText="1"/>
    </xf>
    <xf numFmtId="43" fontId="5" fillId="0" borderId="7" xfId="0" applyNumberFormat="1" applyFont="1" applyBorder="1" applyAlignment="1">
      <alignment vertical="top" wrapText="1"/>
    </xf>
    <xf numFmtId="0" fontId="5" fillId="0" borderId="1" xfId="2" applyFont="1" applyBorder="1" applyAlignment="1">
      <alignment horizontal="left"/>
    </xf>
    <xf numFmtId="2" fontId="35" fillId="0" borderId="1" xfId="0" applyNumberFormat="1" applyFont="1" applyBorder="1" applyAlignment="1">
      <alignment horizontal="right"/>
    </xf>
    <xf numFmtId="166" fontId="5" fillId="0" borderId="1" xfId="2" applyNumberFormat="1" applyFont="1" applyBorder="1"/>
    <xf numFmtId="2" fontId="39" fillId="0" borderId="0" xfId="0" applyNumberFormat="1" applyFont="1" applyAlignment="1">
      <alignment horizontal="right"/>
    </xf>
    <xf numFmtId="43" fontId="5" fillId="0" borderId="2" xfId="2" applyNumberFormat="1" applyFont="1" applyBorder="1" applyAlignment="1">
      <alignment horizontal="left"/>
    </xf>
    <xf numFmtId="0" fontId="38" fillId="0" borderId="2" xfId="0" applyFont="1" applyBorder="1" applyAlignment="1">
      <alignment vertical="top" wrapText="1"/>
    </xf>
    <xf numFmtId="2" fontId="38" fillId="0" borderId="2" xfId="0" applyNumberFormat="1" applyFont="1" applyBorder="1" applyAlignment="1">
      <alignment horizontal="right" vertical="top" wrapText="1"/>
    </xf>
    <xf numFmtId="2" fontId="38" fillId="0" borderId="20" xfId="0" applyNumberFormat="1" applyFont="1" applyBorder="1" applyAlignment="1">
      <alignment horizontal="right" vertical="top" wrapText="1"/>
    </xf>
    <xf numFmtId="43" fontId="38" fillId="0" borderId="20" xfId="0" applyNumberFormat="1" applyFont="1" applyBorder="1" applyAlignment="1">
      <alignment horizontal="center" vertical="top" wrapText="1"/>
    </xf>
    <xf numFmtId="0" fontId="38" fillId="0" borderId="2" xfId="0" applyFont="1" applyBorder="1" applyAlignment="1">
      <alignment horizontal="center" vertical="top" wrapText="1"/>
    </xf>
    <xf numFmtId="0" fontId="38" fillId="0" borderId="21" xfId="0" applyFont="1" applyBorder="1" applyAlignment="1">
      <alignment vertical="top" wrapText="1"/>
    </xf>
    <xf numFmtId="43" fontId="38" fillId="0" borderId="10" xfId="0" applyNumberFormat="1" applyFont="1" applyBorder="1" applyAlignment="1">
      <alignment horizontal="center" vertical="top" wrapText="1"/>
    </xf>
    <xf numFmtId="0" fontId="38" fillId="0" borderId="19" xfId="0" applyFont="1" applyBorder="1" applyAlignment="1">
      <alignment vertical="top" wrapText="1"/>
    </xf>
    <xf numFmtId="2" fontId="5" fillId="0" borderId="19" xfId="0" applyNumberFormat="1" applyFont="1" applyBorder="1" applyAlignment="1">
      <alignment horizontal="right" vertical="top" wrapText="1"/>
    </xf>
    <xf numFmtId="0" fontId="38" fillId="0" borderId="2" xfId="0" applyFont="1" applyBorder="1" applyAlignment="1">
      <alignment horizontal="right" vertical="top" wrapText="1"/>
    </xf>
    <xf numFmtId="0" fontId="5" fillId="0" borderId="10" xfId="0" applyFont="1" applyBorder="1" applyAlignment="1">
      <alignment horizontal="right" vertical="top" wrapText="1"/>
    </xf>
    <xf numFmtId="0" fontId="28" fillId="0" borderId="0" xfId="0" applyFont="1" applyAlignment="1">
      <alignment horizontal="right"/>
    </xf>
    <xf numFmtId="2" fontId="28" fillId="0" borderId="0" xfId="0" applyNumberFormat="1" applyFont="1" applyAlignment="1">
      <alignment horizontal="right"/>
    </xf>
    <xf numFmtId="1" fontId="5" fillId="0" borderId="10" xfId="0" applyNumberFormat="1" applyFont="1" applyBorder="1" applyAlignment="1">
      <alignment horizontal="right" vertical="top" wrapText="1"/>
    </xf>
    <xf numFmtId="0" fontId="5" fillId="0" borderId="0" xfId="0" applyFont="1" applyAlignment="1">
      <alignment horizontal="right"/>
    </xf>
    <xf numFmtId="0" fontId="5" fillId="0" borderId="0" xfId="0" applyFont="1" applyAlignment="1">
      <alignment horizontal="left" vertical="top" wrapText="1"/>
    </xf>
    <xf numFmtId="0" fontId="38" fillId="0" borderId="12" xfId="0" applyFont="1" applyBorder="1"/>
    <xf numFmtId="0" fontId="11" fillId="0" borderId="0" xfId="2"/>
    <xf numFmtId="166" fontId="11" fillId="0" borderId="0" xfId="2" applyNumberFormat="1" applyAlignment="1">
      <alignment horizontal="right"/>
    </xf>
    <xf numFmtId="2" fontId="11" fillId="0" borderId="0" xfId="2" applyNumberFormat="1" applyAlignment="1">
      <alignment horizontal="right"/>
    </xf>
    <xf numFmtId="0" fontId="11" fillId="0" borderId="12" xfId="2" applyBorder="1"/>
    <xf numFmtId="166" fontId="11" fillId="0" borderId="12" xfId="2" applyNumberFormat="1" applyBorder="1" applyAlignment="1">
      <alignment horizontal="right"/>
    </xf>
    <xf numFmtId="2" fontId="11" fillId="0" borderId="12" xfId="2" applyNumberFormat="1" applyBorder="1" applyAlignment="1">
      <alignment horizontal="right"/>
    </xf>
    <xf numFmtId="0" fontId="5" fillId="0" borderId="10" xfId="2" applyFont="1" applyBorder="1"/>
    <xf numFmtId="0" fontId="5" fillId="0" borderId="10" xfId="2" applyFont="1" applyBorder="1" applyAlignment="1">
      <alignment horizontal="left"/>
    </xf>
    <xf numFmtId="1" fontId="5" fillId="0" borderId="10" xfId="2" applyNumberFormat="1" applyFont="1" applyBorder="1" applyAlignment="1">
      <alignment horizontal="right"/>
    </xf>
    <xf numFmtId="2" fontId="5" fillId="0" borderId="10" xfId="2" applyNumberFormat="1" applyFont="1" applyBorder="1" applyAlignment="1">
      <alignment horizontal="right"/>
    </xf>
    <xf numFmtId="1" fontId="11" fillId="0" borderId="0" xfId="2" applyNumberFormat="1" applyAlignment="1">
      <alignment horizontal="right"/>
    </xf>
    <xf numFmtId="166" fontId="11" fillId="0" borderId="0" xfId="2" applyNumberFormat="1"/>
    <xf numFmtId="0" fontId="40" fillId="0" borderId="0" xfId="2" applyFont="1" applyAlignment="1">
      <alignment horizontal="left"/>
    </xf>
    <xf numFmtId="0" fontId="40" fillId="0" borderId="12" xfId="2" applyFont="1" applyBorder="1" applyAlignment="1">
      <alignment horizontal="left"/>
    </xf>
    <xf numFmtId="1" fontId="11" fillId="0" borderId="12" xfId="2" applyNumberFormat="1" applyBorder="1" applyAlignment="1">
      <alignment horizontal="right"/>
    </xf>
    <xf numFmtId="166" fontId="11" fillId="0" borderId="12" xfId="2" applyNumberFormat="1" applyBorder="1"/>
    <xf numFmtId="166" fontId="5" fillId="0" borderId="10" xfId="2" applyNumberFormat="1" applyFont="1" applyBorder="1"/>
    <xf numFmtId="2" fontId="38" fillId="0" borderId="10" xfId="2" applyNumberFormat="1" applyFont="1" applyBorder="1" applyAlignment="1">
      <alignment horizontal="right"/>
    </xf>
    <xf numFmtId="0" fontId="5" fillId="0" borderId="0" xfId="2" applyFont="1"/>
    <xf numFmtId="166" fontId="5" fillId="0" borderId="0" xfId="2" applyNumberFormat="1" applyFont="1"/>
    <xf numFmtId="166" fontId="5" fillId="0" borderId="0" xfId="2" applyNumberFormat="1" applyFont="1" applyAlignment="1">
      <alignment horizontal="right"/>
    </xf>
    <xf numFmtId="2" fontId="5" fillId="0" borderId="0" xfId="2" applyNumberFormat="1" applyFont="1" applyAlignment="1">
      <alignment horizontal="right"/>
    </xf>
    <xf numFmtId="2" fontId="28" fillId="0" borderId="0" xfId="0" applyNumberFormat="1" applyFont="1" applyAlignment="1">
      <alignment horizontal="center"/>
    </xf>
    <xf numFmtId="166" fontId="38" fillId="0" borderId="1" xfId="0" applyNumberFormat="1" applyFont="1" applyBorder="1"/>
    <xf numFmtId="166" fontId="28" fillId="0" borderId="0" xfId="0" applyNumberFormat="1" applyFont="1" applyAlignment="1">
      <alignment horizontal="right"/>
    </xf>
    <xf numFmtId="166" fontId="38" fillId="0" borderId="10" xfId="0" applyNumberFormat="1" applyFont="1" applyBorder="1" applyAlignment="1">
      <alignment horizontal="right" vertical="top" wrapText="1"/>
    </xf>
    <xf numFmtId="166" fontId="5" fillId="0" borderId="0" xfId="0" applyNumberFormat="1" applyFont="1" applyAlignment="1">
      <alignment horizontal="right"/>
    </xf>
    <xf numFmtId="166" fontId="38" fillId="0" borderId="0" xfId="0" applyNumberFormat="1" applyFont="1" applyAlignment="1">
      <alignment horizontal="right" vertical="top" wrapText="1"/>
    </xf>
    <xf numFmtId="166" fontId="5" fillId="0" borderId="0" xfId="0" applyNumberFormat="1" applyFont="1" applyAlignment="1">
      <alignment horizontal="right" vertical="top" wrapText="1"/>
    </xf>
    <xf numFmtId="166" fontId="28" fillId="0" borderId="0" xfId="0" applyNumberFormat="1" applyFont="1" applyAlignment="1">
      <alignment horizontal="center"/>
    </xf>
    <xf numFmtId="0" fontId="42" fillId="2" borderId="1" xfId="0" applyFont="1" applyFill="1" applyBorder="1"/>
    <xf numFmtId="0" fontId="10" fillId="0" borderId="22" xfId="0" applyFont="1" applyBorder="1"/>
    <xf numFmtId="0" fontId="10" fillId="0" borderId="22" xfId="0" applyFont="1" applyBorder="1" applyAlignment="1">
      <alignment horizontal="center"/>
    </xf>
    <xf numFmtId="43" fontId="10" fillId="0" borderId="22" xfId="1" applyFont="1" applyFill="1" applyBorder="1"/>
    <xf numFmtId="43" fontId="10" fillId="3" borderId="1" xfId="1" applyFont="1" applyFill="1" applyBorder="1"/>
    <xf numFmtId="0" fontId="16" fillId="3" borderId="0" xfId="0" applyFont="1" applyFill="1" applyAlignment="1">
      <alignment horizontal="centerContinuous"/>
    </xf>
    <xf numFmtId="0" fontId="16" fillId="3" borderId="11" xfId="0" applyFont="1" applyFill="1" applyBorder="1" applyAlignment="1">
      <alignment horizontal="centerContinuous"/>
    </xf>
    <xf numFmtId="0" fontId="16" fillId="3" borderId="4" xfId="0" applyFont="1" applyFill="1" applyBorder="1" applyAlignment="1">
      <alignment horizontal="center"/>
    </xf>
    <xf numFmtId="0" fontId="16" fillId="3" borderId="10" xfId="0" applyFont="1" applyFill="1" applyBorder="1" applyAlignment="1">
      <alignment horizontal="center"/>
    </xf>
    <xf numFmtId="0" fontId="10" fillId="3" borderId="1" xfId="0" applyFont="1" applyFill="1" applyBorder="1" applyAlignment="1">
      <alignment horizontal="center"/>
    </xf>
    <xf numFmtId="0" fontId="10" fillId="3" borderId="1" xfId="0" applyFont="1" applyFill="1" applyBorder="1"/>
    <xf numFmtId="0" fontId="10" fillId="3" borderId="22" xfId="0" applyFont="1" applyFill="1" applyBorder="1"/>
    <xf numFmtId="0" fontId="16" fillId="3" borderId="0" xfId="0" applyFont="1" applyFill="1" applyAlignment="1">
      <alignment horizontal="center"/>
    </xf>
    <xf numFmtId="0" fontId="10" fillId="3" borderId="0" xfId="0" applyFont="1" applyFill="1"/>
    <xf numFmtId="0" fontId="10" fillId="3" borderId="6" xfId="0" applyFont="1" applyFill="1" applyBorder="1"/>
    <xf numFmtId="0" fontId="29" fillId="3" borderId="0" xfId="0" applyFont="1" applyFill="1"/>
    <xf numFmtId="0" fontId="26" fillId="0" borderId="10" xfId="0" applyFont="1" applyBorder="1" applyAlignment="1">
      <alignment horizontal="center"/>
    </xf>
    <xf numFmtId="164" fontId="26" fillId="0" borderId="1" xfId="1" applyNumberFormat="1" applyFont="1" applyBorder="1" applyAlignment="1">
      <alignment horizontal="center"/>
    </xf>
    <xf numFmtId="0" fontId="26" fillId="0" borderId="1" xfId="1" applyNumberFormat="1" applyFont="1" applyBorder="1" applyAlignment="1">
      <alignment horizontal="center"/>
    </xf>
    <xf numFmtId="0" fontId="26" fillId="0" borderId="8" xfId="0" applyFont="1" applyBorder="1" applyAlignment="1">
      <alignment horizontal="center"/>
    </xf>
    <xf numFmtId="0" fontId="26" fillId="0" borderId="13" xfId="0" applyFont="1" applyBorder="1" applyAlignment="1">
      <alignment horizontal="center"/>
    </xf>
    <xf numFmtId="43" fontId="26" fillId="0" borderId="4" xfId="1" applyFont="1" applyBorder="1" applyAlignment="1">
      <alignment horizontal="center"/>
    </xf>
    <xf numFmtId="43" fontId="26" fillId="0" borderId="7" xfId="1" applyFont="1" applyBorder="1" applyAlignment="1">
      <alignment horizontal="center"/>
    </xf>
    <xf numFmtId="0" fontId="17" fillId="0" borderId="5" xfId="0" applyFont="1" applyBorder="1" applyAlignment="1">
      <alignment horizontal="center"/>
    </xf>
    <xf numFmtId="0" fontId="17" fillId="0" borderId="11" xfId="0" applyFont="1" applyBorder="1" applyAlignment="1">
      <alignment horizontal="center"/>
    </xf>
    <xf numFmtId="0" fontId="26" fillId="0" borderId="6" xfId="0" applyFont="1" applyBorder="1" applyAlignment="1">
      <alignment horizontal="center"/>
    </xf>
    <xf numFmtId="39" fontId="26" fillId="0" borderId="1" xfId="1" applyNumberFormat="1" applyFont="1" applyBorder="1" applyAlignment="1">
      <alignment horizontal="center"/>
    </xf>
    <xf numFmtId="43" fontId="26" fillId="0" borderId="1" xfId="1" applyFont="1" applyBorder="1" applyAlignment="1">
      <alignment horizontal="center"/>
    </xf>
    <xf numFmtId="43" fontId="26" fillId="0" borderId="6" xfId="0" applyNumberFormat="1" applyFont="1" applyBorder="1" applyAlignment="1">
      <alignment horizontal="center"/>
    </xf>
    <xf numFmtId="0" fontId="26" fillId="0" borderId="1" xfId="0" applyFont="1" applyBorder="1" applyAlignment="1">
      <alignment horizontal="left"/>
    </xf>
    <xf numFmtId="0" fontId="26" fillId="0" borderId="7" xfId="0" applyFont="1" applyBorder="1" applyAlignment="1">
      <alignment horizontal="left"/>
    </xf>
    <xf numFmtId="0" fontId="26" fillId="0" borderId="5" xfId="0" applyFont="1" applyBorder="1" applyAlignment="1">
      <alignment horizontal="left"/>
    </xf>
    <xf numFmtId="0" fontId="26" fillId="0" borderId="13" xfId="0" applyFont="1" applyBorder="1" applyAlignment="1">
      <alignment horizontal="left"/>
    </xf>
    <xf numFmtId="0" fontId="15" fillId="0" borderId="0" xfId="0" applyFont="1" applyAlignment="1">
      <alignment horizontal="center" vertical="center"/>
    </xf>
    <xf numFmtId="0" fontId="38" fillId="0" borderId="0" xfId="0" applyFont="1" applyAlignment="1">
      <alignment horizontal="center" vertical="center"/>
    </xf>
    <xf numFmtId="0" fontId="38" fillId="0" borderId="0" xfId="0" applyFont="1"/>
    <xf numFmtId="165" fontId="5" fillId="0" borderId="0" xfId="0" applyNumberFormat="1" applyFont="1" applyAlignment="1">
      <alignment horizontal="center"/>
    </xf>
    <xf numFmtId="0" fontId="5" fillId="0" borderId="0" xfId="0" applyFont="1" applyAlignment="1">
      <alignment horizontal="center" vertical="center"/>
    </xf>
    <xf numFmtId="0" fontId="44" fillId="0" borderId="0" xfId="0" applyFont="1"/>
    <xf numFmtId="165" fontId="5" fillId="0" borderId="0" xfId="0" applyNumberFormat="1" applyFont="1"/>
    <xf numFmtId="164" fontId="5" fillId="0" borderId="0" xfId="0" applyNumberFormat="1" applyFont="1" applyAlignment="1">
      <alignment horizontal="right"/>
    </xf>
    <xf numFmtId="2" fontId="5" fillId="0" borderId="0" xfId="0" applyNumberFormat="1" applyFont="1"/>
    <xf numFmtId="164" fontId="5" fillId="0" borderId="0" xfId="0" applyNumberFormat="1" applyFont="1"/>
    <xf numFmtId="164" fontId="22" fillId="0" borderId="0" xfId="0" applyNumberFormat="1" applyFont="1" applyAlignment="1">
      <alignment horizontal="right"/>
    </xf>
    <xf numFmtId="0" fontId="38" fillId="0" borderId="0" xfId="0" applyFont="1" applyAlignment="1">
      <alignment horizontal="right"/>
    </xf>
    <xf numFmtId="2" fontId="38" fillId="0" borderId="0" xfId="0" applyNumberFormat="1" applyFont="1" applyAlignment="1">
      <alignment horizontal="right"/>
    </xf>
    <xf numFmtId="165" fontId="38" fillId="0" borderId="0" xfId="0" applyNumberFormat="1" applyFont="1"/>
    <xf numFmtId="0" fontId="38" fillId="0" borderId="0" xfId="0" applyFont="1" applyAlignment="1">
      <alignment horizontal="left"/>
    </xf>
    <xf numFmtId="165" fontId="38" fillId="0" borderId="0" xfId="0" applyNumberFormat="1" applyFont="1" applyAlignment="1">
      <alignment horizontal="center"/>
    </xf>
    <xf numFmtId="2" fontId="38" fillId="0" borderId="0" xfId="0" applyNumberFormat="1" applyFont="1"/>
    <xf numFmtId="2" fontId="5" fillId="0" borderId="0" xfId="0" applyNumberFormat="1" applyFont="1" applyAlignment="1">
      <alignment horizontal="center"/>
    </xf>
    <xf numFmtId="2" fontId="22" fillId="0" borderId="0" xfId="0" applyNumberFormat="1" applyFont="1" applyAlignment="1">
      <alignment horizontal="right"/>
    </xf>
    <xf numFmtId="2" fontId="22" fillId="0" borderId="0" xfId="0" applyNumberFormat="1" applyFont="1"/>
    <xf numFmtId="2" fontId="5" fillId="0" borderId="0" xfId="0" quotePrefix="1" applyNumberFormat="1" applyFont="1"/>
    <xf numFmtId="0" fontId="45" fillId="0" borderId="0" xfId="0" applyFont="1"/>
    <xf numFmtId="165" fontId="45" fillId="0" borderId="0" xfId="0" applyNumberFormat="1" applyFont="1"/>
    <xf numFmtId="165" fontId="34" fillId="0" borderId="0" xfId="0" applyNumberFormat="1" applyFont="1"/>
    <xf numFmtId="0" fontId="34" fillId="0" borderId="0" xfId="0" applyFont="1" applyAlignment="1">
      <alignment horizontal="center" vertical="center"/>
    </xf>
    <xf numFmtId="165" fontId="5" fillId="0" borderId="0" xfId="0" quotePrefix="1" applyNumberFormat="1" applyFont="1"/>
    <xf numFmtId="0" fontId="34" fillId="0" borderId="0" xfId="0" applyFont="1" applyAlignment="1">
      <alignment horizontal="center" vertical="center" wrapText="1"/>
    </xf>
    <xf numFmtId="0" fontId="46" fillId="0" borderId="0" xfId="0" applyFont="1"/>
    <xf numFmtId="172" fontId="5" fillId="0" borderId="0" xfId="0" applyNumberFormat="1" applyFont="1"/>
    <xf numFmtId="0" fontId="47" fillId="0" borderId="0" xfId="0" applyFont="1"/>
    <xf numFmtId="0" fontId="34" fillId="0" borderId="0" xfId="0" quotePrefix="1" applyFont="1" applyAlignment="1">
      <alignment horizontal="center" vertical="center"/>
    </xf>
    <xf numFmtId="0" fontId="34" fillId="0" borderId="0" xfId="0" applyFont="1" applyAlignment="1">
      <alignment horizontal="right"/>
    </xf>
    <xf numFmtId="0" fontId="23" fillId="0" borderId="0" xfId="0" applyFont="1" applyAlignment="1">
      <alignment horizontal="center" vertical="center"/>
    </xf>
    <xf numFmtId="0" fontId="48" fillId="0" borderId="0" xfId="0" applyFont="1"/>
    <xf numFmtId="0" fontId="49" fillId="0" borderId="0" xfId="0" applyFont="1" applyAlignment="1">
      <alignment horizontal="center" vertical="center"/>
    </xf>
    <xf numFmtId="0" fontId="50" fillId="0" borderId="0" xfId="0" applyFont="1"/>
    <xf numFmtId="166" fontId="5" fillId="0" borderId="0" xfId="0" applyNumberFormat="1" applyFont="1"/>
    <xf numFmtId="166" fontId="38" fillId="0" borderId="0" xfId="0" applyNumberFormat="1" applyFont="1"/>
    <xf numFmtId="0" fontId="5" fillId="0" borderId="4" xfId="0" applyFont="1" applyBorder="1" applyAlignment="1">
      <alignment horizontal="center" vertical="center" wrapText="1"/>
    </xf>
    <xf numFmtId="0" fontId="5" fillId="0" borderId="10" xfId="0" applyFont="1" applyBorder="1" applyAlignment="1">
      <alignment horizontal="center" vertical="center" wrapText="1"/>
    </xf>
    <xf numFmtId="4" fontId="38" fillId="0" borderId="2" xfId="0" applyNumberFormat="1" applyFont="1" applyBorder="1" applyAlignment="1">
      <alignment vertical="top" wrapText="1"/>
    </xf>
    <xf numFmtId="4" fontId="38" fillId="0" borderId="3" xfId="0" applyNumberFormat="1" applyFont="1" applyBorder="1" applyAlignment="1">
      <alignment vertical="top" wrapText="1"/>
    </xf>
    <xf numFmtId="43" fontId="29" fillId="0" borderId="0" xfId="0" applyNumberFormat="1" applyFont="1"/>
    <xf numFmtId="0" fontId="5" fillId="0" borderId="19" xfId="0" applyFont="1" applyBorder="1" applyAlignment="1">
      <alignment horizontal="right" vertical="top" wrapText="1"/>
    </xf>
    <xf numFmtId="2" fontId="5" fillId="0" borderId="19" xfId="0" applyNumberFormat="1" applyFont="1" applyBorder="1" applyAlignment="1">
      <alignment vertical="top" wrapText="1"/>
    </xf>
    <xf numFmtId="166" fontId="5" fillId="0" borderId="19" xfId="0" applyNumberFormat="1" applyFont="1" applyBorder="1" applyAlignment="1">
      <alignment vertical="top" wrapText="1"/>
    </xf>
    <xf numFmtId="0" fontId="5" fillId="0" borderId="19" xfId="0" applyFont="1" applyBorder="1"/>
    <xf numFmtId="0" fontId="5" fillId="0" borderId="2" xfId="0" applyFont="1" applyBorder="1" applyProtection="1">
      <protection hidden="1"/>
    </xf>
    <xf numFmtId="0" fontId="5" fillId="0" borderId="23" xfId="0" applyFont="1" applyBorder="1" applyAlignment="1">
      <alignment horizontal="right"/>
    </xf>
    <xf numFmtId="167" fontId="5" fillId="0" borderId="23" xfId="0" applyNumberFormat="1" applyFont="1" applyBorder="1"/>
    <xf numFmtId="2" fontId="5" fillId="0" borderId="23" xfId="0" applyNumberFormat="1" applyFont="1" applyBorder="1"/>
    <xf numFmtId="166" fontId="5" fillId="0" borderId="23" xfId="0" applyNumberFormat="1" applyFont="1" applyBorder="1"/>
    <xf numFmtId="166" fontId="5" fillId="0" borderId="24" xfId="0" applyNumberFormat="1" applyFont="1" applyBorder="1"/>
    <xf numFmtId="166" fontId="38" fillId="0" borderId="23" xfId="0" applyNumberFormat="1" applyFont="1" applyBorder="1"/>
    <xf numFmtId="0" fontId="5" fillId="0" borderId="23" xfId="0" applyFont="1" applyBorder="1" applyAlignment="1">
      <alignment horizontal="left"/>
    </xf>
    <xf numFmtId="166" fontId="5" fillId="0" borderId="25" xfId="0" applyNumberFormat="1" applyFont="1" applyBorder="1"/>
    <xf numFmtId="2" fontId="5" fillId="0" borderId="25" xfId="0" applyNumberFormat="1" applyFont="1" applyBorder="1"/>
    <xf numFmtId="166" fontId="5" fillId="0" borderId="26" xfId="0" applyNumberFormat="1" applyFont="1" applyBorder="1"/>
    <xf numFmtId="0" fontId="5" fillId="0" borderId="3" xfId="0" applyFont="1" applyBorder="1" applyProtection="1">
      <protection hidden="1"/>
    </xf>
    <xf numFmtId="0" fontId="5" fillId="0" borderId="25" xfId="0" applyFont="1" applyBorder="1" applyAlignment="1">
      <alignment horizontal="right"/>
    </xf>
    <xf numFmtId="167" fontId="5" fillId="0" borderId="25" xfId="0" applyNumberFormat="1" applyFont="1" applyBorder="1"/>
    <xf numFmtId="166" fontId="38" fillId="0" borderId="19" xfId="0" applyNumberFormat="1" applyFont="1" applyBorder="1" applyAlignment="1">
      <alignment vertical="top" wrapText="1"/>
    </xf>
    <xf numFmtId="0" fontId="38" fillId="0" borderId="23" xfId="0" applyFont="1" applyBorder="1" applyAlignment="1">
      <alignment horizontal="left"/>
    </xf>
    <xf numFmtId="0" fontId="38" fillId="0" borderId="3" xfId="0" applyFont="1" applyBorder="1" applyProtection="1">
      <protection hidden="1"/>
    </xf>
    <xf numFmtId="0" fontId="5" fillId="0" borderId="23" xfId="0" applyFont="1" applyBorder="1" applyAlignment="1">
      <alignment horizontal="left" wrapText="1"/>
    </xf>
    <xf numFmtId="0" fontId="34" fillId="0" borderId="0" xfId="0" applyFont="1" applyAlignment="1">
      <alignment horizontal="left" indent="1"/>
    </xf>
    <xf numFmtId="0" fontId="35" fillId="0" borderId="1" xfId="0" applyFont="1" applyBorder="1" applyAlignment="1">
      <alignment horizontal="left" vertical="top" wrapText="1" indent="1"/>
    </xf>
    <xf numFmtId="4" fontId="5" fillId="0" borderId="20" xfId="0" applyNumberFormat="1" applyFont="1" applyBorder="1" applyAlignment="1">
      <alignment horizontal="left" vertical="top" wrapText="1" indent="1"/>
    </xf>
    <xf numFmtId="0" fontId="5" fillId="0" borderId="2" xfId="0" applyFont="1" applyBorder="1" applyAlignment="1">
      <alignment horizontal="left" vertical="top" wrapText="1" indent="1"/>
    </xf>
    <xf numFmtId="2" fontId="38" fillId="0" borderId="0" xfId="0" applyNumberFormat="1" applyFont="1" applyAlignment="1">
      <alignment horizontal="left" vertical="top" wrapText="1" indent="1"/>
    </xf>
    <xf numFmtId="0" fontId="5" fillId="0" borderId="0" xfId="0" applyFont="1" applyAlignment="1">
      <alignment horizontal="left" indent="1"/>
    </xf>
    <xf numFmtId="0" fontId="5" fillId="0" borderId="3" xfId="0" applyFont="1" applyBorder="1" applyAlignment="1">
      <alignment horizontal="left" vertical="top" wrapText="1" indent="1"/>
    </xf>
    <xf numFmtId="0" fontId="5" fillId="0" borderId="0" xfId="0" applyFont="1" applyAlignment="1">
      <alignment horizontal="left" vertical="top" wrapText="1" indent="1"/>
    </xf>
    <xf numFmtId="0" fontId="5" fillId="0" borderId="1" xfId="0" applyFont="1" applyBorder="1" applyAlignment="1">
      <alignment horizontal="left" indent="1"/>
    </xf>
    <xf numFmtId="2" fontId="5" fillId="0" borderId="1" xfId="0" applyNumberFormat="1" applyFont="1" applyBorder="1" applyAlignment="1">
      <alignment horizontal="left" indent="1"/>
    </xf>
    <xf numFmtId="166" fontId="5" fillId="0" borderId="19" xfId="2" applyNumberFormat="1" applyFont="1" applyBorder="1" applyAlignment="1">
      <alignment horizontal="left" indent="1"/>
    </xf>
    <xf numFmtId="0" fontId="5" fillId="0" borderId="2" xfId="0" applyFont="1" applyBorder="1" applyAlignment="1">
      <alignment horizontal="left" indent="1"/>
    </xf>
    <xf numFmtId="166" fontId="5" fillId="0" borderId="2" xfId="2" applyNumberFormat="1" applyFont="1" applyBorder="1" applyAlignment="1">
      <alignment horizontal="left" indent="1"/>
    </xf>
    <xf numFmtId="0" fontId="5" fillId="0" borderId="1" xfId="0" applyFont="1" applyBorder="1" applyAlignment="1">
      <alignment horizontal="left" vertical="top" wrapText="1" indent="1"/>
    </xf>
    <xf numFmtId="166" fontId="11" fillId="0" borderId="20" xfId="2" applyNumberFormat="1" applyBorder="1" applyAlignment="1">
      <alignment horizontal="left" indent="1"/>
    </xf>
    <xf numFmtId="0" fontId="5" fillId="0" borderId="2" xfId="2" applyFont="1" applyBorder="1" applyAlignment="1">
      <alignment horizontal="left" indent="1"/>
    </xf>
    <xf numFmtId="0" fontId="39" fillId="0" borderId="0" xfId="0" applyFont="1" applyAlignment="1">
      <alignment horizontal="left" indent="1"/>
    </xf>
    <xf numFmtId="166" fontId="5" fillId="0" borderId="1" xfId="2" applyNumberFormat="1" applyFont="1" applyBorder="1" applyAlignment="1">
      <alignment horizontal="left" indent="1"/>
    </xf>
    <xf numFmtId="0" fontId="38" fillId="0" borderId="2" xfId="0" applyFont="1" applyBorder="1" applyAlignment="1">
      <alignment horizontal="left" vertical="top" wrapText="1" indent="1"/>
    </xf>
    <xf numFmtId="0" fontId="5" fillId="0" borderId="19" xfId="0" applyFont="1" applyBorder="1" applyAlignment="1">
      <alignment horizontal="left" vertical="top" wrapText="1" indent="1"/>
    </xf>
    <xf numFmtId="0" fontId="4" fillId="0" borderId="0" xfId="0" applyFont="1"/>
    <xf numFmtId="0" fontId="28" fillId="0" borderId="0" xfId="0" applyFont="1" applyAlignment="1">
      <alignment vertical="center"/>
    </xf>
    <xf numFmtId="0" fontId="4" fillId="0" borderId="0" xfId="0" applyFont="1" applyAlignment="1">
      <alignment horizontal="right"/>
    </xf>
    <xf numFmtId="2" fontId="4" fillId="0" borderId="0" xfId="0" applyNumberFormat="1" applyFont="1" applyAlignment="1">
      <alignment horizontal="right"/>
    </xf>
    <xf numFmtId="166" fontId="4" fillId="0" borderId="0" xfId="0" applyNumberFormat="1" applyFont="1" applyAlignment="1">
      <alignment horizontal="right"/>
    </xf>
    <xf numFmtId="0" fontId="4" fillId="0" borderId="0" xfId="0" applyFont="1" applyAlignment="1">
      <alignment horizontal="center"/>
    </xf>
    <xf numFmtId="0" fontId="5" fillId="0" borderId="0" xfId="2" applyFont="1" applyAlignment="1">
      <alignment horizontal="left"/>
    </xf>
    <xf numFmtId="1" fontId="5" fillId="0" borderId="0" xfId="2" applyNumberFormat="1" applyFont="1" applyAlignment="1">
      <alignment horizontal="right"/>
    </xf>
    <xf numFmtId="2" fontId="38" fillId="0" borderId="0" xfId="2" applyNumberFormat="1" applyFont="1" applyAlignment="1">
      <alignment horizontal="right"/>
    </xf>
    <xf numFmtId="0" fontId="4" fillId="0" borderId="0" xfId="0" applyFont="1" applyAlignment="1">
      <alignment horizontal="right" wrapText="1"/>
    </xf>
    <xf numFmtId="0" fontId="5" fillId="0" borderId="0" xfId="2" applyFont="1" applyAlignment="1">
      <alignment horizontal="right"/>
    </xf>
    <xf numFmtId="166" fontId="0" fillId="0" borderId="0" xfId="0" applyNumberFormat="1"/>
    <xf numFmtId="166" fontId="0" fillId="0" borderId="0" xfId="0" applyNumberFormat="1" applyAlignment="1">
      <alignment horizontal="left"/>
    </xf>
    <xf numFmtId="166" fontId="0" fillId="0" borderId="0" xfId="0" applyNumberFormat="1" applyAlignment="1">
      <alignment horizontal="center"/>
    </xf>
    <xf numFmtId="0" fontId="4" fillId="0" borderId="0" xfId="0" applyFont="1" applyAlignment="1">
      <alignment vertical="top"/>
    </xf>
    <xf numFmtId="166" fontId="5" fillId="0" borderId="2" xfId="2" applyNumberFormat="1" applyFont="1" applyBorder="1" applyAlignment="1">
      <alignment horizontal="center"/>
    </xf>
    <xf numFmtId="2" fontId="5" fillId="0" borderId="20" xfId="0" applyNumberFormat="1" applyFont="1" applyBorder="1" applyAlignment="1">
      <alignment horizontal="left" vertical="top" wrapText="1"/>
    </xf>
    <xf numFmtId="0" fontId="5" fillId="0" borderId="27" xfId="2" applyFont="1" applyBorder="1"/>
    <xf numFmtId="166" fontId="5" fillId="0" borderId="27" xfId="2" applyNumberFormat="1" applyFont="1" applyBorder="1" applyAlignment="1">
      <alignment horizontal="center"/>
    </xf>
    <xf numFmtId="43" fontId="5" fillId="0" borderId="27" xfId="0" applyNumberFormat="1" applyFont="1" applyBorder="1" applyAlignment="1">
      <alignment horizontal="center" vertical="top" wrapText="1"/>
    </xf>
    <xf numFmtId="2" fontId="34" fillId="0" borderId="0" xfId="0" applyNumberFormat="1" applyFont="1"/>
    <xf numFmtId="164" fontId="5" fillId="0" borderId="2" xfId="2" applyNumberFormat="1" applyFont="1" applyBorder="1" applyAlignment="1">
      <alignment horizontal="right"/>
    </xf>
    <xf numFmtId="0" fontId="52" fillId="0" borderId="0" xfId="3" applyFont="1" applyAlignment="1">
      <alignment horizontal="center"/>
    </xf>
    <xf numFmtId="0" fontId="4" fillId="0" borderId="0" xfId="4"/>
    <xf numFmtId="0" fontId="13" fillId="0" borderId="0" xfId="3" applyFont="1" applyAlignment="1">
      <alignment horizontal="center"/>
    </xf>
    <xf numFmtId="0" fontId="13" fillId="0" borderId="0" xfId="3" applyFont="1" applyAlignment="1">
      <alignment horizontal="left"/>
    </xf>
    <xf numFmtId="0" fontId="19" fillId="0" borderId="35" xfId="3" applyFont="1" applyBorder="1"/>
    <xf numFmtId="0" fontId="19" fillId="0" borderId="36" xfId="3" applyFont="1" applyBorder="1" applyAlignment="1">
      <alignment horizontal="left"/>
    </xf>
    <xf numFmtId="0" fontId="14" fillId="0" borderId="0" xfId="3" applyFont="1" applyAlignment="1">
      <alignment horizontal="left"/>
    </xf>
    <xf numFmtId="0" fontId="19" fillId="0" borderId="37" xfId="3" applyFont="1" applyBorder="1"/>
    <xf numFmtId="0" fontId="19" fillId="0" borderId="38" xfId="3" applyFont="1" applyBorder="1" applyAlignment="1">
      <alignment horizontal="left"/>
    </xf>
    <xf numFmtId="0" fontId="14" fillId="0" borderId="20" xfId="3" applyFont="1" applyBorder="1" applyAlignment="1">
      <alignment horizontal="center"/>
    </xf>
    <xf numFmtId="0" fontId="19" fillId="0" borderId="20" xfId="3" applyFont="1" applyBorder="1" applyAlignment="1">
      <alignment horizontal="center"/>
    </xf>
    <xf numFmtId="0" fontId="19" fillId="0" borderId="0" xfId="3" applyFont="1" applyAlignment="1">
      <alignment horizontal="center"/>
    </xf>
    <xf numFmtId="0" fontId="14" fillId="0" borderId="2" xfId="3" applyFont="1" applyBorder="1" applyAlignment="1">
      <alignment horizontal="center"/>
    </xf>
    <xf numFmtId="0" fontId="19" fillId="0" borderId="2" xfId="3" applyFont="1" applyBorder="1" applyAlignment="1">
      <alignment horizontal="center"/>
    </xf>
    <xf numFmtId="1" fontId="26" fillId="0" borderId="2" xfId="3" applyNumberFormat="1" applyFont="1" applyBorder="1" applyAlignment="1">
      <alignment horizontal="center"/>
    </xf>
    <xf numFmtId="1" fontId="26" fillId="0" borderId="0" xfId="3" applyNumberFormat="1" applyFont="1" applyAlignment="1">
      <alignment horizontal="center"/>
    </xf>
    <xf numFmtId="0" fontId="14" fillId="0" borderId="37" xfId="3" applyFont="1" applyBorder="1" applyAlignment="1">
      <alignment horizontal="right"/>
    </xf>
    <xf numFmtId="0" fontId="15" fillId="0" borderId="38" xfId="3" applyFont="1" applyBorder="1" applyAlignment="1">
      <alignment horizontal="center"/>
    </xf>
    <xf numFmtId="0" fontId="17" fillId="0" borderId="2" xfId="3" applyFont="1" applyBorder="1" applyAlignment="1">
      <alignment horizontal="center"/>
    </xf>
    <xf numFmtId="1" fontId="17" fillId="0" borderId="2" xfId="3" applyNumberFormat="1" applyFont="1" applyBorder="1" applyAlignment="1">
      <alignment horizontal="center"/>
    </xf>
    <xf numFmtId="1" fontId="17" fillId="0" borderId="0" xfId="3" applyNumberFormat="1" applyFont="1" applyAlignment="1">
      <alignment horizontal="center"/>
    </xf>
    <xf numFmtId="0" fontId="14" fillId="4" borderId="37" xfId="3" applyFont="1" applyFill="1" applyBorder="1" applyAlignment="1">
      <alignment horizontal="right"/>
    </xf>
    <xf numFmtId="0" fontId="14" fillId="4" borderId="38" xfId="3" applyFont="1" applyFill="1" applyBorder="1" applyAlignment="1">
      <alignment horizontal="left"/>
    </xf>
    <xf numFmtId="0" fontId="16" fillId="4" borderId="2" xfId="3" applyFont="1" applyFill="1" applyBorder="1" applyAlignment="1">
      <alignment horizontal="center"/>
    </xf>
    <xf numFmtId="0" fontId="10" fillId="4" borderId="2" xfId="3" applyFont="1" applyFill="1" applyBorder="1" applyAlignment="1">
      <alignment horizontal="center"/>
    </xf>
    <xf numFmtId="0" fontId="10" fillId="0" borderId="0" xfId="3" applyFont="1" applyAlignment="1">
      <alignment horizontal="center"/>
    </xf>
    <xf numFmtId="0" fontId="19" fillId="0" borderId="38" xfId="3" quotePrefix="1" applyFont="1" applyBorder="1" applyAlignment="1">
      <alignment horizontal="left"/>
    </xf>
    <xf numFmtId="172" fontId="19" fillId="0" borderId="2" xfId="1" quotePrefix="1" applyNumberFormat="1" applyFont="1" applyFill="1" applyBorder="1" applyAlignment="1" applyProtection="1">
      <alignment horizontal="right"/>
    </xf>
    <xf numFmtId="172" fontId="19" fillId="0" borderId="0" xfId="1" quotePrefix="1" applyNumberFormat="1" applyFont="1" applyFill="1" applyBorder="1" applyAlignment="1" applyProtection="1">
      <alignment horizontal="right"/>
    </xf>
    <xf numFmtId="172" fontId="19" fillId="0" borderId="2" xfId="1" applyNumberFormat="1" applyFont="1" applyFill="1" applyBorder="1" applyAlignment="1" applyProtection="1">
      <alignment horizontal="right"/>
    </xf>
    <xf numFmtId="43" fontId="19" fillId="0" borderId="2" xfId="1" applyFont="1" applyFill="1" applyBorder="1" applyAlignment="1" applyProtection="1">
      <alignment horizontal="right"/>
    </xf>
    <xf numFmtId="43" fontId="19" fillId="0" borderId="0" xfId="1" applyFont="1" applyFill="1" applyBorder="1" applyAlignment="1" applyProtection="1">
      <alignment horizontal="right"/>
    </xf>
    <xf numFmtId="172" fontId="19" fillId="0" borderId="0" xfId="3" applyNumberFormat="1" applyFont="1"/>
    <xf numFmtId="0" fontId="19" fillId="0" borderId="2" xfId="3" applyFont="1" applyBorder="1"/>
    <xf numFmtId="0" fontId="4" fillId="0" borderId="0" xfId="4" applyAlignment="1">
      <alignment horizontal="right"/>
    </xf>
    <xf numFmtId="172" fontId="19" fillId="0" borderId="0" xfId="1" applyNumberFormat="1" applyFont="1" applyFill="1" applyBorder="1" applyAlignment="1" applyProtection="1">
      <alignment horizontal="right"/>
    </xf>
    <xf numFmtId="43" fontId="19" fillId="5" borderId="2" xfId="1" quotePrefix="1" applyFont="1" applyFill="1" applyBorder="1" applyAlignment="1" applyProtection="1">
      <alignment horizontal="right"/>
    </xf>
    <xf numFmtId="43" fontId="19" fillId="0" borderId="2" xfId="1" quotePrefix="1" applyFont="1" applyFill="1" applyBorder="1" applyAlignment="1" applyProtection="1">
      <alignment horizontal="right"/>
    </xf>
    <xf numFmtId="43" fontId="19" fillId="0" borderId="0" xfId="1" quotePrefix="1" applyFont="1" applyFill="1" applyBorder="1" applyAlignment="1" applyProtection="1">
      <alignment horizontal="right"/>
    </xf>
    <xf numFmtId="172" fontId="19" fillId="0" borderId="0" xfId="1" applyNumberFormat="1" applyFont="1" applyBorder="1" applyAlignment="1" applyProtection="1">
      <alignment horizontal="centerContinuous"/>
    </xf>
    <xf numFmtId="172" fontId="19" fillId="0" borderId="2" xfId="3" applyNumberFormat="1" applyFont="1" applyBorder="1"/>
    <xf numFmtId="172" fontId="19" fillId="0" borderId="2" xfId="1" applyNumberFormat="1" applyFont="1" applyBorder="1" applyAlignment="1" applyProtection="1">
      <alignment horizontal="right"/>
    </xf>
    <xf numFmtId="172" fontId="19" fillId="0" borderId="0" xfId="1" applyNumberFormat="1" applyFont="1" applyBorder="1" applyAlignment="1" applyProtection="1">
      <alignment horizontal="right"/>
    </xf>
    <xf numFmtId="172" fontId="19" fillId="0" borderId="0" xfId="1" applyNumberFormat="1" applyFont="1" applyFill="1" applyBorder="1" applyAlignment="1" applyProtection="1">
      <alignment horizontal="centerContinuous"/>
    </xf>
    <xf numFmtId="43" fontId="19" fillId="0" borderId="2" xfId="3" applyNumberFormat="1" applyFont="1" applyBorder="1"/>
    <xf numFmtId="43" fontId="19" fillId="0" borderId="0" xfId="3" applyNumberFormat="1" applyFont="1"/>
    <xf numFmtId="172" fontId="19" fillId="0" borderId="2" xfId="3" applyNumberFormat="1" applyFont="1" applyBorder="1" applyAlignment="1">
      <alignment horizontal="right"/>
    </xf>
    <xf numFmtId="172" fontId="19" fillId="0" borderId="0" xfId="3" applyNumberFormat="1" applyFont="1" applyAlignment="1">
      <alignment horizontal="right"/>
    </xf>
    <xf numFmtId="172" fontId="14" fillId="0" borderId="0" xfId="1" applyNumberFormat="1" applyFont="1" applyFill="1" applyBorder="1" applyAlignment="1" applyProtection="1">
      <alignment horizontal="center"/>
    </xf>
    <xf numFmtId="0" fontId="19" fillId="0" borderId="37" xfId="3" applyFont="1" applyBorder="1" applyAlignment="1">
      <alignment vertical="center"/>
    </xf>
    <xf numFmtId="0" fontId="19" fillId="0" borderId="38" xfId="3" quotePrefix="1" applyFont="1" applyBorder="1" applyAlignment="1">
      <alignment horizontal="left" wrapText="1"/>
    </xf>
    <xf numFmtId="43" fontId="19" fillId="0" borderId="2" xfId="1" applyFont="1" applyFill="1" applyBorder="1" applyAlignment="1">
      <alignment horizontal="right"/>
    </xf>
    <xf numFmtId="173" fontId="19" fillId="0" borderId="0" xfId="3" applyNumberFormat="1" applyFont="1" applyAlignment="1">
      <alignment horizontal="right"/>
    </xf>
    <xf numFmtId="43" fontId="19" fillId="0" borderId="0" xfId="3" applyNumberFormat="1" applyFont="1" applyAlignment="1">
      <alignment horizontal="center"/>
    </xf>
    <xf numFmtId="0" fontId="19" fillId="0" borderId="39" xfId="3" applyFont="1" applyBorder="1" applyAlignment="1">
      <alignment vertical="center"/>
    </xf>
    <xf numFmtId="0" fontId="54" fillId="0" borderId="0" xfId="4" applyFont="1"/>
    <xf numFmtId="0" fontId="30" fillId="0" borderId="0" xfId="4" applyFont="1"/>
    <xf numFmtId="2" fontId="13" fillId="0" borderId="0" xfId="3" applyNumberFormat="1" applyFont="1"/>
    <xf numFmtId="2" fontId="13" fillId="0" borderId="0" xfId="3" applyNumberFormat="1" applyFont="1" applyAlignment="1">
      <alignment horizontal="right"/>
    </xf>
    <xf numFmtId="0" fontId="23" fillId="0" borderId="50" xfId="3" applyFont="1" applyBorder="1" applyAlignment="1">
      <alignment horizontal="center" vertical="center"/>
    </xf>
    <xf numFmtId="0" fontId="5" fillId="4" borderId="48" xfId="3" applyFill="1" applyBorder="1"/>
    <xf numFmtId="0" fontId="5" fillId="4" borderId="49" xfId="3" applyFill="1" applyBorder="1"/>
    <xf numFmtId="0" fontId="5" fillId="0" borderId="47" xfId="3" applyBorder="1"/>
    <xf numFmtId="0" fontId="5" fillId="0" borderId="48" xfId="3" applyBorder="1"/>
    <xf numFmtId="0" fontId="5" fillId="0" borderId="49" xfId="3" applyBorder="1"/>
    <xf numFmtId="173" fontId="5" fillId="0" borderId="47" xfId="1" applyNumberFormat="1" applyFont="1" applyFill="1" applyBorder="1"/>
    <xf numFmtId="0" fontId="5" fillId="0" borderId="1" xfId="3" applyBorder="1"/>
    <xf numFmtId="0" fontId="5" fillId="0" borderId="48" xfId="4" applyFont="1" applyBorder="1"/>
    <xf numFmtId="0" fontId="5" fillId="0" borderId="49" xfId="3" applyBorder="1" applyAlignment="1">
      <alignment horizontal="center"/>
    </xf>
    <xf numFmtId="2" fontId="5" fillId="0" borderId="1" xfId="1" applyNumberFormat="1" applyFont="1" applyFill="1" applyBorder="1" applyAlignment="1">
      <alignment horizontal="center"/>
    </xf>
    <xf numFmtId="173" fontId="5" fillId="0" borderId="48" xfId="1" applyNumberFormat="1" applyFont="1" applyFill="1" applyBorder="1"/>
    <xf numFmtId="2" fontId="5" fillId="0" borderId="48" xfId="1" applyNumberFormat="1" applyFont="1" applyFill="1" applyBorder="1" applyAlignment="1">
      <alignment horizontal="right"/>
    </xf>
    <xf numFmtId="2" fontId="5" fillId="0" borderId="47" xfId="1" applyNumberFormat="1" applyFont="1" applyFill="1" applyBorder="1" applyAlignment="1">
      <alignment horizontal="center"/>
    </xf>
    <xf numFmtId="0" fontId="38" fillId="0" borderId="47" xfId="3" applyFont="1" applyBorder="1"/>
    <xf numFmtId="0" fontId="38" fillId="0" borderId="48" xfId="3" applyFont="1" applyBorder="1" applyAlignment="1">
      <alignment horizontal="right"/>
    </xf>
    <xf numFmtId="0" fontId="38" fillId="0" borderId="49" xfId="3" applyFont="1" applyBorder="1" applyAlignment="1">
      <alignment horizontal="right"/>
    </xf>
    <xf numFmtId="173" fontId="38" fillId="0" borderId="47" xfId="1" applyNumberFormat="1" applyFont="1" applyFill="1" applyBorder="1"/>
    <xf numFmtId="0" fontId="38" fillId="0" borderId="1" xfId="1" applyNumberFormat="1" applyFont="1" applyFill="1" applyBorder="1" applyAlignment="1">
      <alignment horizontal="center"/>
    </xf>
    <xf numFmtId="173" fontId="38" fillId="0" borderId="48" xfId="4" applyNumberFormat="1" applyFont="1" applyBorder="1" applyAlignment="1">
      <alignment horizontal="right"/>
    </xf>
    <xf numFmtId="2" fontId="38" fillId="0" borderId="47" xfId="1" applyNumberFormat="1" applyFont="1" applyFill="1" applyBorder="1" applyAlignment="1">
      <alignment horizontal="center"/>
    </xf>
    <xf numFmtId="0" fontId="28" fillId="0" borderId="0" xfId="4" applyFont="1"/>
    <xf numFmtId="173" fontId="5" fillId="4" borderId="47" xfId="1" applyNumberFormat="1" applyFont="1" applyFill="1" applyBorder="1"/>
    <xf numFmtId="0" fontId="5" fillId="4" borderId="1" xfId="1" applyNumberFormat="1" applyFont="1" applyFill="1" applyBorder="1" applyAlignment="1">
      <alignment horizontal="center"/>
    </xf>
    <xf numFmtId="173" fontId="5" fillId="4" borderId="48" xfId="4" applyNumberFormat="1" applyFont="1" applyFill="1" applyBorder="1" applyAlignment="1">
      <alignment horizontal="right"/>
    </xf>
    <xf numFmtId="2" fontId="5" fillId="4" borderId="47" xfId="1" applyNumberFormat="1" applyFont="1" applyFill="1" applyBorder="1" applyAlignment="1">
      <alignment horizontal="center"/>
    </xf>
    <xf numFmtId="0" fontId="5" fillId="0" borderId="47" xfId="3" applyBorder="1" applyAlignment="1">
      <alignment horizontal="right"/>
    </xf>
    <xf numFmtId="0" fontId="5" fillId="0" borderId="1" xfId="1" applyNumberFormat="1" applyFont="1" applyFill="1" applyBorder="1" applyAlignment="1">
      <alignment horizontal="center"/>
    </xf>
    <xf numFmtId="173" fontId="5" fillId="0" borderId="48" xfId="4" applyNumberFormat="1" applyFont="1" applyBorder="1" applyAlignment="1">
      <alignment horizontal="right"/>
    </xf>
    <xf numFmtId="0" fontId="5" fillId="0" borderId="49" xfId="3" quotePrefix="1" applyBorder="1" applyAlignment="1">
      <alignment horizontal="center"/>
    </xf>
    <xf numFmtId="173" fontId="5" fillId="0" borderId="47" xfId="3" applyNumberFormat="1" applyBorder="1"/>
    <xf numFmtId="1" fontId="5" fillId="0" borderId="1" xfId="1" applyNumberFormat="1" applyFont="1" applyFill="1" applyBorder="1" applyAlignment="1">
      <alignment horizontal="center"/>
    </xf>
    <xf numFmtId="173" fontId="5" fillId="0" borderId="48" xfId="3" applyNumberFormat="1" applyBorder="1"/>
    <xf numFmtId="0" fontId="5" fillId="5" borderId="48" xfId="3" applyFill="1" applyBorder="1"/>
    <xf numFmtId="2" fontId="5" fillId="5" borderId="1" xfId="1" applyNumberFormat="1" applyFont="1" applyFill="1" applyBorder="1" applyAlignment="1">
      <alignment horizontal="center"/>
    </xf>
    <xf numFmtId="0" fontId="5" fillId="5" borderId="48" xfId="3" applyFill="1" applyBorder="1" applyAlignment="1">
      <alignment wrapText="1"/>
    </xf>
    <xf numFmtId="0" fontId="5" fillId="5" borderId="47" xfId="3" applyFill="1" applyBorder="1"/>
    <xf numFmtId="0" fontId="5" fillId="5" borderId="49" xfId="3" applyFill="1" applyBorder="1" applyAlignment="1">
      <alignment horizontal="center"/>
    </xf>
    <xf numFmtId="173" fontId="5" fillId="5" borderId="47" xfId="1" applyNumberFormat="1" applyFont="1" applyFill="1" applyBorder="1"/>
    <xf numFmtId="9" fontId="5" fillId="5" borderId="1" xfId="1" applyNumberFormat="1" applyFont="1" applyFill="1" applyBorder="1" applyAlignment="1">
      <alignment horizontal="center"/>
    </xf>
    <xf numFmtId="0" fontId="4" fillId="5" borderId="0" xfId="4" applyFill="1"/>
    <xf numFmtId="9" fontId="5" fillId="0" borderId="1" xfId="1" applyNumberFormat="1" applyFont="1" applyFill="1" applyBorder="1" applyAlignment="1">
      <alignment horizontal="center"/>
    </xf>
    <xf numFmtId="0" fontId="38" fillId="0" borderId="49" xfId="3" applyFont="1" applyBorder="1" applyAlignment="1">
      <alignment horizontal="center"/>
    </xf>
    <xf numFmtId="0" fontId="5" fillId="0" borderId="49" xfId="3" applyBorder="1" applyAlignment="1">
      <alignment horizontal="right"/>
    </xf>
    <xf numFmtId="0" fontId="5" fillId="4" borderId="47" xfId="3" applyFill="1" applyBorder="1" applyAlignment="1">
      <alignment horizontal="right"/>
    </xf>
    <xf numFmtId="0" fontId="38" fillId="0" borderId="48" xfId="3" applyFont="1" applyBorder="1" applyAlignment="1">
      <alignment horizontal="left"/>
    </xf>
    <xf numFmtId="173" fontId="38" fillId="0" borderId="47" xfId="4" applyNumberFormat="1" applyFont="1" applyBorder="1" applyAlignment="1">
      <alignment horizontal="right"/>
    </xf>
    <xf numFmtId="173" fontId="38" fillId="0" borderId="1" xfId="4" applyNumberFormat="1" applyFont="1" applyBorder="1" applyAlignment="1">
      <alignment horizontal="right"/>
    </xf>
    <xf numFmtId="0" fontId="4" fillId="0" borderId="1" xfId="4" applyBorder="1"/>
    <xf numFmtId="173" fontId="5" fillId="0" borderId="47" xfId="4" applyNumberFormat="1" applyFont="1" applyBorder="1" applyAlignment="1">
      <alignment horizontal="right"/>
    </xf>
    <xf numFmtId="173" fontId="5" fillId="0" borderId="1" xfId="4" applyNumberFormat="1" applyFont="1" applyBorder="1" applyAlignment="1">
      <alignment horizontal="right"/>
    </xf>
    <xf numFmtId="0" fontId="38" fillId="0" borderId="47" xfId="3" applyFont="1" applyBorder="1" applyAlignment="1">
      <alignment horizontal="left"/>
    </xf>
    <xf numFmtId="0" fontId="28" fillId="4" borderId="51" xfId="4" applyFont="1" applyFill="1" applyBorder="1" applyAlignment="1">
      <alignment vertical="center"/>
    </xf>
    <xf numFmtId="0" fontId="15" fillId="4" borderId="52" xfId="4" applyFont="1" applyFill="1" applyBorder="1" applyAlignment="1">
      <alignment vertical="center"/>
    </xf>
    <xf numFmtId="0" fontId="28" fillId="4" borderId="53" xfId="4" applyFont="1" applyFill="1" applyBorder="1" applyAlignment="1">
      <alignment vertical="center"/>
    </xf>
    <xf numFmtId="0" fontId="28" fillId="4" borderId="22" xfId="4" applyFont="1" applyFill="1" applyBorder="1"/>
    <xf numFmtId="173" fontId="38" fillId="4" borderId="52" xfId="4" applyNumberFormat="1" applyFont="1" applyFill="1" applyBorder="1" applyAlignment="1">
      <alignment horizontal="right"/>
    </xf>
    <xf numFmtId="173" fontId="38" fillId="4" borderId="51" xfId="4" applyNumberFormat="1" applyFont="1" applyFill="1" applyBorder="1" applyAlignment="1">
      <alignment horizontal="right"/>
    </xf>
    <xf numFmtId="173" fontId="38" fillId="4" borderId="22" xfId="4" applyNumberFormat="1" applyFont="1" applyFill="1" applyBorder="1" applyAlignment="1">
      <alignment horizontal="right"/>
    </xf>
    <xf numFmtId="2" fontId="38" fillId="4" borderId="51" xfId="1" applyNumberFormat="1" applyFont="1" applyFill="1" applyBorder="1" applyAlignment="1">
      <alignment horizontal="center"/>
    </xf>
    <xf numFmtId="2" fontId="4" fillId="0" borderId="0" xfId="4" applyNumberFormat="1"/>
    <xf numFmtId="0" fontId="5" fillId="0" borderId="0" xfId="4" applyFont="1"/>
    <xf numFmtId="2" fontId="5" fillId="0" borderId="0" xfId="4" applyNumberFormat="1" applyFont="1"/>
    <xf numFmtId="0" fontId="5" fillId="0" borderId="54" xfId="4" applyFont="1" applyBorder="1"/>
    <xf numFmtId="0" fontId="5" fillId="0" borderId="55" xfId="4" applyFont="1" applyBorder="1"/>
    <xf numFmtId="0" fontId="5" fillId="0" borderId="55" xfId="4" applyFont="1" applyBorder="1" applyAlignment="1">
      <alignment horizontal="center"/>
    </xf>
    <xf numFmtId="0" fontId="5" fillId="0" borderId="16" xfId="4" applyFont="1" applyBorder="1" applyAlignment="1">
      <alignment horizontal="center"/>
    </xf>
    <xf numFmtId="0" fontId="5" fillId="0" borderId="59" xfId="4" applyFont="1" applyBorder="1" applyAlignment="1">
      <alignment horizontal="center"/>
    </xf>
    <xf numFmtId="0" fontId="5" fillId="0" borderId="60" xfId="4" applyFont="1" applyBorder="1" applyAlignment="1">
      <alignment horizontal="center"/>
    </xf>
    <xf numFmtId="0" fontId="5" fillId="0" borderId="61" xfId="4" applyFont="1" applyBorder="1" applyAlignment="1">
      <alignment horizontal="center"/>
    </xf>
    <xf numFmtId="0" fontId="5" fillId="0" borderId="62" xfId="4" applyFont="1" applyBorder="1" applyAlignment="1">
      <alignment horizontal="center"/>
    </xf>
    <xf numFmtId="0" fontId="5" fillId="0" borderId="65" xfId="4" applyFont="1" applyBorder="1"/>
    <xf numFmtId="0" fontId="5" fillId="0" borderId="66" xfId="4" applyFont="1" applyBorder="1"/>
    <xf numFmtId="0" fontId="5" fillId="0" borderId="66" xfId="4" applyFont="1" applyBorder="1" applyAlignment="1">
      <alignment horizontal="center"/>
    </xf>
    <xf numFmtId="0" fontId="5" fillId="0" borderId="60" xfId="4" applyFont="1" applyBorder="1"/>
    <xf numFmtId="0" fontId="5" fillId="0" borderId="61" xfId="4" applyFont="1" applyBorder="1"/>
    <xf numFmtId="2" fontId="5" fillId="0" borderId="61" xfId="4" applyNumberFormat="1" applyFont="1" applyBorder="1" applyAlignment="1">
      <alignment horizontal="center"/>
    </xf>
    <xf numFmtId="14" fontId="5" fillId="0" borderId="61" xfId="4" applyNumberFormat="1" applyFont="1" applyBorder="1" applyAlignment="1">
      <alignment horizontal="center"/>
    </xf>
    <xf numFmtId="2" fontId="5" fillId="0" borderId="62" xfId="4" applyNumberFormat="1" applyFont="1" applyBorder="1" applyAlignment="1">
      <alignment horizontal="center"/>
    </xf>
    <xf numFmtId="0" fontId="5" fillId="0" borderId="64" xfId="4" applyFont="1" applyBorder="1"/>
    <xf numFmtId="14" fontId="5" fillId="0" borderId="61" xfId="4" quotePrefix="1" applyNumberFormat="1" applyFont="1" applyBorder="1" applyAlignment="1">
      <alignment horizontal="center"/>
    </xf>
    <xf numFmtId="0" fontId="5" fillId="0" borderId="69" xfId="4" applyFont="1" applyBorder="1"/>
    <xf numFmtId="0" fontId="5" fillId="0" borderId="70" xfId="4" applyFont="1" applyBorder="1"/>
    <xf numFmtId="0" fontId="5" fillId="0" borderId="71" xfId="4" applyFont="1" applyBorder="1"/>
    <xf numFmtId="0" fontId="5" fillId="0" borderId="72" xfId="4" applyFont="1" applyBorder="1"/>
    <xf numFmtId="0" fontId="5" fillId="0" borderId="0" xfId="4" applyFont="1" applyProtection="1">
      <protection locked="0"/>
    </xf>
    <xf numFmtId="2" fontId="23" fillId="0" borderId="0" xfId="4" applyNumberFormat="1" applyFont="1" applyProtection="1">
      <protection locked="0"/>
    </xf>
    <xf numFmtId="0" fontId="38" fillId="0" borderId="0" xfId="4" applyFont="1"/>
    <xf numFmtId="2" fontId="56" fillId="6" borderId="0" xfId="4" applyNumberFormat="1" applyFont="1" applyFill="1"/>
    <xf numFmtId="0" fontId="5" fillId="0" borderId="60" xfId="4" applyFont="1" applyBorder="1" applyProtection="1">
      <protection locked="0"/>
    </xf>
    <xf numFmtId="0" fontId="57" fillId="0" borderId="0" xfId="4" applyFont="1" applyProtection="1">
      <protection locked="0"/>
    </xf>
    <xf numFmtId="0" fontId="5" fillId="0" borderId="61" xfId="4" applyFont="1" applyBorder="1" applyProtection="1">
      <protection locked="0"/>
    </xf>
    <xf numFmtId="0" fontId="5" fillId="0" borderId="64" xfId="4" applyFont="1" applyBorder="1" applyProtection="1">
      <protection locked="0"/>
    </xf>
    <xf numFmtId="174" fontId="5" fillId="0" borderId="0" xfId="4" applyNumberFormat="1" applyFont="1" applyProtection="1">
      <protection locked="0"/>
    </xf>
    <xf numFmtId="0" fontId="5" fillId="0" borderId="61" xfId="4" applyFont="1" applyBorder="1" applyAlignment="1" applyProtection="1">
      <alignment horizontal="center"/>
      <protection locked="0"/>
    </xf>
    <xf numFmtId="172" fontId="19" fillId="0" borderId="61" xfId="4" applyNumberFormat="1" applyFont="1" applyBorder="1" applyProtection="1">
      <protection locked="0"/>
    </xf>
    <xf numFmtId="0" fontId="19" fillId="0" borderId="61" xfId="4" applyFont="1" applyBorder="1" applyProtection="1">
      <protection locked="0"/>
    </xf>
    <xf numFmtId="173" fontId="19" fillId="0" borderId="64" xfId="4" applyNumberFormat="1" applyFont="1" applyBorder="1" applyProtection="1">
      <protection locked="0"/>
    </xf>
    <xf numFmtId="0" fontId="5" fillId="0" borderId="0" xfId="4" applyFont="1" applyAlignment="1">
      <alignment horizontal="center"/>
    </xf>
    <xf numFmtId="0" fontId="4" fillId="7" borderId="1" xfId="4" applyFill="1" applyBorder="1" applyAlignment="1" applyProtection="1">
      <alignment horizontal="center"/>
      <protection locked="0"/>
    </xf>
    <xf numFmtId="43" fontId="4" fillId="7" borderId="1" xfId="1" applyFill="1" applyBorder="1" applyAlignment="1" applyProtection="1">
      <alignment horizontal="center"/>
      <protection locked="0"/>
    </xf>
    <xf numFmtId="43" fontId="38" fillId="7" borderId="6" xfId="4" applyNumberFormat="1" applyFont="1" applyFill="1" applyBorder="1"/>
    <xf numFmtId="43" fontId="58" fillId="7" borderId="1" xfId="4" applyNumberFormat="1" applyFont="1" applyFill="1" applyBorder="1"/>
    <xf numFmtId="0" fontId="4" fillId="0" borderId="1" xfId="4" applyBorder="1" applyAlignment="1" applyProtection="1">
      <alignment horizontal="center"/>
      <protection locked="0"/>
    </xf>
    <xf numFmtId="43" fontId="4" fillId="0" borderId="1" xfId="1" applyFill="1" applyBorder="1" applyAlignment="1" applyProtection="1">
      <alignment horizontal="center"/>
      <protection locked="0"/>
    </xf>
    <xf numFmtId="0" fontId="5" fillId="8" borderId="61" xfId="4" applyFont="1" applyFill="1" applyBorder="1" applyAlignment="1" applyProtection="1">
      <alignment horizontal="center"/>
      <protection locked="0"/>
    </xf>
    <xf numFmtId="172" fontId="19" fillId="8" borderId="61" xfId="4" applyNumberFormat="1" applyFont="1" applyFill="1" applyBorder="1" applyProtection="1">
      <protection locked="0"/>
    </xf>
    <xf numFmtId="0" fontId="5" fillId="5" borderId="61" xfId="4" applyFont="1" applyFill="1" applyBorder="1" applyAlignment="1" applyProtection="1">
      <alignment horizontal="center"/>
      <protection locked="0"/>
    </xf>
    <xf numFmtId="0" fontId="5" fillId="0" borderId="0" xfId="4" applyFont="1" applyAlignment="1" applyProtection="1">
      <alignment horizontal="right"/>
      <protection locked="0"/>
    </xf>
    <xf numFmtId="0" fontId="19" fillId="0" borderId="61" xfId="4" applyFont="1" applyBorder="1" applyAlignment="1" applyProtection="1">
      <alignment horizontal="right"/>
      <protection locked="0"/>
    </xf>
    <xf numFmtId="0" fontId="5" fillId="0" borderId="0" xfId="4" applyFont="1" applyAlignment="1" applyProtection="1">
      <alignment horizontal="center"/>
      <protection locked="0"/>
    </xf>
    <xf numFmtId="0" fontId="19" fillId="0" borderId="0" xfId="4" applyFont="1" applyProtection="1">
      <protection locked="0"/>
    </xf>
    <xf numFmtId="176" fontId="19" fillId="5" borderId="61" xfId="4" applyNumberFormat="1" applyFont="1" applyFill="1" applyBorder="1" applyProtection="1">
      <protection locked="0"/>
    </xf>
    <xf numFmtId="0" fontId="19" fillId="0" borderId="0" xfId="4" applyFont="1" applyAlignment="1" applyProtection="1">
      <alignment horizontal="right"/>
      <protection locked="0"/>
    </xf>
    <xf numFmtId="176" fontId="19" fillId="0" borderId="61" xfId="4" applyNumberFormat="1" applyFont="1" applyBorder="1" applyProtection="1">
      <protection locked="0"/>
    </xf>
    <xf numFmtId="0" fontId="5" fillId="0" borderId="1" xfId="4" applyFont="1" applyBorder="1"/>
    <xf numFmtId="0" fontId="15" fillId="0" borderId="0" xfId="4" applyFont="1" applyAlignment="1" applyProtection="1">
      <alignment horizontal="left"/>
      <protection locked="0"/>
    </xf>
    <xf numFmtId="0" fontId="38" fillId="0" borderId="61" xfId="4" applyFont="1" applyBorder="1" applyProtection="1">
      <protection locked="0"/>
    </xf>
    <xf numFmtId="0" fontId="14" fillId="0" borderId="61" xfId="4" applyFont="1" applyBorder="1" applyProtection="1">
      <protection locked="0"/>
    </xf>
    <xf numFmtId="0" fontId="14" fillId="0" borderId="62" xfId="4" applyFont="1" applyBorder="1" applyAlignment="1" applyProtection="1">
      <alignment horizontal="right"/>
      <protection locked="0"/>
    </xf>
    <xf numFmtId="173" fontId="14" fillId="0" borderId="64" xfId="4" applyNumberFormat="1" applyFont="1" applyBorder="1" applyProtection="1">
      <protection locked="0"/>
    </xf>
    <xf numFmtId="0" fontId="19" fillId="0" borderId="62" xfId="4" applyFont="1" applyBorder="1" applyProtection="1">
      <protection locked="0"/>
    </xf>
    <xf numFmtId="177" fontId="5" fillId="0" borderId="63" xfId="4" applyNumberFormat="1" applyFont="1" applyBorder="1" applyAlignment="1" applyProtection="1">
      <alignment horizontal="left"/>
      <protection locked="0"/>
    </xf>
    <xf numFmtId="0" fontId="38" fillId="0" borderId="70" xfId="4" applyFont="1" applyBorder="1" applyProtection="1">
      <protection locked="0"/>
    </xf>
    <xf numFmtId="172" fontId="19" fillId="0" borderId="70" xfId="4" applyNumberFormat="1" applyFont="1" applyBorder="1" applyProtection="1">
      <protection locked="0"/>
    </xf>
    <xf numFmtId="0" fontId="14" fillId="0" borderId="70" xfId="4" applyFont="1" applyBorder="1" applyProtection="1">
      <protection locked="0"/>
    </xf>
    <xf numFmtId="173" fontId="14" fillId="0" borderId="72" xfId="4" applyNumberFormat="1" applyFont="1" applyBorder="1" applyProtection="1">
      <protection locked="0"/>
    </xf>
    <xf numFmtId="0" fontId="38" fillId="0" borderId="0" xfId="4" applyFont="1" applyProtection="1">
      <protection locked="0"/>
    </xf>
    <xf numFmtId="0" fontId="5" fillId="0" borderId="13" xfId="4" applyFont="1" applyBorder="1" applyProtection="1">
      <protection locked="0"/>
    </xf>
    <xf numFmtId="0" fontId="5" fillId="0" borderId="55" xfId="4" applyFont="1" applyBorder="1" applyProtection="1">
      <protection locked="0"/>
    </xf>
    <xf numFmtId="0" fontId="23" fillId="0" borderId="0" xfId="4" applyFont="1" applyAlignment="1" applyProtection="1">
      <alignment horizontal="center"/>
      <protection locked="0"/>
    </xf>
    <xf numFmtId="0" fontId="5" fillId="0" borderId="70" xfId="4" applyFont="1" applyBorder="1" applyProtection="1">
      <protection locked="0"/>
    </xf>
    <xf numFmtId="0" fontId="19" fillId="0" borderId="70" xfId="4" applyFont="1" applyBorder="1" applyProtection="1">
      <protection locked="0"/>
    </xf>
    <xf numFmtId="0" fontId="59" fillId="0" borderId="0" xfId="4" applyFont="1" applyProtection="1">
      <protection locked="0"/>
    </xf>
    <xf numFmtId="0" fontId="5" fillId="0" borderId="75" xfId="4" applyFont="1" applyBorder="1" applyAlignment="1" applyProtection="1">
      <alignment horizontal="center" vertical="center"/>
      <protection locked="0"/>
    </xf>
    <xf numFmtId="0" fontId="5" fillId="0" borderId="5" xfId="4" applyFont="1" applyBorder="1" applyAlignment="1" applyProtection="1">
      <alignment horizontal="center" vertical="center"/>
      <protection locked="0"/>
    </xf>
    <xf numFmtId="0" fontId="5" fillId="0" borderId="78" xfId="4" applyFont="1" applyBorder="1" applyAlignment="1" applyProtection="1">
      <alignment horizontal="center" vertical="center" wrapText="1"/>
      <protection locked="0"/>
    </xf>
    <xf numFmtId="0" fontId="5" fillId="0" borderId="79" xfId="4" applyFont="1" applyBorder="1" applyAlignment="1" applyProtection="1">
      <alignment horizontal="center" vertical="center" wrapText="1"/>
      <protection locked="0"/>
    </xf>
    <xf numFmtId="0" fontId="38" fillId="0" borderId="55" xfId="4" applyFont="1" applyBorder="1" applyProtection="1">
      <protection locked="0"/>
    </xf>
    <xf numFmtId="0" fontId="5" fillId="0" borderId="59" xfId="4" applyFont="1" applyBorder="1" applyProtection="1">
      <protection locked="0"/>
    </xf>
    <xf numFmtId="0" fontId="57" fillId="0" borderId="61" xfId="4" applyFont="1" applyBorder="1" applyProtection="1">
      <protection locked="0"/>
    </xf>
    <xf numFmtId="174" fontId="5" fillId="0" borderId="61" xfId="4" applyNumberFormat="1" applyFont="1" applyBorder="1" applyProtection="1">
      <protection locked="0"/>
    </xf>
    <xf numFmtId="175" fontId="5" fillId="0" borderId="61" xfId="4" applyNumberFormat="1" applyFont="1" applyBorder="1" applyAlignment="1" applyProtection="1">
      <alignment horizontal="left"/>
      <protection locked="0"/>
    </xf>
    <xf numFmtId="2" fontId="5" fillId="0" borderId="64" xfId="4" applyNumberFormat="1" applyFont="1" applyBorder="1" applyProtection="1">
      <protection locked="0"/>
    </xf>
    <xf numFmtId="0" fontId="23" fillId="0" borderId="61" xfId="4" applyFont="1" applyBorder="1" applyAlignment="1" applyProtection="1">
      <alignment horizontal="right"/>
      <protection locked="0"/>
    </xf>
    <xf numFmtId="2" fontId="38" fillId="0" borderId="64" xfId="4" applyNumberFormat="1" applyFont="1" applyBorder="1" applyProtection="1">
      <protection locked="0"/>
    </xf>
    <xf numFmtId="0" fontId="19" fillId="0" borderId="64" xfId="4" applyFont="1" applyBorder="1" applyProtection="1">
      <protection locked="0"/>
    </xf>
    <xf numFmtId="177" fontId="5" fillId="0" borderId="61" xfId="4" applyNumberFormat="1" applyFont="1" applyBorder="1" applyAlignment="1" applyProtection="1">
      <alignment horizontal="left"/>
      <protection locked="0"/>
    </xf>
    <xf numFmtId="0" fontId="5" fillId="0" borderId="15" xfId="4" applyFont="1" applyBorder="1" applyProtection="1">
      <protection locked="0"/>
    </xf>
    <xf numFmtId="0" fontId="5" fillId="0" borderId="16" xfId="4" applyFont="1" applyBorder="1" applyProtection="1">
      <protection locked="0"/>
    </xf>
    <xf numFmtId="0" fontId="15" fillId="0" borderId="0" xfId="4" applyFont="1" applyAlignment="1">
      <alignment horizontal="left"/>
    </xf>
    <xf numFmtId="0" fontId="26" fillId="0" borderId="0" xfId="4" applyFont="1" applyAlignment="1">
      <alignment horizontal="centerContinuous"/>
    </xf>
    <xf numFmtId="0" fontId="26" fillId="0" borderId="0" xfId="4" applyFont="1"/>
    <xf numFmtId="0" fontId="26" fillId="0" borderId="80" xfId="4" applyFont="1" applyBorder="1"/>
    <xf numFmtId="2" fontId="26" fillId="0" borderId="61" xfId="4" applyNumberFormat="1" applyFont="1" applyBorder="1"/>
    <xf numFmtId="0" fontId="26" fillId="0" borderId="61" xfId="4" applyFont="1" applyBorder="1"/>
    <xf numFmtId="173" fontId="5" fillId="0" borderId="64" xfId="4" applyNumberFormat="1" applyFont="1" applyBorder="1"/>
    <xf numFmtId="0" fontId="26" fillId="0" borderId="61" xfId="4" applyFont="1" applyBorder="1" applyAlignment="1">
      <alignment horizontal="right"/>
    </xf>
    <xf numFmtId="43" fontId="28" fillId="0" borderId="0" xfId="4" applyNumberFormat="1" applyFont="1"/>
    <xf numFmtId="0" fontId="26" fillId="0" borderId="0" xfId="4" applyFont="1" applyAlignment="1">
      <alignment horizontal="right"/>
    </xf>
    <xf numFmtId="0" fontId="17" fillId="0" borderId="0" xfId="4" applyFont="1" applyAlignment="1">
      <alignment horizontal="right"/>
    </xf>
    <xf numFmtId="170" fontId="52" fillId="0" borderId="0" xfId="7" applyFont="1" applyAlignment="1">
      <alignment horizontal="centerContinuous"/>
    </xf>
    <xf numFmtId="170" fontId="19" fillId="0" borderId="0" xfId="7" applyFont="1" applyAlignment="1">
      <alignment horizontal="left"/>
    </xf>
    <xf numFmtId="170" fontId="59" fillId="0" borderId="0" xfId="7" applyFont="1" applyAlignment="1">
      <alignment horizontal="centerContinuous"/>
    </xf>
    <xf numFmtId="170" fontId="23" fillId="0" borderId="85" xfId="7" applyFont="1" applyBorder="1"/>
    <xf numFmtId="170" fontId="23" fillId="0" borderId="85" xfId="7" applyFont="1" applyBorder="1" applyAlignment="1">
      <alignment horizontal="right"/>
    </xf>
    <xf numFmtId="170" fontId="15" fillId="10" borderId="85" xfId="7" applyFont="1" applyFill="1" applyBorder="1"/>
    <xf numFmtId="170" fontId="15" fillId="0" borderId="85" xfId="7" applyFont="1" applyBorder="1"/>
    <xf numFmtId="170" fontId="26" fillId="0" borderId="86" xfId="7" applyFont="1" applyBorder="1" applyAlignment="1">
      <alignment horizontal="left"/>
    </xf>
    <xf numFmtId="170" fontId="26" fillId="0" borderId="87" xfId="7" applyFont="1" applyBorder="1" applyAlignment="1">
      <alignment horizontal="center"/>
    </xf>
    <xf numFmtId="0" fontId="5" fillId="0" borderId="87" xfId="4" applyFont="1" applyBorder="1"/>
    <xf numFmtId="173" fontId="5" fillId="0" borderId="88" xfId="4" applyNumberFormat="1" applyFont="1" applyBorder="1"/>
    <xf numFmtId="170" fontId="26" fillId="0" borderId="89" xfId="7" applyFont="1" applyBorder="1"/>
    <xf numFmtId="170" fontId="26" fillId="0" borderId="90" xfId="7" applyFont="1" applyBorder="1" applyAlignment="1">
      <alignment horizontal="left"/>
    </xf>
    <xf numFmtId="1" fontId="26" fillId="0" borderId="90" xfId="7" applyNumberFormat="1" applyFont="1" applyBorder="1"/>
    <xf numFmtId="170" fontId="26" fillId="0" borderId="90" xfId="7" applyFont="1" applyBorder="1"/>
    <xf numFmtId="0" fontId="5" fillId="0" borderId="90" xfId="4" applyFont="1" applyBorder="1"/>
    <xf numFmtId="173" fontId="5" fillId="0" borderId="91" xfId="4" applyNumberFormat="1" applyFont="1" applyBorder="1"/>
    <xf numFmtId="170" fontId="26" fillId="0" borderId="92" xfId="7" applyFont="1" applyBorder="1"/>
    <xf numFmtId="170" fontId="26" fillId="0" borderId="93" xfId="7" applyFont="1" applyBorder="1" applyAlignment="1">
      <alignment horizontal="left"/>
    </xf>
    <xf numFmtId="1" fontId="26" fillId="0" borderId="93" xfId="7" applyNumberFormat="1" applyFont="1" applyBorder="1"/>
    <xf numFmtId="166" fontId="26" fillId="0" borderId="93" xfId="7" applyNumberFormat="1" applyFont="1" applyBorder="1"/>
    <xf numFmtId="166" fontId="26" fillId="0" borderId="93" xfId="7" applyNumberFormat="1" applyFont="1" applyBorder="1" applyAlignment="1">
      <alignment horizontal="center"/>
    </xf>
    <xf numFmtId="43" fontId="5" fillId="0" borderId="93" xfId="4" applyNumberFormat="1" applyFont="1" applyBorder="1"/>
    <xf numFmtId="173" fontId="5" fillId="0" borderId="94" xfId="4" applyNumberFormat="1" applyFont="1" applyBorder="1"/>
    <xf numFmtId="170" fontId="26" fillId="0" borderId="92" xfId="7" applyFont="1" applyBorder="1" applyAlignment="1">
      <alignment vertical="center"/>
    </xf>
    <xf numFmtId="170" fontId="26" fillId="0" borderId="93" xfId="7" applyFont="1" applyBorder="1" applyAlignment="1">
      <alignment horizontal="left" wrapText="1"/>
    </xf>
    <xf numFmtId="179" fontId="26" fillId="0" borderId="95" xfId="4" applyNumberFormat="1" applyFont="1" applyBorder="1" applyAlignment="1">
      <alignment horizontal="centerContinuous"/>
    </xf>
    <xf numFmtId="179" fontId="26" fillId="0" borderId="96" xfId="4" applyNumberFormat="1" applyFont="1" applyBorder="1" applyAlignment="1">
      <alignment horizontal="centerContinuous"/>
    </xf>
    <xf numFmtId="170" fontId="26" fillId="0" borderId="93" xfId="7" applyFont="1" applyBorder="1" applyAlignment="1">
      <alignment horizontal="center"/>
    </xf>
    <xf numFmtId="166" fontId="26" fillId="0" borderId="93" xfId="7" applyNumberFormat="1" applyFont="1" applyBorder="1" applyAlignment="1">
      <alignment horizontal="right"/>
    </xf>
    <xf numFmtId="170" fontId="26" fillId="0" borderId="93" xfId="7" applyFont="1" applyBorder="1" applyAlignment="1">
      <alignment horizontal="right"/>
    </xf>
    <xf numFmtId="49" fontId="26" fillId="0" borderId="93" xfId="7" applyNumberFormat="1" applyFont="1" applyBorder="1" applyAlignment="1">
      <alignment horizontal="right"/>
    </xf>
    <xf numFmtId="170" fontId="26" fillId="0" borderId="93" xfId="7" applyFont="1" applyBorder="1"/>
    <xf numFmtId="0" fontId="5" fillId="0" borderId="93" xfId="4" applyFont="1" applyBorder="1"/>
    <xf numFmtId="170" fontId="26" fillId="0" borderId="97" xfId="7" applyFont="1" applyBorder="1"/>
    <xf numFmtId="170" fontId="26" fillId="0" borderId="98" xfId="7" applyFont="1" applyBorder="1"/>
    <xf numFmtId="1" fontId="26" fillId="0" borderId="98" xfId="7" applyNumberFormat="1" applyFont="1" applyBorder="1"/>
    <xf numFmtId="166" fontId="26" fillId="0" borderId="98" xfId="7" applyNumberFormat="1" applyFont="1" applyBorder="1"/>
    <xf numFmtId="166" fontId="26" fillId="0" borderId="98" xfId="7" applyNumberFormat="1" applyFont="1" applyBorder="1" applyAlignment="1">
      <alignment horizontal="center"/>
    </xf>
    <xf numFmtId="170" fontId="26" fillId="0" borderId="99" xfId="7" applyFont="1" applyBorder="1"/>
    <xf numFmtId="166" fontId="17" fillId="11" borderId="100" xfId="7" applyNumberFormat="1" applyFont="1" applyFill="1" applyBorder="1" applyAlignment="1">
      <alignment horizontal="right"/>
    </xf>
    <xf numFmtId="0" fontId="38" fillId="0" borderId="100" xfId="4" applyFont="1" applyBorder="1" applyAlignment="1">
      <alignment horizontal="right"/>
    </xf>
    <xf numFmtId="173" fontId="38" fillId="0" borderId="101" xfId="4" applyNumberFormat="1" applyFont="1" applyBorder="1"/>
    <xf numFmtId="170" fontId="26" fillId="0" borderId="33" xfId="7" applyFont="1" applyBorder="1"/>
    <xf numFmtId="166" fontId="17" fillId="11" borderId="84" xfId="7" applyNumberFormat="1" applyFont="1" applyFill="1" applyBorder="1" applyAlignment="1">
      <alignment horizontal="right"/>
    </xf>
    <xf numFmtId="0" fontId="38" fillId="0" borderId="84" xfId="4" applyFont="1" applyBorder="1" applyAlignment="1">
      <alignment horizontal="right"/>
    </xf>
    <xf numFmtId="173" fontId="38" fillId="0" borderId="34" xfId="4" applyNumberFormat="1" applyFont="1" applyBorder="1"/>
    <xf numFmtId="170" fontId="26" fillId="0" borderId="0" xfId="7" applyFont="1"/>
    <xf numFmtId="1" fontId="26" fillId="0" borderId="0" xfId="7" applyNumberFormat="1" applyFont="1"/>
    <xf numFmtId="166" fontId="26" fillId="0" borderId="0" xfId="7" applyNumberFormat="1" applyFont="1"/>
    <xf numFmtId="173" fontId="4" fillId="0" borderId="0" xfId="4" applyNumberFormat="1"/>
    <xf numFmtId="0" fontId="26" fillId="0" borderId="86" xfId="4" applyFont="1" applyBorder="1" applyAlignment="1">
      <alignment horizontal="left"/>
    </xf>
    <xf numFmtId="0" fontId="26" fillId="0" borderId="87" xfId="4" applyFont="1" applyBorder="1" applyAlignment="1">
      <alignment horizontal="center"/>
    </xf>
    <xf numFmtId="173" fontId="5" fillId="0" borderId="102" xfId="4" applyNumberFormat="1" applyFont="1" applyBorder="1"/>
    <xf numFmtId="166" fontId="26" fillId="0" borderId="90" xfId="7" applyNumberFormat="1" applyFont="1" applyBorder="1"/>
    <xf numFmtId="1" fontId="26" fillId="0" borderId="93" xfId="7" applyNumberFormat="1" applyFont="1" applyBorder="1" applyAlignment="1">
      <alignment horizontal="center"/>
    </xf>
    <xf numFmtId="2" fontId="5" fillId="0" borderId="93" xfId="4" applyNumberFormat="1" applyFont="1" applyBorder="1"/>
    <xf numFmtId="168" fontId="26" fillId="0" borderId="93" xfId="7" applyNumberFormat="1" applyFont="1" applyBorder="1"/>
    <xf numFmtId="166" fontId="26" fillId="0" borderId="93" xfId="7" applyNumberFormat="1" applyFont="1" applyBorder="1" applyAlignment="1">
      <alignment horizontal="centerContinuous"/>
    </xf>
    <xf numFmtId="170" fontId="26" fillId="0" borderId="92" xfId="7" applyFont="1" applyBorder="1" applyAlignment="1">
      <alignment vertical="top"/>
    </xf>
    <xf numFmtId="166" fontId="26" fillId="0" borderId="93" xfId="7" applyNumberFormat="1" applyFont="1" applyBorder="1" applyAlignment="1">
      <alignment horizontal="left"/>
    </xf>
    <xf numFmtId="0" fontId="17" fillId="0" borderId="11" xfId="4" applyFont="1" applyBorder="1"/>
    <xf numFmtId="0" fontId="17" fillId="0" borderId="5" xfId="4" applyFont="1" applyBorder="1" applyAlignment="1">
      <alignment horizontal="right"/>
    </xf>
    <xf numFmtId="169" fontId="17" fillId="0" borderId="5" xfId="4" applyNumberFormat="1" applyFont="1" applyBorder="1"/>
    <xf numFmtId="166" fontId="17" fillId="0" borderId="5" xfId="4" applyNumberFormat="1" applyFont="1" applyBorder="1"/>
    <xf numFmtId="173" fontId="17" fillId="0" borderId="6" xfId="1" applyNumberFormat="1" applyFont="1" applyFill="1" applyBorder="1"/>
    <xf numFmtId="170" fontId="26" fillId="0" borderId="0" xfId="7" applyFont="1" applyAlignment="1">
      <alignment horizontal="centerContinuous"/>
    </xf>
    <xf numFmtId="170" fontId="63" fillId="0" borderId="0" xfId="7" applyFont="1" applyAlignment="1">
      <alignment horizontal="center"/>
    </xf>
    <xf numFmtId="0" fontId="26" fillId="0" borderId="89" xfId="4" applyFont="1" applyBorder="1"/>
    <xf numFmtId="0" fontId="64" fillId="0" borderId="90" xfId="4" applyFont="1" applyBorder="1" applyAlignment="1">
      <alignment horizontal="left"/>
    </xf>
    <xf numFmtId="1" fontId="26" fillId="0" borderId="90" xfId="4" applyNumberFormat="1" applyFont="1" applyBorder="1"/>
    <xf numFmtId="0" fontId="26" fillId="0" borderId="90" xfId="4" applyFont="1" applyBorder="1"/>
    <xf numFmtId="173" fontId="5" fillId="0" borderId="103" xfId="4" applyNumberFormat="1" applyFont="1" applyBorder="1"/>
    <xf numFmtId="0" fontId="26" fillId="0" borderId="92" xfId="4" applyFont="1" applyBorder="1"/>
    <xf numFmtId="0" fontId="26" fillId="0" borderId="93" xfId="4" applyFont="1" applyBorder="1" applyAlignment="1">
      <alignment horizontal="left"/>
    </xf>
    <xf numFmtId="1" fontId="26" fillId="0" borderId="93" xfId="4" applyNumberFormat="1" applyFont="1" applyBorder="1"/>
    <xf numFmtId="0" fontId="26" fillId="0" borderId="93" xfId="4" applyFont="1" applyBorder="1"/>
    <xf numFmtId="173" fontId="5" fillId="0" borderId="104" xfId="4" applyNumberFormat="1" applyFont="1" applyBorder="1"/>
    <xf numFmtId="166" fontId="26" fillId="0" borderId="93" xfId="4" applyNumberFormat="1" applyFont="1" applyBorder="1"/>
    <xf numFmtId="166" fontId="26" fillId="0" borderId="93" xfId="4" applyNumberFormat="1" applyFont="1" applyBorder="1" applyAlignment="1">
      <alignment horizontal="center"/>
    </xf>
    <xf numFmtId="0" fontId="26" fillId="0" borderId="93" xfId="4" applyFont="1" applyBorder="1" applyAlignment="1">
      <alignment horizontal="right"/>
    </xf>
    <xf numFmtId="0" fontId="26" fillId="0" borderId="93" xfId="4" quotePrefix="1" applyFont="1" applyBorder="1" applyAlignment="1">
      <alignment horizontal="left"/>
    </xf>
    <xf numFmtId="0" fontId="26" fillId="0" borderId="93" xfId="4" quotePrefix="1" applyFont="1" applyBorder="1"/>
    <xf numFmtId="166" fontId="26" fillId="0" borderId="93" xfId="4" quotePrefix="1" applyNumberFormat="1" applyFont="1" applyBorder="1" applyAlignment="1">
      <alignment horizontal="center"/>
    </xf>
    <xf numFmtId="168" fontId="26" fillId="0" borderId="93" xfId="4" applyNumberFormat="1" applyFont="1" applyBorder="1"/>
    <xf numFmtId="0" fontId="4" fillId="0" borderId="93" xfId="4" applyBorder="1"/>
    <xf numFmtId="0" fontId="26" fillId="0" borderId="93" xfId="4" applyFont="1" applyBorder="1" applyAlignment="1">
      <alignment horizontal="center"/>
    </xf>
    <xf numFmtId="0" fontId="26" fillId="0" borderId="92" xfId="4" applyFont="1" applyBorder="1" applyAlignment="1">
      <alignment horizontal="left"/>
    </xf>
    <xf numFmtId="173" fontId="4" fillId="0" borderId="94" xfId="4" applyNumberFormat="1" applyBorder="1"/>
    <xf numFmtId="166" fontId="4" fillId="0" borderId="0" xfId="4" applyNumberFormat="1"/>
    <xf numFmtId="0" fontId="26" fillId="0" borderId="93" xfId="4" applyFont="1" applyBorder="1" applyAlignment="1">
      <alignment horizontal="centerContinuous"/>
    </xf>
    <xf numFmtId="1" fontId="26" fillId="0" borderId="105" xfId="4" applyNumberFormat="1" applyFont="1" applyBorder="1"/>
    <xf numFmtId="0" fontId="26" fillId="0" borderId="105" xfId="4" applyFont="1" applyBorder="1"/>
    <xf numFmtId="0" fontId="5" fillId="0" borderId="105" xfId="4" applyFont="1" applyBorder="1"/>
    <xf numFmtId="173" fontId="5" fillId="0" borderId="106" xfId="4" applyNumberFormat="1" applyFont="1" applyBorder="1"/>
    <xf numFmtId="0" fontId="26" fillId="0" borderId="107" xfId="4" applyFont="1" applyBorder="1"/>
    <xf numFmtId="166" fontId="17" fillId="11" borderId="108" xfId="7" applyNumberFormat="1" applyFont="1" applyFill="1" applyBorder="1" applyAlignment="1">
      <alignment horizontal="right"/>
    </xf>
    <xf numFmtId="166" fontId="26" fillId="0" borderId="109" xfId="4" applyNumberFormat="1" applyFont="1" applyBorder="1"/>
    <xf numFmtId="0" fontId="38" fillId="0" borderId="109" xfId="4" applyFont="1" applyBorder="1" applyAlignment="1">
      <alignment horizontal="right"/>
    </xf>
    <xf numFmtId="173" fontId="38" fillId="0" borderId="110" xfId="4" applyNumberFormat="1" applyFont="1" applyBorder="1"/>
    <xf numFmtId="0" fontId="26" fillId="0" borderId="8" xfId="4" applyFont="1" applyBorder="1"/>
    <xf numFmtId="166" fontId="17" fillId="11" borderId="12" xfId="7" applyNumberFormat="1" applyFont="1" applyFill="1" applyBorder="1" applyAlignment="1">
      <alignment horizontal="right"/>
    </xf>
    <xf numFmtId="166" fontId="26" fillId="0" borderId="12" xfId="4" applyNumberFormat="1" applyFont="1" applyBorder="1"/>
    <xf numFmtId="0" fontId="38" fillId="0" borderId="12" xfId="4" applyFont="1" applyBorder="1" applyAlignment="1">
      <alignment horizontal="right"/>
    </xf>
    <xf numFmtId="173" fontId="38" fillId="0" borderId="9" xfId="4" applyNumberFormat="1" applyFont="1" applyBorder="1"/>
    <xf numFmtId="166" fontId="26" fillId="0" borderId="0" xfId="4" applyNumberFormat="1" applyFont="1"/>
    <xf numFmtId="0" fontId="5" fillId="0" borderId="0" xfId="4" applyFont="1" applyAlignment="1">
      <alignment horizontal="right"/>
    </xf>
    <xf numFmtId="173" fontId="5" fillId="0" borderId="0" xfId="4" applyNumberFormat="1" applyFont="1"/>
    <xf numFmtId="180" fontId="5" fillId="0" borderId="93" xfId="4" applyNumberFormat="1" applyFont="1" applyBorder="1"/>
    <xf numFmtId="166" fontId="26" fillId="0" borderId="93" xfId="4" applyNumberFormat="1" applyFont="1" applyBorder="1" applyAlignment="1">
      <alignment horizontal="right"/>
    </xf>
    <xf numFmtId="166" fontId="26" fillId="0" borderId="93" xfId="4" applyNumberFormat="1" applyFont="1" applyBorder="1" applyAlignment="1">
      <alignment horizontal="left"/>
    </xf>
    <xf numFmtId="169" fontId="26" fillId="0" borderId="93" xfId="4" applyNumberFormat="1" applyFont="1" applyBorder="1"/>
    <xf numFmtId="169" fontId="26" fillId="0" borderId="93" xfId="4" applyNumberFormat="1" applyFont="1" applyBorder="1" applyAlignment="1">
      <alignment horizontal="center"/>
    </xf>
    <xf numFmtId="0" fontId="26" fillId="0" borderId="111" xfId="4" applyFont="1" applyBorder="1"/>
    <xf numFmtId="166" fontId="26" fillId="0" borderId="112" xfId="4" applyNumberFormat="1" applyFont="1" applyBorder="1"/>
    <xf numFmtId="1" fontId="26" fillId="0" borderId="112" xfId="4" applyNumberFormat="1" applyFont="1" applyBorder="1"/>
    <xf numFmtId="43" fontId="5" fillId="0" borderId="112" xfId="4" applyNumberFormat="1" applyFont="1" applyBorder="1"/>
    <xf numFmtId="173" fontId="5" fillId="0" borderId="113" xfId="4" applyNumberFormat="1" applyFont="1" applyBorder="1"/>
    <xf numFmtId="0" fontId="26" fillId="0" borderId="11" xfId="4" applyFont="1" applyBorder="1"/>
    <xf numFmtId="169" fontId="26" fillId="0" borderId="5" xfId="4" applyNumberFormat="1" applyFont="1" applyBorder="1"/>
    <xf numFmtId="166" fontId="26" fillId="0" borderId="5" xfId="4" applyNumberFormat="1" applyFont="1" applyBorder="1" applyAlignment="1">
      <alignment horizontal="center"/>
    </xf>
    <xf numFmtId="2" fontId="26" fillId="0" borderId="5" xfId="4" applyNumberFormat="1" applyFont="1" applyBorder="1" applyAlignment="1">
      <alignment horizontal="right"/>
    </xf>
    <xf numFmtId="173" fontId="26" fillId="0" borderId="6" xfId="4" applyNumberFormat="1" applyFont="1" applyBorder="1"/>
    <xf numFmtId="0" fontId="4" fillId="0" borderId="0" xfId="8"/>
    <xf numFmtId="0" fontId="26" fillId="0" borderId="0" xfId="8" applyFont="1"/>
    <xf numFmtId="0" fontId="5" fillId="0" borderId="0" xfId="8" applyFont="1" applyAlignment="1">
      <alignment horizontal="right"/>
    </xf>
    <xf numFmtId="2" fontId="38" fillId="0" borderId="0" xfId="8" applyNumberFormat="1" applyFont="1"/>
    <xf numFmtId="2" fontId="5" fillId="0" borderId="0" xfId="8" applyNumberFormat="1" applyFont="1" applyAlignment="1">
      <alignment horizontal="center"/>
    </xf>
    <xf numFmtId="0" fontId="26" fillId="0" borderId="0" xfId="8" applyFont="1" applyAlignment="1">
      <alignment horizontal="centerContinuous"/>
    </xf>
    <xf numFmtId="0" fontId="5" fillId="0" borderId="0" xfId="8" applyFont="1"/>
    <xf numFmtId="2" fontId="5" fillId="0" borderId="0" xfId="8" applyNumberFormat="1" applyFont="1"/>
    <xf numFmtId="0" fontId="5" fillId="0" borderId="75" xfId="8" applyFont="1" applyBorder="1" applyAlignment="1">
      <alignment horizontal="left"/>
    </xf>
    <xf numFmtId="0" fontId="5" fillId="0" borderId="78" xfId="8" applyFont="1" applyBorder="1" applyAlignment="1">
      <alignment horizontal="center"/>
    </xf>
    <xf numFmtId="0" fontId="5" fillId="0" borderId="79" xfId="8" applyFont="1" applyBorder="1" applyAlignment="1">
      <alignment horizontal="center"/>
    </xf>
    <xf numFmtId="0" fontId="5" fillId="0" borderId="78" xfId="4" applyFont="1" applyBorder="1"/>
    <xf numFmtId="0" fontId="5" fillId="0" borderId="79" xfId="4" applyFont="1" applyBorder="1"/>
    <xf numFmtId="0" fontId="26" fillId="0" borderId="54" xfId="8" applyFont="1" applyBorder="1" applyAlignment="1">
      <alignment horizontal="left"/>
    </xf>
    <xf numFmtId="0" fontId="5" fillId="0" borderId="55" xfId="8" applyFont="1" applyBorder="1" applyAlignment="1">
      <alignment horizontal="center"/>
    </xf>
    <xf numFmtId="0" fontId="4" fillId="0" borderId="55" xfId="8" applyBorder="1"/>
    <xf numFmtId="0" fontId="4" fillId="0" borderId="59" xfId="8" applyBorder="1"/>
    <xf numFmtId="0" fontId="26" fillId="0" borderId="60" xfId="8" applyFont="1" applyBorder="1" applyAlignment="1">
      <alignment horizontal="right"/>
    </xf>
    <xf numFmtId="0" fontId="5" fillId="0" borderId="61" xfId="8" applyFont="1" applyBorder="1" applyAlignment="1">
      <alignment horizontal="left"/>
    </xf>
    <xf numFmtId="0" fontId="5" fillId="0" borderId="61" xfId="8" applyFont="1" applyBorder="1" applyAlignment="1">
      <alignment horizontal="center"/>
    </xf>
    <xf numFmtId="166" fontId="5" fillId="0" borderId="61" xfId="8" applyNumberFormat="1" applyFont="1" applyBorder="1" applyAlignment="1">
      <alignment horizontal="center"/>
    </xf>
    <xf numFmtId="2" fontId="26" fillId="0" borderId="61" xfId="6" applyNumberFormat="1" applyFont="1" applyBorder="1"/>
    <xf numFmtId="0" fontId="26" fillId="0" borderId="60" xfId="8" applyFont="1" applyBorder="1"/>
    <xf numFmtId="169" fontId="5" fillId="0" borderId="61" xfId="8" applyNumberFormat="1" applyFont="1" applyBorder="1"/>
    <xf numFmtId="166" fontId="5" fillId="0" borderId="61" xfId="8" applyNumberFormat="1" applyFont="1" applyBorder="1"/>
    <xf numFmtId="0" fontId="5" fillId="0" borderId="61" xfId="8" applyFont="1" applyBorder="1"/>
    <xf numFmtId="168" fontId="5" fillId="0" borderId="61" xfId="8" applyNumberFormat="1" applyFont="1" applyBorder="1"/>
    <xf numFmtId="0" fontId="5" fillId="0" borderId="61" xfId="8" applyFont="1" applyBorder="1" applyAlignment="1">
      <alignment horizontal="right"/>
    </xf>
    <xf numFmtId="166" fontId="5" fillId="0" borderId="61" xfId="8" quotePrefix="1" applyNumberFormat="1" applyFont="1" applyBorder="1" applyAlignment="1">
      <alignment horizontal="right"/>
    </xf>
    <xf numFmtId="181" fontId="5" fillId="0" borderId="61" xfId="8" applyNumberFormat="1" applyFont="1" applyBorder="1"/>
    <xf numFmtId="166" fontId="5" fillId="0" borderId="61" xfId="8" applyNumberFormat="1" applyFont="1" applyBorder="1" applyAlignment="1">
      <alignment horizontal="left"/>
    </xf>
    <xf numFmtId="0" fontId="26" fillId="0" borderId="60" xfId="8" applyFont="1" applyBorder="1" applyAlignment="1">
      <alignment vertical="top"/>
    </xf>
    <xf numFmtId="0" fontId="5" fillId="0" borderId="61" xfId="8" applyFont="1" applyBorder="1" applyAlignment="1">
      <alignment horizontal="left" wrapText="1"/>
    </xf>
    <xf numFmtId="0" fontId="26" fillId="0" borderId="69" xfId="8" applyFont="1" applyBorder="1"/>
    <xf numFmtId="0" fontId="5" fillId="0" borderId="70" xfId="8" applyFont="1" applyBorder="1" applyAlignment="1">
      <alignment horizontal="left"/>
    </xf>
    <xf numFmtId="169" fontId="5" fillId="0" borderId="70" xfId="8" applyNumberFormat="1" applyFont="1" applyBorder="1"/>
    <xf numFmtId="166" fontId="5" fillId="0" borderId="70" xfId="8" applyNumberFormat="1" applyFont="1" applyBorder="1" applyAlignment="1">
      <alignment horizontal="center"/>
    </xf>
    <xf numFmtId="170" fontId="26" fillId="0" borderId="70" xfId="6" applyFont="1" applyBorder="1"/>
    <xf numFmtId="173" fontId="5" fillId="0" borderId="72" xfId="4" applyNumberFormat="1" applyFont="1" applyBorder="1"/>
    <xf numFmtId="0" fontId="26" fillId="0" borderId="114" xfId="4" applyFont="1" applyBorder="1"/>
    <xf numFmtId="169" fontId="26" fillId="0" borderId="0" xfId="4" applyNumberFormat="1" applyFont="1"/>
    <xf numFmtId="166" fontId="26" fillId="0" borderId="0" xfId="4" applyNumberFormat="1" applyFont="1" applyAlignment="1">
      <alignment horizontal="center"/>
    </xf>
    <xf numFmtId="170" fontId="26" fillId="0" borderId="93" xfId="6" applyFont="1" applyBorder="1"/>
    <xf numFmtId="173" fontId="5" fillId="0" borderId="14" xfId="4" applyNumberFormat="1" applyFont="1" applyBorder="1"/>
    <xf numFmtId="0" fontId="5" fillId="0" borderId="13" xfId="4" applyFont="1" applyBorder="1"/>
    <xf numFmtId="169" fontId="5" fillId="0" borderId="0" xfId="4" applyNumberFormat="1" applyFont="1"/>
    <xf numFmtId="166" fontId="5" fillId="0" borderId="0" xfId="4" applyNumberFormat="1" applyFont="1" applyAlignment="1">
      <alignment horizontal="center"/>
    </xf>
    <xf numFmtId="183" fontId="5" fillId="0" borderId="0" xfId="4" applyNumberFormat="1" applyFont="1"/>
    <xf numFmtId="0" fontId="17" fillId="0" borderId="12" xfId="4" applyFont="1" applyBorder="1" applyAlignment="1">
      <alignment horizontal="right"/>
    </xf>
    <xf numFmtId="169" fontId="17" fillId="0" borderId="12" xfId="4" applyNumberFormat="1" applyFont="1" applyBorder="1"/>
    <xf numFmtId="166" fontId="17" fillId="0" borderId="12" xfId="4" applyNumberFormat="1" applyFont="1" applyBorder="1"/>
    <xf numFmtId="2" fontId="26" fillId="0" borderId="115" xfId="4" applyNumberFormat="1" applyFont="1" applyBorder="1"/>
    <xf numFmtId="173" fontId="38" fillId="0" borderId="9" xfId="1" applyNumberFormat="1" applyFont="1" applyBorder="1"/>
    <xf numFmtId="2" fontId="17" fillId="0" borderId="0" xfId="4" applyNumberFormat="1" applyFont="1"/>
    <xf numFmtId="2" fontId="26" fillId="0" borderId="0" xfId="4" applyNumberFormat="1" applyFont="1" applyAlignment="1">
      <alignment horizontal="center"/>
    </xf>
    <xf numFmtId="2" fontId="26" fillId="0" borderId="0" xfId="4" applyNumberFormat="1" applyFont="1"/>
    <xf numFmtId="0" fontId="5" fillId="0" borderId="75" xfId="4" applyFont="1" applyBorder="1" applyAlignment="1">
      <alignment horizontal="left"/>
    </xf>
    <xf numFmtId="0" fontId="5" fillId="0" borderId="78" xfId="4" applyFont="1" applyBorder="1" applyAlignment="1">
      <alignment horizontal="center"/>
    </xf>
    <xf numFmtId="0" fontId="5" fillId="0" borderId="79" xfId="4" applyFont="1" applyBorder="1" applyAlignment="1">
      <alignment horizontal="center"/>
    </xf>
    <xf numFmtId="0" fontId="5" fillId="0" borderId="35" xfId="4" applyFont="1" applyBorder="1" applyAlignment="1">
      <alignment horizontal="left"/>
    </xf>
    <xf numFmtId="0" fontId="5" fillId="0" borderId="80" xfId="4" applyFont="1" applyBorder="1" applyAlignment="1">
      <alignment horizontal="center"/>
    </xf>
    <xf numFmtId="0" fontId="4" fillId="0" borderId="80" xfId="8" applyBorder="1"/>
    <xf numFmtId="0" fontId="4" fillId="0" borderId="36" xfId="8" applyBorder="1"/>
    <xf numFmtId="0" fontId="5" fillId="0" borderId="37" xfId="4" applyFont="1" applyBorder="1" applyAlignment="1">
      <alignment horizontal="right"/>
    </xf>
    <xf numFmtId="0" fontId="5" fillId="0" borderId="116" xfId="4" applyFont="1" applyBorder="1" applyAlignment="1">
      <alignment horizontal="left"/>
    </xf>
    <xf numFmtId="0" fontId="5" fillId="0" borderId="116" xfId="4" applyFont="1" applyBorder="1" applyAlignment="1">
      <alignment horizontal="center"/>
    </xf>
    <xf numFmtId="166" fontId="5" fillId="0" borderId="116" xfId="4" applyNumberFormat="1" applyFont="1" applyBorder="1" applyAlignment="1">
      <alignment horizontal="center"/>
    </xf>
    <xf numFmtId="2" fontId="26" fillId="0" borderId="116" xfId="6" applyNumberFormat="1" applyFont="1" applyBorder="1"/>
    <xf numFmtId="173" fontId="5" fillId="0" borderId="117" xfId="4" applyNumberFormat="1" applyFont="1" applyBorder="1"/>
    <xf numFmtId="0" fontId="5" fillId="0" borderId="37" xfId="4" applyFont="1" applyBorder="1"/>
    <xf numFmtId="169" fontId="5" fillId="0" borderId="116" xfId="4" applyNumberFormat="1" applyFont="1" applyBorder="1"/>
    <xf numFmtId="166" fontId="5" fillId="0" borderId="116" xfId="4" applyNumberFormat="1" applyFont="1" applyBorder="1"/>
    <xf numFmtId="0" fontId="5" fillId="0" borderId="116" xfId="4" applyFont="1" applyBorder="1"/>
    <xf numFmtId="168" fontId="5" fillId="0" borderId="116" xfId="4" applyNumberFormat="1" applyFont="1" applyBorder="1"/>
    <xf numFmtId="2" fontId="26" fillId="0" borderId="116" xfId="4" applyNumberFormat="1" applyFont="1" applyBorder="1"/>
    <xf numFmtId="0" fontId="5" fillId="0" borderId="116" xfId="4" applyFont="1" applyBorder="1" applyAlignment="1">
      <alignment horizontal="right"/>
    </xf>
    <xf numFmtId="166" fontId="5" fillId="0" borderId="116" xfId="4" quotePrefix="1" applyNumberFormat="1" applyFont="1" applyBorder="1" applyAlignment="1">
      <alignment horizontal="right"/>
    </xf>
    <xf numFmtId="0" fontId="4" fillId="0" borderId="116" xfId="8" applyBorder="1"/>
    <xf numFmtId="181" fontId="5" fillId="0" borderId="116" xfId="4" applyNumberFormat="1" applyFont="1" applyBorder="1"/>
    <xf numFmtId="166" fontId="5" fillId="0" borderId="116" xfId="4" applyNumberFormat="1" applyFont="1" applyBorder="1" applyAlignment="1">
      <alignment horizontal="left"/>
    </xf>
    <xf numFmtId="0" fontId="5" fillId="0" borderId="37" xfId="4" applyFont="1" applyBorder="1" applyAlignment="1">
      <alignment vertical="top"/>
    </xf>
    <xf numFmtId="0" fontId="5" fillId="0" borderId="116" xfId="4" applyFont="1" applyBorder="1" applyAlignment="1">
      <alignment horizontal="left" wrapText="1"/>
    </xf>
    <xf numFmtId="0" fontId="5" fillId="0" borderId="81" xfId="4" applyFont="1" applyBorder="1"/>
    <xf numFmtId="0" fontId="5" fillId="0" borderId="82" xfId="4" applyFont="1" applyBorder="1" applyAlignment="1">
      <alignment horizontal="left"/>
    </xf>
    <xf numFmtId="169" fontId="5" fillId="0" borderId="82" xfId="4" applyNumberFormat="1" applyFont="1" applyBorder="1"/>
    <xf numFmtId="166" fontId="5" fillId="0" borderId="82" xfId="4" applyNumberFormat="1" applyFont="1" applyBorder="1" applyAlignment="1">
      <alignment horizontal="center"/>
    </xf>
    <xf numFmtId="2" fontId="26" fillId="0" borderId="82" xfId="6" applyNumberFormat="1" applyFont="1" applyBorder="1"/>
    <xf numFmtId="173" fontId="5" fillId="0" borderId="83" xfId="4" applyNumberFormat="1" applyFont="1" applyBorder="1"/>
    <xf numFmtId="0" fontId="26" fillId="0" borderId="35" xfId="4" applyFont="1" applyBorder="1"/>
    <xf numFmtId="0" fontId="26" fillId="0" borderId="80" xfId="4" applyFont="1" applyBorder="1" applyAlignment="1">
      <alignment horizontal="right"/>
    </xf>
    <xf numFmtId="169" fontId="26" fillId="0" borderId="80" xfId="4" applyNumberFormat="1" applyFont="1" applyBorder="1"/>
    <xf numFmtId="166" fontId="26" fillId="0" borderId="80" xfId="4" applyNumberFormat="1" applyFont="1" applyBorder="1" applyAlignment="1">
      <alignment horizontal="center"/>
    </xf>
    <xf numFmtId="170" fontId="26" fillId="0" borderId="80" xfId="6" applyFont="1" applyBorder="1"/>
    <xf numFmtId="173" fontId="5" fillId="0" borderId="36" xfId="4" applyNumberFormat="1" applyFont="1" applyBorder="1"/>
    <xf numFmtId="183" fontId="5" fillId="0" borderId="116" xfId="4" applyNumberFormat="1" applyFont="1" applyBorder="1"/>
    <xf numFmtId="0" fontId="26" fillId="0" borderId="39" xfId="4" applyFont="1" applyBorder="1"/>
    <xf numFmtId="0" fontId="17" fillId="0" borderId="118" xfId="4" applyFont="1" applyBorder="1" applyAlignment="1">
      <alignment horizontal="right"/>
    </xf>
    <xf numFmtId="169" fontId="17" fillId="0" borderId="118" xfId="4" applyNumberFormat="1" applyFont="1" applyBorder="1"/>
    <xf numFmtId="166" fontId="17" fillId="0" borderId="118" xfId="4" applyNumberFormat="1" applyFont="1" applyBorder="1"/>
    <xf numFmtId="2" fontId="26" fillId="0" borderId="118" xfId="4" applyNumberFormat="1" applyFont="1" applyBorder="1"/>
    <xf numFmtId="173" fontId="38" fillId="0" borderId="119" xfId="1" applyNumberFormat="1" applyFont="1" applyBorder="1"/>
    <xf numFmtId="0" fontId="66" fillId="0" borderId="0" xfId="8" applyFont="1" applyAlignment="1">
      <alignment horizontal="centerContinuous"/>
    </xf>
    <xf numFmtId="173" fontId="4" fillId="0" borderId="0" xfId="8" applyNumberFormat="1"/>
    <xf numFmtId="0" fontId="66" fillId="0" borderId="0" xfId="8" applyFont="1" applyAlignment="1">
      <alignment horizontal="center"/>
    </xf>
    <xf numFmtId="0" fontId="49" fillId="0" borderId="0" xfId="8" applyFont="1"/>
    <xf numFmtId="0" fontId="28" fillId="0" borderId="0" xfId="8" applyFont="1" applyAlignment="1">
      <alignment horizontal="left"/>
    </xf>
    <xf numFmtId="0" fontId="26" fillId="0" borderId="1" xfId="8" applyFont="1" applyBorder="1" applyAlignment="1">
      <alignment horizontal="left"/>
    </xf>
    <xf numFmtId="0" fontId="26" fillId="0" borderId="1" xfId="8" applyFont="1" applyBorder="1" applyAlignment="1">
      <alignment horizontal="center"/>
    </xf>
    <xf numFmtId="170" fontId="26" fillId="0" borderId="1" xfId="9" applyNumberFormat="1" applyFont="1" applyBorder="1" applyAlignment="1">
      <alignment horizontal="center"/>
    </xf>
    <xf numFmtId="0" fontId="5" fillId="0" borderId="1" xfId="8" applyFont="1" applyBorder="1"/>
    <xf numFmtId="173" fontId="5" fillId="0" borderId="1" xfId="8" applyNumberFormat="1" applyFont="1" applyBorder="1"/>
    <xf numFmtId="0" fontId="28" fillId="0" borderId="4" xfId="8" applyFont="1" applyBorder="1" applyAlignment="1">
      <alignment horizontal="center" vertical="top"/>
    </xf>
    <xf numFmtId="0" fontId="28" fillId="0" borderId="4" xfId="8" applyFont="1" applyBorder="1" applyAlignment="1">
      <alignment horizontal="center" vertical="top" wrapText="1"/>
    </xf>
    <xf numFmtId="0" fontId="4" fillId="0" borderId="4" xfId="8" applyBorder="1"/>
    <xf numFmtId="173" fontId="4" fillId="0" borderId="4" xfId="8" applyNumberFormat="1" applyBorder="1"/>
    <xf numFmtId="0" fontId="4" fillId="0" borderId="7" xfId="8" applyBorder="1"/>
    <xf numFmtId="0" fontId="4" fillId="0" borderId="7" xfId="8" applyBorder="1" applyAlignment="1">
      <alignment horizontal="right"/>
    </xf>
    <xf numFmtId="2" fontId="4" fillId="0" borderId="7" xfId="8" applyNumberFormat="1" applyBorder="1" applyAlignment="1">
      <alignment horizontal="right"/>
    </xf>
    <xf numFmtId="43" fontId="4" fillId="5" borderId="7" xfId="8" applyNumberFormat="1" applyFill="1" applyBorder="1"/>
    <xf numFmtId="173" fontId="4" fillId="0" borderId="7" xfId="8" applyNumberFormat="1" applyBorder="1"/>
    <xf numFmtId="0" fontId="4" fillId="0" borderId="10" xfId="8" applyBorder="1"/>
    <xf numFmtId="0" fontId="4" fillId="0" borderId="10" xfId="8" applyBorder="1" applyAlignment="1">
      <alignment horizontal="right"/>
    </xf>
    <xf numFmtId="2" fontId="4" fillId="0" borderId="10" xfId="8" applyNumberFormat="1" applyBorder="1" applyAlignment="1">
      <alignment horizontal="right"/>
    </xf>
    <xf numFmtId="43" fontId="4" fillId="5" borderId="10" xfId="8" applyNumberFormat="1" applyFill="1" applyBorder="1"/>
    <xf numFmtId="173" fontId="4" fillId="0" borderId="10" xfId="8" applyNumberFormat="1" applyBorder="1"/>
    <xf numFmtId="0" fontId="4" fillId="5" borderId="7" xfId="8" applyFill="1" applyBorder="1"/>
    <xf numFmtId="0" fontId="28" fillId="0" borderId="7" xfId="8" applyFont="1" applyBorder="1" applyAlignment="1">
      <alignment horizontal="right"/>
    </xf>
    <xf numFmtId="0" fontId="28" fillId="0" borderId="7" xfId="8" applyFont="1" applyBorder="1" applyAlignment="1">
      <alignment horizontal="center" vertical="top"/>
    </xf>
    <xf numFmtId="0" fontId="28" fillId="0" borderId="7" xfId="8" applyFont="1" applyBorder="1" applyAlignment="1">
      <alignment horizontal="center" vertical="top" wrapText="1"/>
    </xf>
    <xf numFmtId="0" fontId="28" fillId="0" borderId="7" xfId="8" applyFont="1" applyBorder="1" applyAlignment="1">
      <alignment horizontal="center" wrapText="1"/>
    </xf>
    <xf numFmtId="0" fontId="28" fillId="0" borderId="7" xfId="8" applyFont="1" applyBorder="1" applyAlignment="1">
      <alignment horizontal="center"/>
    </xf>
    <xf numFmtId="0" fontId="28" fillId="0" borderId="4" xfId="8" applyFont="1" applyBorder="1" applyAlignment="1">
      <alignment horizontal="center" wrapText="1"/>
    </xf>
    <xf numFmtId="0" fontId="28" fillId="0" borderId="4" xfId="8" applyFont="1" applyBorder="1" applyAlignment="1">
      <alignment horizontal="center"/>
    </xf>
    <xf numFmtId="0" fontId="4" fillId="5" borderId="4" xfId="8" applyFill="1" applyBorder="1"/>
    <xf numFmtId="2" fontId="4" fillId="5" borderId="7" xfId="8" applyNumberFormat="1" applyFill="1" applyBorder="1"/>
    <xf numFmtId="0" fontId="4" fillId="5" borderId="10" xfId="8" applyFill="1" applyBorder="1"/>
    <xf numFmtId="173" fontId="28" fillId="0" borderId="4" xfId="8" applyNumberFormat="1" applyFont="1" applyBorder="1"/>
    <xf numFmtId="0" fontId="28" fillId="0" borderId="7" xfId="8" applyFont="1" applyBorder="1"/>
    <xf numFmtId="173" fontId="28" fillId="0" borderId="7" xfId="8" applyNumberFormat="1" applyFont="1" applyBorder="1"/>
    <xf numFmtId="2" fontId="17" fillId="10" borderId="0" xfId="4" applyNumberFormat="1" applyFont="1" applyFill="1" applyAlignment="1">
      <alignment horizontal="right"/>
    </xf>
    <xf numFmtId="0" fontId="17" fillId="0" borderId="0" xfId="4" applyFont="1"/>
    <xf numFmtId="2" fontId="17" fillId="10" borderId="0" xfId="4" applyNumberFormat="1" applyFont="1" applyFill="1"/>
    <xf numFmtId="0" fontId="26" fillId="0" borderId="0" xfId="4" applyFont="1" applyAlignment="1">
      <alignment horizontal="center"/>
    </xf>
    <xf numFmtId="0" fontId="17" fillId="0" borderId="0" xfId="4" applyFont="1" applyAlignment="1">
      <alignment horizontal="left"/>
    </xf>
    <xf numFmtId="0" fontId="67" fillId="0" borderId="0" xfId="4" applyFont="1" applyAlignment="1">
      <alignment horizontal="left"/>
    </xf>
    <xf numFmtId="0" fontId="26" fillId="0" borderId="120" xfId="4" applyFont="1" applyBorder="1" applyAlignment="1">
      <alignment horizontal="left"/>
    </xf>
    <xf numFmtId="0" fontId="26" fillId="0" borderId="121" xfId="4" applyFont="1" applyBorder="1" applyAlignment="1">
      <alignment horizontal="center"/>
    </xf>
    <xf numFmtId="0" fontId="5" fillId="0" borderId="36" xfId="4" applyFont="1" applyBorder="1" applyAlignment="1">
      <alignment horizontal="center"/>
    </xf>
    <xf numFmtId="0" fontId="26" fillId="0" borderId="60" xfId="4" applyFont="1" applyBorder="1"/>
    <xf numFmtId="0" fontId="26" fillId="0" borderId="61" xfId="4" applyFont="1" applyBorder="1" applyAlignment="1">
      <alignment horizontal="left"/>
    </xf>
    <xf numFmtId="166" fontId="26" fillId="0" borderId="61" xfId="4" applyNumberFormat="1" applyFont="1" applyBorder="1"/>
    <xf numFmtId="166" fontId="26" fillId="0" borderId="61" xfId="4" applyNumberFormat="1" applyFont="1" applyBorder="1" applyAlignment="1">
      <alignment horizontal="center"/>
    </xf>
    <xf numFmtId="43" fontId="26" fillId="0" borderId="61" xfId="1" applyFont="1" applyBorder="1"/>
    <xf numFmtId="166" fontId="17" fillId="0" borderId="61" xfId="4" applyNumberFormat="1" applyFont="1" applyBorder="1"/>
    <xf numFmtId="0" fontId="26" fillId="0" borderId="61" xfId="4" applyFont="1" applyBorder="1" applyAlignment="1">
      <alignment horizontal="center"/>
    </xf>
    <xf numFmtId="168" fontId="26" fillId="0" borderId="61" xfId="4" applyNumberFormat="1" applyFont="1" applyBorder="1"/>
    <xf numFmtId="166" fontId="68" fillId="0" borderId="61" xfId="4" quotePrefix="1" applyNumberFormat="1" applyFont="1" applyBorder="1" applyAlignment="1">
      <alignment horizontal="left"/>
    </xf>
    <xf numFmtId="169" fontId="26" fillId="0" borderId="61" xfId="4" applyNumberFormat="1" applyFont="1" applyBorder="1"/>
    <xf numFmtId="182" fontId="26" fillId="0" borderId="95" xfId="4" applyNumberFormat="1" applyFont="1" applyBorder="1" applyAlignment="1">
      <alignment horizontal="centerContinuous"/>
    </xf>
    <xf numFmtId="182" fontId="26" fillId="0" borderId="96" xfId="4" applyNumberFormat="1" applyFont="1" applyBorder="1" applyAlignment="1">
      <alignment horizontal="centerContinuous"/>
    </xf>
    <xf numFmtId="166" fontId="26" fillId="0" borderId="61" xfId="4" quotePrefix="1" applyNumberFormat="1" applyFont="1" applyBorder="1" applyAlignment="1">
      <alignment horizontal="left"/>
    </xf>
    <xf numFmtId="166" fontId="26" fillId="0" borderId="61" xfId="4" quotePrefix="1" applyNumberFormat="1" applyFont="1" applyBorder="1"/>
    <xf numFmtId="169" fontId="26" fillId="0" borderId="61" xfId="4" applyNumberFormat="1" applyFont="1" applyBorder="1" applyAlignment="1">
      <alignment horizontal="center"/>
    </xf>
    <xf numFmtId="2" fontId="26" fillId="0" borderId="0" xfId="6" applyNumberFormat="1" applyFont="1"/>
    <xf numFmtId="170" fontId="26" fillId="0" borderId="0" xfId="6" applyFont="1"/>
    <xf numFmtId="0" fontId="26" fillId="0" borderId="69" xfId="4" applyFont="1" applyBorder="1"/>
    <xf numFmtId="0" fontId="26" fillId="0" borderId="70" xfId="4" applyFont="1" applyBorder="1" applyAlignment="1">
      <alignment horizontal="left"/>
    </xf>
    <xf numFmtId="166" fontId="26" fillId="0" borderId="70" xfId="4" applyNumberFormat="1" applyFont="1" applyBorder="1"/>
    <xf numFmtId="166" fontId="26" fillId="0" borderId="70" xfId="4" applyNumberFormat="1" applyFont="1" applyBorder="1" applyAlignment="1">
      <alignment horizontal="right"/>
    </xf>
    <xf numFmtId="0" fontId="26" fillId="0" borderId="15" xfId="4" applyFont="1" applyBorder="1"/>
    <xf numFmtId="0" fontId="17" fillId="0" borderId="16" xfId="4" applyFont="1" applyBorder="1" applyAlignment="1">
      <alignment horizontal="right"/>
    </xf>
    <xf numFmtId="169" fontId="26" fillId="0" borderId="16" xfId="4" applyNumberFormat="1" applyFont="1" applyBorder="1"/>
    <xf numFmtId="166" fontId="26" fillId="0" borderId="16" xfId="4" applyNumberFormat="1" applyFont="1" applyBorder="1" applyAlignment="1">
      <alignment horizontal="center"/>
    </xf>
    <xf numFmtId="2" fontId="26" fillId="0" borderId="16" xfId="4" applyNumberFormat="1" applyFont="1" applyBorder="1"/>
    <xf numFmtId="173" fontId="26" fillId="0" borderId="17" xfId="4" applyNumberFormat="1" applyFont="1" applyBorder="1"/>
    <xf numFmtId="173" fontId="17" fillId="0" borderId="9" xfId="1" applyNumberFormat="1" applyFont="1" applyBorder="1"/>
    <xf numFmtId="170" fontId="52" fillId="0" borderId="0" xfId="6" applyFont="1" applyAlignment="1" applyProtection="1">
      <alignment horizontal="centerContinuous"/>
      <protection locked="0"/>
    </xf>
    <xf numFmtId="170" fontId="27" fillId="0" borderId="0" xfId="6" applyFont="1" applyAlignment="1">
      <alignment horizontal="centerContinuous"/>
    </xf>
    <xf numFmtId="170" fontId="27" fillId="0" borderId="0" xfId="6" applyFont="1"/>
    <xf numFmtId="170" fontId="19" fillId="0" borderId="0" xfId="6" applyFont="1" applyAlignment="1" applyProtection="1">
      <alignment horizontal="left"/>
      <protection locked="0"/>
    </xf>
    <xf numFmtId="170" fontId="52" fillId="0" borderId="0" xfId="6" applyFont="1" applyAlignment="1" applyProtection="1">
      <alignment horizontal="center"/>
      <protection locked="0"/>
    </xf>
    <xf numFmtId="184" fontId="14" fillId="0" borderId="0" xfId="6" applyNumberFormat="1" applyFont="1" applyAlignment="1" applyProtection="1">
      <alignment horizontal="centerContinuous"/>
      <protection locked="0"/>
    </xf>
    <xf numFmtId="173" fontId="27" fillId="0" borderId="0" xfId="6" applyNumberFormat="1" applyFont="1"/>
    <xf numFmtId="170" fontId="26" fillId="0" borderId="0" xfId="6" applyFont="1" applyProtection="1">
      <protection locked="0"/>
    </xf>
    <xf numFmtId="170" fontId="26" fillId="0" borderId="0" xfId="6" applyFont="1" applyAlignment="1" applyProtection="1">
      <alignment horizontal="right"/>
      <protection locked="0"/>
    </xf>
    <xf numFmtId="165" fontId="14" fillId="0" borderId="0" xfId="6" applyNumberFormat="1" applyFont="1" applyProtection="1">
      <protection locked="0"/>
    </xf>
    <xf numFmtId="170" fontId="26" fillId="0" borderId="0" xfId="6" applyFont="1" applyAlignment="1" applyProtection="1">
      <alignment horizontal="left"/>
      <protection locked="0"/>
    </xf>
    <xf numFmtId="0" fontId="28" fillId="0" borderId="0" xfId="4" applyFont="1" applyAlignment="1" applyProtection="1">
      <alignment horizontal="center"/>
      <protection locked="0"/>
    </xf>
    <xf numFmtId="173" fontId="26" fillId="0" borderId="0" xfId="6" applyNumberFormat="1" applyFont="1" applyProtection="1">
      <protection locked="0"/>
    </xf>
    <xf numFmtId="170" fontId="17" fillId="0" borderId="0" xfId="6" applyFont="1" applyProtection="1">
      <protection locked="0"/>
    </xf>
    <xf numFmtId="185" fontId="26" fillId="0" borderId="0" xfId="6" applyNumberFormat="1" applyFont="1" applyAlignment="1" applyProtection="1">
      <alignment horizontal="left"/>
      <protection locked="0"/>
    </xf>
    <xf numFmtId="170" fontId="17" fillId="0" borderId="0" xfId="6" applyFont="1" applyAlignment="1">
      <alignment horizontal="left"/>
    </xf>
    <xf numFmtId="170" fontId="26" fillId="0" borderId="122" xfId="6" applyFont="1" applyBorder="1" applyAlignment="1" applyProtection="1">
      <alignment horizontal="left" vertical="center"/>
      <protection locked="0"/>
    </xf>
    <xf numFmtId="170" fontId="26" fillId="0" borderId="123" xfId="6" applyFont="1" applyBorder="1" applyAlignment="1" applyProtection="1">
      <alignment horizontal="center" vertical="center"/>
      <protection locked="0"/>
    </xf>
    <xf numFmtId="1" fontId="26" fillId="0" borderId="123" xfId="6" applyNumberFormat="1" applyFont="1" applyBorder="1" applyAlignment="1" applyProtection="1">
      <alignment horizontal="center" vertical="center"/>
      <protection locked="0"/>
    </xf>
    <xf numFmtId="170" fontId="26" fillId="0" borderId="123" xfId="6" applyFont="1" applyBorder="1" applyAlignment="1" applyProtection="1">
      <alignment horizontal="center" vertical="center" wrapText="1"/>
      <protection locked="0"/>
    </xf>
    <xf numFmtId="170" fontId="26" fillId="0" borderId="78" xfId="6" applyFont="1" applyBorder="1" applyAlignment="1" applyProtection="1">
      <alignment horizontal="center" vertical="center"/>
      <protection locked="0"/>
    </xf>
    <xf numFmtId="173" fontId="26" fillId="0" borderId="79" xfId="6" applyNumberFormat="1" applyFont="1" applyBorder="1" applyAlignment="1" applyProtection="1">
      <alignment horizontal="center" vertical="center"/>
      <protection locked="0"/>
    </xf>
    <xf numFmtId="170" fontId="26" fillId="0" borderId="124" xfId="6" applyFont="1" applyBorder="1" applyProtection="1">
      <protection locked="0"/>
    </xf>
    <xf numFmtId="170" fontId="26" fillId="0" borderId="61" xfId="6" applyFont="1" applyBorder="1" applyAlignment="1" applyProtection="1">
      <alignment horizontal="left"/>
      <protection locked="0"/>
    </xf>
    <xf numFmtId="1" fontId="26" fillId="0" borderId="61" xfId="6" applyNumberFormat="1" applyFont="1" applyBorder="1" applyAlignment="1" applyProtection="1">
      <alignment horizontal="center"/>
      <protection locked="0"/>
    </xf>
    <xf numFmtId="166" fontId="26" fillId="0" borderId="61" xfId="6" applyNumberFormat="1" applyFont="1" applyBorder="1" applyProtection="1">
      <protection locked="0"/>
    </xf>
    <xf numFmtId="166" fontId="26" fillId="0" borderId="125" xfId="6" applyNumberFormat="1" applyFont="1" applyBorder="1" applyAlignment="1" applyProtection="1">
      <alignment horizontal="right"/>
      <protection locked="0"/>
    </xf>
    <xf numFmtId="166" fontId="26" fillId="0" borderId="61" xfId="6" applyNumberFormat="1" applyFont="1" applyBorder="1" applyAlignment="1" applyProtection="1">
      <alignment horizontal="center"/>
      <protection locked="0"/>
    </xf>
    <xf numFmtId="173" fontId="26" fillId="0" borderId="64" xfId="6" applyNumberFormat="1" applyFont="1" applyBorder="1" applyAlignment="1" applyProtection="1">
      <alignment horizontal="center"/>
      <protection locked="0"/>
    </xf>
    <xf numFmtId="170" fontId="26" fillId="0" borderId="60" xfId="6" applyFont="1" applyBorder="1" applyProtection="1">
      <protection locked="0"/>
    </xf>
    <xf numFmtId="170" fontId="26" fillId="0" borderId="61" xfId="6" quotePrefix="1" applyFont="1" applyBorder="1" applyAlignment="1" applyProtection="1">
      <alignment horizontal="left"/>
      <protection locked="0"/>
    </xf>
    <xf numFmtId="1" fontId="26" fillId="0" borderId="0" xfId="6" applyNumberFormat="1" applyFont="1" applyAlignment="1" applyProtection="1">
      <alignment horizontal="center"/>
      <protection locked="0"/>
    </xf>
    <xf numFmtId="170" fontId="26" fillId="0" borderId="61" xfId="6" applyFont="1" applyBorder="1" applyAlignment="1" applyProtection="1">
      <alignment horizontal="right"/>
      <protection locked="0"/>
    </xf>
    <xf numFmtId="170" fontId="26" fillId="0" borderId="61" xfId="6" applyFont="1" applyBorder="1" applyProtection="1">
      <protection locked="0"/>
    </xf>
    <xf numFmtId="170" fontId="26" fillId="0" borderId="61" xfId="6" applyFont="1" applyBorder="1" applyAlignment="1" applyProtection="1">
      <alignment horizontal="center"/>
      <protection locked="0"/>
    </xf>
    <xf numFmtId="170" fontId="26" fillId="0" borderId="61" xfId="6" quotePrefix="1" applyFont="1" applyBorder="1" applyAlignment="1" applyProtection="1">
      <alignment horizontal="right"/>
      <protection locked="0"/>
    </xf>
    <xf numFmtId="168" fontId="26" fillId="0" borderId="61" xfId="6" applyNumberFormat="1" applyFont="1" applyBorder="1" applyProtection="1">
      <protection locked="0"/>
    </xf>
    <xf numFmtId="0" fontId="4" fillId="0" borderId="61" xfId="4" applyBorder="1" applyProtection="1">
      <protection locked="0"/>
    </xf>
    <xf numFmtId="1" fontId="26" fillId="0" borderId="61" xfId="6" applyNumberFormat="1" applyFont="1" applyBorder="1" applyProtection="1">
      <protection locked="0"/>
    </xf>
    <xf numFmtId="166" fontId="26" fillId="0" borderId="61" xfId="6" applyNumberFormat="1" applyFont="1" applyBorder="1" applyAlignment="1" applyProtection="1">
      <alignment horizontal="centerContinuous"/>
      <protection locked="0"/>
    </xf>
    <xf numFmtId="182" fontId="5" fillId="0" borderId="62" xfId="4" applyNumberFormat="1" applyFont="1" applyBorder="1" applyAlignment="1">
      <alignment horizontal="centerContinuous"/>
    </xf>
    <xf numFmtId="182" fontId="5" fillId="0" borderId="63" xfId="4" applyNumberFormat="1" applyFont="1" applyBorder="1" applyAlignment="1">
      <alignment horizontal="centerContinuous"/>
    </xf>
    <xf numFmtId="166" fontId="26" fillId="0" borderId="61" xfId="6" applyNumberFormat="1" applyFont="1" applyBorder="1" applyAlignment="1" applyProtection="1">
      <alignment horizontal="left"/>
      <protection locked="0"/>
    </xf>
    <xf numFmtId="43" fontId="27" fillId="0" borderId="0" xfId="1" applyFont="1"/>
    <xf numFmtId="170" fontId="26" fillId="0" borderId="69" xfId="6" applyFont="1" applyBorder="1" applyProtection="1">
      <protection locked="0"/>
    </xf>
    <xf numFmtId="170" fontId="26" fillId="0" borderId="70" xfId="6" applyFont="1" applyBorder="1" applyAlignment="1" applyProtection="1">
      <alignment horizontal="right"/>
      <protection locked="0"/>
    </xf>
    <xf numFmtId="1" fontId="26" fillId="0" borderId="70" xfId="6" applyNumberFormat="1" applyFont="1" applyBorder="1" applyAlignment="1" applyProtection="1">
      <alignment horizontal="center"/>
      <protection locked="0"/>
    </xf>
    <xf numFmtId="166" fontId="26" fillId="0" borderId="70" xfId="6" applyNumberFormat="1" applyFont="1" applyBorder="1" applyProtection="1">
      <protection locked="0"/>
    </xf>
    <xf numFmtId="166" fontId="26" fillId="0" borderId="70" xfId="6" applyNumberFormat="1" applyFont="1" applyBorder="1" applyAlignment="1" applyProtection="1">
      <alignment horizontal="center"/>
      <protection locked="0"/>
    </xf>
    <xf numFmtId="173" fontId="26" fillId="0" borderId="72" xfId="6" applyNumberFormat="1" applyFont="1" applyBorder="1" applyAlignment="1" applyProtection="1">
      <alignment horizontal="center"/>
      <protection locked="0"/>
    </xf>
    <xf numFmtId="166" fontId="26" fillId="0" borderId="0" xfId="6" applyNumberFormat="1" applyFont="1" applyProtection="1">
      <protection locked="0"/>
    </xf>
    <xf numFmtId="166" fontId="26" fillId="0" borderId="0" xfId="6" applyNumberFormat="1" applyFont="1" applyAlignment="1" applyProtection="1">
      <alignment horizontal="center"/>
      <protection locked="0"/>
    </xf>
    <xf numFmtId="173" fontId="26" fillId="0" borderId="0" xfId="6" applyNumberFormat="1" applyFont="1" applyAlignment="1" applyProtection="1">
      <alignment horizontal="center"/>
      <protection locked="0"/>
    </xf>
    <xf numFmtId="170" fontId="59" fillId="0" borderId="0" xfId="6" applyFont="1" applyProtection="1">
      <protection locked="0"/>
    </xf>
    <xf numFmtId="166" fontId="59" fillId="0" borderId="0" xfId="6" applyNumberFormat="1" applyFont="1" applyAlignment="1" applyProtection="1">
      <alignment horizontal="center"/>
      <protection locked="0"/>
    </xf>
    <xf numFmtId="2" fontId="59" fillId="0" borderId="0" xfId="6" applyNumberFormat="1" applyFont="1" applyProtection="1">
      <protection locked="0"/>
    </xf>
    <xf numFmtId="173" fontId="59" fillId="0" borderId="0" xfId="6" applyNumberFormat="1" applyFont="1" applyAlignment="1" applyProtection="1">
      <alignment horizontal="left"/>
      <protection locked="0"/>
    </xf>
    <xf numFmtId="170" fontId="26" fillId="0" borderId="75" xfId="6" applyFont="1" applyBorder="1" applyAlignment="1" applyProtection="1">
      <alignment horizontal="left" vertical="center"/>
      <protection locked="0"/>
    </xf>
    <xf numFmtId="1" fontId="26" fillId="0" borderId="78" xfId="6" applyNumberFormat="1" applyFont="1" applyBorder="1" applyAlignment="1" applyProtection="1">
      <alignment horizontal="center" vertical="center"/>
      <protection locked="0"/>
    </xf>
    <xf numFmtId="166" fontId="26" fillId="0" borderId="78" xfId="6" applyNumberFormat="1" applyFont="1" applyBorder="1" applyAlignment="1" applyProtection="1">
      <alignment horizontal="center" vertical="center"/>
      <protection locked="0"/>
    </xf>
    <xf numFmtId="173" fontId="4" fillId="0" borderId="64" xfId="4" applyNumberFormat="1" applyBorder="1" applyProtection="1">
      <protection locked="0"/>
    </xf>
    <xf numFmtId="0" fontId="4" fillId="0" borderId="61" xfId="4" applyBorder="1" applyAlignment="1" applyProtection="1">
      <alignment horizontal="center"/>
      <protection locked="0"/>
    </xf>
    <xf numFmtId="169" fontId="26" fillId="0" borderId="61" xfId="6" applyNumberFormat="1" applyFont="1" applyBorder="1" applyProtection="1">
      <protection locked="0"/>
    </xf>
    <xf numFmtId="166" fontId="26" fillId="0" borderId="61" xfId="6" applyNumberFormat="1" applyFont="1" applyBorder="1" applyAlignment="1" applyProtection="1">
      <alignment horizontal="right"/>
      <protection locked="0"/>
    </xf>
    <xf numFmtId="170" fontId="26" fillId="0" borderId="70" xfId="6" applyFont="1" applyBorder="1" applyProtection="1">
      <protection locked="0"/>
    </xf>
    <xf numFmtId="173" fontId="26" fillId="0" borderId="72" xfId="6" applyNumberFormat="1" applyFont="1" applyBorder="1" applyProtection="1">
      <protection locked="0"/>
    </xf>
    <xf numFmtId="170" fontId="26" fillId="0" borderId="15" xfId="6" applyFont="1" applyBorder="1" applyProtection="1">
      <protection locked="0"/>
    </xf>
    <xf numFmtId="1" fontId="26" fillId="0" borderId="16" xfId="6" applyNumberFormat="1" applyFont="1" applyBorder="1" applyAlignment="1" applyProtection="1">
      <alignment horizontal="center"/>
      <protection locked="0"/>
    </xf>
    <xf numFmtId="166" fontId="26" fillId="0" borderId="16" xfId="6" applyNumberFormat="1" applyFont="1" applyBorder="1" applyProtection="1">
      <protection locked="0"/>
    </xf>
    <xf numFmtId="173" fontId="26" fillId="0" borderId="17" xfId="6" applyNumberFormat="1" applyFont="1" applyBorder="1" applyAlignment="1" applyProtection="1">
      <alignment vertical="center"/>
      <protection locked="0"/>
    </xf>
    <xf numFmtId="170" fontId="26" fillId="0" borderId="13" xfId="6" applyFont="1" applyBorder="1" applyProtection="1">
      <protection locked="0"/>
    </xf>
    <xf numFmtId="170" fontId="26" fillId="0" borderId="8" xfId="6" applyFont="1" applyBorder="1" applyAlignment="1" applyProtection="1">
      <alignment vertical="center"/>
      <protection locked="0"/>
    </xf>
    <xf numFmtId="170" fontId="17" fillId="0" borderId="12" xfId="6" applyFont="1" applyBorder="1" applyAlignment="1" applyProtection="1">
      <alignment vertical="center"/>
      <protection locked="0"/>
    </xf>
    <xf numFmtId="1" fontId="26" fillId="0" borderId="12" xfId="6" applyNumberFormat="1" applyFont="1" applyBorder="1" applyAlignment="1" applyProtection="1">
      <alignment horizontal="center" vertical="center"/>
      <protection locked="0"/>
    </xf>
    <xf numFmtId="166" fontId="26" fillId="0" borderId="12" xfId="6" applyNumberFormat="1" applyFont="1" applyBorder="1" applyAlignment="1" applyProtection="1">
      <alignment vertical="center"/>
      <protection locked="0"/>
    </xf>
    <xf numFmtId="166" fontId="17" fillId="0" borderId="12" xfId="6" applyNumberFormat="1" applyFont="1" applyBorder="1" applyAlignment="1" applyProtection="1">
      <alignment horizontal="right" vertical="center"/>
      <protection locked="0"/>
    </xf>
    <xf numFmtId="173" fontId="17" fillId="0" borderId="9" xfId="6" applyNumberFormat="1" applyFont="1" applyBorder="1" applyAlignment="1" applyProtection="1">
      <alignment vertical="center"/>
      <protection locked="0"/>
    </xf>
    <xf numFmtId="165" fontId="27" fillId="0" borderId="0" xfId="6" applyNumberFormat="1" applyFont="1"/>
    <xf numFmtId="170" fontId="26" fillId="0" borderId="0" xfId="6" applyFont="1" applyAlignment="1">
      <alignment horizontal="centerContinuous"/>
    </xf>
    <xf numFmtId="170" fontId="26" fillId="0" borderId="126" xfId="6" applyFont="1" applyBorder="1" applyAlignment="1">
      <alignment horizontal="left"/>
    </xf>
    <xf numFmtId="170" fontId="26" fillId="0" borderId="127" xfId="6" applyFont="1" applyBorder="1" applyAlignment="1">
      <alignment horizontal="center"/>
    </xf>
    <xf numFmtId="170" fontId="26" fillId="0" borderId="128" xfId="6" applyFont="1" applyBorder="1" applyAlignment="1">
      <alignment horizontal="center"/>
    </xf>
    <xf numFmtId="173" fontId="26" fillId="0" borderId="129" xfId="6" applyNumberFormat="1" applyFont="1" applyBorder="1" applyAlignment="1">
      <alignment horizontal="center"/>
    </xf>
    <xf numFmtId="170" fontId="26" fillId="0" borderId="130" xfId="6" applyFont="1" applyBorder="1"/>
    <xf numFmtId="170" fontId="26" fillId="0" borderId="93" xfId="6" applyFont="1" applyBorder="1" applyAlignment="1">
      <alignment horizontal="left"/>
    </xf>
    <xf numFmtId="169" fontId="26" fillId="0" borderId="93" xfId="6" applyNumberFormat="1" applyFont="1" applyBorder="1"/>
    <xf numFmtId="166" fontId="26" fillId="0" borderId="93" xfId="6" applyNumberFormat="1" applyFont="1" applyBorder="1"/>
    <xf numFmtId="166" fontId="26" fillId="0" borderId="93" xfId="6" quotePrefix="1" applyNumberFormat="1" applyFont="1" applyBorder="1" applyAlignment="1">
      <alignment horizontal="right"/>
    </xf>
    <xf numFmtId="2" fontId="26" fillId="0" borderId="93" xfId="6" applyNumberFormat="1" applyFont="1" applyBorder="1"/>
    <xf numFmtId="173" fontId="26" fillId="0" borderId="104" xfId="6" applyNumberFormat="1" applyFont="1" applyBorder="1"/>
    <xf numFmtId="170" fontId="26" fillId="0" borderId="92" xfId="6" applyFont="1" applyBorder="1"/>
    <xf numFmtId="166" fontId="26" fillId="0" borderId="93" xfId="6" applyNumberFormat="1" applyFont="1" applyBorder="1" applyAlignment="1">
      <alignment horizontal="center"/>
    </xf>
    <xf numFmtId="170" fontId="26" fillId="0" borderId="93" xfId="6" applyFont="1" applyBorder="1" applyAlignment="1">
      <alignment horizontal="right"/>
    </xf>
    <xf numFmtId="168" fontId="26" fillId="0" borderId="93" xfId="6" applyNumberFormat="1" applyFont="1" applyBorder="1"/>
    <xf numFmtId="166" fontId="68" fillId="0" borderId="0" xfId="6" quotePrefix="1" applyNumberFormat="1" applyFont="1" applyAlignment="1">
      <alignment horizontal="left"/>
    </xf>
    <xf numFmtId="166" fontId="26" fillId="0" borderId="93" xfId="6" applyNumberFormat="1" applyFont="1" applyBorder="1" applyAlignment="1">
      <alignment horizontal="centerContinuous"/>
    </xf>
    <xf numFmtId="170" fontId="26" fillId="0" borderId="93" xfId="6" quotePrefix="1" applyFont="1" applyBorder="1" applyAlignment="1">
      <alignment horizontal="left"/>
    </xf>
    <xf numFmtId="166" fontId="26" fillId="0" borderId="93" xfId="6" applyNumberFormat="1" applyFont="1" applyBorder="1" applyAlignment="1">
      <alignment horizontal="right"/>
    </xf>
    <xf numFmtId="170" fontId="26" fillId="0" borderId="111" xfId="6" applyFont="1" applyBorder="1"/>
    <xf numFmtId="170" fontId="26" fillId="0" borderId="112" xfId="6" applyFont="1" applyBorder="1"/>
    <xf numFmtId="169" fontId="26" fillId="0" borderId="112" xfId="6" applyNumberFormat="1" applyFont="1" applyBorder="1"/>
    <xf numFmtId="166" fontId="26" fillId="0" borderId="112" xfId="6" applyNumberFormat="1" applyFont="1" applyBorder="1"/>
    <xf numFmtId="173" fontId="26" fillId="0" borderId="131" xfId="6" applyNumberFormat="1" applyFont="1" applyBorder="1"/>
    <xf numFmtId="169" fontId="17" fillId="0" borderId="0" xfId="4" applyNumberFormat="1" applyFont="1"/>
    <xf numFmtId="166" fontId="17" fillId="0" borderId="0" xfId="4" applyNumberFormat="1" applyFont="1"/>
    <xf numFmtId="173" fontId="17" fillId="0" borderId="0" xfId="1" applyNumberFormat="1" applyFont="1" applyBorder="1"/>
    <xf numFmtId="170" fontId="19" fillId="0" borderId="0" xfId="6" applyFont="1" applyAlignment="1">
      <alignment horizontal="left"/>
    </xf>
    <xf numFmtId="170" fontId="48" fillId="0" borderId="0" xfId="6" applyFont="1" applyAlignment="1">
      <alignment horizontal="left"/>
    </xf>
    <xf numFmtId="170" fontId="48" fillId="0" borderId="0" xfId="6" applyFont="1" applyAlignment="1">
      <alignment horizontal="centerContinuous"/>
    </xf>
    <xf numFmtId="173" fontId="48" fillId="0" borderId="0" xfId="6" applyNumberFormat="1" applyFont="1" applyAlignment="1">
      <alignment horizontal="centerContinuous"/>
    </xf>
    <xf numFmtId="170" fontId="5" fillId="0" borderId="0" xfId="6" applyFont="1" applyAlignment="1">
      <alignment horizontal="right"/>
    </xf>
    <xf numFmtId="2" fontId="38" fillId="10" borderId="0" xfId="6" applyNumberFormat="1" applyFont="1" applyFill="1" applyAlignment="1">
      <alignment horizontal="right"/>
    </xf>
    <xf numFmtId="170" fontId="38" fillId="0" borderId="0" xfId="6" applyFont="1"/>
    <xf numFmtId="170" fontId="38" fillId="10" borderId="0" xfId="6" applyFont="1" applyFill="1" applyAlignment="1">
      <alignment horizontal="left"/>
    </xf>
    <xf numFmtId="173" fontId="26" fillId="0" borderId="0" xfId="6" applyNumberFormat="1" applyFont="1"/>
    <xf numFmtId="166" fontId="26" fillId="0" borderId="0" xfId="6" applyNumberFormat="1" applyFont="1"/>
    <xf numFmtId="1" fontId="26" fillId="0" borderId="93" xfId="6" applyNumberFormat="1" applyFont="1" applyBorder="1"/>
    <xf numFmtId="186" fontId="26" fillId="0" borderId="93" xfId="4" applyNumberFormat="1" applyFont="1" applyBorder="1" applyAlignment="1">
      <alignment horizontal="center"/>
    </xf>
    <xf numFmtId="166" fontId="26" fillId="0" borderId="93" xfId="6" quotePrefix="1" applyNumberFormat="1" applyFont="1" applyBorder="1" applyAlignment="1">
      <alignment horizontal="left"/>
    </xf>
    <xf numFmtId="166" fontId="26" fillId="0" borderId="93" xfId="6" applyNumberFormat="1" applyFont="1" applyBorder="1" applyAlignment="1">
      <alignment horizontal="left"/>
    </xf>
    <xf numFmtId="166" fontId="26" fillId="0" borderId="112" xfId="6" applyNumberFormat="1" applyFont="1" applyBorder="1" applyAlignment="1">
      <alignment horizontal="left"/>
    </xf>
    <xf numFmtId="1" fontId="26" fillId="0" borderId="112" xfId="6" applyNumberFormat="1" applyFont="1" applyBorder="1"/>
    <xf numFmtId="2" fontId="26" fillId="0" borderId="112" xfId="6" applyNumberFormat="1" applyFont="1" applyBorder="1"/>
    <xf numFmtId="0" fontId="38" fillId="0" borderId="0" xfId="4" applyFont="1" applyAlignment="1">
      <alignment horizontal="right"/>
    </xf>
    <xf numFmtId="2" fontId="38" fillId="0" borderId="0" xfId="4" applyNumberFormat="1" applyFont="1"/>
    <xf numFmtId="0" fontId="15" fillId="0" borderId="0" xfId="4" applyFont="1" applyAlignment="1">
      <alignment horizontal="centerContinuous"/>
    </xf>
    <xf numFmtId="0" fontId="23" fillId="0" borderId="0" xfId="4" applyFont="1" applyAlignment="1">
      <alignment horizontal="centerContinuous"/>
    </xf>
    <xf numFmtId="173" fontId="23" fillId="0" borderId="0" xfId="4" applyNumberFormat="1" applyFont="1" applyAlignment="1">
      <alignment horizontal="centerContinuous"/>
    </xf>
    <xf numFmtId="173" fontId="26" fillId="0" borderId="0" xfId="4" applyNumberFormat="1" applyFont="1" applyAlignment="1">
      <alignment horizontal="centerContinuous"/>
    </xf>
    <xf numFmtId="173" fontId="26" fillId="0" borderId="0" xfId="4" applyNumberFormat="1" applyFont="1"/>
    <xf numFmtId="2" fontId="67" fillId="0" borderId="0" xfId="4" applyNumberFormat="1" applyFont="1"/>
    <xf numFmtId="0" fontId="26" fillId="0" borderId="35" xfId="4" applyFont="1" applyBorder="1" applyAlignment="1">
      <alignment horizontal="left"/>
    </xf>
    <xf numFmtId="0" fontId="26" fillId="0" borderId="80" xfId="4" applyFont="1" applyBorder="1" applyAlignment="1">
      <alignment horizontal="center"/>
    </xf>
    <xf numFmtId="0" fontId="26" fillId="0" borderId="56" xfId="4" applyFont="1" applyBorder="1" applyAlignment="1">
      <alignment horizontal="center"/>
    </xf>
    <xf numFmtId="173" fontId="26" fillId="0" borderId="36" xfId="4" applyNumberFormat="1" applyFont="1" applyBorder="1"/>
    <xf numFmtId="0" fontId="26" fillId="0" borderId="60" xfId="4" applyFont="1" applyBorder="1" applyAlignment="1">
      <alignment horizontal="left"/>
    </xf>
    <xf numFmtId="0" fontId="26" fillId="0" borderId="62" xfId="4" applyFont="1" applyBorder="1" applyAlignment="1">
      <alignment horizontal="center"/>
    </xf>
    <xf numFmtId="173" fontId="26" fillId="0" borderId="64" xfId="4" applyNumberFormat="1" applyFont="1" applyBorder="1"/>
    <xf numFmtId="166" fontId="26" fillId="0" borderId="62" xfId="4" applyNumberFormat="1" applyFont="1" applyBorder="1" applyAlignment="1">
      <alignment horizontal="center"/>
    </xf>
    <xf numFmtId="2" fontId="5" fillId="0" borderId="61" xfId="6" applyNumberFormat="1" applyFont="1" applyBorder="1"/>
    <xf numFmtId="166" fontId="26" fillId="0" borderId="61" xfId="4" quotePrefix="1" applyNumberFormat="1" applyFont="1" applyBorder="1" applyAlignment="1">
      <alignment horizontal="right"/>
    </xf>
    <xf numFmtId="0" fontId="4" fillId="0" borderId="62" xfId="4" applyBorder="1" applyAlignment="1">
      <alignment horizontal="center"/>
    </xf>
    <xf numFmtId="2" fontId="26" fillId="0" borderId="62" xfId="4" applyNumberFormat="1" applyFont="1" applyBorder="1" applyAlignment="1">
      <alignment horizontal="center"/>
    </xf>
    <xf numFmtId="181" fontId="26" fillId="0" borderId="61" xfId="4" applyNumberFormat="1" applyFont="1" applyBorder="1"/>
    <xf numFmtId="166" fontId="26" fillId="0" borderId="61" xfId="4" applyNumberFormat="1" applyFont="1" applyBorder="1" applyAlignment="1">
      <alignment horizontal="left"/>
    </xf>
    <xf numFmtId="0" fontId="26" fillId="0" borderId="69" xfId="4" applyFont="1" applyBorder="1" applyAlignment="1">
      <alignment vertical="center"/>
    </xf>
    <xf numFmtId="0" fontId="26" fillId="0" borderId="70" xfId="4" applyFont="1" applyBorder="1" applyAlignment="1">
      <alignment horizontal="left" vertical="center"/>
    </xf>
    <xf numFmtId="169" fontId="26" fillId="0" borderId="70" xfId="4" applyNumberFormat="1" applyFont="1" applyBorder="1" applyAlignment="1">
      <alignment vertical="center"/>
    </xf>
    <xf numFmtId="166" fontId="26" fillId="0" borderId="71" xfId="4" applyNumberFormat="1" applyFont="1" applyBorder="1" applyAlignment="1">
      <alignment horizontal="center" vertical="center"/>
    </xf>
    <xf numFmtId="2" fontId="26" fillId="0" borderId="70" xfId="4" applyNumberFormat="1" applyFont="1" applyBorder="1" applyAlignment="1">
      <alignment vertical="center"/>
    </xf>
    <xf numFmtId="173" fontId="26" fillId="0" borderId="72" xfId="4" applyNumberFormat="1" applyFont="1" applyBorder="1" applyAlignment="1">
      <alignment vertical="center"/>
    </xf>
    <xf numFmtId="0" fontId="69" fillId="0" borderId="0" xfId="10" applyFont="1"/>
    <xf numFmtId="0" fontId="3" fillId="0" borderId="0" xfId="10" applyAlignment="1">
      <alignment horizontal="left"/>
    </xf>
    <xf numFmtId="1" fontId="3" fillId="0" borderId="0" xfId="10" applyNumberFormat="1" applyAlignment="1">
      <alignment horizontal="left"/>
    </xf>
    <xf numFmtId="0" fontId="3" fillId="0" borderId="0" xfId="10"/>
    <xf numFmtId="0" fontId="70" fillId="0" borderId="0" xfId="10" applyFont="1"/>
    <xf numFmtId="0" fontId="71" fillId="0" borderId="0" xfId="11" applyFont="1"/>
    <xf numFmtId="0" fontId="3" fillId="0" borderId="0" xfId="11"/>
    <xf numFmtId="0" fontId="72" fillId="0" borderId="1" xfId="11" applyFont="1" applyBorder="1" applyAlignment="1">
      <alignment wrapText="1"/>
    </xf>
    <xf numFmtId="0" fontId="72" fillId="0" borderId="1" xfId="11" applyFont="1" applyBorder="1" applyAlignment="1">
      <alignment vertical="center" wrapText="1"/>
    </xf>
    <xf numFmtId="0" fontId="3" fillId="0" borderId="0" xfId="11" applyAlignment="1">
      <alignment wrapText="1"/>
    </xf>
    <xf numFmtId="0" fontId="3" fillId="0" borderId="1" xfId="11" applyBorder="1"/>
    <xf numFmtId="0" fontId="3" fillId="0" borderId="1" xfId="11" applyBorder="1" applyAlignment="1">
      <alignment wrapText="1"/>
    </xf>
    <xf numFmtId="0" fontId="73" fillId="0" borderId="1" xfId="11" applyFont="1" applyBorder="1"/>
    <xf numFmtId="2" fontId="3" fillId="0" borderId="1" xfId="10" applyNumberFormat="1" applyBorder="1"/>
    <xf numFmtId="0" fontId="51" fillId="0" borderId="1" xfId="11" applyFont="1" applyBorder="1"/>
    <xf numFmtId="0" fontId="3" fillId="0" borderId="1" xfId="10" applyBorder="1"/>
    <xf numFmtId="0" fontId="51" fillId="0" borderId="1" xfId="10" applyFont="1" applyBorder="1"/>
    <xf numFmtId="0" fontId="73" fillId="0" borderId="0" xfId="11" applyFont="1"/>
    <xf numFmtId="0" fontId="38" fillId="0" borderId="0" xfId="8" applyFont="1" applyAlignment="1">
      <alignment horizontal="right"/>
    </xf>
    <xf numFmtId="0" fontId="38" fillId="0" borderId="54" xfId="8" applyFont="1" applyBorder="1" applyAlignment="1">
      <alignment horizontal="center"/>
    </xf>
    <xf numFmtId="0" fontId="38" fillId="0" borderId="55" xfId="8" applyFont="1" applyBorder="1"/>
    <xf numFmtId="0" fontId="38" fillId="0" borderId="55" xfId="8" applyFont="1" applyBorder="1" applyAlignment="1">
      <alignment horizontal="center"/>
    </xf>
    <xf numFmtId="16" fontId="38" fillId="0" borderId="59" xfId="8" applyNumberFormat="1" applyFont="1" applyBorder="1" applyAlignment="1">
      <alignment horizontal="center"/>
    </xf>
    <xf numFmtId="0" fontId="38" fillId="0" borderId="60" xfId="8" applyFont="1" applyBorder="1"/>
    <xf numFmtId="0" fontId="38" fillId="0" borderId="61" xfId="8" applyFont="1" applyBorder="1"/>
    <xf numFmtId="0" fontId="38" fillId="0" borderId="61" xfId="8" applyFont="1" applyBorder="1" applyAlignment="1">
      <alignment horizontal="center"/>
    </xf>
    <xf numFmtId="0" fontId="5" fillId="0" borderId="64" xfId="8" applyFont="1" applyBorder="1"/>
    <xf numFmtId="0" fontId="5" fillId="0" borderId="69" xfId="8" applyFont="1" applyBorder="1"/>
    <xf numFmtId="0" fontId="5" fillId="0" borderId="70" xfId="8" applyFont="1" applyBorder="1"/>
    <xf numFmtId="0" fontId="16" fillId="0" borderId="70" xfId="8" applyFont="1" applyBorder="1" applyAlignment="1">
      <alignment horizontal="center"/>
    </xf>
    <xf numFmtId="0" fontId="16" fillId="0" borderId="72" xfId="8" applyFont="1" applyBorder="1" applyAlignment="1">
      <alignment horizontal="center"/>
    </xf>
    <xf numFmtId="0" fontId="5" fillId="0" borderId="1" xfId="8" applyFont="1" applyBorder="1" applyAlignment="1">
      <alignment horizontal="center"/>
    </xf>
    <xf numFmtId="2" fontId="5" fillId="0" borderId="1" xfId="8" applyNumberFormat="1" applyFont="1" applyBorder="1" applyAlignment="1">
      <alignment horizontal="center"/>
    </xf>
    <xf numFmtId="187" fontId="5" fillId="5" borderId="1" xfId="1" applyNumberFormat="1" applyFont="1" applyFill="1" applyBorder="1"/>
    <xf numFmtId="187" fontId="5" fillId="0" borderId="1" xfId="1" applyNumberFormat="1" applyFont="1" applyBorder="1"/>
    <xf numFmtId="0" fontId="5" fillId="0" borderId="15" xfId="8" applyFont="1" applyBorder="1"/>
    <xf numFmtId="0" fontId="5" fillId="0" borderId="16" xfId="8" applyFont="1" applyBorder="1"/>
    <xf numFmtId="43" fontId="38" fillId="0" borderId="16" xfId="1" applyFont="1" applyBorder="1" applyAlignment="1">
      <alignment horizontal="right"/>
    </xf>
    <xf numFmtId="2" fontId="38" fillId="0" borderId="16" xfId="8" applyNumberFormat="1" applyFont="1" applyBorder="1"/>
    <xf numFmtId="187" fontId="38" fillId="0" borderId="17" xfId="1" applyNumberFormat="1" applyFont="1" applyBorder="1"/>
    <xf numFmtId="0" fontId="5" fillId="0" borderId="13" xfId="8" applyFont="1" applyBorder="1"/>
    <xf numFmtId="183" fontId="5" fillId="0" borderId="0" xfId="8" applyNumberFormat="1" applyFont="1"/>
    <xf numFmtId="187" fontId="5" fillId="0" borderId="14" xfId="1" applyNumberFormat="1" applyFont="1" applyBorder="1"/>
    <xf numFmtId="0" fontId="5" fillId="0" borderId="8" xfId="8" applyFont="1" applyBorder="1"/>
    <xf numFmtId="0" fontId="5" fillId="0" borderId="12" xfId="8" applyFont="1" applyBorder="1" applyAlignment="1">
      <alignment horizontal="right"/>
    </xf>
    <xf numFmtId="0" fontId="5" fillId="0" borderId="12" xfId="8" applyFont="1" applyBorder="1"/>
    <xf numFmtId="0" fontId="38" fillId="0" borderId="12" xfId="8" applyFont="1" applyBorder="1" applyAlignment="1">
      <alignment horizontal="right"/>
    </xf>
    <xf numFmtId="187" fontId="38" fillId="0" borderId="9" xfId="8" applyNumberFormat="1" applyFont="1" applyBorder="1"/>
    <xf numFmtId="0" fontId="23" fillId="0" borderId="0" xfId="12"/>
    <xf numFmtId="0" fontId="23" fillId="0" borderId="0" xfId="12" applyProtection="1">
      <protection locked="0"/>
    </xf>
    <xf numFmtId="0" fontId="15" fillId="0" borderId="0" xfId="12" applyFont="1"/>
    <xf numFmtId="0" fontId="15" fillId="0" borderId="0" xfId="12" applyFont="1" applyAlignment="1">
      <alignment horizontal="centerContinuous"/>
    </xf>
    <xf numFmtId="2" fontId="15" fillId="0" borderId="0" xfId="12" applyNumberFormat="1" applyFont="1" applyAlignment="1" applyProtection="1">
      <alignment horizontal="centerContinuous"/>
      <protection locked="0"/>
    </xf>
    <xf numFmtId="0" fontId="5" fillId="0" borderId="0" xfId="12" applyFont="1"/>
    <xf numFmtId="0" fontId="23" fillId="0" borderId="0" xfId="12" quotePrefix="1"/>
    <xf numFmtId="0" fontId="15" fillId="0" borderId="0" xfId="12" applyFont="1" applyAlignment="1">
      <alignment horizontal="center"/>
    </xf>
    <xf numFmtId="0" fontId="23" fillId="0" borderId="0" xfId="12" applyAlignment="1">
      <alignment horizontal="left"/>
    </xf>
    <xf numFmtId="2" fontId="14" fillId="12" borderId="11" xfId="12" applyNumberFormat="1" applyFont="1" applyFill="1" applyBorder="1" applyAlignment="1" applyProtection="1">
      <alignment horizontal="left"/>
      <protection locked="0"/>
    </xf>
    <xf numFmtId="2" fontId="14" fillId="12" borderId="5" xfId="12" applyNumberFormat="1" applyFont="1" applyFill="1" applyBorder="1" applyAlignment="1">
      <alignment horizontal="left"/>
    </xf>
    <xf numFmtId="2" fontId="14" fillId="12" borderId="6" xfId="12" applyNumberFormat="1" applyFont="1" applyFill="1" applyBorder="1" applyAlignment="1">
      <alignment horizontal="left"/>
    </xf>
    <xf numFmtId="0" fontId="75" fillId="0" borderId="0" xfId="12" applyFont="1"/>
    <xf numFmtId="0" fontId="15" fillId="0" borderId="0" xfId="12" applyFont="1" applyAlignment="1">
      <alignment horizontal="left"/>
    </xf>
    <xf numFmtId="0" fontId="23" fillId="0" borderId="0" xfId="12" applyAlignment="1">
      <alignment horizontal="center"/>
    </xf>
    <xf numFmtId="2" fontId="23" fillId="0" borderId="0" xfId="12" applyNumberFormat="1" applyAlignment="1" applyProtection="1">
      <alignment horizontal="center"/>
      <protection locked="0"/>
    </xf>
    <xf numFmtId="0" fontId="5" fillId="0" borderId="0" xfId="12" applyFont="1" applyAlignment="1">
      <alignment horizontal="left"/>
    </xf>
    <xf numFmtId="0" fontId="5" fillId="0" borderId="0" xfId="12" applyFont="1" applyAlignment="1">
      <alignment horizontal="right"/>
    </xf>
    <xf numFmtId="0" fontId="5" fillId="0" borderId="0" xfId="12" applyFont="1" applyAlignment="1">
      <alignment horizontal="center"/>
    </xf>
    <xf numFmtId="2" fontId="14" fillId="12" borderId="1" xfId="12" applyNumberFormat="1" applyFont="1" applyFill="1" applyBorder="1" applyAlignment="1" applyProtection="1">
      <alignment horizontal="center"/>
      <protection locked="0"/>
    </xf>
    <xf numFmtId="0" fontId="12" fillId="0" borderId="0" xfId="12" applyFont="1" applyAlignment="1">
      <alignment horizontal="left"/>
    </xf>
    <xf numFmtId="0" fontId="38" fillId="0" borderId="0" xfId="12" applyFont="1" applyAlignment="1">
      <alignment horizontal="left"/>
    </xf>
    <xf numFmtId="2" fontId="75" fillId="0" borderId="0" xfId="12" applyNumberFormat="1" applyFont="1" applyAlignment="1" applyProtection="1">
      <alignment horizontal="right"/>
      <protection locked="0"/>
    </xf>
    <xf numFmtId="0" fontId="23" fillId="13" borderId="0" xfId="12" applyFill="1"/>
    <xf numFmtId="165" fontId="15" fillId="0" borderId="0" xfId="12" applyNumberFormat="1" applyFont="1" applyAlignment="1">
      <alignment horizontal="right"/>
    </xf>
    <xf numFmtId="165" fontId="23" fillId="0" borderId="0" xfId="12" applyNumberFormat="1"/>
    <xf numFmtId="0" fontId="4" fillId="0" borderId="0" xfId="12" applyFont="1" applyAlignment="1">
      <alignment horizontal="centerContinuous"/>
    </xf>
    <xf numFmtId="0" fontId="23" fillId="0" borderId="0" xfId="12" applyAlignment="1" applyProtection="1">
      <alignment horizontal="center"/>
      <protection locked="0"/>
    </xf>
    <xf numFmtId="0" fontId="15" fillId="0" borderId="0" xfId="12" applyFont="1" applyAlignment="1">
      <alignment horizontal="right"/>
    </xf>
    <xf numFmtId="0" fontId="5" fillId="0" borderId="0" xfId="12" applyFont="1" applyAlignment="1" applyProtection="1">
      <alignment horizontal="center"/>
      <protection locked="0"/>
    </xf>
    <xf numFmtId="0" fontId="4" fillId="0" borderId="0" xfId="12" applyFont="1"/>
    <xf numFmtId="0" fontId="38" fillId="0" borderId="0" xfId="12" applyFont="1"/>
    <xf numFmtId="2" fontId="5" fillId="0" borderId="0" xfId="12" applyNumberFormat="1" applyFont="1" applyAlignment="1" applyProtection="1">
      <alignment horizontal="center"/>
      <protection locked="0"/>
    </xf>
    <xf numFmtId="165" fontId="15" fillId="0" borderId="0" xfId="12" applyNumberFormat="1" applyFont="1" applyAlignment="1">
      <alignment horizontal="center"/>
    </xf>
    <xf numFmtId="2" fontId="14" fillId="14" borderId="1" xfId="12" applyNumberFormat="1" applyFont="1" applyFill="1" applyBorder="1" applyAlignment="1" applyProtection="1">
      <alignment horizontal="center"/>
      <protection locked="0"/>
    </xf>
    <xf numFmtId="2" fontId="5" fillId="0" borderId="0" xfId="12" applyNumberFormat="1" applyFont="1" applyAlignment="1" applyProtection="1">
      <alignment horizontal="right"/>
      <protection locked="0"/>
    </xf>
    <xf numFmtId="2" fontId="19" fillId="10" borderId="1" xfId="12" applyNumberFormat="1" applyFont="1" applyFill="1" applyBorder="1" applyAlignment="1" applyProtection="1">
      <alignment horizontal="center"/>
      <protection locked="0"/>
    </xf>
    <xf numFmtId="0" fontId="76" fillId="0" borderId="0" xfId="12" applyFont="1"/>
    <xf numFmtId="2" fontId="15" fillId="0" borderId="0" xfId="12" applyNumberFormat="1" applyFont="1" applyProtection="1">
      <protection locked="0"/>
    </xf>
    <xf numFmtId="2" fontId="5" fillId="0" borderId="0" xfId="12" applyNumberFormat="1" applyFont="1" applyAlignment="1" applyProtection="1">
      <alignment horizontal="right" wrapText="1"/>
      <protection locked="0"/>
    </xf>
    <xf numFmtId="0" fontId="5" fillId="0" borderId="0" xfId="12" applyFont="1" applyAlignment="1">
      <alignment horizontal="center" wrapText="1"/>
    </xf>
    <xf numFmtId="1" fontId="15" fillId="0" borderId="0" xfId="12" applyNumberFormat="1" applyFont="1" applyAlignment="1">
      <alignment horizontal="right"/>
    </xf>
    <xf numFmtId="165" fontId="5" fillId="0" borderId="0" xfId="12" applyNumberFormat="1" applyFont="1" applyAlignment="1">
      <alignment horizontal="right"/>
    </xf>
    <xf numFmtId="0" fontId="38" fillId="0" borderId="0" xfId="13" applyFont="1" applyAlignment="1">
      <alignment horizontal="right"/>
    </xf>
    <xf numFmtId="43" fontId="77" fillId="0" borderId="0" xfId="1" applyFont="1" applyFill="1" applyBorder="1"/>
    <xf numFmtId="2" fontId="23" fillId="0" borderId="0" xfId="12" applyNumberFormat="1"/>
    <xf numFmtId="0" fontId="38" fillId="0" borderId="0" xfId="12" applyFont="1" applyAlignment="1">
      <alignment horizontal="right"/>
    </xf>
    <xf numFmtId="2" fontId="5" fillId="0" borderId="0" xfId="12" applyNumberFormat="1" applyFont="1" applyAlignment="1">
      <alignment horizontal="right"/>
    </xf>
    <xf numFmtId="188" fontId="77" fillId="0" borderId="0" xfId="1" applyNumberFormat="1" applyFont="1" applyFill="1" applyBorder="1"/>
    <xf numFmtId="2" fontId="5" fillId="0" borderId="0" xfId="13" applyNumberFormat="1" applyFont="1"/>
    <xf numFmtId="0" fontId="38" fillId="0" borderId="0" xfId="14" applyFont="1" applyAlignment="1">
      <alignment horizontal="right"/>
    </xf>
    <xf numFmtId="0" fontId="5" fillId="0" borderId="0" xfId="13" applyFont="1" applyAlignment="1">
      <alignment horizontal="right"/>
    </xf>
    <xf numFmtId="189" fontId="38" fillId="12" borderId="0" xfId="13" applyNumberFormat="1" applyFont="1" applyFill="1" applyAlignment="1">
      <alignment horizontal="left"/>
    </xf>
    <xf numFmtId="2" fontId="14" fillId="0" borderId="0" xfId="12" applyNumberFormat="1" applyFont="1" applyAlignment="1" applyProtection="1">
      <alignment horizontal="center"/>
      <protection locked="0"/>
    </xf>
    <xf numFmtId="0" fontId="38" fillId="0" borderId="0" xfId="12" applyFont="1" applyAlignment="1">
      <alignment horizontal="center"/>
    </xf>
    <xf numFmtId="2" fontId="38" fillId="0" borderId="0" xfId="12" applyNumberFormat="1" applyFont="1" applyAlignment="1">
      <alignment horizontal="center"/>
    </xf>
    <xf numFmtId="0" fontId="23" fillId="0" borderId="0" xfId="15"/>
    <xf numFmtId="0" fontId="16" fillId="0" borderId="41" xfId="15" applyFont="1" applyBorder="1" applyAlignment="1">
      <alignment horizontal="center" vertical="center"/>
    </xf>
    <xf numFmtId="0" fontId="16" fillId="0" borderId="132" xfId="15" applyFont="1" applyBorder="1" applyAlignment="1">
      <alignment horizontal="center" vertical="center"/>
    </xf>
    <xf numFmtId="0" fontId="16" fillId="0" borderId="132" xfId="15" applyFont="1" applyBorder="1" applyAlignment="1">
      <alignment vertical="center"/>
    </xf>
    <xf numFmtId="0" fontId="38" fillId="0" borderId="132" xfId="15" applyFont="1" applyBorder="1" applyAlignment="1">
      <alignment horizontal="center" wrapText="1"/>
    </xf>
    <xf numFmtId="0" fontId="23" fillId="0" borderId="42" xfId="15" applyBorder="1" applyAlignment="1">
      <alignment horizontal="center" vertical="center" wrapText="1"/>
    </xf>
    <xf numFmtId="0" fontId="14" fillId="0" borderId="133" xfId="15" applyFont="1" applyBorder="1" applyAlignment="1">
      <alignment horizontal="center"/>
    </xf>
    <xf numFmtId="0" fontId="14" fillId="0" borderId="0" xfId="15" applyFont="1" applyAlignment="1">
      <alignment horizontal="left"/>
    </xf>
    <xf numFmtId="0" fontId="16" fillId="0" borderId="0" xfId="15" applyFont="1" applyAlignment="1">
      <alignment horizontal="center"/>
    </xf>
    <xf numFmtId="0" fontId="16" fillId="0" borderId="0" xfId="15" applyFont="1"/>
    <xf numFmtId="0" fontId="38" fillId="0" borderId="14" xfId="15" applyFont="1" applyBorder="1"/>
    <xf numFmtId="0" fontId="23" fillId="0" borderId="134" xfId="15" applyBorder="1"/>
    <xf numFmtId="0" fontId="10" fillId="0" borderId="47" xfId="15" applyFont="1" applyBorder="1"/>
    <xf numFmtId="0" fontId="10" fillId="0" borderId="1" xfId="15" quotePrefix="1" applyFont="1" applyBorder="1" applyAlignment="1">
      <alignment horizontal="center"/>
    </xf>
    <xf numFmtId="0" fontId="10" fillId="0" borderId="1" xfId="15" applyFont="1" applyBorder="1"/>
    <xf numFmtId="0" fontId="10" fillId="0" borderId="1" xfId="15" applyFont="1" applyBorder="1" applyAlignment="1">
      <alignment horizontal="center"/>
    </xf>
    <xf numFmtId="43" fontId="38" fillId="0" borderId="1" xfId="15" applyNumberFormat="1" applyFont="1" applyBorder="1"/>
    <xf numFmtId="0" fontId="15" fillId="0" borderId="48" xfId="15" applyFont="1" applyBorder="1" applyAlignment="1">
      <alignment horizontal="center"/>
    </xf>
    <xf numFmtId="0" fontId="10" fillId="0" borderId="133" xfId="15" applyFont="1" applyBorder="1"/>
    <xf numFmtId="0" fontId="10" fillId="0" borderId="0" xfId="15" applyFont="1" applyAlignment="1">
      <alignment horizontal="center"/>
    </xf>
    <xf numFmtId="16" fontId="10" fillId="0" borderId="1" xfId="15" quotePrefix="1" applyNumberFormat="1" applyFont="1" applyBorder="1" applyAlignment="1">
      <alignment horizontal="center"/>
    </xf>
    <xf numFmtId="0" fontId="10" fillId="0" borderId="0" xfId="15" applyFont="1"/>
    <xf numFmtId="43" fontId="38" fillId="0" borderId="14" xfId="15" applyNumberFormat="1" applyFont="1" applyBorder="1"/>
    <xf numFmtId="43" fontId="38" fillId="0" borderId="0" xfId="15" applyNumberFormat="1" applyFont="1"/>
    <xf numFmtId="0" fontId="10" fillId="0" borderId="1" xfId="15" applyFont="1" applyBorder="1" applyAlignment="1">
      <alignment wrapText="1"/>
    </xf>
    <xf numFmtId="43" fontId="81" fillId="0" borderId="1" xfId="15" applyNumberFormat="1" applyFont="1" applyBorder="1"/>
    <xf numFmtId="17" fontId="10" fillId="0" borderId="1" xfId="15" quotePrefix="1" applyNumberFormat="1" applyFont="1" applyBorder="1" applyAlignment="1">
      <alignment horizontal="center"/>
    </xf>
    <xf numFmtId="0" fontId="23" fillId="0" borderId="133" xfId="15" applyBorder="1"/>
    <xf numFmtId="0" fontId="10" fillId="0" borderId="7" xfId="15" quotePrefix="1" applyFont="1" applyBorder="1" applyAlignment="1">
      <alignment horizontal="center"/>
    </xf>
    <xf numFmtId="0" fontId="14" fillId="0" borderId="0" xfId="15" applyFont="1" applyAlignment="1">
      <alignment horizontal="center"/>
    </xf>
    <xf numFmtId="0" fontId="10" fillId="0" borderId="1" xfId="4" quotePrefix="1" applyFont="1" applyBorder="1" applyAlignment="1">
      <alignment horizontal="center"/>
    </xf>
    <xf numFmtId="0" fontId="23" fillId="0" borderId="0" xfId="15" applyAlignment="1">
      <alignment horizontal="center"/>
    </xf>
    <xf numFmtId="0" fontId="15" fillId="16" borderId="48" xfId="15" applyFont="1" applyFill="1" applyBorder="1" applyAlignment="1">
      <alignment horizontal="center"/>
    </xf>
    <xf numFmtId="0" fontId="23" fillId="16" borderId="134" xfId="15" applyFill="1" applyBorder="1"/>
    <xf numFmtId="0" fontId="10" fillId="0" borderId="135" xfId="15" applyFont="1" applyBorder="1"/>
    <xf numFmtId="0" fontId="10" fillId="0" borderId="0" xfId="15" quotePrefix="1" applyFont="1" applyAlignment="1">
      <alignment horizontal="center"/>
    </xf>
    <xf numFmtId="0" fontId="15" fillId="16" borderId="134" xfId="15" applyFont="1" applyFill="1" applyBorder="1" applyAlignment="1">
      <alignment horizontal="center"/>
    </xf>
    <xf numFmtId="0" fontId="15" fillId="0" borderId="0" xfId="15" applyFont="1"/>
    <xf numFmtId="0" fontId="10" fillId="0" borderId="136" xfId="15" applyFont="1" applyBorder="1"/>
    <xf numFmtId="0" fontId="15" fillId="0" borderId="1" xfId="15" applyFont="1" applyBorder="1"/>
    <xf numFmtId="0" fontId="10" fillId="0" borderId="137" xfId="15" applyFont="1" applyBorder="1"/>
    <xf numFmtId="0" fontId="10" fillId="0" borderId="22" xfId="15" applyFont="1" applyBorder="1"/>
    <xf numFmtId="0" fontId="10" fillId="0" borderId="22" xfId="15" applyFont="1" applyBorder="1" applyAlignment="1">
      <alignment horizontal="center"/>
    </xf>
    <xf numFmtId="2" fontId="15" fillId="0" borderId="22" xfId="15" applyNumberFormat="1" applyFont="1" applyBorder="1"/>
    <xf numFmtId="0" fontId="15" fillId="16" borderId="52" xfId="15" applyFont="1" applyFill="1" applyBorder="1" applyAlignment="1">
      <alignment horizontal="center"/>
    </xf>
    <xf numFmtId="0" fontId="23" fillId="16" borderId="0" xfId="15" applyFill="1"/>
    <xf numFmtId="0" fontId="23" fillId="0" borderId="1" xfId="15" applyBorder="1"/>
    <xf numFmtId="0" fontId="24" fillId="0" borderId="0" xfId="12" applyFont="1" applyAlignment="1">
      <alignment horizontal="centerContinuous"/>
    </xf>
    <xf numFmtId="0" fontId="82" fillId="0" borderId="0" xfId="12" applyFont="1" applyAlignment="1">
      <alignment horizontal="centerContinuous"/>
    </xf>
    <xf numFmtId="0" fontId="82" fillId="0" borderId="0" xfId="12" applyFont="1" applyAlignment="1">
      <alignment horizontal="center"/>
    </xf>
    <xf numFmtId="2" fontId="15" fillId="0" borderId="0" xfId="12" applyNumberFormat="1" applyFont="1" applyAlignment="1">
      <alignment horizontal="left"/>
    </xf>
    <xf numFmtId="2" fontId="76" fillId="0" borderId="0" xfId="12" applyNumberFormat="1" applyFont="1" applyAlignment="1">
      <alignment horizontal="left"/>
    </xf>
    <xf numFmtId="0" fontId="48" fillId="0" borderId="0" xfId="12" applyFont="1" applyAlignment="1">
      <alignment horizontal="left"/>
    </xf>
    <xf numFmtId="2" fontId="23" fillId="0" borderId="0" xfId="12" applyNumberFormat="1" applyAlignment="1">
      <alignment horizontal="left"/>
    </xf>
    <xf numFmtId="2" fontId="4" fillId="0" borderId="0" xfId="12" applyNumberFormat="1" applyFont="1"/>
    <xf numFmtId="0" fontId="4" fillId="0" borderId="0" xfId="12" applyFont="1" applyAlignment="1">
      <alignment horizontal="left"/>
    </xf>
    <xf numFmtId="2" fontId="5" fillId="0" borderId="0" xfId="12" applyNumberFormat="1" applyFont="1"/>
    <xf numFmtId="2" fontId="75" fillId="0" borderId="0" xfId="12" applyNumberFormat="1" applyFont="1" applyAlignment="1">
      <alignment horizontal="right"/>
    </xf>
    <xf numFmtId="0" fontId="5" fillId="0" borderId="0" xfId="12" applyFont="1" applyAlignment="1">
      <alignment horizontal="left" wrapText="1"/>
    </xf>
    <xf numFmtId="2" fontId="5" fillId="13" borderId="0" xfId="12" applyNumberFormat="1" applyFont="1" applyFill="1" applyAlignment="1">
      <alignment horizontal="right"/>
    </xf>
    <xf numFmtId="0" fontId="5" fillId="0" borderId="0" xfId="12" applyFont="1" applyAlignment="1">
      <alignment horizontal="centerContinuous"/>
    </xf>
    <xf numFmtId="2" fontId="5" fillId="0" borderId="0" xfId="12" applyNumberFormat="1" applyFont="1" applyAlignment="1">
      <alignment horizontal="right" wrapText="1"/>
    </xf>
    <xf numFmtId="2" fontId="5" fillId="13" borderId="0" xfId="12" applyNumberFormat="1" applyFont="1" applyFill="1"/>
    <xf numFmtId="0" fontId="59" fillId="0" borderId="0" xfId="12" applyFont="1"/>
    <xf numFmtId="2" fontId="38" fillId="0" borderId="0" xfId="12" applyNumberFormat="1" applyFont="1" applyAlignment="1">
      <alignment horizontal="right"/>
    </xf>
    <xf numFmtId="0" fontId="5" fillId="0" borderId="0" xfId="12" quotePrefix="1" applyFont="1" applyAlignment="1">
      <alignment horizontal="right"/>
    </xf>
    <xf numFmtId="164" fontId="5" fillId="0" borderId="0" xfId="12" quotePrefix="1" applyNumberFormat="1" applyFont="1"/>
    <xf numFmtId="2" fontId="38" fillId="0" borderId="0" xfId="12" quotePrefix="1" applyNumberFormat="1" applyFont="1"/>
    <xf numFmtId="187" fontId="38" fillId="0" borderId="0" xfId="12" applyNumberFormat="1" applyFont="1"/>
    <xf numFmtId="2" fontId="5" fillId="0" borderId="0" xfId="12" quotePrefix="1" applyNumberFormat="1" applyFont="1"/>
    <xf numFmtId="164" fontId="5" fillId="0" borderId="0" xfId="12" quotePrefix="1" applyNumberFormat="1" applyFont="1" applyAlignment="1">
      <alignment horizontal="left"/>
    </xf>
    <xf numFmtId="164" fontId="5" fillId="0" borderId="0" xfId="12" quotePrefix="1" applyNumberFormat="1" applyFont="1" applyAlignment="1">
      <alignment horizontal="right"/>
    </xf>
    <xf numFmtId="0" fontId="5" fillId="0" borderId="0" xfId="12" quotePrefix="1" applyFont="1" applyAlignment="1">
      <alignment horizontal="centerContinuous"/>
    </xf>
    <xf numFmtId="0" fontId="5" fillId="0" borderId="0" xfId="12" quotePrefix="1" applyFont="1"/>
    <xf numFmtId="2" fontId="28" fillId="0" borderId="0" xfId="12" applyNumberFormat="1" applyFont="1"/>
    <xf numFmtId="2" fontId="38" fillId="0" borderId="0" xfId="12" applyNumberFormat="1" applyFont="1"/>
    <xf numFmtId="2" fontId="15" fillId="0" borderId="0" xfId="12" applyNumberFormat="1" applyFont="1"/>
    <xf numFmtId="0" fontId="13" fillId="0" borderId="0" xfId="13" applyFont="1" applyAlignment="1">
      <alignment horizontal="centerContinuous"/>
    </xf>
    <xf numFmtId="0" fontId="23" fillId="0" borderId="0" xfId="13"/>
    <xf numFmtId="2" fontId="15" fillId="0" borderId="0" xfId="13" applyNumberFormat="1" applyFont="1"/>
    <xf numFmtId="0" fontId="5" fillId="0" borderId="0" xfId="13" applyFont="1"/>
    <xf numFmtId="0" fontId="38" fillId="0" borderId="54" xfId="13" applyFont="1" applyBorder="1" applyAlignment="1">
      <alignment horizontal="center" vertical="center"/>
    </xf>
    <xf numFmtId="0" fontId="5" fillId="0" borderId="55" xfId="13" applyFont="1" applyBorder="1" applyAlignment="1">
      <alignment horizontal="center" vertical="center"/>
    </xf>
    <xf numFmtId="0" fontId="5" fillId="0" borderId="55" xfId="13" applyFont="1" applyBorder="1" applyAlignment="1">
      <alignment horizontal="center"/>
    </xf>
    <xf numFmtId="0" fontId="5" fillId="0" borderId="80" xfId="13" applyFont="1" applyBorder="1" applyAlignment="1">
      <alignment horizontal="centerContinuous"/>
    </xf>
    <xf numFmtId="0" fontId="5" fillId="0" borderId="59" xfId="13" applyFont="1" applyBorder="1" applyAlignment="1">
      <alignment horizontal="center"/>
    </xf>
    <xf numFmtId="0" fontId="38" fillId="0" borderId="60" xfId="13" applyFont="1" applyBorder="1" applyAlignment="1">
      <alignment horizontal="center" vertical="center"/>
    </xf>
    <xf numFmtId="0" fontId="5" fillId="0" borderId="61" xfId="13" applyFont="1" applyBorder="1" applyAlignment="1">
      <alignment horizontal="center" vertical="center"/>
    </xf>
    <xf numFmtId="0" fontId="5" fillId="0" borderId="61" xfId="13" applyFont="1" applyBorder="1"/>
    <xf numFmtId="0" fontId="5" fillId="0" borderId="61" xfId="13" applyFont="1" applyBorder="1" applyAlignment="1">
      <alignment horizontal="center"/>
    </xf>
    <xf numFmtId="0" fontId="5" fillId="0" borderId="64" xfId="13" applyFont="1" applyBorder="1" applyAlignment="1">
      <alignment horizontal="center"/>
    </xf>
    <xf numFmtId="0" fontId="5" fillId="0" borderId="66" xfId="13" applyFont="1" applyBorder="1"/>
    <xf numFmtId="0" fontId="5" fillId="0" borderId="66" xfId="13" applyFont="1" applyBorder="1" applyAlignment="1">
      <alignment horizontal="center"/>
    </xf>
    <xf numFmtId="0" fontId="5" fillId="0" borderId="68" xfId="13" applyFont="1" applyBorder="1" applyAlignment="1">
      <alignment horizontal="center"/>
    </xf>
    <xf numFmtId="0" fontId="38" fillId="0" borderId="39" xfId="13" applyFont="1" applyBorder="1" applyAlignment="1">
      <alignment horizontal="center" vertical="center"/>
    </xf>
    <xf numFmtId="0" fontId="5" fillId="0" borderId="118" xfId="13" applyFont="1" applyBorder="1" applyAlignment="1">
      <alignment horizontal="center" vertical="center"/>
    </xf>
    <xf numFmtId="0" fontId="5" fillId="0" borderId="70" xfId="13" applyFont="1" applyBorder="1" applyAlignment="1">
      <alignment horizontal="center"/>
    </xf>
    <xf numFmtId="0" fontId="5" fillId="0" borderId="72" xfId="13" applyFont="1" applyBorder="1" applyAlignment="1">
      <alignment horizontal="center"/>
    </xf>
    <xf numFmtId="0" fontId="5" fillId="0" borderId="65" xfId="13" applyFont="1" applyBorder="1"/>
    <xf numFmtId="43" fontId="5" fillId="0" borderId="66" xfId="1" applyFont="1" applyFill="1" applyBorder="1"/>
    <xf numFmtId="43" fontId="5" fillId="0" borderId="66" xfId="1" applyFont="1" applyBorder="1"/>
    <xf numFmtId="43" fontId="5" fillId="0" borderId="68" xfId="1" applyFont="1" applyBorder="1"/>
    <xf numFmtId="43" fontId="23" fillId="0" borderId="0" xfId="13" applyNumberFormat="1"/>
    <xf numFmtId="0" fontId="5" fillId="0" borderId="37" xfId="13" applyFont="1" applyBorder="1"/>
    <xf numFmtId="0" fontId="5" fillId="0" borderId="116" xfId="13" applyFont="1" applyBorder="1" applyAlignment="1">
      <alignment horizontal="right"/>
    </xf>
    <xf numFmtId="0" fontId="5" fillId="0" borderId="116" xfId="13" applyFont="1" applyBorder="1" applyAlignment="1">
      <alignment horizontal="center"/>
    </xf>
    <xf numFmtId="43" fontId="5" fillId="0" borderId="116" xfId="1" applyFont="1" applyFill="1" applyBorder="1"/>
    <xf numFmtId="43" fontId="5" fillId="0" borderId="116" xfId="1" applyFont="1" applyBorder="1"/>
    <xf numFmtId="43" fontId="5" fillId="0" borderId="117" xfId="1" applyFont="1" applyBorder="1"/>
    <xf numFmtId="0" fontId="5" fillId="0" borderId="116" xfId="13" applyFont="1" applyBorder="1"/>
    <xf numFmtId="2" fontId="5" fillId="0" borderId="116" xfId="13" applyNumberFormat="1" applyFont="1" applyBorder="1" applyAlignment="1">
      <alignment horizontal="center"/>
    </xf>
    <xf numFmtId="187" fontId="5" fillId="0" borderId="116" xfId="13" applyNumberFormat="1" applyFont="1" applyBorder="1"/>
    <xf numFmtId="0" fontId="5" fillId="0" borderId="116" xfId="13" applyFont="1" applyBorder="1" applyAlignment="1">
      <alignment horizontal="left"/>
    </xf>
    <xf numFmtId="2" fontId="5" fillId="0" borderId="116" xfId="13" applyNumberFormat="1" applyFont="1" applyBorder="1"/>
    <xf numFmtId="0" fontId="5" fillId="0" borderId="39" xfId="13" applyFont="1" applyBorder="1"/>
    <xf numFmtId="0" fontId="5" fillId="0" borderId="118" xfId="13" applyFont="1" applyBorder="1"/>
    <xf numFmtId="0" fontId="5" fillId="0" borderId="118" xfId="13" applyFont="1" applyBorder="1" applyAlignment="1">
      <alignment horizontal="center"/>
    </xf>
    <xf numFmtId="2" fontId="5" fillId="0" borderId="118" xfId="13" applyNumberFormat="1" applyFont="1" applyBorder="1"/>
    <xf numFmtId="43" fontId="5" fillId="0" borderId="70" xfId="1" applyFont="1" applyBorder="1"/>
    <xf numFmtId="43" fontId="5" fillId="0" borderId="119" xfId="1" applyFont="1" applyBorder="1"/>
    <xf numFmtId="0" fontId="15" fillId="0" borderId="0" xfId="13" applyFont="1" applyAlignment="1">
      <alignment horizontal="center"/>
    </xf>
    <xf numFmtId="0" fontId="15" fillId="0" borderId="0" xfId="13" applyFont="1"/>
    <xf numFmtId="0" fontId="5" fillId="0" borderId="75" xfId="13" applyFont="1" applyBorder="1" applyAlignment="1">
      <alignment horizontal="center"/>
    </xf>
    <xf numFmtId="0" fontId="5" fillId="0" borderId="78" xfId="13" applyFont="1" applyBorder="1" applyAlignment="1">
      <alignment horizontal="center"/>
    </xf>
    <xf numFmtId="0" fontId="5" fillId="0" borderId="79" xfId="13" applyFont="1" applyBorder="1" applyAlignment="1">
      <alignment horizontal="center"/>
    </xf>
    <xf numFmtId="0" fontId="38" fillId="0" borderId="0" xfId="13" applyFont="1"/>
    <xf numFmtId="0" fontId="38" fillId="0" borderId="0" xfId="13" applyFont="1" applyAlignment="1">
      <alignment horizontal="center"/>
    </xf>
    <xf numFmtId="0" fontId="5" fillId="0" borderId="60" xfId="13" applyFont="1" applyBorder="1" applyAlignment="1">
      <alignment horizontal="center"/>
    </xf>
    <xf numFmtId="0" fontId="38" fillId="0" borderId="65" xfId="13" applyFont="1" applyBorder="1" applyAlignment="1">
      <alignment horizontal="center"/>
    </xf>
    <xf numFmtId="0" fontId="38" fillId="0" borderId="66" xfId="13" applyFont="1" applyBorder="1"/>
    <xf numFmtId="0" fontId="38" fillId="0" borderId="68" xfId="13" applyFont="1" applyBorder="1" applyAlignment="1">
      <alignment horizontal="center"/>
    </xf>
    <xf numFmtId="0" fontId="5" fillId="0" borderId="0" xfId="13" applyFont="1" applyAlignment="1">
      <alignment horizontal="center"/>
    </xf>
    <xf numFmtId="43" fontId="83" fillId="0" borderId="117" xfId="1" applyFont="1" applyFill="1" applyBorder="1"/>
    <xf numFmtId="0" fontId="5" fillId="0" borderId="107" xfId="13" applyFont="1" applyBorder="1"/>
    <xf numFmtId="0" fontId="5" fillId="0" borderId="109" xfId="13" applyFont="1" applyBorder="1"/>
    <xf numFmtId="0" fontId="5" fillId="0" borderId="109" xfId="13" applyFont="1" applyBorder="1" applyAlignment="1">
      <alignment horizontal="center"/>
    </xf>
    <xf numFmtId="43" fontId="83" fillId="0" borderId="110" xfId="1" applyFont="1" applyFill="1" applyBorder="1"/>
    <xf numFmtId="0" fontId="5" fillId="0" borderId="13" xfId="13" applyFont="1" applyBorder="1"/>
    <xf numFmtId="43" fontId="83" fillId="0" borderId="14" xfId="1" applyFont="1" applyFill="1" applyBorder="1"/>
    <xf numFmtId="0" fontId="5" fillId="0" borderId="28" xfId="13" applyFont="1" applyBorder="1"/>
    <xf numFmtId="0" fontId="38" fillId="0" borderId="29" xfId="13" applyFont="1" applyBorder="1"/>
    <xf numFmtId="0" fontId="5" fillId="0" borderId="29" xfId="13" applyFont="1" applyBorder="1" applyAlignment="1">
      <alignment horizontal="center"/>
    </xf>
    <xf numFmtId="43" fontId="83" fillId="0" borderId="30" xfId="1" applyFont="1" applyFill="1" applyBorder="1"/>
    <xf numFmtId="0" fontId="5" fillId="0" borderId="116" xfId="14" applyBorder="1" applyAlignment="1">
      <alignment horizontal="left"/>
    </xf>
    <xf numFmtId="0" fontId="5" fillId="0" borderId="118" xfId="14" applyBorder="1" applyAlignment="1">
      <alignment horizontal="left"/>
    </xf>
    <xf numFmtId="0" fontId="52" fillId="0" borderId="0" xfId="16" applyFont="1" applyAlignment="1">
      <alignment horizontal="centerContinuous"/>
    </xf>
    <xf numFmtId="0" fontId="26" fillId="0" borderId="0" xfId="17" applyFont="1" applyAlignment="1">
      <alignment horizontal="centerContinuous"/>
    </xf>
    <xf numFmtId="0" fontId="26" fillId="0" borderId="0" xfId="17" applyFont="1"/>
    <xf numFmtId="0" fontId="23" fillId="0" borderId="0" xfId="16"/>
    <xf numFmtId="2" fontId="23" fillId="0" borderId="0" xfId="16" applyNumberFormat="1"/>
    <xf numFmtId="0" fontId="23" fillId="0" borderId="0" xfId="17"/>
    <xf numFmtId="0" fontId="38" fillId="0" borderId="0" xfId="16" applyFont="1"/>
    <xf numFmtId="0" fontId="38" fillId="0" borderId="0" xfId="16" applyFont="1" applyAlignment="1">
      <alignment vertical="center"/>
    </xf>
    <xf numFmtId="0" fontId="14" fillId="0" borderId="0" xfId="17" applyFont="1"/>
    <xf numFmtId="0" fontId="5" fillId="0" borderId="0" xfId="16" applyFont="1"/>
    <xf numFmtId="0" fontId="26" fillId="0" borderId="116" xfId="17" applyFont="1" applyBorder="1" applyAlignment="1">
      <alignment horizontal="center"/>
    </xf>
    <xf numFmtId="0" fontId="26" fillId="0" borderId="117" xfId="17" applyFont="1" applyBorder="1" applyAlignment="1">
      <alignment horizontal="center"/>
    </xf>
    <xf numFmtId="0" fontId="26" fillId="0" borderId="37" xfId="17" applyFont="1" applyBorder="1"/>
    <xf numFmtId="2" fontId="26" fillId="0" borderId="116" xfId="17" applyNumberFormat="1" applyFont="1" applyBorder="1" applyAlignment="1">
      <alignment horizontal="center"/>
    </xf>
    <xf numFmtId="2" fontId="26" fillId="0" borderId="116" xfId="17" applyNumberFormat="1" applyFont="1" applyBorder="1"/>
    <xf numFmtId="2" fontId="26" fillId="0" borderId="117" xfId="17" applyNumberFormat="1" applyFont="1" applyBorder="1"/>
    <xf numFmtId="10" fontId="26" fillId="0" borderId="116" xfId="17" applyNumberFormat="1" applyFont="1" applyBorder="1" applyAlignment="1">
      <alignment horizontal="center"/>
    </xf>
    <xf numFmtId="0" fontId="26" fillId="0" borderId="37" xfId="17" applyFont="1" applyBorder="1" applyAlignment="1">
      <alignment horizontal="right"/>
    </xf>
    <xf numFmtId="0" fontId="26" fillId="0" borderId="116" xfId="17" applyFont="1" applyBorder="1"/>
    <xf numFmtId="0" fontId="17" fillId="0" borderId="39" xfId="17" applyFont="1" applyBorder="1"/>
    <xf numFmtId="0" fontId="17" fillId="0" borderId="118" xfId="17" applyFont="1" applyBorder="1"/>
    <xf numFmtId="0" fontId="17" fillId="0" borderId="118" xfId="17" applyFont="1" applyBorder="1" applyAlignment="1">
      <alignment horizontal="center"/>
    </xf>
    <xf numFmtId="0" fontId="26" fillId="0" borderId="118" xfId="17" applyFont="1" applyBorder="1" applyAlignment="1">
      <alignment horizontal="center"/>
    </xf>
    <xf numFmtId="2" fontId="17" fillId="0" borderId="118" xfId="17" applyNumberFormat="1" applyFont="1" applyBorder="1"/>
    <xf numFmtId="0" fontId="17" fillId="0" borderId="119" xfId="17" applyFont="1" applyBorder="1"/>
    <xf numFmtId="187" fontId="26" fillId="0" borderId="117" xfId="17" applyNumberFormat="1" applyFont="1" applyBorder="1"/>
    <xf numFmtId="0" fontId="26" fillId="0" borderId="32" xfId="17" applyFont="1" applyBorder="1"/>
    <xf numFmtId="0" fontId="26" fillId="0" borderId="32" xfId="17" applyFont="1" applyBorder="1" applyAlignment="1">
      <alignment horizontal="center"/>
    </xf>
    <xf numFmtId="187" fontId="26" fillId="0" borderId="21" xfId="17" applyNumberFormat="1" applyFont="1" applyBorder="1"/>
    <xf numFmtId="0" fontId="17" fillId="0" borderId="84" xfId="17" applyFont="1" applyBorder="1"/>
    <xf numFmtId="187" fontId="17" fillId="0" borderId="34" xfId="17" applyNumberFormat="1" applyFont="1" applyBorder="1"/>
    <xf numFmtId="2" fontId="26" fillId="0" borderId="116" xfId="17" applyNumberFormat="1" applyFont="1" applyBorder="1" applyAlignment="1">
      <alignment horizontal="right"/>
    </xf>
    <xf numFmtId="0" fontId="17" fillId="0" borderId="0" xfId="17" applyFont="1" applyAlignment="1">
      <alignment horizontal="centerContinuous"/>
    </xf>
    <xf numFmtId="0" fontId="26" fillId="0" borderId="0" xfId="17" applyFont="1" applyAlignment="1">
      <alignment horizontal="center"/>
    </xf>
    <xf numFmtId="0" fontId="26" fillId="0" borderId="116" xfId="17" applyFont="1" applyBorder="1" applyAlignment="1">
      <alignment horizontal="right"/>
    </xf>
    <xf numFmtId="2" fontId="26" fillId="0" borderId="0" xfId="17" applyNumberFormat="1" applyFont="1"/>
    <xf numFmtId="187" fontId="26" fillId="0" borderId="116" xfId="17" applyNumberFormat="1" applyFont="1" applyBorder="1"/>
    <xf numFmtId="187" fontId="26" fillId="0" borderId="116" xfId="17" applyNumberFormat="1" applyFont="1" applyBorder="1" applyAlignment="1">
      <alignment horizontal="center"/>
    </xf>
    <xf numFmtId="0" fontId="26" fillId="0" borderId="117" xfId="17" applyFont="1" applyBorder="1"/>
    <xf numFmtId="187" fontId="17" fillId="0" borderId="118" xfId="17" applyNumberFormat="1" applyFont="1" applyBorder="1"/>
    <xf numFmtId="187" fontId="17" fillId="0" borderId="119" xfId="17" applyNumberFormat="1" applyFont="1" applyBorder="1"/>
    <xf numFmtId="0" fontId="17" fillId="0" borderId="0" xfId="17" applyFont="1"/>
    <xf numFmtId="0" fontId="17" fillId="0" borderId="0" xfId="17" applyFont="1" applyAlignment="1">
      <alignment horizontal="center"/>
    </xf>
    <xf numFmtId="0" fontId="17" fillId="0" borderId="0" xfId="17" applyFont="1" applyAlignment="1">
      <alignment horizontal="centerContinuous" wrapText="1"/>
    </xf>
    <xf numFmtId="0" fontId="17" fillId="0" borderId="80" xfId="17" applyFont="1" applyBorder="1" applyAlignment="1">
      <alignment horizontal="centerContinuous" vertical="center" wrapText="1"/>
    </xf>
    <xf numFmtId="0" fontId="17" fillId="0" borderId="80" xfId="17" applyFont="1" applyBorder="1" applyAlignment="1">
      <alignment horizontal="centerContinuous" wrapText="1"/>
    </xf>
    <xf numFmtId="0" fontId="17" fillId="0" borderId="36" xfId="17" applyFont="1" applyBorder="1" applyAlignment="1">
      <alignment horizontal="centerContinuous" wrapText="1"/>
    </xf>
    <xf numFmtId="0" fontId="17" fillId="0" borderId="0" xfId="17" applyFont="1" applyAlignment="1">
      <alignment horizontal="centerContinuous" vertical="center" wrapText="1"/>
    </xf>
    <xf numFmtId="0" fontId="17" fillId="0" borderId="36" xfId="17" applyFont="1" applyBorder="1" applyAlignment="1">
      <alignment horizontal="centerContinuous" vertical="center" wrapText="1"/>
    </xf>
    <xf numFmtId="0" fontId="10" fillId="0" borderId="116" xfId="17" applyFont="1" applyBorder="1"/>
    <xf numFmtId="0" fontId="17" fillId="0" borderId="116" xfId="17" applyFont="1" applyBorder="1" applyAlignment="1">
      <alignment horizontal="center"/>
    </xf>
    <xf numFmtId="0" fontId="26" fillId="0" borderId="116" xfId="17" quotePrefix="1" applyFont="1" applyBorder="1"/>
    <xf numFmtId="0" fontId="10" fillId="0" borderId="116" xfId="17" quotePrefix="1" applyFont="1" applyBorder="1"/>
    <xf numFmtId="2" fontId="26" fillId="0" borderId="116" xfId="17" quotePrefix="1" applyNumberFormat="1" applyFont="1" applyBorder="1" applyAlignment="1">
      <alignment horizontal="center"/>
    </xf>
    <xf numFmtId="0" fontId="17" fillId="0" borderId="80" xfId="17" applyFont="1" applyBorder="1" applyAlignment="1">
      <alignment horizontal="centerContinuous" vertical="top" wrapText="1"/>
    </xf>
    <xf numFmtId="0" fontId="26" fillId="0" borderId="80" xfId="17" applyFont="1" applyBorder="1" applyAlignment="1">
      <alignment horizontal="centerContinuous" vertical="top" wrapText="1"/>
    </xf>
    <xf numFmtId="0" fontId="26" fillId="0" borderId="80" xfId="17" applyFont="1" applyBorder="1" applyAlignment="1">
      <alignment horizontal="centerContinuous" wrapText="1"/>
    </xf>
    <xf numFmtId="0" fontId="26" fillId="0" borderId="36" xfId="17" applyFont="1" applyBorder="1" applyAlignment="1">
      <alignment horizontal="centerContinuous" vertical="center" wrapText="1"/>
    </xf>
    <xf numFmtId="164" fontId="26" fillId="0" borderId="116" xfId="17" applyNumberFormat="1" applyFont="1" applyBorder="1"/>
    <xf numFmtId="0" fontId="26" fillId="0" borderId="35" xfId="17" applyFont="1" applyBorder="1" applyAlignment="1">
      <alignment vertical="top" wrapText="1"/>
    </xf>
    <xf numFmtId="0" fontId="26" fillId="0" borderId="80" xfId="17" applyFont="1" applyBorder="1" applyAlignment="1">
      <alignment horizontal="center" vertical="top"/>
    </xf>
    <xf numFmtId="0" fontId="26" fillId="0" borderId="80" xfId="17" applyFont="1" applyBorder="1" applyAlignment="1">
      <alignment horizontal="center" vertical="top" wrapText="1"/>
    </xf>
    <xf numFmtId="2" fontId="17" fillId="0" borderId="119" xfId="17" applyNumberFormat="1" applyFont="1" applyBorder="1"/>
    <xf numFmtId="2" fontId="17" fillId="0" borderId="0" xfId="17" applyNumberFormat="1" applyFont="1"/>
    <xf numFmtId="0" fontId="26" fillId="0" borderId="36" xfId="17" applyFont="1" applyBorder="1" applyAlignment="1">
      <alignment horizontal="centerContinuous" vertical="top"/>
    </xf>
    <xf numFmtId="0" fontId="26" fillId="0" borderId="0" xfId="17" applyFont="1" applyAlignment="1">
      <alignment horizontal="centerContinuous" vertical="top"/>
    </xf>
    <xf numFmtId="0" fontId="17" fillId="0" borderId="0" xfId="17" applyFont="1" applyAlignment="1">
      <alignment horizontal="centerContinuous" vertical="top" wrapText="1"/>
    </xf>
    <xf numFmtId="0" fontId="26" fillId="0" borderId="37" xfId="17" applyFont="1" applyBorder="1" applyAlignment="1">
      <alignment wrapText="1"/>
    </xf>
    <xf numFmtId="9" fontId="26" fillId="0" borderId="116" xfId="17" applyNumberFormat="1" applyFont="1" applyBorder="1" applyAlignment="1">
      <alignment horizontal="center"/>
    </xf>
    <xf numFmtId="0" fontId="26" fillId="0" borderId="116" xfId="17" applyFont="1" applyBorder="1" applyAlignment="1">
      <alignment wrapText="1"/>
    </xf>
    <xf numFmtId="0" fontId="26" fillId="0" borderId="0" xfId="17" applyFont="1" applyAlignment="1">
      <alignment wrapText="1"/>
    </xf>
    <xf numFmtId="0" fontId="5" fillId="0" borderId="80" xfId="16" applyFont="1" applyBorder="1" applyAlignment="1">
      <alignment horizontal="centerContinuous" vertical="center" wrapText="1"/>
    </xf>
    <xf numFmtId="0" fontId="5" fillId="0" borderId="80" xfId="16" applyFont="1" applyBorder="1" applyAlignment="1">
      <alignment horizontal="centerContinuous" wrapText="1"/>
    </xf>
    <xf numFmtId="0" fontId="5" fillId="0" borderId="80" xfId="16" applyFont="1" applyBorder="1" applyAlignment="1">
      <alignment horizontal="centerContinuous" vertical="top" wrapText="1"/>
    </xf>
    <xf numFmtId="0" fontId="5" fillId="0" borderId="36" xfId="16" applyFont="1" applyBorder="1" applyAlignment="1">
      <alignment horizontal="centerContinuous" vertical="top" wrapText="1"/>
    </xf>
    <xf numFmtId="0" fontId="5" fillId="0" borderId="116" xfId="16" applyFont="1" applyBorder="1" applyAlignment="1">
      <alignment horizontal="center"/>
    </xf>
    <xf numFmtId="0" fontId="5" fillId="0" borderId="117" xfId="16" applyFont="1" applyBorder="1" applyAlignment="1">
      <alignment horizontal="center"/>
    </xf>
    <xf numFmtId="0" fontId="5" fillId="0" borderId="37" xfId="16" applyFont="1" applyBorder="1"/>
    <xf numFmtId="2" fontId="5" fillId="0" borderId="116" xfId="16" applyNumberFormat="1" applyFont="1" applyBorder="1"/>
    <xf numFmtId="0" fontId="5" fillId="0" borderId="116" xfId="16" applyFont="1" applyBorder="1"/>
    <xf numFmtId="0" fontId="5" fillId="0" borderId="116" xfId="16" applyFont="1" applyBorder="1" applyAlignment="1">
      <alignment horizontal="right"/>
    </xf>
    <xf numFmtId="43" fontId="5" fillId="0" borderId="116" xfId="16" applyNumberFormat="1" applyFont="1" applyBorder="1"/>
    <xf numFmtId="164" fontId="5" fillId="0" borderId="116" xfId="16" applyNumberFormat="1" applyFont="1" applyBorder="1" applyAlignment="1">
      <alignment horizontal="right"/>
    </xf>
    <xf numFmtId="190" fontId="5" fillId="0" borderId="116" xfId="16" applyNumberFormat="1" applyFont="1" applyBorder="1" applyAlignment="1">
      <alignment horizontal="right"/>
    </xf>
    <xf numFmtId="2" fontId="5" fillId="0" borderId="116" xfId="16" applyNumberFormat="1" applyFont="1" applyBorder="1" applyAlignment="1">
      <alignment horizontal="right"/>
    </xf>
    <xf numFmtId="0" fontId="5" fillId="0" borderId="117" xfId="16" applyFont="1" applyBorder="1"/>
    <xf numFmtId="2" fontId="5" fillId="0" borderId="117" xfId="16" applyNumberFormat="1" applyFont="1" applyBorder="1"/>
    <xf numFmtId="10" fontId="5" fillId="0" borderId="116" xfId="16" applyNumberFormat="1" applyFont="1" applyBorder="1"/>
    <xf numFmtId="10" fontId="5" fillId="0" borderId="116" xfId="16" applyNumberFormat="1" applyFont="1" applyBorder="1" applyAlignment="1">
      <alignment horizontal="center"/>
    </xf>
    <xf numFmtId="0" fontId="5" fillId="0" borderId="39" xfId="16" applyFont="1" applyBorder="1"/>
    <xf numFmtId="0" fontId="5" fillId="0" borderId="118" xfId="16" applyFont="1" applyBorder="1"/>
    <xf numFmtId="0" fontId="5" fillId="0" borderId="119" xfId="16" applyFont="1" applyBorder="1"/>
    <xf numFmtId="2" fontId="5" fillId="0" borderId="119" xfId="16" applyNumberFormat="1" applyFont="1" applyBorder="1"/>
    <xf numFmtId="0" fontId="5" fillId="0" borderId="0" xfId="14"/>
    <xf numFmtId="2" fontId="5" fillId="0" borderId="0" xfId="14" applyNumberFormat="1"/>
    <xf numFmtId="0" fontId="5" fillId="0" borderId="0" xfId="14" applyAlignment="1">
      <alignment horizontal="left"/>
    </xf>
    <xf numFmtId="0" fontId="5" fillId="0" borderId="0" xfId="14" quotePrefix="1" applyAlignment="1">
      <alignment horizontal="right"/>
    </xf>
    <xf numFmtId="0" fontId="5" fillId="0" borderId="0" xfId="14" quotePrefix="1"/>
    <xf numFmtId="0" fontId="5" fillId="0" borderId="0" xfId="14" applyAlignment="1">
      <alignment horizontal="right"/>
    </xf>
    <xf numFmtId="2" fontId="38" fillId="0" borderId="0" xfId="14" applyNumberFormat="1" applyFont="1"/>
    <xf numFmtId="0" fontId="38" fillId="0" borderId="0" xfId="14" applyFont="1"/>
    <xf numFmtId="0" fontId="38" fillId="0" borderId="0" xfId="14" applyFont="1" applyAlignment="1">
      <alignment horizontal="left"/>
    </xf>
    <xf numFmtId="0" fontId="5" fillId="0" borderId="0" xfId="14" applyAlignment="1">
      <alignment horizontal="center"/>
    </xf>
    <xf numFmtId="2" fontId="5" fillId="0" borderId="0" xfId="14" applyNumberFormat="1" applyAlignment="1">
      <alignment horizontal="center"/>
    </xf>
    <xf numFmtId="2" fontId="38" fillId="0" borderId="0" xfId="14" applyNumberFormat="1" applyFont="1" applyAlignment="1">
      <alignment horizontal="center"/>
    </xf>
    <xf numFmtId="0" fontId="86" fillId="0" borderId="0" xfId="4" applyFont="1"/>
    <xf numFmtId="0" fontId="87" fillId="0" borderId="0" xfId="4" applyFont="1" applyAlignment="1">
      <alignment horizontal="center"/>
    </xf>
    <xf numFmtId="0" fontId="49" fillId="0" borderId="0" xfId="4" applyFont="1"/>
    <xf numFmtId="0" fontId="23" fillId="0" borderId="0" xfId="4" applyFont="1"/>
    <xf numFmtId="0" fontId="15" fillId="0" borderId="0" xfId="4" applyFont="1" applyAlignment="1">
      <alignment horizontal="right"/>
    </xf>
    <xf numFmtId="0" fontId="23" fillId="0" borderId="139" xfId="4" applyFont="1" applyBorder="1" applyAlignment="1">
      <alignment horizontal="right"/>
    </xf>
    <xf numFmtId="0" fontId="23" fillId="0" borderId="140" xfId="4" applyFont="1" applyBorder="1" applyAlignment="1">
      <alignment horizontal="center"/>
    </xf>
    <xf numFmtId="191" fontId="23" fillId="0" borderId="140" xfId="4" applyNumberFormat="1" applyFont="1" applyBorder="1" applyAlignment="1">
      <alignment horizontal="center"/>
    </xf>
    <xf numFmtId="0" fontId="23" fillId="0" borderId="139" xfId="4" applyFont="1" applyBorder="1" applyAlignment="1">
      <alignment horizontal="center"/>
    </xf>
    <xf numFmtId="0" fontId="23" fillId="0" borderId="141" xfId="4" applyFont="1" applyBorder="1" applyAlignment="1">
      <alignment horizontal="center"/>
    </xf>
    <xf numFmtId="0" fontId="23" fillId="0" borderId="142" xfId="4" applyFont="1" applyBorder="1" applyAlignment="1">
      <alignment vertical="top"/>
    </xf>
    <xf numFmtId="0" fontId="23" fillId="0" borderId="1" xfId="4" applyFont="1" applyBorder="1" applyAlignment="1">
      <alignment horizontal="left" vertical="top"/>
    </xf>
    <xf numFmtId="166" fontId="23" fillId="0" borderId="1" xfId="4" applyNumberFormat="1" applyFont="1" applyBorder="1" applyAlignment="1">
      <alignment horizontal="center"/>
    </xf>
    <xf numFmtId="2" fontId="23" fillId="0" borderId="1" xfId="4" applyNumberFormat="1" applyFont="1" applyBorder="1"/>
    <xf numFmtId="2" fontId="23" fillId="0" borderId="1" xfId="4" applyNumberFormat="1" applyFont="1" applyBorder="1" applyAlignment="1">
      <alignment horizontal="center"/>
    </xf>
    <xf numFmtId="0" fontId="5" fillId="0" borderId="1" xfId="4" applyFont="1" applyBorder="1" applyAlignment="1">
      <alignment horizontal="center"/>
    </xf>
    <xf numFmtId="0" fontId="5" fillId="0" borderId="11" xfId="4" applyFont="1" applyBorder="1" applyAlignment="1">
      <alignment horizontal="center"/>
    </xf>
    <xf numFmtId="0" fontId="5" fillId="0" borderId="143" xfId="4" applyFont="1" applyBorder="1" applyAlignment="1">
      <alignment horizontal="center"/>
    </xf>
    <xf numFmtId="2" fontId="4" fillId="0" borderId="142" xfId="4" applyNumberFormat="1" applyBorder="1"/>
    <xf numFmtId="2" fontId="4" fillId="0" borderId="1" xfId="4" applyNumberFormat="1" applyBorder="1"/>
    <xf numFmtId="2" fontId="4" fillId="0" borderId="143" xfId="4" applyNumberFormat="1" applyBorder="1"/>
    <xf numFmtId="0" fontId="23" fillId="0" borderId="1" xfId="4" applyFont="1" applyBorder="1" applyAlignment="1">
      <alignment horizontal="left" vertical="top" wrapText="1"/>
    </xf>
    <xf numFmtId="168" fontId="23" fillId="0" borderId="1" xfId="4" applyNumberFormat="1" applyFont="1" applyBorder="1" applyAlignment="1">
      <alignment horizontal="center"/>
    </xf>
    <xf numFmtId="164" fontId="23" fillId="0" borderId="1" xfId="4" applyNumberFormat="1" applyFont="1" applyBorder="1" applyAlignment="1">
      <alignment horizontal="center"/>
    </xf>
    <xf numFmtId="170" fontId="23" fillId="0" borderId="1" xfId="6" applyFont="1" applyBorder="1" applyAlignment="1">
      <alignment horizontal="left" wrapText="1"/>
    </xf>
    <xf numFmtId="170" fontId="23" fillId="0" borderId="1" xfId="6" applyFont="1" applyBorder="1" applyAlignment="1">
      <alignment horizontal="left"/>
    </xf>
    <xf numFmtId="170" fontId="23" fillId="0" borderId="1" xfId="6" quotePrefix="1" applyFont="1" applyBorder="1" applyAlignment="1">
      <alignment horizontal="left"/>
    </xf>
    <xf numFmtId="2" fontId="4" fillId="0" borderId="144" xfId="4" applyNumberFormat="1" applyBorder="1"/>
    <xf numFmtId="2" fontId="4" fillId="0" borderId="145" xfId="4" applyNumberFormat="1" applyBorder="1"/>
    <xf numFmtId="2" fontId="4" fillId="0" borderId="146" xfId="4" applyNumberFormat="1" applyBorder="1"/>
    <xf numFmtId="0" fontId="23" fillId="0" borderId="144" xfId="4" applyFont="1" applyBorder="1" applyAlignment="1">
      <alignment vertical="top"/>
    </xf>
    <xf numFmtId="0" fontId="23" fillId="0" borderId="145" xfId="4" quotePrefix="1" applyFont="1" applyBorder="1" applyAlignment="1">
      <alignment horizontal="left" vertical="top"/>
    </xf>
    <xf numFmtId="166" fontId="23" fillId="0" borderId="145" xfId="4" applyNumberFormat="1" applyFont="1" applyBorder="1" applyAlignment="1">
      <alignment horizontal="left"/>
    </xf>
    <xf numFmtId="169" fontId="23" fillId="0" borderId="145" xfId="4" applyNumberFormat="1" applyFont="1" applyBorder="1" applyAlignment="1">
      <alignment horizontal="center"/>
    </xf>
    <xf numFmtId="0" fontId="23" fillId="0" borderId="145" xfId="4" applyFont="1" applyBorder="1" applyAlignment="1">
      <alignment horizontal="center"/>
    </xf>
    <xf numFmtId="0" fontId="5" fillId="0" borderId="145" xfId="4" applyFont="1" applyBorder="1" applyAlignment="1">
      <alignment horizontal="center"/>
    </xf>
    <xf numFmtId="0" fontId="5" fillId="0" borderId="147" xfId="4" applyFont="1" applyBorder="1" applyAlignment="1">
      <alignment horizontal="center"/>
    </xf>
    <xf numFmtId="0" fontId="5" fillId="0" borderId="146" xfId="4" applyFont="1" applyBorder="1" applyAlignment="1">
      <alignment horizontal="center"/>
    </xf>
    <xf numFmtId="0" fontId="4" fillId="0" borderId="15" xfId="4" applyBorder="1"/>
    <xf numFmtId="0" fontId="4" fillId="0" borderId="16" xfId="4" applyBorder="1"/>
    <xf numFmtId="0" fontId="4" fillId="0" borderId="16" xfId="4" applyBorder="1" applyAlignment="1">
      <alignment horizontal="center" wrapText="1"/>
    </xf>
    <xf numFmtId="0" fontId="4" fillId="0" borderId="17" xfId="4" applyBorder="1" applyAlignment="1">
      <alignment horizontal="center" wrapText="1"/>
    </xf>
    <xf numFmtId="170" fontId="27" fillId="0" borderId="11" xfId="6" applyFont="1" applyBorder="1" applyAlignment="1">
      <alignment horizontal="center" wrapText="1"/>
    </xf>
    <xf numFmtId="170" fontId="27" fillId="0" borderId="1" xfId="6" applyFont="1" applyBorder="1" applyAlignment="1">
      <alignment wrapText="1"/>
    </xf>
    <xf numFmtId="170" fontId="27" fillId="0" borderId="13" xfId="6" applyFont="1" applyBorder="1" applyAlignment="1">
      <alignment horizontal="center" wrapText="1"/>
    </xf>
    <xf numFmtId="170" fontId="27" fillId="0" borderId="0" xfId="6" applyFont="1" applyAlignment="1">
      <alignment horizontal="center" wrapText="1"/>
    </xf>
    <xf numFmtId="174" fontId="5" fillId="0" borderId="13" xfId="4" applyNumberFormat="1" applyFont="1" applyBorder="1" applyAlignment="1" applyProtection="1">
      <alignment horizontal="center"/>
      <protection locked="0"/>
    </xf>
    <xf numFmtId="2" fontId="5" fillId="13" borderId="14" xfId="4" applyNumberFormat="1" applyFont="1" applyFill="1" applyBorder="1"/>
    <xf numFmtId="170" fontId="89" fillId="0" borderId="13" xfId="6" applyFont="1" applyBorder="1" applyAlignment="1">
      <alignment horizontal="center"/>
    </xf>
    <xf numFmtId="170" fontId="89" fillId="0" borderId="7" xfId="6" applyFont="1" applyBorder="1"/>
    <xf numFmtId="2" fontId="19" fillId="13" borderId="64" xfId="4" applyNumberFormat="1" applyFont="1" applyFill="1" applyBorder="1"/>
    <xf numFmtId="170" fontId="89" fillId="0" borderId="0" xfId="6" applyFont="1" applyAlignment="1">
      <alignment horizontal="center"/>
    </xf>
    <xf numFmtId="177" fontId="5" fillId="0" borderId="0" xfId="4" applyNumberFormat="1" applyFont="1" applyAlignment="1" applyProtection="1">
      <alignment horizontal="left"/>
      <protection locked="0"/>
    </xf>
    <xf numFmtId="2" fontId="5" fillId="10" borderId="14" xfId="4" applyNumberFormat="1" applyFont="1" applyFill="1" applyBorder="1"/>
    <xf numFmtId="0" fontId="4" fillId="0" borderId="13" xfId="4" applyBorder="1"/>
    <xf numFmtId="0" fontId="4" fillId="10" borderId="14" xfId="4" applyFill="1" applyBorder="1"/>
    <xf numFmtId="1" fontId="4" fillId="10" borderId="14" xfId="4" applyNumberFormat="1" applyFill="1" applyBorder="1"/>
    <xf numFmtId="170" fontId="89" fillId="0" borderId="8" xfId="6" applyFont="1" applyBorder="1" applyAlignment="1">
      <alignment horizontal="center"/>
    </xf>
    <xf numFmtId="170" fontId="89" fillId="0" borderId="10" xfId="6" applyFont="1" applyBorder="1"/>
    <xf numFmtId="170" fontId="27" fillId="0" borderId="0" xfId="6" applyFont="1" applyAlignment="1">
      <alignment horizontal="center"/>
    </xf>
    <xf numFmtId="174" fontId="5" fillId="0" borderId="8" xfId="4" applyNumberFormat="1" applyFont="1" applyBorder="1" applyAlignment="1" applyProtection="1">
      <alignment horizontal="center"/>
      <protection locked="0"/>
    </xf>
    <xf numFmtId="177" fontId="5" fillId="0" borderId="148" xfId="4" applyNumberFormat="1" applyFont="1" applyBorder="1" applyAlignment="1" applyProtection="1">
      <alignment horizontal="left"/>
      <protection locked="0"/>
    </xf>
    <xf numFmtId="0" fontId="5" fillId="0" borderId="12" xfId="4" applyFont="1" applyBorder="1"/>
    <xf numFmtId="1" fontId="4" fillId="10" borderId="9" xfId="4" applyNumberFormat="1" applyFill="1" applyBorder="1"/>
    <xf numFmtId="174" fontId="5" fillId="0" borderId="0" xfId="4" applyNumberFormat="1" applyFont="1" applyAlignment="1" applyProtection="1">
      <alignment horizontal="center"/>
      <protection locked="0"/>
    </xf>
    <xf numFmtId="177" fontId="5" fillId="0" borderId="1" xfId="4" applyNumberFormat="1" applyFont="1" applyBorder="1" applyAlignment="1" applyProtection="1">
      <alignment horizontal="left"/>
      <protection locked="0"/>
    </xf>
    <xf numFmtId="174" fontId="5" fillId="0" borderId="1" xfId="4" applyNumberFormat="1" applyFont="1" applyBorder="1" applyProtection="1">
      <protection locked="0"/>
    </xf>
    <xf numFmtId="175" fontId="5" fillId="0" borderId="1" xfId="4" applyNumberFormat="1" applyFont="1" applyBorder="1" applyAlignment="1" applyProtection="1">
      <alignment horizontal="left"/>
      <protection locked="0"/>
    </xf>
    <xf numFmtId="164" fontId="5" fillId="0" borderId="1" xfId="4" applyNumberFormat="1" applyFont="1" applyBorder="1" applyProtection="1">
      <protection locked="0"/>
    </xf>
    <xf numFmtId="2" fontId="5" fillId="0" borderId="1" xfId="4" applyNumberFormat="1" applyFont="1" applyBorder="1" applyProtection="1">
      <protection locked="0"/>
    </xf>
    <xf numFmtId="0" fontId="28" fillId="0" borderId="0" xfId="0" applyFont="1" applyAlignment="1">
      <alignment horizontal="center"/>
    </xf>
    <xf numFmtId="2" fontId="5" fillId="0" borderId="10" xfId="0" applyNumberFormat="1" applyFont="1" applyBorder="1" applyAlignment="1">
      <alignment horizontal="right" vertical="top" wrapText="1"/>
    </xf>
    <xf numFmtId="43" fontId="90" fillId="0" borderId="1" xfId="15" applyNumberFormat="1" applyFont="1" applyBorder="1"/>
    <xf numFmtId="0" fontId="11" fillId="0" borderId="0" xfId="2" applyAlignment="1">
      <alignment horizontal="center"/>
    </xf>
    <xf numFmtId="0" fontId="11" fillId="0" borderId="12" xfId="2" applyBorder="1" applyAlignment="1">
      <alignment horizontal="center"/>
    </xf>
    <xf numFmtId="0" fontId="4" fillId="0" borderId="1" xfId="0" applyFont="1" applyBorder="1" applyAlignment="1">
      <alignment horizontal="center" vertical="top" wrapText="1"/>
    </xf>
    <xf numFmtId="0" fontId="4" fillId="0" borderId="1" xfId="0" applyFont="1" applyBorder="1" applyAlignment="1">
      <alignment horizontal="right" vertical="top" wrapText="1"/>
    </xf>
    <xf numFmtId="2" fontId="4" fillId="0" borderId="1" xfId="0" applyNumberFormat="1" applyFont="1" applyBorder="1" applyAlignment="1">
      <alignment horizontal="right" vertical="top" wrapText="1"/>
    </xf>
    <xf numFmtId="166" fontId="4" fillId="0" borderId="1" xfId="0" applyNumberFormat="1" applyFont="1" applyBorder="1" applyAlignment="1">
      <alignment horizontal="right" vertical="top" wrapText="1"/>
    </xf>
    <xf numFmtId="0" fontId="4" fillId="0" borderId="12" xfId="0" applyFont="1" applyBorder="1"/>
    <xf numFmtId="0" fontId="4" fillId="0" borderId="12" xfId="0" applyFont="1" applyBorder="1" applyAlignment="1">
      <alignment horizontal="right"/>
    </xf>
    <xf numFmtId="2" fontId="4" fillId="0" borderId="12" xfId="0" applyNumberFormat="1" applyFont="1" applyBorder="1" applyAlignment="1">
      <alignment horizontal="right"/>
    </xf>
    <xf numFmtId="166" fontId="4" fillId="0" borderId="12" xfId="0" applyNumberFormat="1" applyFont="1" applyBorder="1" applyAlignment="1">
      <alignment horizontal="right"/>
    </xf>
    <xf numFmtId="0" fontId="4" fillId="0" borderId="10" xfId="0" applyFont="1" applyBorder="1"/>
    <xf numFmtId="0" fontId="4" fillId="0" borderId="2" xfId="0" applyFont="1" applyBorder="1"/>
    <xf numFmtId="166" fontId="38" fillId="0" borderId="2" xfId="0" applyNumberFormat="1" applyFont="1" applyBorder="1" applyAlignment="1">
      <alignment horizontal="right" vertical="top" wrapText="1"/>
    </xf>
    <xf numFmtId="166" fontId="5" fillId="0" borderId="2" xfId="0" applyNumberFormat="1" applyFont="1" applyBorder="1" applyAlignment="1">
      <alignment horizontal="right" vertical="top" wrapText="1"/>
    </xf>
    <xf numFmtId="0" fontId="5" fillId="0" borderId="27" xfId="0" applyFont="1" applyBorder="1" applyAlignment="1">
      <alignment horizontal="right" vertical="top" wrapText="1"/>
    </xf>
    <xf numFmtId="0" fontId="5" fillId="0" borderId="27" xfId="0" applyFont="1" applyBorder="1" applyAlignment="1">
      <alignment vertical="top" wrapText="1"/>
    </xf>
    <xf numFmtId="2" fontId="5" fillId="0" borderId="27" xfId="0" applyNumberFormat="1" applyFont="1" applyBorder="1" applyAlignment="1">
      <alignment horizontal="right" vertical="top" wrapText="1"/>
    </xf>
    <xf numFmtId="166" fontId="5" fillId="0" borderId="27" xfId="0" applyNumberFormat="1" applyFont="1" applyBorder="1" applyAlignment="1">
      <alignment horizontal="right" vertical="top" wrapText="1"/>
    </xf>
    <xf numFmtId="0" fontId="4" fillId="0" borderId="27" xfId="0" applyFont="1" applyBorder="1"/>
    <xf numFmtId="166" fontId="38" fillId="0" borderId="2" xfId="0" applyNumberFormat="1" applyFont="1" applyBorder="1" applyAlignment="1">
      <alignment vertical="top" wrapText="1"/>
    </xf>
    <xf numFmtId="166" fontId="5" fillId="0" borderId="2" xfId="0" applyNumberFormat="1" applyFont="1" applyBorder="1" applyAlignment="1">
      <alignment vertical="top" wrapText="1"/>
    </xf>
    <xf numFmtId="2" fontId="4" fillId="0" borderId="2" xfId="0" applyNumberFormat="1" applyFont="1" applyBorder="1" applyAlignment="1">
      <alignment horizontal="right"/>
    </xf>
    <xf numFmtId="0" fontId="4" fillId="0" borderId="3" xfId="0" applyFont="1" applyBorder="1"/>
    <xf numFmtId="166" fontId="4" fillId="0" borderId="2" xfId="0" applyNumberFormat="1" applyFont="1" applyBorder="1" applyAlignment="1">
      <alignment horizontal="right"/>
    </xf>
    <xf numFmtId="0" fontId="38" fillId="0" borderId="2" xfId="0" applyFont="1" applyBorder="1" applyAlignment="1">
      <alignment horizontal="left" vertical="top" wrapText="1"/>
    </xf>
    <xf numFmtId="1" fontId="5" fillId="0" borderId="2" xfId="0" applyNumberFormat="1" applyFont="1" applyBorder="1" applyAlignment="1">
      <alignment horizontal="right" vertical="top" wrapText="1"/>
    </xf>
    <xf numFmtId="2" fontId="4" fillId="0" borderId="2" xfId="0" applyNumberFormat="1" applyFont="1" applyBorder="1" applyAlignment="1">
      <alignment horizontal="left"/>
    </xf>
    <xf numFmtId="2" fontId="5" fillId="0" borderId="2" xfId="0" applyNumberFormat="1" applyFont="1" applyBorder="1" applyAlignment="1">
      <alignment horizontal="left" vertical="top" wrapText="1"/>
    </xf>
    <xf numFmtId="166" fontId="38" fillId="0" borderId="3" xfId="0" applyNumberFormat="1" applyFont="1" applyBorder="1" applyAlignment="1">
      <alignment horizontal="right" vertical="top" wrapText="1"/>
    </xf>
    <xf numFmtId="166" fontId="5" fillId="0" borderId="19" xfId="0" applyNumberFormat="1" applyFont="1" applyBorder="1" applyAlignment="1">
      <alignment horizontal="right" vertical="top" wrapText="1"/>
    </xf>
    <xf numFmtId="0" fontId="4" fillId="0" borderId="19" xfId="0" applyFont="1" applyBorder="1"/>
    <xf numFmtId="164" fontId="5" fillId="0" borderId="2" xfId="0" applyNumberFormat="1" applyFont="1" applyBorder="1" applyAlignment="1">
      <alignment horizontal="right" vertical="top" wrapText="1"/>
    </xf>
    <xf numFmtId="164" fontId="5" fillId="0" borderId="3" xfId="0" applyNumberFormat="1" applyFont="1" applyBorder="1" applyAlignment="1">
      <alignment horizontal="right" vertical="top" wrapText="1"/>
    </xf>
    <xf numFmtId="166" fontId="5" fillId="0" borderId="3" xfId="0" applyNumberFormat="1" applyFont="1" applyBorder="1"/>
    <xf numFmtId="166" fontId="5" fillId="0" borderId="149" xfId="0" applyNumberFormat="1" applyFont="1" applyBorder="1"/>
    <xf numFmtId="166" fontId="5" fillId="0" borderId="3" xfId="0" applyNumberFormat="1" applyFont="1" applyBorder="1" applyAlignment="1">
      <alignment horizontal="right" vertical="top" wrapText="1"/>
    </xf>
    <xf numFmtId="0" fontId="38" fillId="0" borderId="19" xfId="0" applyFont="1" applyBorder="1" applyAlignment="1">
      <alignment horizontal="left" vertical="top" wrapText="1"/>
    </xf>
    <xf numFmtId="166" fontId="38" fillId="0" borderId="25" xfId="0" applyNumberFormat="1" applyFont="1" applyBorder="1"/>
    <xf numFmtId="0" fontId="5" fillId="0" borderId="3" xfId="0" applyFont="1" applyBorder="1" applyAlignment="1">
      <alignment horizontal="left" vertical="top" wrapText="1"/>
    </xf>
    <xf numFmtId="166" fontId="38" fillId="0" borderId="149" xfId="0" applyNumberFormat="1" applyFont="1" applyBorder="1"/>
    <xf numFmtId="0" fontId="5" fillId="0" borderId="19" xfId="0" applyFont="1" applyBorder="1" applyAlignment="1">
      <alignment horizontal="left" vertical="top" wrapText="1"/>
    </xf>
    <xf numFmtId="1" fontId="5" fillId="0" borderId="3" xfId="0" applyNumberFormat="1" applyFont="1" applyBorder="1" applyAlignment="1">
      <alignment horizontal="right" vertical="top" wrapText="1"/>
    </xf>
    <xf numFmtId="166" fontId="38" fillId="0" borderId="3" xfId="0" applyNumberFormat="1" applyFont="1" applyBorder="1"/>
    <xf numFmtId="0" fontId="11" fillId="0" borderId="19" xfId="2" applyBorder="1"/>
    <xf numFmtId="0" fontId="40" fillId="0" borderId="19" xfId="2" applyFont="1" applyBorder="1" applyAlignment="1">
      <alignment horizontal="left"/>
    </xf>
    <xf numFmtId="0" fontId="11" fillId="0" borderId="19" xfId="2" applyBorder="1" applyAlignment="1">
      <alignment horizontal="right"/>
    </xf>
    <xf numFmtId="2" fontId="11" fillId="0" borderId="19" xfId="2" applyNumberFormat="1" applyBorder="1" applyAlignment="1">
      <alignment horizontal="right"/>
    </xf>
    <xf numFmtId="166" fontId="11" fillId="0" borderId="19" xfId="2" applyNumberFormat="1" applyBorder="1" applyAlignment="1">
      <alignment horizontal="right"/>
    </xf>
    <xf numFmtId="166" fontId="5" fillId="0" borderId="2" xfId="2" applyNumberFormat="1" applyFont="1" applyBorder="1" applyAlignment="1">
      <alignment horizontal="right"/>
    </xf>
    <xf numFmtId="166" fontId="38" fillId="0" borderId="2" xfId="2" applyNumberFormat="1" applyFont="1" applyBorder="1" applyAlignment="1">
      <alignment horizontal="right"/>
    </xf>
    <xf numFmtId="166" fontId="11" fillId="0" borderId="2" xfId="2" applyNumberFormat="1" applyBorder="1"/>
    <xf numFmtId="1" fontId="5" fillId="0" borderId="2" xfId="2" applyNumberFormat="1" applyFont="1" applyBorder="1" applyAlignment="1">
      <alignment horizontal="right"/>
    </xf>
    <xf numFmtId="166" fontId="5" fillId="0" borderId="2" xfId="2" applyNumberFormat="1" applyFont="1" applyBorder="1"/>
    <xf numFmtId="0" fontId="11" fillId="0" borderId="2" xfId="2" applyBorder="1"/>
    <xf numFmtId="0" fontId="5" fillId="0" borderId="2" xfId="2" applyFont="1" applyBorder="1" applyAlignment="1">
      <alignment horizontal="right"/>
    </xf>
    <xf numFmtId="0" fontId="5" fillId="0" borderId="3" xfId="2" applyFont="1" applyBorder="1"/>
    <xf numFmtId="0" fontId="5" fillId="0" borderId="3" xfId="2" applyFont="1" applyBorder="1" applyAlignment="1">
      <alignment horizontal="left"/>
    </xf>
    <xf numFmtId="1" fontId="5" fillId="0" borderId="3" xfId="2" applyNumberFormat="1" applyFont="1" applyBorder="1" applyAlignment="1">
      <alignment horizontal="right"/>
    </xf>
    <xf numFmtId="2" fontId="5" fillId="0" borderId="3" xfId="2" applyNumberFormat="1" applyFont="1" applyBorder="1" applyAlignment="1">
      <alignment horizontal="right"/>
    </xf>
    <xf numFmtId="166" fontId="5" fillId="0" borderId="3" xfId="2" applyNumberFormat="1" applyFont="1" applyBorder="1" applyAlignment="1">
      <alignment horizontal="center"/>
    </xf>
    <xf numFmtId="0" fontId="5" fillId="0" borderId="19" xfId="2" applyFont="1" applyBorder="1" applyAlignment="1">
      <alignment horizontal="left"/>
    </xf>
    <xf numFmtId="1" fontId="5" fillId="0" borderId="19" xfId="2" applyNumberFormat="1" applyFont="1" applyBorder="1" applyAlignment="1">
      <alignment horizontal="right"/>
    </xf>
    <xf numFmtId="166" fontId="38" fillId="0" borderId="19" xfId="2" applyNumberFormat="1" applyFont="1" applyBorder="1" applyAlignment="1">
      <alignment horizontal="right"/>
    </xf>
    <xf numFmtId="166" fontId="5" fillId="0" borderId="3" xfId="2" applyNumberFormat="1" applyFont="1" applyBorder="1"/>
    <xf numFmtId="166" fontId="5" fillId="0" borderId="3" xfId="2" applyNumberFormat="1" applyFont="1" applyBorder="1" applyAlignment="1">
      <alignment horizontal="right"/>
    </xf>
    <xf numFmtId="2" fontId="38" fillId="0" borderId="2" xfId="2" applyNumberFormat="1" applyFont="1" applyBorder="1" applyAlignment="1">
      <alignment horizontal="right"/>
    </xf>
    <xf numFmtId="0" fontId="4" fillId="0" borderId="2" xfId="0" applyFont="1" applyBorder="1" applyAlignment="1">
      <alignment horizontal="right"/>
    </xf>
    <xf numFmtId="2" fontId="4" fillId="0" borderId="2" xfId="0" applyNumberFormat="1" applyFont="1" applyBorder="1" applyAlignment="1">
      <alignment horizontal="center"/>
    </xf>
    <xf numFmtId="0" fontId="5" fillId="0" borderId="27" xfId="2" applyFont="1" applyBorder="1" applyAlignment="1">
      <alignment horizontal="right"/>
    </xf>
    <xf numFmtId="1" fontId="5" fillId="0" borderId="27" xfId="2" applyNumberFormat="1" applyFont="1" applyBorder="1" applyAlignment="1">
      <alignment horizontal="right"/>
    </xf>
    <xf numFmtId="2" fontId="5" fillId="0" borderId="27" xfId="2" applyNumberFormat="1" applyFont="1" applyBorder="1" applyAlignment="1">
      <alignment horizontal="right"/>
    </xf>
    <xf numFmtId="166" fontId="5" fillId="0" borderId="150" xfId="0" applyNumberFormat="1" applyFont="1" applyBorder="1"/>
    <xf numFmtId="166" fontId="5" fillId="0" borderId="27" xfId="2" applyNumberFormat="1" applyFont="1" applyBorder="1"/>
    <xf numFmtId="166" fontId="5" fillId="0" borderId="19" xfId="2" applyNumberFormat="1" applyFont="1" applyBorder="1" applyAlignment="1">
      <alignment horizontal="right"/>
    </xf>
    <xf numFmtId="0" fontId="5" fillId="0" borderId="2" xfId="2" applyFont="1" applyBorder="1" applyAlignment="1">
      <alignment horizontal="center"/>
    </xf>
    <xf numFmtId="0" fontId="4" fillId="0" borderId="2" xfId="0" applyFont="1" applyBorder="1" applyAlignment="1">
      <alignment vertical="top"/>
    </xf>
    <xf numFmtId="0" fontId="4" fillId="0" borderId="2" xfId="0" applyFont="1" applyBorder="1" applyAlignment="1">
      <alignment wrapText="1"/>
    </xf>
    <xf numFmtId="0" fontId="4" fillId="0" borderId="2" xfId="0" applyFont="1" applyBorder="1" applyAlignment="1">
      <alignment horizontal="right" wrapText="1"/>
    </xf>
    <xf numFmtId="0" fontId="4" fillId="0" borderId="3" xfId="0" applyFont="1" applyBorder="1" applyAlignment="1">
      <alignment vertical="top"/>
    </xf>
    <xf numFmtId="0" fontId="4" fillId="0" borderId="3" xfId="0" applyFont="1" applyBorder="1" applyAlignment="1">
      <alignment horizontal="right" wrapText="1"/>
    </xf>
    <xf numFmtId="0" fontId="4" fillId="0" borderId="3" xfId="0" applyFont="1" applyBorder="1" applyAlignment="1">
      <alignment horizontal="right"/>
    </xf>
    <xf numFmtId="2" fontId="4" fillId="0" borderId="3" xfId="0" applyNumberFormat="1" applyFont="1" applyBorder="1" applyAlignment="1">
      <alignment horizontal="right"/>
    </xf>
    <xf numFmtId="2" fontId="4" fillId="0" borderId="3" xfId="0" applyNumberFormat="1" applyFont="1" applyBorder="1" applyAlignment="1">
      <alignment horizontal="center"/>
    </xf>
    <xf numFmtId="2" fontId="4" fillId="0" borderId="0" xfId="0" applyNumberFormat="1" applyFont="1" applyAlignment="1">
      <alignment horizontal="center"/>
    </xf>
    <xf numFmtId="0" fontId="4" fillId="0" borderId="19" xfId="0" applyFont="1" applyBorder="1" applyAlignment="1">
      <alignment vertical="top"/>
    </xf>
    <xf numFmtId="0" fontId="4" fillId="0" borderId="19" xfId="0" applyFont="1" applyBorder="1" applyAlignment="1">
      <alignment wrapText="1"/>
    </xf>
    <xf numFmtId="0" fontId="4" fillId="0" borderId="19" xfId="0" applyFont="1" applyBorder="1" applyAlignment="1">
      <alignment horizontal="right"/>
    </xf>
    <xf numFmtId="2" fontId="4" fillId="0" borderId="19" xfId="0" applyNumberFormat="1" applyFont="1" applyBorder="1" applyAlignment="1">
      <alignment horizontal="right"/>
    </xf>
    <xf numFmtId="2" fontId="4" fillId="0" borderId="19" xfId="0" applyNumberFormat="1" applyFont="1" applyBorder="1" applyAlignment="1">
      <alignment horizontal="center"/>
    </xf>
    <xf numFmtId="0" fontId="5" fillId="0" borderId="3" xfId="2" applyFont="1" applyBorder="1" applyAlignment="1">
      <alignment horizontal="right"/>
    </xf>
    <xf numFmtId="166" fontId="5" fillId="0" borderId="84" xfId="2" applyNumberFormat="1" applyFont="1" applyBorder="1" applyAlignment="1">
      <alignment horizontal="right"/>
    </xf>
    <xf numFmtId="0" fontId="5" fillId="0" borderId="19" xfId="2" applyFont="1" applyBorder="1" applyAlignment="1">
      <alignment horizontal="right"/>
    </xf>
    <xf numFmtId="1" fontId="5" fillId="0" borderId="2" xfId="2" applyNumberFormat="1" applyFont="1" applyBorder="1" applyAlignment="1">
      <alignment horizontal="left"/>
    </xf>
    <xf numFmtId="2" fontId="38" fillId="0" borderId="3" xfId="2" applyNumberFormat="1" applyFont="1" applyBorder="1" applyAlignment="1">
      <alignment horizontal="right"/>
    </xf>
    <xf numFmtId="166" fontId="38" fillId="0" borderId="3" xfId="2" applyNumberFormat="1" applyFont="1" applyBorder="1" applyAlignment="1">
      <alignment horizontal="right"/>
    </xf>
    <xf numFmtId="0" fontId="4" fillId="0" borderId="10" xfId="0" applyFont="1" applyBorder="1" applyAlignment="1">
      <alignment horizontal="center" vertical="top" wrapText="1"/>
    </xf>
    <xf numFmtId="0" fontId="4" fillId="0" borderId="10" xfId="0" applyFont="1" applyBorder="1" applyAlignment="1">
      <alignment horizontal="right" vertical="top" wrapText="1"/>
    </xf>
    <xf numFmtId="2" fontId="4" fillId="0" borderId="10" xfId="0" applyNumberFormat="1" applyFont="1" applyBorder="1" applyAlignment="1">
      <alignment horizontal="right" vertical="top" wrapText="1"/>
    </xf>
    <xf numFmtId="166" fontId="4" fillId="0" borderId="10" xfId="0" applyNumberFormat="1" applyFont="1" applyBorder="1" applyAlignment="1">
      <alignment horizontal="right" vertical="top" wrapText="1"/>
    </xf>
    <xf numFmtId="0" fontId="0" fillId="0" borderId="151" xfId="0" applyBorder="1"/>
    <xf numFmtId="0" fontId="0" fillId="0" borderId="23" xfId="0" applyBorder="1" applyAlignment="1">
      <alignment horizontal="left"/>
    </xf>
    <xf numFmtId="166" fontId="0" fillId="0" borderId="23" xfId="0" applyNumberFormat="1" applyBorder="1"/>
    <xf numFmtId="166" fontId="0" fillId="0" borderId="151" xfId="0" applyNumberFormat="1" applyBorder="1"/>
    <xf numFmtId="166" fontId="0" fillId="0" borderId="151" xfId="0" applyNumberFormat="1" applyBorder="1" applyAlignment="1">
      <alignment horizontal="center"/>
    </xf>
    <xf numFmtId="0" fontId="0" fillId="0" borderId="32" xfId="0" applyBorder="1"/>
    <xf numFmtId="166" fontId="0" fillId="0" borderId="32" xfId="0" applyNumberFormat="1" applyBorder="1"/>
    <xf numFmtId="166" fontId="0" fillId="0" borderId="32" xfId="0" applyNumberFormat="1" applyBorder="1" applyAlignment="1">
      <alignment horizontal="left"/>
    </xf>
    <xf numFmtId="0" fontId="0" fillId="0" borderId="23" xfId="0" applyBorder="1"/>
    <xf numFmtId="0" fontId="0" fillId="0" borderId="23" xfId="0" applyBorder="1" applyAlignment="1">
      <alignment horizontal="right"/>
    </xf>
    <xf numFmtId="0" fontId="0" fillId="0" borderId="151" xfId="0" applyBorder="1" applyAlignment="1">
      <alignment horizontal="center"/>
    </xf>
    <xf numFmtId="166" fontId="0" fillId="0" borderId="23" xfId="0" applyNumberFormat="1" applyBorder="1" applyAlignment="1">
      <alignment horizontal="left"/>
    </xf>
    <xf numFmtId="166" fontId="0" fillId="0" borderId="23" xfId="0" applyNumberFormat="1" applyBorder="1" applyAlignment="1">
      <alignment horizontal="center"/>
    </xf>
    <xf numFmtId="168" fontId="0" fillId="0" borderId="23" xfId="0" applyNumberFormat="1" applyBorder="1"/>
    <xf numFmtId="166" fontId="0" fillId="0" borderId="23" xfId="0" applyNumberFormat="1" applyBorder="1" applyAlignment="1">
      <alignment horizontal="right"/>
    </xf>
    <xf numFmtId="168" fontId="0" fillId="0" borderId="151" xfId="0" applyNumberFormat="1" applyBorder="1"/>
    <xf numFmtId="0" fontId="0" fillId="0" borderId="152" xfId="0" applyBorder="1"/>
    <xf numFmtId="166" fontId="0" fillId="0" borderId="25" xfId="0" applyNumberFormat="1" applyBorder="1" applyAlignment="1">
      <alignment horizontal="left"/>
    </xf>
    <xf numFmtId="166" fontId="0" fillId="0" borderId="25" xfId="0" applyNumberFormat="1" applyBorder="1"/>
    <xf numFmtId="166" fontId="0" fillId="0" borderId="25" xfId="0" applyNumberFormat="1" applyBorder="1" applyAlignment="1">
      <alignment horizontal="center"/>
    </xf>
    <xf numFmtId="166" fontId="0" fillId="0" borderId="152" xfId="0" applyNumberFormat="1" applyBorder="1" applyAlignment="1">
      <alignment horizontal="center"/>
    </xf>
    <xf numFmtId="0" fontId="4" fillId="0" borderId="1" xfId="0" applyFont="1" applyBorder="1"/>
    <xf numFmtId="0" fontId="4" fillId="0" borderId="1" xfId="0" applyFont="1" applyBorder="1" applyAlignment="1">
      <alignment horizontal="right"/>
    </xf>
    <xf numFmtId="2" fontId="4" fillId="0" borderId="1" xfId="0" applyNumberFormat="1" applyFont="1" applyBorder="1" applyAlignment="1">
      <alignment horizontal="right"/>
    </xf>
    <xf numFmtId="166" fontId="4" fillId="0" borderId="1" xfId="0" applyNumberFormat="1" applyFont="1" applyBorder="1" applyAlignment="1">
      <alignment horizontal="right"/>
    </xf>
    <xf numFmtId="0" fontId="5" fillId="0" borderId="19" xfId="2" applyFont="1" applyBorder="1" applyAlignment="1">
      <alignment horizontal="center"/>
    </xf>
    <xf numFmtId="0" fontId="4" fillId="0" borderId="19" xfId="0" applyFont="1" applyBorder="1" applyAlignment="1">
      <alignment horizontal="right" wrapText="1"/>
    </xf>
    <xf numFmtId="166" fontId="28" fillId="0" borderId="2" xfId="0" applyNumberFormat="1" applyFont="1" applyBorder="1" applyAlignment="1">
      <alignment horizontal="right"/>
    </xf>
    <xf numFmtId="166" fontId="4" fillId="0" borderId="19" xfId="0" applyNumberFormat="1" applyFont="1" applyBorder="1" applyAlignment="1">
      <alignment horizontal="right"/>
    </xf>
    <xf numFmtId="0" fontId="4" fillId="0" borderId="3" xfId="0" applyFont="1" applyBorder="1" applyAlignment="1">
      <alignment wrapText="1"/>
    </xf>
    <xf numFmtId="166" fontId="28" fillId="0" borderId="3" xfId="0" applyNumberFormat="1" applyFont="1" applyBorder="1" applyAlignment="1">
      <alignment horizontal="right"/>
    </xf>
    <xf numFmtId="166" fontId="4" fillId="0" borderId="3" xfId="0" applyNumberFormat="1" applyFont="1" applyBorder="1" applyAlignment="1">
      <alignment horizontal="right"/>
    </xf>
    <xf numFmtId="0" fontId="91" fillId="0" borderId="20" xfId="2" applyFont="1" applyBorder="1" applyAlignment="1">
      <alignment horizontal="left"/>
    </xf>
    <xf numFmtId="0" fontId="49" fillId="0" borderId="0" xfId="0" applyFont="1"/>
    <xf numFmtId="0" fontId="28" fillId="0" borderId="1" xfId="0" applyFont="1" applyBorder="1" applyAlignment="1">
      <alignment horizontal="center" wrapText="1"/>
    </xf>
    <xf numFmtId="0" fontId="0" fillId="0" borderId="0" xfId="0" applyAlignment="1">
      <alignment wrapText="1"/>
    </xf>
    <xf numFmtId="0" fontId="4" fillId="0" borderId="1" xfId="0" applyFont="1" applyBorder="1" applyAlignment="1">
      <alignment horizontal="center"/>
    </xf>
    <xf numFmtId="0" fontId="92" fillId="0" borderId="1" xfId="0" applyFont="1" applyBorder="1" applyAlignment="1">
      <alignment horizontal="center" vertical="center" wrapText="1"/>
    </xf>
    <xf numFmtId="2" fontId="4" fillId="0" borderId="1" xfId="0" applyNumberFormat="1" applyFont="1" applyBorder="1"/>
    <xf numFmtId="0" fontId="0" fillId="0" borderId="1" xfId="0" applyBorder="1"/>
    <xf numFmtId="0" fontId="92" fillId="0" borderId="1" xfId="0" applyFont="1" applyBorder="1" applyAlignment="1">
      <alignment horizontal="center" wrapText="1"/>
    </xf>
    <xf numFmtId="0" fontId="93" fillId="0" borderId="1" xfId="0" applyFont="1" applyBorder="1" applyAlignment="1">
      <alignment horizontal="center" vertical="center" wrapText="1"/>
    </xf>
    <xf numFmtId="0" fontId="38" fillId="0" borderId="1" xfId="0" applyFont="1" applyBorder="1" applyAlignment="1">
      <alignment horizontal="center" wrapText="1"/>
    </xf>
    <xf numFmtId="0" fontId="5" fillId="0" borderId="1" xfId="0" applyFont="1" applyBorder="1" applyAlignment="1">
      <alignment horizontal="center"/>
    </xf>
    <xf numFmtId="0" fontId="19" fillId="0" borderId="1" xfId="0" applyFont="1" applyBorder="1" applyAlignment="1">
      <alignment horizontal="center" vertical="center" wrapText="1"/>
    </xf>
    <xf numFmtId="2" fontId="5" fillId="0" borderId="1" xfId="0" applyNumberFormat="1" applyFont="1" applyBorder="1"/>
    <xf numFmtId="0" fontId="5" fillId="0" borderId="1" xfId="0" applyFont="1" applyBorder="1"/>
    <xf numFmtId="0" fontId="19" fillId="0" borderId="1" xfId="0" applyFont="1" applyBorder="1" applyAlignment="1">
      <alignment horizontal="center" wrapText="1"/>
    </xf>
    <xf numFmtId="0" fontId="28" fillId="0" borderId="1" xfId="0" applyFont="1" applyBorder="1" applyAlignment="1">
      <alignment horizontal="center" vertical="center" wrapText="1"/>
    </xf>
    <xf numFmtId="49" fontId="28" fillId="0" borderId="1" xfId="0" applyNumberFormat="1" applyFont="1" applyBorder="1" applyAlignment="1">
      <alignment horizontal="center" wrapText="1"/>
    </xf>
    <xf numFmtId="0" fontId="28" fillId="0" borderId="1" xfId="0" applyFont="1" applyBorder="1" applyAlignment="1">
      <alignment horizontal="center"/>
    </xf>
    <xf numFmtId="2" fontId="28" fillId="0" borderId="1" xfId="0" applyNumberFormat="1" applyFont="1" applyBorder="1" applyAlignment="1">
      <alignment horizontal="center" vertical="center"/>
    </xf>
    <xf numFmtId="2" fontId="0" fillId="0" borderId="1" xfId="0" applyNumberFormat="1" applyBorder="1" applyAlignment="1">
      <alignment horizontal="center" vertical="center"/>
    </xf>
    <xf numFmtId="2" fontId="4" fillId="0" borderId="1" xfId="0" applyNumberFormat="1" applyFont="1" applyBorder="1" applyAlignment="1">
      <alignment horizontal="center" vertical="center"/>
    </xf>
    <xf numFmtId="49" fontId="28" fillId="0" borderId="4" xfId="0" applyNumberFormat="1" applyFont="1" applyBorder="1" applyAlignment="1">
      <alignment horizontal="center" wrapText="1"/>
    </xf>
    <xf numFmtId="0" fontId="92" fillId="0" borderId="4" xfId="0" applyFont="1" applyBorder="1" applyAlignment="1">
      <alignment horizontal="center" vertical="center" wrapText="1"/>
    </xf>
    <xf numFmtId="2" fontId="55" fillId="0" borderId="2" xfId="0" applyNumberFormat="1" applyFont="1" applyBorder="1" applyAlignment="1">
      <alignment horizontal="right" vertical="top" wrapText="1"/>
    </xf>
    <xf numFmtId="2" fontId="55" fillId="0" borderId="20" xfId="0" applyNumberFormat="1" applyFont="1" applyBorder="1" applyAlignment="1">
      <alignment horizontal="right" vertical="top" wrapText="1"/>
    </xf>
    <xf numFmtId="0" fontId="55" fillId="0" borderId="1" xfId="0" applyFont="1" applyBorder="1" applyAlignment="1">
      <alignment vertical="top" wrapText="1"/>
    </xf>
    <xf numFmtId="0" fontId="23" fillId="15" borderId="0" xfId="12" applyFill="1"/>
    <xf numFmtId="0" fontId="5" fillId="5" borderId="48" xfId="1" applyNumberFormat="1" applyFont="1" applyFill="1" applyBorder="1" applyAlignment="1">
      <alignment horizontal="left"/>
    </xf>
    <xf numFmtId="43" fontId="5" fillId="0" borderId="1" xfId="4" applyNumberFormat="1" applyFont="1" applyBorder="1"/>
    <xf numFmtId="0" fontId="19" fillId="0" borderId="16" xfId="4" applyFont="1" applyBorder="1" applyProtection="1">
      <protection locked="0"/>
    </xf>
    <xf numFmtId="0" fontId="5" fillId="0" borderId="16" xfId="4" applyFont="1" applyBorder="1" applyAlignment="1" applyProtection="1">
      <alignment horizontal="right"/>
      <protection locked="0"/>
    </xf>
    <xf numFmtId="176" fontId="19" fillId="0" borderId="16" xfId="4" applyNumberFormat="1" applyFont="1" applyBorder="1" applyProtection="1">
      <protection locked="0"/>
    </xf>
    <xf numFmtId="173" fontId="19" fillId="0" borderId="17" xfId="4" applyNumberFormat="1" applyFont="1" applyBorder="1" applyProtection="1">
      <protection locked="0"/>
    </xf>
    <xf numFmtId="0" fontId="5" fillId="0" borderId="11" xfId="4" applyFont="1" applyBorder="1" applyProtection="1">
      <protection locked="0"/>
    </xf>
    <xf numFmtId="0" fontId="14" fillId="0" borderId="5" xfId="4" applyFont="1" applyBorder="1" applyProtection="1">
      <protection locked="0"/>
    </xf>
    <xf numFmtId="0" fontId="5" fillId="0" borderId="5" xfId="4" applyFont="1" applyBorder="1" applyAlignment="1" applyProtection="1">
      <alignment horizontal="right"/>
      <protection locked="0"/>
    </xf>
    <xf numFmtId="0" fontId="5" fillId="0" borderId="5" xfId="4" applyFont="1" applyBorder="1" applyProtection="1">
      <protection locked="0"/>
    </xf>
    <xf numFmtId="0" fontId="19" fillId="0" borderId="5" xfId="4" applyFont="1" applyBorder="1" applyProtection="1">
      <protection locked="0"/>
    </xf>
    <xf numFmtId="176" fontId="19" fillId="0" borderId="5" xfId="4" applyNumberFormat="1" applyFont="1" applyBorder="1" applyProtection="1">
      <protection locked="0"/>
    </xf>
    <xf numFmtId="173" fontId="19" fillId="0" borderId="6" xfId="4" applyNumberFormat="1" applyFont="1" applyBorder="1" applyProtection="1">
      <protection locked="0"/>
    </xf>
    <xf numFmtId="0" fontId="5" fillId="0" borderId="11" xfId="4" applyFont="1" applyBorder="1"/>
    <xf numFmtId="0" fontId="38" fillId="0" borderId="5" xfId="4" applyFont="1" applyBorder="1" applyProtection="1">
      <protection locked="0"/>
    </xf>
    <xf numFmtId="0" fontId="38" fillId="0" borderId="5" xfId="4" applyFont="1" applyBorder="1" applyAlignment="1" applyProtection="1">
      <alignment horizontal="right"/>
      <protection locked="0"/>
    </xf>
    <xf numFmtId="0" fontId="14" fillId="0" borderId="5" xfId="4" applyFont="1" applyBorder="1" applyAlignment="1" applyProtection="1">
      <alignment horizontal="right"/>
      <protection locked="0"/>
    </xf>
    <xf numFmtId="173" fontId="14" fillId="0" borderId="6" xfId="4" applyNumberFormat="1" applyFont="1" applyBorder="1" applyProtection="1">
      <protection locked="0"/>
    </xf>
    <xf numFmtId="0" fontId="19" fillId="0" borderId="16" xfId="4" applyFont="1" applyBorder="1" applyAlignment="1" applyProtection="1">
      <alignment horizontal="right"/>
      <protection locked="0"/>
    </xf>
    <xf numFmtId="173" fontId="19" fillId="0" borderId="16" xfId="4" applyNumberFormat="1" applyFont="1" applyBorder="1" applyProtection="1">
      <protection locked="0"/>
    </xf>
    <xf numFmtId="0" fontId="5" fillId="0" borderId="12" xfId="4" applyFont="1" applyBorder="1" applyProtection="1">
      <protection locked="0"/>
    </xf>
    <xf numFmtId="0" fontId="23" fillId="0" borderId="12" xfId="4" applyFont="1" applyBorder="1" applyAlignment="1" applyProtection="1">
      <alignment horizontal="center"/>
      <protection locked="0"/>
    </xf>
    <xf numFmtId="0" fontId="5" fillId="0" borderId="8" xfId="4" applyFont="1" applyBorder="1" applyProtection="1">
      <protection locked="0"/>
    </xf>
    <xf numFmtId="2" fontId="5" fillId="0" borderId="72" xfId="4" applyNumberFormat="1" applyFont="1" applyBorder="1" applyProtection="1">
      <protection locked="0"/>
    </xf>
    <xf numFmtId="0" fontId="5" fillId="0" borderId="0" xfId="4" applyFont="1" applyAlignment="1" applyProtection="1">
      <alignment horizontal="left"/>
      <protection locked="0"/>
    </xf>
    <xf numFmtId="2" fontId="96" fillId="6" borderId="0" xfId="4" applyNumberFormat="1" applyFont="1" applyFill="1"/>
    <xf numFmtId="0" fontId="49" fillId="0" borderId="0" xfId="4" applyFont="1" applyAlignment="1">
      <alignment horizontal="left"/>
    </xf>
    <xf numFmtId="0" fontId="27" fillId="0" borderId="0" xfId="4" applyFont="1" applyAlignment="1">
      <alignment horizontal="centerContinuous"/>
    </xf>
    <xf numFmtId="0" fontId="27" fillId="0" borderId="0" xfId="4" applyFont="1" applyAlignment="1">
      <alignment horizontal="right"/>
    </xf>
    <xf numFmtId="2" fontId="30" fillId="0" borderId="0" xfId="4" applyNumberFormat="1" applyFont="1"/>
    <xf numFmtId="0" fontId="27" fillId="0" borderId="0" xfId="4" applyFont="1"/>
    <xf numFmtId="0" fontId="30" fillId="0" borderId="0" xfId="4" applyFont="1" applyAlignment="1">
      <alignment horizontal="right"/>
    </xf>
    <xf numFmtId="0" fontId="86" fillId="0" borderId="0" xfId="4" applyFont="1" applyAlignment="1">
      <alignment horizontal="left"/>
    </xf>
    <xf numFmtId="0" fontId="27" fillId="0" borderId="35" xfId="4" applyFont="1" applyBorder="1"/>
    <xf numFmtId="0" fontId="27" fillId="0" borderId="80" xfId="4" applyFont="1" applyBorder="1"/>
    <xf numFmtId="170" fontId="27" fillId="0" borderId="80" xfId="6" applyFont="1" applyBorder="1" applyAlignment="1">
      <alignment horizontal="center"/>
    </xf>
    <xf numFmtId="2" fontId="27" fillId="0" borderId="36" xfId="6" applyNumberFormat="1" applyFont="1" applyBorder="1" applyAlignment="1">
      <alignment horizontal="center"/>
    </xf>
    <xf numFmtId="0" fontId="89" fillId="0" borderId="81" xfId="4" applyFont="1" applyBorder="1" applyAlignment="1">
      <alignment horizontal="right"/>
    </xf>
    <xf numFmtId="0" fontId="89" fillId="0" borderId="82" xfId="4" applyFont="1" applyBorder="1"/>
    <xf numFmtId="1" fontId="27" fillId="0" borderId="82" xfId="4" applyNumberFormat="1" applyFont="1" applyBorder="1"/>
    <xf numFmtId="0" fontId="27" fillId="0" borderId="82" xfId="4" applyFont="1" applyBorder="1" applyAlignment="1">
      <alignment horizontal="right"/>
    </xf>
    <xf numFmtId="0" fontId="27" fillId="0" borderId="82" xfId="4" applyFont="1" applyBorder="1" applyAlignment="1">
      <alignment horizontal="center"/>
    </xf>
    <xf numFmtId="0" fontId="27" fillId="0" borderId="82" xfId="4" applyFont="1" applyBorder="1"/>
    <xf numFmtId="2" fontId="4" fillId="0" borderId="83" xfId="4" applyNumberFormat="1" applyBorder="1"/>
    <xf numFmtId="0" fontId="27" fillId="0" borderId="60" xfId="4" applyFont="1" applyBorder="1" applyAlignment="1">
      <alignment horizontal="right"/>
    </xf>
    <xf numFmtId="0" fontId="43" fillId="0" borderId="61" xfId="4" applyFont="1" applyBorder="1"/>
    <xf numFmtId="1" fontId="27" fillId="0" borderId="61" xfId="4" applyNumberFormat="1" applyFont="1" applyBorder="1"/>
    <xf numFmtId="2" fontId="27" fillId="0" borderId="61" xfId="4" applyNumberFormat="1" applyFont="1" applyBorder="1"/>
    <xf numFmtId="2" fontId="27" fillId="0" borderId="61" xfId="4" applyNumberFormat="1" applyFont="1" applyBorder="1" applyAlignment="1">
      <alignment horizontal="center"/>
    </xf>
    <xf numFmtId="0" fontId="27" fillId="0" borderId="61" xfId="4" applyFont="1" applyBorder="1"/>
    <xf numFmtId="2" fontId="4" fillId="0" borderId="64" xfId="4" applyNumberFormat="1" applyBorder="1"/>
    <xf numFmtId="43" fontId="27" fillId="0" borderId="61" xfId="4" applyNumberFormat="1" applyFont="1" applyBorder="1"/>
    <xf numFmtId="173" fontId="4" fillId="0" borderId="64" xfId="4" applyNumberFormat="1" applyBorder="1"/>
    <xf numFmtId="0" fontId="4" fillId="0" borderId="0" xfId="4" applyAlignment="1">
      <alignment horizontal="center"/>
    </xf>
    <xf numFmtId="0" fontId="4" fillId="8" borderId="0" xfId="4" applyFill="1" applyAlignment="1" applyProtection="1">
      <alignment horizontal="center"/>
      <protection locked="0"/>
    </xf>
    <xf numFmtId="43" fontId="4" fillId="8" borderId="0" xfId="1" applyFont="1" applyFill="1" applyBorder="1" applyAlignment="1" applyProtection="1">
      <alignment horizontal="center"/>
      <protection locked="0"/>
    </xf>
    <xf numFmtId="43" fontId="28" fillId="8" borderId="0" xfId="4" applyNumberFormat="1" applyFont="1" applyFill="1"/>
    <xf numFmtId="43" fontId="98" fillId="8" borderId="0" xfId="4" applyNumberFormat="1" applyFont="1" applyFill="1"/>
    <xf numFmtId="0" fontId="89" fillId="0" borderId="60" xfId="4" applyFont="1" applyBorder="1" applyAlignment="1">
      <alignment horizontal="right"/>
    </xf>
    <xf numFmtId="0" fontId="89" fillId="0" borderId="61" xfId="4" applyFont="1" applyBorder="1"/>
    <xf numFmtId="0" fontId="4" fillId="9" borderId="0" xfId="4" applyFill="1"/>
    <xf numFmtId="0" fontId="4" fillId="0" borderId="0" xfId="4" quotePrefix="1"/>
    <xf numFmtId="1" fontId="4" fillId="0" borderId="0" xfId="4" applyNumberFormat="1"/>
    <xf numFmtId="173" fontId="4" fillId="0" borderId="14" xfId="4" applyNumberFormat="1" applyBorder="1"/>
    <xf numFmtId="0" fontId="4" fillId="0" borderId="0" xfId="4" applyAlignment="1" applyProtection="1">
      <alignment horizontal="center"/>
      <protection locked="0"/>
    </xf>
    <xf numFmtId="43" fontId="4" fillId="5" borderId="0" xfId="1" applyFont="1" applyFill="1" applyBorder="1" applyAlignment="1" applyProtection="1">
      <alignment horizontal="center"/>
      <protection locked="0"/>
    </xf>
    <xf numFmtId="43" fontId="98" fillId="0" borderId="0" xfId="4" applyNumberFormat="1" applyFont="1"/>
    <xf numFmtId="0" fontId="99" fillId="0" borderId="61" xfId="4" applyFont="1" applyBorder="1" applyAlignment="1">
      <alignment horizontal="right"/>
    </xf>
    <xf numFmtId="1" fontId="89" fillId="0" borderId="61" xfId="4" applyNumberFormat="1" applyFont="1" applyBorder="1"/>
    <xf numFmtId="1" fontId="89" fillId="0" borderId="55" xfId="4" applyNumberFormat="1" applyFont="1" applyBorder="1"/>
    <xf numFmtId="0" fontId="27" fillId="0" borderId="61" xfId="4" applyFont="1" applyBorder="1" applyAlignment="1">
      <alignment horizontal="right"/>
    </xf>
    <xf numFmtId="173" fontId="4" fillId="0" borderId="59" xfId="4" applyNumberFormat="1" applyBorder="1"/>
    <xf numFmtId="178" fontId="99" fillId="0" borderId="61" xfId="4" applyNumberFormat="1" applyFont="1" applyBorder="1" applyAlignment="1">
      <alignment horizontal="right"/>
    </xf>
    <xf numFmtId="173" fontId="99" fillId="0" borderId="64" xfId="4" applyNumberFormat="1" applyFont="1" applyBorder="1"/>
    <xf numFmtId="0" fontId="99" fillId="0" borderId="61" xfId="4" applyFont="1" applyBorder="1"/>
    <xf numFmtId="0" fontId="89" fillId="0" borderId="61" xfId="4" applyFont="1" applyBorder="1" applyAlignment="1">
      <alignment horizontal="right"/>
    </xf>
    <xf numFmtId="173" fontId="25" fillId="0" borderId="64" xfId="4" applyNumberFormat="1" applyFont="1" applyBorder="1"/>
    <xf numFmtId="1" fontId="4" fillId="0" borderId="0" xfId="4" quotePrefix="1" applyNumberFormat="1"/>
    <xf numFmtId="1" fontId="27" fillId="0" borderId="66" xfId="4" applyNumberFormat="1" applyFont="1" applyBorder="1"/>
    <xf numFmtId="2" fontId="27" fillId="0" borderId="66" xfId="4" applyNumberFormat="1" applyFont="1" applyBorder="1"/>
    <xf numFmtId="2" fontId="27" fillId="0" borderId="66" xfId="4" applyNumberFormat="1" applyFont="1" applyBorder="1" applyAlignment="1">
      <alignment horizontal="center"/>
    </xf>
    <xf numFmtId="1" fontId="89" fillId="0" borderId="66" xfId="4" applyNumberFormat="1" applyFont="1" applyBorder="1"/>
    <xf numFmtId="0" fontId="89" fillId="0" borderId="66" xfId="4" applyFont="1" applyBorder="1" applyAlignment="1">
      <alignment horizontal="right"/>
    </xf>
    <xf numFmtId="173" fontId="4" fillId="0" borderId="68" xfId="4" applyNumberFormat="1" applyBorder="1"/>
    <xf numFmtId="1" fontId="27" fillId="0" borderId="62" xfId="4" applyNumberFormat="1" applyFont="1" applyBorder="1"/>
    <xf numFmtId="2" fontId="27" fillId="0" borderId="0" xfId="4" applyNumberFormat="1" applyFont="1"/>
    <xf numFmtId="2" fontId="27" fillId="0" borderId="0" xfId="4" applyNumberFormat="1" applyFont="1" applyAlignment="1">
      <alignment horizontal="center"/>
    </xf>
    <xf numFmtId="1" fontId="89" fillId="0" borderId="0" xfId="4" applyNumberFormat="1" applyFont="1"/>
    <xf numFmtId="173" fontId="99" fillId="0" borderId="14" xfId="4" applyNumberFormat="1" applyFont="1" applyBorder="1"/>
    <xf numFmtId="0" fontId="99" fillId="0" borderId="66" xfId="4" applyFont="1" applyBorder="1"/>
    <xf numFmtId="1" fontId="27" fillId="0" borderId="74" xfId="4" applyNumberFormat="1" applyFont="1" applyBorder="1"/>
    <xf numFmtId="2" fontId="27" fillId="0" borderId="29" xfId="4" applyNumberFormat="1" applyFont="1" applyBorder="1"/>
    <xf numFmtId="2" fontId="27" fillId="0" borderId="29" xfId="4" applyNumberFormat="1" applyFont="1" applyBorder="1" applyAlignment="1">
      <alignment horizontal="center"/>
    </xf>
    <xf numFmtId="1" fontId="89" fillId="0" borderId="29" xfId="4" applyNumberFormat="1" applyFont="1" applyBorder="1"/>
    <xf numFmtId="0" fontId="89" fillId="0" borderId="29" xfId="4" applyFont="1" applyBorder="1" applyAlignment="1">
      <alignment horizontal="right"/>
    </xf>
    <xf numFmtId="173" fontId="25" fillId="0" borderId="30" xfId="4" applyNumberFormat="1" applyFont="1" applyBorder="1"/>
    <xf numFmtId="0" fontId="27" fillId="0" borderId="33" xfId="4" applyFont="1" applyBorder="1" applyAlignment="1">
      <alignment horizontal="right"/>
    </xf>
    <xf numFmtId="0" fontId="99" fillId="0" borderId="84" xfId="4" applyFont="1" applyBorder="1"/>
    <xf numFmtId="1" fontId="89" fillId="0" borderId="84" xfId="4" applyNumberFormat="1" applyFont="1" applyBorder="1"/>
    <xf numFmtId="2" fontId="27" fillId="0" borderId="84" xfId="4" applyNumberFormat="1" applyFont="1" applyBorder="1" applyAlignment="1">
      <alignment horizontal="center"/>
    </xf>
    <xf numFmtId="2" fontId="27" fillId="0" borderId="84" xfId="4" applyNumberFormat="1" applyFont="1" applyBorder="1"/>
    <xf numFmtId="0" fontId="89" fillId="0" borderId="84" xfId="4" applyFont="1" applyBorder="1" applyAlignment="1">
      <alignment horizontal="right"/>
    </xf>
    <xf numFmtId="173" fontId="25" fillId="0" borderId="34" xfId="4" applyNumberFormat="1" applyFont="1" applyBorder="1"/>
    <xf numFmtId="0" fontId="99" fillId="0" borderId="0" xfId="4" applyFont="1"/>
    <xf numFmtId="0" fontId="89" fillId="0" borderId="0" xfId="4" applyFont="1" applyAlignment="1">
      <alignment horizontal="right"/>
    </xf>
    <xf numFmtId="2" fontId="28" fillId="0" borderId="0" xfId="4" applyNumberFormat="1" applyFont="1"/>
    <xf numFmtId="0" fontId="27" fillId="0" borderId="11" xfId="4" applyFont="1" applyBorder="1" applyAlignment="1">
      <alignment horizontal="right"/>
    </xf>
    <xf numFmtId="2" fontId="27" fillId="0" borderId="77" xfId="4" applyNumberFormat="1" applyFont="1" applyBorder="1"/>
    <xf numFmtId="2" fontId="27" fillId="0" borderId="78" xfId="4" applyNumberFormat="1" applyFont="1" applyBorder="1" applyAlignment="1">
      <alignment horizontal="center"/>
    </xf>
    <xf numFmtId="0" fontId="27" fillId="0" borderId="78" xfId="4" applyFont="1" applyBorder="1" applyAlignment="1">
      <alignment horizontal="center"/>
    </xf>
    <xf numFmtId="2" fontId="4" fillId="0" borderId="79" xfId="4" applyNumberFormat="1" applyBorder="1" applyAlignment="1">
      <alignment horizontal="center"/>
    </xf>
    <xf numFmtId="0" fontId="27" fillId="0" borderId="54" xfId="4" applyFont="1" applyBorder="1" applyAlignment="1">
      <alignment horizontal="right"/>
    </xf>
    <xf numFmtId="0" fontId="99" fillId="0" borderId="55" xfId="4" applyFont="1" applyBorder="1"/>
    <xf numFmtId="2" fontId="27" fillId="0" borderId="55" xfId="4" applyNumberFormat="1" applyFont="1" applyBorder="1" applyAlignment="1">
      <alignment horizontal="center"/>
    </xf>
    <xf numFmtId="2" fontId="27" fillId="0" borderId="55" xfId="4" applyNumberFormat="1" applyFont="1" applyBorder="1"/>
    <xf numFmtId="2" fontId="27" fillId="0" borderId="55" xfId="4" applyNumberFormat="1" applyFont="1" applyBorder="1" applyAlignment="1">
      <alignment horizontal="right"/>
    </xf>
    <xf numFmtId="0" fontId="4" fillId="0" borderId="64" xfId="4" applyBorder="1"/>
    <xf numFmtId="0" fontId="27" fillId="0" borderId="69" xfId="4" applyFont="1" applyBorder="1" applyAlignment="1">
      <alignment horizontal="right"/>
    </xf>
    <xf numFmtId="0" fontId="99" fillId="0" borderId="70" xfId="4" applyFont="1" applyBorder="1" applyAlignment="1">
      <alignment horizontal="right"/>
    </xf>
    <xf numFmtId="1" fontId="89" fillId="0" borderId="70" xfId="4" applyNumberFormat="1" applyFont="1" applyBorder="1"/>
    <xf numFmtId="2" fontId="27" fillId="0" borderId="70" xfId="4" applyNumberFormat="1" applyFont="1" applyBorder="1" applyAlignment="1">
      <alignment horizontal="center"/>
    </xf>
    <xf numFmtId="2" fontId="27" fillId="0" borderId="70" xfId="4" applyNumberFormat="1" applyFont="1" applyBorder="1"/>
    <xf numFmtId="2" fontId="27" fillId="0" borderId="70" xfId="4" applyNumberFormat="1" applyFont="1" applyBorder="1" applyAlignment="1">
      <alignment horizontal="right"/>
    </xf>
    <xf numFmtId="173" fontId="25" fillId="0" borderId="72" xfId="4" applyNumberFormat="1" applyFont="1" applyBorder="1"/>
    <xf numFmtId="1" fontId="27" fillId="0" borderId="0" xfId="4" applyNumberFormat="1" applyFont="1"/>
    <xf numFmtId="0" fontId="99" fillId="0" borderId="0" xfId="4" applyFont="1" applyAlignment="1">
      <alignment horizontal="right"/>
    </xf>
    <xf numFmtId="2" fontId="99" fillId="0" borderId="0" xfId="4" applyNumberFormat="1" applyFont="1"/>
    <xf numFmtId="166" fontId="102" fillId="0" borderId="0" xfId="19" applyFont="1"/>
    <xf numFmtId="0" fontId="100" fillId="0" borderId="0" xfId="18" applyFont="1" applyAlignment="1">
      <alignment horizontal="center" vertical="top"/>
    </xf>
    <xf numFmtId="0" fontId="100" fillId="0" borderId="0" xfId="18" applyFont="1" applyAlignment="1">
      <alignment horizontal="left" vertical="top"/>
    </xf>
    <xf numFmtId="0" fontId="100" fillId="0" borderId="35" xfId="18" applyFont="1" applyBorder="1" applyAlignment="1">
      <alignment horizontal="center" vertical="top"/>
    </xf>
    <xf numFmtId="0" fontId="100" fillId="0" borderId="80" xfId="18" applyFont="1" applyBorder="1" applyAlignment="1">
      <alignment horizontal="center" vertical="top"/>
    </xf>
    <xf numFmtId="0" fontId="100" fillId="0" borderId="36" xfId="18" applyFont="1" applyBorder="1" applyAlignment="1">
      <alignment horizontal="center" vertical="top"/>
    </xf>
    <xf numFmtId="166" fontId="102" fillId="0" borderId="0" xfId="18" applyNumberFormat="1" applyFont="1"/>
    <xf numFmtId="0" fontId="103" fillId="0" borderId="65" xfId="18" applyFont="1" applyBorder="1" applyAlignment="1">
      <alignment vertical="top"/>
    </xf>
    <xf numFmtId="0" fontId="103" fillId="0" borderId="66" xfId="18" applyFont="1" applyBorder="1" applyAlignment="1">
      <alignment vertical="top" wrapText="1"/>
    </xf>
    <xf numFmtId="0" fontId="103" fillId="0" borderId="66" xfId="18" applyFont="1" applyBorder="1" applyAlignment="1">
      <alignment vertical="top"/>
    </xf>
    <xf numFmtId="2" fontId="103" fillId="0" borderId="66" xfId="18" applyNumberFormat="1" applyFont="1" applyBorder="1" applyAlignment="1">
      <alignment horizontal="right" vertical="top"/>
    </xf>
    <xf numFmtId="192" fontId="103" fillId="0" borderId="66" xfId="20" applyFont="1" applyFill="1" applyBorder="1" applyAlignment="1">
      <alignment vertical="top"/>
    </xf>
    <xf numFmtId="0" fontId="100" fillId="0" borderId="68" xfId="18" applyFont="1" applyBorder="1" applyAlignment="1">
      <alignment horizontal="center" vertical="top"/>
    </xf>
    <xf numFmtId="0" fontId="103" fillId="0" borderId="37" xfId="18" applyFont="1" applyBorder="1" applyAlignment="1">
      <alignment vertical="top"/>
    </xf>
    <xf numFmtId="0" fontId="103" fillId="0" borderId="116" xfId="18" applyFont="1" applyBorder="1" applyAlignment="1">
      <alignment vertical="top"/>
    </xf>
    <xf numFmtId="2" fontId="103" fillId="0" borderId="116" xfId="18" applyNumberFormat="1" applyFont="1" applyBorder="1" applyAlignment="1">
      <alignment horizontal="right" vertical="top"/>
    </xf>
    <xf numFmtId="192" fontId="103" fillId="0" borderId="116" xfId="20" applyFont="1" applyFill="1" applyBorder="1" applyAlignment="1">
      <alignment vertical="top"/>
    </xf>
    <xf numFmtId="0" fontId="100" fillId="0" borderId="117" xfId="18" applyFont="1" applyBorder="1" applyAlignment="1">
      <alignment horizontal="center" vertical="top"/>
    </xf>
    <xf numFmtId="2" fontId="103" fillId="0" borderId="116" xfId="18" applyNumberFormat="1" applyFont="1" applyBorder="1" applyAlignment="1">
      <alignment vertical="top"/>
    </xf>
    <xf numFmtId="0" fontId="103" fillId="0" borderId="117" xfId="18" applyFont="1" applyBorder="1" applyAlignment="1">
      <alignment vertical="top"/>
    </xf>
    <xf numFmtId="0" fontId="103" fillId="0" borderId="81" xfId="18" applyFont="1" applyBorder="1" applyAlignment="1">
      <alignment vertical="top"/>
    </xf>
    <xf numFmtId="0" fontId="103" fillId="0" borderId="116" xfId="18" applyFont="1" applyBorder="1" applyAlignment="1">
      <alignment vertical="top" wrapText="1"/>
    </xf>
    <xf numFmtId="0" fontId="103" fillId="0" borderId="82" xfId="18" applyFont="1" applyBorder="1" applyAlignment="1">
      <alignment vertical="top" wrapText="1"/>
    </xf>
    <xf numFmtId="0" fontId="103" fillId="0" borderId="82" xfId="18" applyFont="1" applyBorder="1" applyAlignment="1">
      <alignment vertical="top"/>
    </xf>
    <xf numFmtId="2" fontId="103" fillId="0" borderId="82" xfId="18" applyNumberFormat="1" applyFont="1" applyBorder="1" applyAlignment="1">
      <alignment vertical="top"/>
    </xf>
    <xf numFmtId="0" fontId="103" fillId="0" borderId="83" xfId="18" applyFont="1" applyBorder="1" applyAlignment="1">
      <alignment vertical="top"/>
    </xf>
    <xf numFmtId="0" fontId="94" fillId="0" borderId="82" xfId="18" applyFont="1" applyBorder="1" applyAlignment="1">
      <alignment horizontal="left" vertical="center"/>
    </xf>
    <xf numFmtId="0" fontId="103" fillId="0" borderId="82" xfId="18" applyFont="1" applyBorder="1" applyAlignment="1">
      <alignment horizontal="left" vertical="top"/>
    </xf>
    <xf numFmtId="192" fontId="103" fillId="0" borderId="82" xfId="20" applyFont="1" applyFill="1" applyBorder="1" applyAlignment="1">
      <alignment vertical="top"/>
    </xf>
    <xf numFmtId="0" fontId="94" fillId="0" borderId="116" xfId="18" applyFont="1" applyBorder="1" applyAlignment="1">
      <alignment horizontal="left" vertical="center"/>
    </xf>
    <xf numFmtId="2" fontId="103" fillId="5" borderId="82" xfId="18" applyNumberFormat="1" applyFont="1" applyFill="1" applyBorder="1" applyAlignment="1">
      <alignment vertical="top"/>
    </xf>
    <xf numFmtId="0" fontId="103" fillId="0" borderId="33" xfId="18" applyFont="1" applyBorder="1" applyAlignment="1">
      <alignment vertical="top"/>
    </xf>
    <xf numFmtId="0" fontId="94" fillId="0" borderId="118" xfId="21" applyFont="1" applyBorder="1" applyAlignment="1">
      <alignment horizontal="right" vertical="top" wrapText="1"/>
    </xf>
    <xf numFmtId="0" fontId="103" fillId="0" borderId="153" xfId="18" applyFont="1" applyBorder="1" applyAlignment="1">
      <alignment vertical="top"/>
    </xf>
    <xf numFmtId="0" fontId="103" fillId="0" borderId="118" xfId="18" applyFont="1" applyBorder="1" applyAlignment="1">
      <alignment vertical="top"/>
    </xf>
    <xf numFmtId="192" fontId="100" fillId="0" borderId="118" xfId="20" applyFont="1" applyFill="1" applyBorder="1" applyAlignment="1">
      <alignment vertical="top"/>
    </xf>
    <xf numFmtId="0" fontId="103" fillId="0" borderId="119" xfId="18" applyFont="1" applyBorder="1" applyAlignment="1">
      <alignment vertical="top"/>
    </xf>
    <xf numFmtId="0" fontId="103" fillId="0" borderId="65" xfId="18" applyFont="1" applyBorder="1" applyAlignment="1">
      <alignment horizontal="right" vertical="top"/>
    </xf>
    <xf numFmtId="4" fontId="103" fillId="0" borderId="116" xfId="18" applyNumberFormat="1" applyFont="1" applyBorder="1" applyAlignment="1">
      <alignment vertical="top"/>
    </xf>
    <xf numFmtId="0" fontId="103" fillId="0" borderId="39" xfId="18" applyFont="1" applyBorder="1" applyAlignment="1">
      <alignment vertical="top"/>
    </xf>
    <xf numFmtId="0" fontId="100" fillId="0" borderId="118" xfId="18" applyFont="1" applyBorder="1" applyAlignment="1">
      <alignment vertical="top"/>
    </xf>
    <xf numFmtId="0" fontId="103" fillId="0" borderId="0" xfId="18" applyFont="1" applyAlignment="1">
      <alignment vertical="top"/>
    </xf>
    <xf numFmtId="192" fontId="104" fillId="0" borderId="0" xfId="20" applyFont="1" applyFill="1"/>
    <xf numFmtId="166" fontId="30" fillId="0" borderId="0" xfId="19" applyFont="1" applyAlignment="1">
      <alignment vertical="center"/>
    </xf>
    <xf numFmtId="0" fontId="28" fillId="0" borderId="0" xfId="18" applyFont="1" applyAlignment="1">
      <alignment horizontal="center" vertical="center"/>
    </xf>
    <xf numFmtId="166" fontId="30" fillId="0" borderId="0" xfId="21" applyNumberFormat="1" applyFont="1" applyAlignment="1">
      <alignment vertical="center"/>
    </xf>
    <xf numFmtId="0" fontId="28" fillId="0" borderId="35" xfId="18" applyFont="1" applyBorder="1" applyAlignment="1">
      <alignment horizontal="center" vertical="center"/>
    </xf>
    <xf numFmtId="0" fontId="28" fillId="0" borderId="80" xfId="18" applyFont="1" applyBorder="1" applyAlignment="1">
      <alignment horizontal="center" vertical="center"/>
    </xf>
    <xf numFmtId="0" fontId="28" fillId="0" borderId="36" xfId="18" applyFont="1" applyBorder="1" applyAlignment="1">
      <alignment horizontal="center" vertical="center"/>
    </xf>
    <xf numFmtId="0" fontId="28" fillId="0" borderId="37" xfId="18" applyFont="1" applyBorder="1" applyAlignment="1">
      <alignment vertical="center"/>
    </xf>
    <xf numFmtId="0" fontId="28" fillId="0" borderId="116" xfId="18" applyFont="1" applyBorder="1" applyAlignment="1">
      <alignment vertical="center" wrapText="1"/>
    </xf>
    <xf numFmtId="0" fontId="4" fillId="0" borderId="116" xfId="18" applyBorder="1" applyAlignment="1">
      <alignment vertical="center"/>
    </xf>
    <xf numFmtId="2" fontId="4" fillId="0" borderId="116" xfId="18" applyNumberFormat="1" applyBorder="1" applyAlignment="1">
      <alignment vertical="center"/>
    </xf>
    <xf numFmtId="0" fontId="4" fillId="0" borderId="117" xfId="18" applyBorder="1" applyAlignment="1">
      <alignment vertical="center"/>
    </xf>
    <xf numFmtId="0" fontId="28" fillId="0" borderId="116" xfId="18" applyFont="1" applyBorder="1" applyAlignment="1">
      <alignment vertical="center"/>
    </xf>
    <xf numFmtId="0" fontId="28" fillId="0" borderId="31" xfId="18" applyFont="1" applyBorder="1" applyAlignment="1">
      <alignment vertical="center"/>
    </xf>
    <xf numFmtId="0" fontId="4" fillId="0" borderId="116" xfId="18" applyBorder="1" applyAlignment="1">
      <alignment horizontal="right" vertical="center"/>
    </xf>
    <xf numFmtId="0" fontId="4" fillId="0" borderId="154" xfId="18" applyBorder="1" applyAlignment="1">
      <alignment vertical="center"/>
    </xf>
    <xf numFmtId="0" fontId="4" fillId="0" borderId="82" xfId="18" applyBorder="1" applyAlignment="1">
      <alignment vertical="center"/>
    </xf>
    <xf numFmtId="0" fontId="4" fillId="0" borderId="155" xfId="18" applyBorder="1" applyAlignment="1">
      <alignment vertical="center"/>
    </xf>
    <xf numFmtId="2" fontId="4" fillId="0" borderId="155" xfId="18" applyNumberFormat="1" applyBorder="1" applyAlignment="1">
      <alignment vertical="center"/>
    </xf>
    <xf numFmtId="0" fontId="28" fillId="0" borderId="155" xfId="18" applyFont="1" applyBorder="1" applyAlignment="1">
      <alignment vertical="center"/>
    </xf>
    <xf numFmtId="2" fontId="28" fillId="0" borderId="116" xfId="18" applyNumberFormat="1" applyFont="1" applyBorder="1" applyAlignment="1">
      <alignment vertical="center"/>
    </xf>
    <xf numFmtId="0" fontId="105" fillId="0" borderId="116" xfId="18" applyFont="1" applyBorder="1" applyAlignment="1">
      <alignment vertical="center"/>
    </xf>
    <xf numFmtId="0" fontId="4" fillId="0" borderId="66" xfId="18" applyBorder="1" applyAlignment="1">
      <alignment horizontal="right" vertical="center"/>
    </xf>
    <xf numFmtId="0" fontId="4" fillId="0" borderId="38" xfId="18" applyBorder="1" applyAlignment="1">
      <alignment vertical="center"/>
    </xf>
    <xf numFmtId="0" fontId="4" fillId="0" borderId="66" xfId="18" applyBorder="1" applyAlignment="1">
      <alignment vertical="center"/>
    </xf>
    <xf numFmtId="0" fontId="4" fillId="0" borderId="37" xfId="18" applyBorder="1" applyAlignment="1">
      <alignment vertical="center"/>
    </xf>
    <xf numFmtId="0" fontId="28" fillId="0" borderId="81" xfId="18" applyFont="1" applyBorder="1" applyAlignment="1">
      <alignment vertical="center"/>
    </xf>
    <xf numFmtId="0" fontId="28" fillId="0" borderId="82" xfId="18" applyFont="1" applyBorder="1" applyAlignment="1">
      <alignment vertical="center"/>
    </xf>
    <xf numFmtId="2" fontId="28" fillId="0" borderId="82" xfId="18" applyNumberFormat="1" applyFont="1" applyBorder="1" applyAlignment="1">
      <alignment vertical="center"/>
    </xf>
    <xf numFmtId="0" fontId="4" fillId="0" borderId="83" xfId="18" applyBorder="1" applyAlignment="1">
      <alignment vertical="center"/>
    </xf>
    <xf numFmtId="2" fontId="4" fillId="0" borderId="82" xfId="18" applyNumberFormat="1" applyBorder="1" applyAlignment="1">
      <alignment vertical="center"/>
    </xf>
    <xf numFmtId="0" fontId="4" fillId="0" borderId="81" xfId="18" applyBorder="1" applyAlignment="1">
      <alignment vertical="center"/>
    </xf>
    <xf numFmtId="0" fontId="28" fillId="0" borderId="82" xfId="18" applyFont="1" applyBorder="1" applyAlignment="1">
      <alignment vertical="center" wrapText="1"/>
    </xf>
    <xf numFmtId="0" fontId="4" fillId="0" borderId="82" xfId="18" applyBorder="1" applyAlignment="1">
      <alignment horizontal="right" vertical="center"/>
    </xf>
    <xf numFmtId="0" fontId="28" fillId="0" borderId="82" xfId="18" applyFont="1" applyBorder="1" applyAlignment="1">
      <alignment horizontal="left" vertical="center"/>
    </xf>
    <xf numFmtId="0" fontId="4" fillId="0" borderId="82" xfId="18" applyBorder="1" applyAlignment="1">
      <alignment horizontal="left" vertical="center"/>
    </xf>
    <xf numFmtId="0" fontId="28" fillId="0" borderId="39" xfId="18" applyFont="1" applyBorder="1" applyAlignment="1">
      <alignment vertical="center"/>
    </xf>
    <xf numFmtId="0" fontId="28" fillId="0" borderId="118" xfId="18" applyFont="1" applyBorder="1" applyAlignment="1">
      <alignment horizontal="left" vertical="center"/>
    </xf>
    <xf numFmtId="0" fontId="4" fillId="0" borderId="118" xfId="18" applyBorder="1" applyAlignment="1">
      <alignment vertical="center"/>
    </xf>
    <xf numFmtId="2" fontId="4" fillId="0" borderId="118" xfId="18" applyNumberFormat="1" applyBorder="1" applyAlignment="1">
      <alignment vertical="center"/>
    </xf>
    <xf numFmtId="0" fontId="4" fillId="0" borderId="119" xfId="18" applyBorder="1" applyAlignment="1">
      <alignment vertical="center"/>
    </xf>
    <xf numFmtId="0" fontId="28" fillId="0" borderId="60" xfId="18" applyFont="1" applyBorder="1" applyAlignment="1">
      <alignment vertical="center"/>
    </xf>
    <xf numFmtId="0" fontId="28" fillId="0" borderId="61" xfId="18" applyFont="1" applyBorder="1" applyAlignment="1">
      <alignment horizontal="left" vertical="center"/>
    </xf>
    <xf numFmtId="0" fontId="106" fillId="0" borderId="61" xfId="18" applyFont="1" applyBorder="1" applyAlignment="1">
      <alignment vertical="center"/>
    </xf>
    <xf numFmtId="2" fontId="106" fillId="0" borderId="61" xfId="18" applyNumberFormat="1" applyFont="1" applyBorder="1" applyAlignment="1">
      <alignment vertical="center"/>
    </xf>
    <xf numFmtId="0" fontId="4" fillId="0" borderId="64" xfId="18" applyBorder="1" applyAlignment="1">
      <alignment vertical="center"/>
    </xf>
    <xf numFmtId="0" fontId="106" fillId="0" borderId="37" xfId="21" applyFont="1" applyBorder="1" applyAlignment="1">
      <alignment vertical="center"/>
    </xf>
    <xf numFmtId="0" fontId="4" fillId="0" borderId="116" xfId="18" applyBorder="1" applyAlignment="1">
      <alignment horizontal="left" vertical="center"/>
    </xf>
    <xf numFmtId="0" fontId="106" fillId="0" borderId="116" xfId="18" applyFont="1" applyBorder="1" applyAlignment="1">
      <alignment vertical="center"/>
    </xf>
    <xf numFmtId="0" fontId="4" fillId="0" borderId="0" xfId="21" applyAlignment="1">
      <alignment vertical="center"/>
    </xf>
    <xf numFmtId="0" fontId="106" fillId="0" borderId="39" xfId="21" applyFont="1" applyBorder="1" applyAlignment="1">
      <alignment vertical="center"/>
    </xf>
    <xf numFmtId="0" fontId="4" fillId="0" borderId="118" xfId="18" applyBorder="1" applyAlignment="1">
      <alignment horizontal="left" vertical="center"/>
    </xf>
    <xf numFmtId="0" fontId="106" fillId="0" borderId="118" xfId="18" applyFont="1" applyBorder="1" applyAlignment="1">
      <alignment vertical="center"/>
    </xf>
    <xf numFmtId="0" fontId="4" fillId="5" borderId="0" xfId="21" applyFill="1" applyAlignment="1">
      <alignment horizontal="right" vertical="center" wrapText="1"/>
    </xf>
    <xf numFmtId="0" fontId="4" fillId="0" borderId="0" xfId="21" applyAlignment="1">
      <alignment horizontal="center" vertical="center"/>
    </xf>
    <xf numFmtId="2" fontId="4" fillId="0" borderId="0" xfId="21" applyNumberFormat="1" applyAlignment="1">
      <alignment vertical="center"/>
    </xf>
    <xf numFmtId="43" fontId="4" fillId="0" borderId="0" xfId="22" applyFont="1" applyFill="1" applyBorder="1" applyAlignment="1">
      <alignment vertical="center"/>
    </xf>
    <xf numFmtId="43" fontId="4" fillId="0" borderId="0" xfId="21" applyNumberFormat="1" applyAlignment="1">
      <alignment horizontal="right" vertical="center"/>
    </xf>
    <xf numFmtId="0" fontId="107" fillId="0" borderId="65" xfId="18" applyFont="1" applyBorder="1" applyAlignment="1">
      <alignment horizontal="center" vertical="center"/>
    </xf>
    <xf numFmtId="0" fontId="28" fillId="0" borderId="66" xfId="18" applyFont="1" applyBorder="1" applyAlignment="1">
      <alignment horizontal="center" vertical="center"/>
    </xf>
    <xf numFmtId="0" fontId="28" fillId="0" borderId="68" xfId="18" applyFont="1" applyBorder="1" applyAlignment="1">
      <alignment horizontal="center" vertical="center"/>
    </xf>
    <xf numFmtId="0" fontId="28" fillId="0" borderId="65" xfId="18" applyFont="1" applyBorder="1" applyAlignment="1">
      <alignment horizontal="center" vertical="center"/>
    </xf>
    <xf numFmtId="0" fontId="4" fillId="0" borderId="66" xfId="18" applyBorder="1" applyAlignment="1">
      <alignment horizontal="center" vertical="center"/>
    </xf>
    <xf numFmtId="2" fontId="28" fillId="0" borderId="66" xfId="18" applyNumberFormat="1" applyFont="1" applyBorder="1" applyAlignment="1">
      <alignment vertical="center"/>
    </xf>
    <xf numFmtId="0" fontId="28" fillId="0" borderId="66" xfId="18" applyFont="1" applyBorder="1" applyAlignment="1">
      <alignment horizontal="left" vertical="center"/>
    </xf>
    <xf numFmtId="0" fontId="28" fillId="0" borderId="66" xfId="18" applyFont="1" applyBorder="1" applyAlignment="1">
      <alignment vertical="center"/>
    </xf>
    <xf numFmtId="164" fontId="4" fillId="0" borderId="116" xfId="23" applyNumberFormat="1" applyFont="1" applyBorder="1" applyAlignment="1">
      <alignment horizontal="right" vertical="center"/>
    </xf>
    <xf numFmtId="164" fontId="4" fillId="0" borderId="116" xfId="24" applyNumberFormat="1" applyFont="1" applyFill="1" applyBorder="1" applyAlignment="1">
      <alignment vertical="center"/>
    </xf>
    <xf numFmtId="0" fontId="28" fillId="0" borderId="66" xfId="18" applyFont="1" applyBorder="1" applyAlignment="1">
      <alignment horizontal="left" vertical="center" wrapText="1"/>
    </xf>
    <xf numFmtId="166" fontId="27" fillId="0" borderId="38" xfId="25" applyNumberFormat="1" applyFont="1" applyBorder="1" applyAlignment="1">
      <alignment vertical="center" wrapText="1"/>
    </xf>
    <xf numFmtId="166" fontId="27" fillId="0" borderId="32" xfId="25" applyNumberFormat="1" applyFont="1" applyBorder="1" applyAlignment="1">
      <alignment vertical="center" wrapText="1"/>
    </xf>
    <xf numFmtId="166" fontId="27" fillId="0" borderId="155" xfId="25" applyNumberFormat="1" applyFont="1" applyBorder="1" applyAlignment="1">
      <alignment vertical="center" wrapText="1"/>
    </xf>
    <xf numFmtId="0" fontId="28" fillId="0" borderId="60" xfId="18" applyFont="1" applyBorder="1" applyAlignment="1">
      <alignment horizontal="center" vertical="center"/>
    </xf>
    <xf numFmtId="0" fontId="4" fillId="0" borderId="61" xfId="18" applyBorder="1" applyAlignment="1">
      <alignment horizontal="center" vertical="center"/>
    </xf>
    <xf numFmtId="0" fontId="28" fillId="0" borderId="64" xfId="18" applyFont="1" applyBorder="1" applyAlignment="1">
      <alignment horizontal="center" vertical="center"/>
    </xf>
    <xf numFmtId="0" fontId="5" fillId="0" borderId="116" xfId="18" applyFont="1" applyBorder="1" applyAlignment="1">
      <alignment vertical="top"/>
    </xf>
    <xf numFmtId="0" fontId="4" fillId="0" borderId="39" xfId="18" applyBorder="1" applyAlignment="1">
      <alignment vertical="center"/>
    </xf>
    <xf numFmtId="0" fontId="28" fillId="0" borderId="118" xfId="18" applyFont="1" applyBorder="1" applyAlignment="1">
      <alignment vertical="center"/>
    </xf>
    <xf numFmtId="0" fontId="4" fillId="0" borderId="70" xfId="18" applyBorder="1" applyAlignment="1">
      <alignment horizontal="center" vertical="center"/>
    </xf>
    <xf numFmtId="2" fontId="28" fillId="0" borderId="118" xfId="18" applyNumberFormat="1" applyFont="1" applyBorder="1" applyAlignment="1">
      <alignment vertical="center"/>
    </xf>
    <xf numFmtId="0" fontId="4" fillId="0" borderId="0" xfId="18" applyAlignment="1">
      <alignment vertical="center"/>
    </xf>
    <xf numFmtId="0" fontId="38" fillId="7" borderId="47" xfId="3" applyFont="1" applyFill="1" applyBorder="1"/>
    <xf numFmtId="0" fontId="38" fillId="7" borderId="48" xfId="3" applyFont="1" applyFill="1" applyBorder="1" applyAlignment="1">
      <alignment horizontal="right"/>
    </xf>
    <xf numFmtId="0" fontId="38" fillId="7" borderId="49" xfId="3" applyFont="1" applyFill="1" applyBorder="1" applyAlignment="1">
      <alignment horizontal="right"/>
    </xf>
    <xf numFmtId="173" fontId="38" fillId="7" borderId="47" xfId="1" applyNumberFormat="1" applyFont="1" applyFill="1" applyBorder="1"/>
    <xf numFmtId="0" fontId="38" fillId="7" borderId="1" xfId="1" applyNumberFormat="1" applyFont="1" applyFill="1" applyBorder="1" applyAlignment="1">
      <alignment horizontal="center"/>
    </xf>
    <xf numFmtId="173" fontId="38" fillId="7" borderId="48" xfId="4" applyNumberFormat="1" applyFont="1" applyFill="1" applyBorder="1" applyAlignment="1">
      <alignment horizontal="right"/>
    </xf>
    <xf numFmtId="2" fontId="38" fillId="7" borderId="47" xfId="1" applyNumberFormat="1" applyFont="1" applyFill="1" applyBorder="1" applyAlignment="1">
      <alignment horizontal="center"/>
    </xf>
    <xf numFmtId="0" fontId="5" fillId="0" borderId="4" xfId="3" applyBorder="1" applyAlignment="1">
      <alignment horizontal="center" vertical="center"/>
    </xf>
    <xf numFmtId="0" fontId="19" fillId="0" borderId="156" xfId="3" applyFont="1" applyBorder="1" applyAlignment="1">
      <alignment horizontal="center" vertical="center" wrapText="1"/>
    </xf>
    <xf numFmtId="0" fontId="5" fillId="0" borderId="50" xfId="3" applyBorder="1" applyAlignment="1">
      <alignment horizontal="center" vertical="center"/>
    </xf>
    <xf numFmtId="0" fontId="5" fillId="4" borderId="41" xfId="3" applyFill="1" applyBorder="1" applyAlignment="1">
      <alignment horizontal="center"/>
    </xf>
    <xf numFmtId="0" fontId="5" fillId="4" borderId="42" xfId="3" applyFill="1" applyBorder="1"/>
    <xf numFmtId="0" fontId="5" fillId="4" borderId="43" xfId="3" applyFill="1" applyBorder="1"/>
    <xf numFmtId="173" fontId="5" fillId="4" borderId="41" xfId="3" applyNumberFormat="1" applyFill="1" applyBorder="1"/>
    <xf numFmtId="0" fontId="5" fillId="4" borderId="132" xfId="3" applyFill="1" applyBorder="1"/>
    <xf numFmtId="0" fontId="5" fillId="4" borderId="42" xfId="4" applyFont="1" applyFill="1" applyBorder="1"/>
    <xf numFmtId="0" fontId="5" fillId="4" borderId="41" xfId="3" applyFill="1" applyBorder="1"/>
    <xf numFmtId="0" fontId="38" fillId="7" borderId="51" xfId="3" applyFont="1" applyFill="1" applyBorder="1"/>
    <xf numFmtId="0" fontId="38" fillId="7" borderId="52" xfId="3" applyFont="1" applyFill="1" applyBorder="1" applyAlignment="1">
      <alignment horizontal="right"/>
    </xf>
    <xf numFmtId="0" fontId="38" fillId="7" borderId="53" xfId="3" applyFont="1" applyFill="1" applyBorder="1" applyAlignment="1">
      <alignment horizontal="right"/>
    </xf>
    <xf numFmtId="173" fontId="38" fillId="7" borderId="51" xfId="1" applyNumberFormat="1" applyFont="1" applyFill="1" applyBorder="1"/>
    <xf numFmtId="0" fontId="38" fillId="7" borderId="22" xfId="1" applyNumberFormat="1" applyFont="1" applyFill="1" applyBorder="1" applyAlignment="1">
      <alignment horizontal="center"/>
    </xf>
    <xf numFmtId="173" fontId="38" fillId="7" borderId="52" xfId="4" applyNumberFormat="1" applyFont="1" applyFill="1" applyBorder="1" applyAlignment="1">
      <alignment horizontal="right"/>
    </xf>
    <xf numFmtId="2" fontId="38" fillId="7" borderId="51" xfId="1" applyNumberFormat="1" applyFont="1" applyFill="1" applyBorder="1" applyAlignment="1">
      <alignment horizontal="center"/>
    </xf>
    <xf numFmtId="0" fontId="38" fillId="0" borderId="158" xfId="3" applyFont="1" applyBorder="1"/>
    <xf numFmtId="0" fontId="38" fillId="0" borderId="159" xfId="3" applyFont="1" applyBorder="1" applyAlignment="1">
      <alignment horizontal="right"/>
    </xf>
    <xf numFmtId="0" fontId="38" fillId="0" borderId="160" xfId="3" applyFont="1" applyBorder="1" applyAlignment="1">
      <alignment horizontal="right"/>
    </xf>
    <xf numFmtId="173" fontId="38" fillId="0" borderId="158" xfId="1" applyNumberFormat="1" applyFont="1" applyFill="1" applyBorder="1"/>
    <xf numFmtId="0" fontId="38" fillId="0" borderId="10" xfId="1" applyNumberFormat="1" applyFont="1" applyFill="1" applyBorder="1" applyAlignment="1">
      <alignment horizontal="center"/>
    </xf>
    <xf numFmtId="173" fontId="38" fillId="0" borderId="159" xfId="4" applyNumberFormat="1" applyFont="1" applyBorder="1" applyAlignment="1">
      <alignment horizontal="right"/>
    </xf>
    <xf numFmtId="2" fontId="38" fillId="0" borderId="158" xfId="1" applyNumberFormat="1" applyFont="1" applyFill="1" applyBorder="1" applyAlignment="1">
      <alignment horizontal="center"/>
    </xf>
    <xf numFmtId="173" fontId="5" fillId="4" borderId="41" xfId="1" applyNumberFormat="1" applyFont="1" applyFill="1" applyBorder="1"/>
    <xf numFmtId="0" fontId="5" fillId="4" borderId="132" xfId="1" applyNumberFormat="1" applyFont="1" applyFill="1" applyBorder="1" applyAlignment="1">
      <alignment horizontal="center"/>
    </xf>
    <xf numFmtId="173" fontId="5" fillId="4" borderId="42" xfId="4" applyNumberFormat="1" applyFont="1" applyFill="1" applyBorder="1" applyAlignment="1">
      <alignment horizontal="right"/>
    </xf>
    <xf numFmtId="2" fontId="5" fillId="4" borderId="41" xfId="1" applyNumberFormat="1" applyFont="1" applyFill="1" applyBorder="1" applyAlignment="1">
      <alignment horizontal="center"/>
    </xf>
    <xf numFmtId="0" fontId="4" fillId="0" borderId="0" xfId="21"/>
    <xf numFmtId="0" fontId="108" fillId="0" borderId="0" xfId="21" applyFont="1"/>
    <xf numFmtId="0" fontId="109" fillId="0" borderId="0" xfId="21" applyFont="1"/>
    <xf numFmtId="0" fontId="110" fillId="0" borderId="0" xfId="21" applyFont="1"/>
    <xf numFmtId="0" fontId="28" fillId="0" borderId="1" xfId="21" applyFont="1" applyBorder="1"/>
    <xf numFmtId="0" fontId="4" fillId="0" borderId="1" xfId="21" applyBorder="1" applyAlignment="1">
      <alignment horizontal="center"/>
    </xf>
    <xf numFmtId="2" fontId="4" fillId="0" borderId="1" xfId="21" applyNumberFormat="1" applyBorder="1" applyAlignment="1">
      <alignment horizontal="center"/>
    </xf>
    <xf numFmtId="0" fontId="4" fillId="0" borderId="1" xfId="21" applyBorder="1"/>
    <xf numFmtId="0" fontId="28" fillId="0" borderId="1" xfId="21" applyFont="1" applyBorder="1" applyAlignment="1">
      <alignment horizontal="right"/>
    </xf>
    <xf numFmtId="0" fontId="111" fillId="0" borderId="1" xfId="26" applyFont="1" applyBorder="1" applyAlignment="1">
      <alignment horizontal="center" vertical="center"/>
    </xf>
    <xf numFmtId="0" fontId="111" fillId="0" borderId="1" xfId="26" applyFont="1" applyBorder="1" applyAlignment="1">
      <alignment horizontal="left" vertical="center"/>
    </xf>
    <xf numFmtId="0" fontId="4" fillId="0" borderId="1" xfId="21" applyBorder="1" applyAlignment="1">
      <alignment horizontal="center" vertical="center"/>
    </xf>
    <xf numFmtId="43" fontId="4" fillId="0" borderId="1" xfId="21" applyNumberFormat="1" applyBorder="1" applyAlignment="1">
      <alignment horizontal="right" vertical="center"/>
    </xf>
    <xf numFmtId="43" fontId="4" fillId="0" borderId="1" xfId="21" applyNumberFormat="1" applyBorder="1" applyAlignment="1">
      <alignment horizontal="center" vertical="center"/>
    </xf>
    <xf numFmtId="43" fontId="4" fillId="0" borderId="1" xfId="21" applyNumberFormat="1" applyBorder="1" applyAlignment="1">
      <alignment wrapText="1"/>
    </xf>
    <xf numFmtId="0" fontId="28" fillId="0" borderId="1" xfId="21" applyFont="1" applyBorder="1" applyAlignment="1">
      <alignment horizontal="center" vertical="center"/>
    </xf>
    <xf numFmtId="0" fontId="111" fillId="0" borderId="1" xfId="26" applyFont="1" applyBorder="1" applyAlignment="1">
      <alignment horizontal="justify" vertical="top" wrapText="1"/>
    </xf>
    <xf numFmtId="43" fontId="4" fillId="0" borderId="1" xfId="21" applyNumberFormat="1" applyBorder="1"/>
    <xf numFmtId="43" fontId="4" fillId="0" borderId="1" xfId="27" applyNumberFormat="1" applyBorder="1"/>
    <xf numFmtId="0" fontId="4" fillId="0" borderId="1" xfId="27" applyBorder="1"/>
    <xf numFmtId="0" fontId="4" fillId="0" borderId="0" xfId="27"/>
    <xf numFmtId="0" fontId="108" fillId="0" borderId="0" xfId="27" applyFont="1"/>
    <xf numFmtId="0" fontId="4" fillId="0" borderId="1" xfId="27" applyBorder="1" applyAlignment="1">
      <alignment horizontal="center"/>
    </xf>
    <xf numFmtId="0" fontId="4" fillId="0" borderId="1" xfId="26" applyFont="1" applyBorder="1" applyAlignment="1">
      <alignment horizontal="justify" vertical="top" wrapText="1"/>
    </xf>
    <xf numFmtId="43" fontId="4" fillId="0" borderId="1" xfId="27" applyNumberFormat="1" applyBorder="1" applyAlignment="1">
      <alignment vertical="center"/>
    </xf>
    <xf numFmtId="43" fontId="4" fillId="0" borderId="1" xfId="21" applyNumberFormat="1" applyBorder="1" applyAlignment="1">
      <alignment vertical="center" wrapText="1"/>
    </xf>
    <xf numFmtId="0" fontId="4" fillId="0" borderId="1" xfId="26" applyFont="1" applyBorder="1" applyAlignment="1">
      <alignment horizontal="center" vertical="top"/>
    </xf>
    <xf numFmtId="0" fontId="4" fillId="0" borderId="1" xfId="26" applyFont="1" applyBorder="1" applyAlignment="1">
      <alignment horizontal="left" vertical="top"/>
    </xf>
    <xf numFmtId="0" fontId="4" fillId="0" borderId="1" xfId="26" applyFont="1" applyBorder="1" applyAlignment="1">
      <alignment horizontal="center" vertical="center"/>
    </xf>
    <xf numFmtId="0" fontId="4" fillId="0" borderId="1" xfId="27" applyBorder="1" applyAlignment="1">
      <alignment horizontal="center" vertical="center"/>
    </xf>
    <xf numFmtId="0" fontId="4" fillId="0" borderId="1" xfId="28" applyFont="1" applyBorder="1" applyAlignment="1">
      <alignment horizontal="right" vertical="top"/>
    </xf>
    <xf numFmtId="0" fontId="4" fillId="0" borderId="1" xfId="28" applyFont="1" applyBorder="1" applyAlignment="1">
      <alignment horizontal="right" vertical="top" wrapText="1"/>
    </xf>
    <xf numFmtId="43" fontId="108" fillId="0" borderId="0" xfId="27" applyNumberFormat="1" applyFont="1"/>
    <xf numFmtId="0" fontId="4" fillId="0" borderId="1" xfId="28" applyFont="1" applyBorder="1" applyAlignment="1">
      <alignment horizontal="center" vertical="top"/>
    </xf>
    <xf numFmtId="4" fontId="4" fillId="0" borderId="1" xfId="27" applyNumberFormat="1" applyBorder="1"/>
    <xf numFmtId="2" fontId="4" fillId="0" borderId="1" xfId="27" applyNumberFormat="1" applyBorder="1"/>
    <xf numFmtId="4" fontId="4" fillId="0" borderId="1" xfId="27" applyNumberFormat="1" applyBorder="1" applyAlignment="1">
      <alignment horizontal="center" vertical="center"/>
    </xf>
    <xf numFmtId="43" fontId="4" fillId="0" borderId="1" xfId="21" applyNumberFormat="1" applyBorder="1" applyAlignment="1">
      <alignment horizontal="center" vertical="center" wrapText="1"/>
    </xf>
    <xf numFmtId="0" fontId="4" fillId="11" borderId="1" xfId="26" applyFont="1" applyFill="1" applyBorder="1" applyAlignment="1">
      <alignment horizontal="center" vertical="top"/>
    </xf>
    <xf numFmtId="0" fontId="4" fillId="11" borderId="1" xfId="26" applyFont="1" applyFill="1" applyBorder="1" applyAlignment="1">
      <alignment horizontal="left" vertical="top"/>
    </xf>
    <xf numFmtId="0" fontId="4" fillId="11" borderId="1" xfId="26" applyFont="1" applyFill="1" applyBorder="1" applyAlignment="1">
      <alignment horizontal="center" vertical="center"/>
    </xf>
    <xf numFmtId="0" fontId="4" fillId="11" borderId="1" xfId="26" applyFont="1" applyFill="1" applyBorder="1" applyAlignment="1">
      <alignment horizontal="justify" vertical="top" wrapText="1"/>
    </xf>
    <xf numFmtId="0" fontId="4" fillId="0" borderId="1" xfId="27" applyBorder="1" applyAlignment="1">
      <alignment wrapText="1"/>
    </xf>
    <xf numFmtId="0" fontId="28" fillId="0" borderId="1" xfId="27" applyFont="1" applyBorder="1" applyAlignment="1">
      <alignment horizontal="center"/>
    </xf>
    <xf numFmtId="43" fontId="28" fillId="0" borderId="1" xfId="27" applyNumberFormat="1" applyFont="1" applyBorder="1"/>
    <xf numFmtId="4" fontId="112" fillId="0" borderId="0" xfId="27" applyNumberFormat="1" applyFont="1"/>
    <xf numFmtId="4" fontId="4" fillId="0" borderId="0" xfId="27" applyNumberFormat="1"/>
    <xf numFmtId="0" fontId="112" fillId="0" borderId="0" xfId="27" applyFont="1"/>
    <xf numFmtId="0" fontId="28" fillId="0" borderId="0" xfId="27" applyFont="1"/>
    <xf numFmtId="0" fontId="115" fillId="0" borderId="0" xfId="26" applyFont="1" applyAlignment="1">
      <alignment horizontal="center" vertical="center"/>
    </xf>
    <xf numFmtId="0" fontId="113" fillId="0" borderId="0" xfId="26" applyFont="1" applyAlignment="1">
      <alignment horizontal="center" vertical="center"/>
    </xf>
    <xf numFmtId="0" fontId="116" fillId="0" borderId="161" xfId="26" applyFont="1" applyBorder="1" applyAlignment="1">
      <alignment horizontal="center" vertical="center"/>
    </xf>
    <xf numFmtId="0" fontId="116" fillId="0" borderId="162" xfId="26" applyFont="1" applyBorder="1" applyAlignment="1">
      <alignment horizontal="center" vertical="center"/>
    </xf>
    <xf numFmtId="0" fontId="116" fillId="0" borderId="163" xfId="26" applyFont="1" applyBorder="1" applyAlignment="1">
      <alignment horizontal="center" vertical="center"/>
    </xf>
    <xf numFmtId="0" fontId="117" fillId="0" borderId="41" xfId="26" applyFont="1" applyBorder="1" applyAlignment="1">
      <alignment horizontal="center" vertical="center"/>
    </xf>
    <xf numFmtId="0" fontId="117" fillId="0" borderId="132" xfId="26" applyFont="1" applyBorder="1" applyAlignment="1">
      <alignment horizontal="center" vertical="center"/>
    </xf>
    <xf numFmtId="0" fontId="117" fillId="0" borderId="42" xfId="26" applyFont="1" applyBorder="1" applyAlignment="1">
      <alignment horizontal="center" vertical="center"/>
    </xf>
    <xf numFmtId="0" fontId="111" fillId="0" borderId="47" xfId="26" applyFont="1" applyBorder="1" applyAlignment="1">
      <alignment horizontal="center" vertical="center"/>
    </xf>
    <xf numFmtId="172" fontId="111" fillId="0" borderId="1" xfId="26" applyNumberFormat="1" applyFont="1" applyBorder="1" applyAlignment="1">
      <alignment horizontal="center" vertical="center"/>
    </xf>
    <xf numFmtId="43" fontId="111" fillId="0" borderId="1" xfId="26" applyNumberFormat="1" applyFont="1" applyBorder="1" applyAlignment="1">
      <alignment vertical="center"/>
    </xf>
    <xf numFmtId="43" fontId="111" fillId="0" borderId="1" xfId="26" applyNumberFormat="1" applyFont="1" applyBorder="1" applyAlignment="1">
      <alignment horizontal="left" vertical="center"/>
    </xf>
    <xf numFmtId="43" fontId="111" fillId="0" borderId="1" xfId="26" applyNumberFormat="1" applyFont="1" applyBorder="1" applyAlignment="1">
      <alignment horizontal="center" vertical="center"/>
    </xf>
    <xf numFmtId="43" fontId="111" fillId="0" borderId="1" xfId="26" applyNumberFormat="1" applyFont="1" applyBorder="1" applyAlignment="1">
      <alignment horizontal="right" vertical="center"/>
    </xf>
    <xf numFmtId="0" fontId="111" fillId="0" borderId="48" xfId="26" applyFont="1" applyBorder="1" applyAlignment="1">
      <alignment horizontal="left" vertical="center"/>
    </xf>
    <xf numFmtId="43" fontId="116" fillId="0" borderId="1" xfId="26" applyNumberFormat="1" applyFont="1" applyBorder="1" applyAlignment="1">
      <alignment horizontal="right" vertical="center"/>
    </xf>
    <xf numFmtId="0" fontId="116" fillId="0" borderId="48" xfId="26" applyFont="1" applyBorder="1" applyAlignment="1">
      <alignment horizontal="left" vertical="center"/>
    </xf>
    <xf numFmtId="43" fontId="4" fillId="0" borderId="1" xfId="26" applyNumberFormat="1" applyFont="1" applyBorder="1" applyAlignment="1">
      <alignment horizontal="right" vertical="center"/>
    </xf>
    <xf numFmtId="0" fontId="111" fillId="0" borderId="48" xfId="26" applyFont="1" applyBorder="1" applyAlignment="1">
      <alignment horizontal="center" vertical="center"/>
    </xf>
    <xf numFmtId="0" fontId="111" fillId="0" borderId="47" xfId="26" applyFont="1" applyBorder="1" applyAlignment="1">
      <alignment horizontal="center" vertical="top"/>
    </xf>
    <xf numFmtId="0" fontId="4" fillId="0" borderId="47" xfId="28" applyFont="1" applyBorder="1" applyAlignment="1">
      <alignment horizontal="right" vertical="top"/>
    </xf>
    <xf numFmtId="0" fontId="4" fillId="0" borderId="1" xfId="28" applyFont="1" applyBorder="1" applyAlignment="1">
      <alignment horizontal="right" wrapText="1"/>
    </xf>
    <xf numFmtId="172" fontId="4" fillId="0" borderId="1" xfId="28" applyNumberFormat="1" applyFont="1" applyBorder="1" applyAlignment="1">
      <alignment horizontal="center"/>
    </xf>
    <xf numFmtId="43" fontId="4" fillId="0" borderId="1" xfId="29" applyFont="1" applyBorder="1" applyAlignment="1"/>
    <xf numFmtId="43" fontId="4" fillId="0" borderId="1" xfId="28" applyNumberFormat="1" applyFont="1" applyBorder="1"/>
    <xf numFmtId="0" fontId="28" fillId="0" borderId="48" xfId="28" applyFont="1" applyBorder="1"/>
    <xf numFmtId="0" fontId="5" fillId="0" borderId="0" xfId="28" applyFont="1"/>
    <xf numFmtId="43" fontId="5" fillId="0" borderId="0" xfId="28" applyNumberFormat="1" applyFont="1"/>
    <xf numFmtId="0" fontId="4" fillId="0" borderId="0" xfId="28" applyFont="1"/>
    <xf numFmtId="0" fontId="4" fillId="11" borderId="47" xfId="28" applyFont="1" applyFill="1" applyBorder="1" applyAlignment="1">
      <alignment horizontal="right" vertical="top"/>
    </xf>
    <xf numFmtId="0" fontId="4" fillId="11" borderId="1" xfId="28" applyFont="1" applyFill="1" applyBorder="1" applyAlignment="1">
      <alignment horizontal="right" vertical="top" wrapText="1"/>
    </xf>
    <xf numFmtId="172" fontId="4" fillId="11" borderId="1" xfId="28" applyNumberFormat="1" applyFont="1" applyFill="1" applyBorder="1" applyAlignment="1">
      <alignment horizontal="center"/>
    </xf>
    <xf numFmtId="43" fontId="4" fillId="11" borderId="1" xfId="29" applyFont="1" applyFill="1" applyBorder="1" applyAlignment="1"/>
    <xf numFmtId="43" fontId="111" fillId="11" borderId="1" xfId="26" applyNumberFormat="1" applyFont="1" applyFill="1" applyBorder="1" applyAlignment="1">
      <alignment horizontal="left" vertical="center"/>
    </xf>
    <xf numFmtId="43" fontId="4" fillId="11" borderId="1" xfId="28" applyNumberFormat="1" applyFont="1" applyFill="1" applyBorder="1"/>
    <xf numFmtId="0" fontId="28" fillId="11" borderId="48" xfId="28" applyFont="1" applyFill="1" applyBorder="1"/>
    <xf numFmtId="0" fontId="5" fillId="11" borderId="0" xfId="28" applyFont="1" applyFill="1"/>
    <xf numFmtId="0" fontId="28" fillId="11" borderId="0" xfId="28" applyFont="1" applyFill="1"/>
    <xf numFmtId="0" fontId="4" fillId="11" borderId="0" xfId="28" applyFont="1" applyFill="1"/>
    <xf numFmtId="43" fontId="4" fillId="11" borderId="1" xfId="28" applyNumberFormat="1" applyFont="1" applyFill="1" applyBorder="1" applyAlignment="1">
      <alignment horizontal="center"/>
    </xf>
    <xf numFmtId="0" fontId="116" fillId="0" borderId="47" xfId="26" applyFont="1" applyBorder="1" applyAlignment="1">
      <alignment horizontal="center" vertical="center"/>
    </xf>
    <xf numFmtId="2" fontId="115" fillId="0" borderId="0" xfId="26" applyNumberFormat="1" applyFont="1" applyAlignment="1">
      <alignment horizontal="center" vertical="center"/>
    </xf>
    <xf numFmtId="0" fontId="28" fillId="0" borderId="47" xfId="26" applyFont="1" applyBorder="1" applyAlignment="1">
      <alignment horizontal="center" vertical="top"/>
    </xf>
    <xf numFmtId="43" fontId="4" fillId="0" borderId="1" xfId="29" applyFont="1" applyBorder="1"/>
    <xf numFmtId="43" fontId="4" fillId="0" borderId="1" xfId="29" applyFont="1" applyBorder="1" applyAlignment="1">
      <alignment horizontal="right"/>
    </xf>
    <xf numFmtId="43" fontId="4" fillId="11" borderId="1" xfId="29" applyFont="1" applyFill="1" applyBorder="1" applyAlignment="1">
      <alignment horizontal="center"/>
    </xf>
    <xf numFmtId="43" fontId="4" fillId="11" borderId="1" xfId="29" applyFont="1" applyFill="1" applyBorder="1"/>
    <xf numFmtId="43" fontId="4" fillId="11" borderId="1" xfId="29" applyFont="1" applyFill="1" applyBorder="1" applyAlignment="1">
      <alignment horizontal="right"/>
    </xf>
    <xf numFmtId="0" fontId="115" fillId="11" borderId="0" xfId="26" applyFont="1" applyFill="1" applyAlignment="1">
      <alignment horizontal="center" vertical="center"/>
    </xf>
    <xf numFmtId="2" fontId="115" fillId="11" borderId="0" xfId="26" applyNumberFormat="1" applyFont="1" applyFill="1" applyAlignment="1">
      <alignment horizontal="center" vertical="center"/>
    </xf>
    <xf numFmtId="43" fontId="4" fillId="0" borderId="1" xfId="28" applyNumberFormat="1" applyFont="1" applyBorder="1" applyAlignment="1">
      <alignment horizontal="center"/>
    </xf>
    <xf numFmtId="43" fontId="28" fillId="0" borderId="1" xfId="28" applyNumberFormat="1" applyFont="1" applyBorder="1" applyAlignment="1">
      <alignment horizontal="right"/>
    </xf>
    <xf numFmtId="43" fontId="28" fillId="0" borderId="1" xfId="29" applyFont="1" applyBorder="1" applyAlignment="1">
      <alignment horizontal="right"/>
    </xf>
    <xf numFmtId="0" fontId="4" fillId="0" borderId="47" xfId="28" applyFont="1" applyBorder="1" applyAlignment="1">
      <alignment horizontal="center" vertical="top"/>
    </xf>
    <xf numFmtId="194" fontId="115" fillId="0" borderId="0" xfId="26" applyNumberFormat="1" applyFont="1" applyAlignment="1">
      <alignment horizontal="center" vertical="center"/>
    </xf>
    <xf numFmtId="0" fontId="4" fillId="11" borderId="47" xfId="28" applyFont="1" applyFill="1" applyBorder="1" applyAlignment="1">
      <alignment horizontal="center" vertical="top"/>
    </xf>
    <xf numFmtId="43" fontId="28" fillId="11" borderId="1" xfId="28" applyNumberFormat="1" applyFont="1" applyFill="1" applyBorder="1" applyAlignment="1">
      <alignment horizontal="right"/>
    </xf>
    <xf numFmtId="0" fontId="116" fillId="11" borderId="48" xfId="26" applyFont="1" applyFill="1" applyBorder="1" applyAlignment="1">
      <alignment horizontal="center" vertical="center"/>
    </xf>
    <xf numFmtId="0" fontId="115" fillId="11" borderId="0" xfId="26" applyFont="1" applyFill="1" applyAlignment="1">
      <alignment vertical="center"/>
    </xf>
    <xf numFmtId="194" fontId="115" fillId="11" borderId="0" xfId="26" applyNumberFormat="1" applyFont="1" applyFill="1" applyAlignment="1">
      <alignment horizontal="center" vertical="center"/>
    </xf>
    <xf numFmtId="0" fontId="115" fillId="0" borderId="0" xfId="26" applyFont="1" applyAlignment="1">
      <alignment vertical="center"/>
    </xf>
    <xf numFmtId="43" fontId="4" fillId="11" borderId="1" xfId="28" applyNumberFormat="1" applyFont="1" applyFill="1" applyBorder="1" applyAlignment="1">
      <alignment horizontal="right"/>
    </xf>
    <xf numFmtId="0" fontId="111" fillId="11" borderId="48" xfId="26" applyFont="1" applyFill="1" applyBorder="1" applyAlignment="1">
      <alignment horizontal="center" vertical="center"/>
    </xf>
    <xf numFmtId="43" fontId="28" fillId="0" borderId="1" xfId="29" applyFont="1" applyBorder="1" applyAlignment="1"/>
    <xf numFmtId="43" fontId="4" fillId="0" borderId="1" xfId="28" applyNumberFormat="1" applyFont="1" applyBorder="1" applyAlignment="1">
      <alignment horizontal="right"/>
    </xf>
    <xf numFmtId="164" fontId="115" fillId="0" borderId="0" xfId="26" applyNumberFormat="1" applyFont="1" applyAlignment="1">
      <alignment horizontal="center" vertical="center"/>
    </xf>
    <xf numFmtId="0" fontId="4" fillId="0" borderId="47" xfId="26" applyFont="1" applyBorder="1" applyAlignment="1">
      <alignment horizontal="center" vertical="top"/>
    </xf>
    <xf numFmtId="0" fontId="116" fillId="0" borderId="48" xfId="26" applyFont="1" applyBorder="1" applyAlignment="1">
      <alignment horizontal="center" vertical="center"/>
    </xf>
    <xf numFmtId="0" fontId="4" fillId="11" borderId="47" xfId="26" applyFont="1" applyFill="1" applyBorder="1" applyAlignment="1">
      <alignment horizontal="center" vertical="top"/>
    </xf>
    <xf numFmtId="43" fontId="28" fillId="11" borderId="1" xfId="29" applyFont="1" applyFill="1" applyBorder="1" applyAlignment="1">
      <alignment horizontal="right"/>
    </xf>
    <xf numFmtId="0" fontId="116" fillId="11" borderId="48" xfId="26" applyFont="1" applyFill="1" applyBorder="1" applyAlignment="1">
      <alignment horizontal="left" vertical="center"/>
    </xf>
    <xf numFmtId="0" fontId="116" fillId="0" borderId="48" xfId="26" applyFont="1" applyBorder="1" applyAlignment="1">
      <alignment horizontal="left"/>
    </xf>
    <xf numFmtId="0" fontId="116" fillId="11" borderId="48" xfId="26" applyFont="1" applyFill="1" applyBorder="1" applyAlignment="1">
      <alignment horizontal="left"/>
    </xf>
    <xf numFmtId="0" fontId="4" fillId="0" borderId="1" xfId="26" applyFont="1" applyBorder="1" applyAlignment="1">
      <alignment vertical="top"/>
    </xf>
    <xf numFmtId="0" fontId="4" fillId="0" borderId="1" xfId="21" applyBorder="1" applyAlignment="1">
      <alignment horizontal="justify" vertical="top" wrapText="1"/>
    </xf>
    <xf numFmtId="0" fontId="116" fillId="0" borderId="48" xfId="26" applyFont="1" applyBorder="1" applyAlignment="1">
      <alignment horizontal="center"/>
    </xf>
    <xf numFmtId="0" fontId="28" fillId="0" borderId="1" xfId="26" applyFont="1" applyBorder="1" applyAlignment="1">
      <alignment horizontal="left" vertical="top"/>
    </xf>
    <xf numFmtId="0" fontId="111" fillId="0" borderId="48" xfId="26" applyFont="1" applyBorder="1" applyAlignment="1">
      <alignment horizontal="center"/>
    </xf>
    <xf numFmtId="0" fontId="4" fillId="0" borderId="51" xfId="26" applyFont="1" applyBorder="1" applyAlignment="1">
      <alignment horizontal="center" vertical="top"/>
    </xf>
    <xf numFmtId="0" fontId="4" fillId="0" borderId="22" xfId="26" applyFont="1" applyBorder="1" applyAlignment="1">
      <alignment vertical="top"/>
    </xf>
    <xf numFmtId="43" fontId="4" fillId="0" borderId="22" xfId="28" applyNumberFormat="1" applyFont="1" applyBorder="1" applyAlignment="1">
      <alignment horizontal="center"/>
    </xf>
    <xf numFmtId="43" fontId="4" fillId="0" borderId="22" xfId="29" applyFont="1" applyBorder="1" applyAlignment="1"/>
    <xf numFmtId="43" fontId="28" fillId="0" borderId="22" xfId="28" applyNumberFormat="1" applyFont="1" applyBorder="1" applyAlignment="1">
      <alignment horizontal="right"/>
    </xf>
    <xf numFmtId="43" fontId="28" fillId="0" borderId="22" xfId="29" applyFont="1" applyBorder="1" applyAlignment="1">
      <alignment horizontal="right"/>
    </xf>
    <xf numFmtId="0" fontId="116" fillId="0" borderId="52" xfId="26" applyFont="1" applyBorder="1" applyAlignment="1">
      <alignment horizontal="center" vertical="center"/>
    </xf>
    <xf numFmtId="0" fontId="115" fillId="0" borderId="0" xfId="26" applyFont="1" applyAlignment="1">
      <alignment horizontal="left" vertical="center"/>
    </xf>
    <xf numFmtId="43" fontId="115" fillId="0" borderId="0" xfId="26" applyNumberFormat="1" applyFont="1" applyAlignment="1">
      <alignment horizontal="right" vertical="center"/>
    </xf>
    <xf numFmtId="0" fontId="115" fillId="0" borderId="0" xfId="26" applyFont="1" applyAlignment="1">
      <alignment horizontal="right" vertical="center"/>
    </xf>
    <xf numFmtId="43" fontId="115" fillId="0" borderId="0" xfId="26" applyNumberFormat="1" applyFont="1" applyAlignment="1">
      <alignment horizontal="center" vertical="center"/>
    </xf>
    <xf numFmtId="0" fontId="38" fillId="5" borderId="0" xfId="4" applyFont="1" applyFill="1" applyAlignment="1">
      <alignment horizontal="left" vertical="center"/>
    </xf>
    <xf numFmtId="0" fontId="38" fillId="5" borderId="0" xfId="4" applyFont="1" applyFill="1" applyAlignment="1">
      <alignment vertical="center" wrapText="1"/>
    </xf>
    <xf numFmtId="0" fontId="38" fillId="5" borderId="0" xfId="4" applyFont="1" applyFill="1" applyAlignment="1">
      <alignment vertical="center"/>
    </xf>
    <xf numFmtId="0" fontId="103" fillId="5" borderId="0" xfId="25" applyFont="1" applyFill="1" applyAlignment="1">
      <alignment vertical="center"/>
    </xf>
    <xf numFmtId="0" fontId="4" fillId="0" borderId="0" xfId="27" applyAlignment="1">
      <alignment horizontal="right"/>
    </xf>
    <xf numFmtId="2" fontId="4" fillId="0" borderId="0" xfId="27" applyNumberFormat="1" applyAlignment="1">
      <alignment horizontal="right"/>
    </xf>
    <xf numFmtId="166" fontId="4" fillId="0" borderId="0" xfId="27" applyNumberFormat="1" applyAlignment="1">
      <alignment horizontal="right"/>
    </xf>
    <xf numFmtId="0" fontId="4" fillId="17" borderId="164" xfId="18" applyFill="1" applyBorder="1"/>
    <xf numFmtId="0" fontId="28" fillId="17" borderId="165" xfId="18" applyFont="1" applyFill="1" applyBorder="1" applyAlignment="1">
      <alignment wrapText="1"/>
    </xf>
    <xf numFmtId="0" fontId="2" fillId="0" borderId="0" xfId="25"/>
    <xf numFmtId="0" fontId="4" fillId="0" borderId="168" xfId="18" applyBorder="1"/>
    <xf numFmtId="0" fontId="4" fillId="0" borderId="169" xfId="18" applyBorder="1" applyAlignment="1">
      <alignment wrapText="1"/>
    </xf>
    <xf numFmtId="0" fontId="4" fillId="0" borderId="169" xfId="18" applyBorder="1"/>
    <xf numFmtId="2" fontId="4" fillId="0" borderId="169" xfId="18" applyNumberFormat="1" applyBorder="1" applyAlignment="1">
      <alignment horizontal="center"/>
    </xf>
    <xf numFmtId="2" fontId="4" fillId="0" borderId="170" xfId="18" applyNumberFormat="1" applyBorder="1"/>
    <xf numFmtId="2" fontId="4" fillId="0" borderId="171" xfId="18" applyNumberFormat="1" applyBorder="1"/>
    <xf numFmtId="0" fontId="4" fillId="0" borderId="172" xfId="18" applyBorder="1" applyAlignment="1">
      <alignment wrapText="1"/>
    </xf>
    <xf numFmtId="2" fontId="4" fillId="0" borderId="173" xfId="18" applyNumberFormat="1" applyBorder="1" applyAlignment="1">
      <alignment horizontal="center"/>
    </xf>
    <xf numFmtId="2" fontId="4" fillId="0" borderId="169" xfId="18" quotePrefix="1" applyNumberFormat="1" applyBorder="1" applyAlignment="1">
      <alignment horizontal="center"/>
    </xf>
    <xf numFmtId="2" fontId="4" fillId="0" borderId="174" xfId="18" applyNumberFormat="1" applyBorder="1" applyAlignment="1">
      <alignment horizontal="center"/>
    </xf>
    <xf numFmtId="0" fontId="4" fillId="0" borderId="175" xfId="18" applyBorder="1"/>
    <xf numFmtId="0" fontId="4" fillId="0" borderId="176" xfId="18" applyBorder="1" applyAlignment="1">
      <alignment wrapText="1"/>
    </xf>
    <xf numFmtId="0" fontId="4" fillId="0" borderId="177" xfId="18" applyBorder="1"/>
    <xf numFmtId="2" fontId="4" fillId="0" borderId="177" xfId="18" applyNumberFormat="1" applyBorder="1" applyAlignment="1">
      <alignment horizontal="center"/>
    </xf>
    <xf numFmtId="2" fontId="4" fillId="0" borderId="177" xfId="18" quotePrefix="1" applyNumberFormat="1" applyBorder="1" applyAlignment="1">
      <alignment horizontal="center"/>
    </xf>
    <xf numFmtId="2" fontId="4" fillId="0" borderId="178" xfId="18" applyNumberFormat="1" applyBorder="1" applyAlignment="1">
      <alignment horizontal="center"/>
    </xf>
    <xf numFmtId="2" fontId="28" fillId="0" borderId="179" xfId="18" applyNumberFormat="1" applyFont="1" applyBorder="1"/>
    <xf numFmtId="0" fontId="4" fillId="17" borderId="180" xfId="18" applyFill="1" applyBorder="1"/>
    <xf numFmtId="0" fontId="28" fillId="17" borderId="181" xfId="18" applyFont="1" applyFill="1" applyBorder="1" applyAlignment="1">
      <alignment wrapText="1"/>
    </xf>
    <xf numFmtId="0" fontId="4" fillId="0" borderId="185" xfId="18" applyBorder="1"/>
    <xf numFmtId="2" fontId="4" fillId="0" borderId="186" xfId="18" applyNumberFormat="1" applyBorder="1"/>
    <xf numFmtId="0" fontId="4" fillId="0" borderId="187" xfId="18" applyBorder="1"/>
    <xf numFmtId="0" fontId="4" fillId="0" borderId="188" xfId="18" applyBorder="1" applyAlignment="1">
      <alignment wrapText="1"/>
    </xf>
    <xf numFmtId="0" fontId="4" fillId="0" borderId="189" xfId="18" applyBorder="1"/>
    <xf numFmtId="2" fontId="4" fillId="0" borderId="189" xfId="18" applyNumberFormat="1" applyBorder="1" applyAlignment="1">
      <alignment horizontal="center"/>
    </xf>
    <xf numFmtId="2" fontId="4" fillId="0" borderId="190" xfId="18" applyNumberFormat="1" applyBorder="1" applyAlignment="1">
      <alignment horizontal="center"/>
    </xf>
    <xf numFmtId="2" fontId="4" fillId="0" borderId="190" xfId="18" applyNumberFormat="1" applyBorder="1"/>
    <xf numFmtId="2" fontId="28" fillId="0" borderId="191" xfId="18" applyNumberFormat="1" applyFont="1" applyBorder="1"/>
    <xf numFmtId="2" fontId="4" fillId="0" borderId="191" xfId="18" applyNumberFormat="1" applyBorder="1"/>
    <xf numFmtId="0" fontId="4" fillId="17" borderId="192" xfId="18" applyFill="1" applyBorder="1"/>
    <xf numFmtId="0" fontId="28" fillId="17" borderId="193" xfId="18" applyFont="1" applyFill="1" applyBorder="1" applyAlignment="1">
      <alignment wrapText="1"/>
    </xf>
    <xf numFmtId="0" fontId="4" fillId="0" borderId="192" xfId="18" applyBorder="1"/>
    <xf numFmtId="2" fontId="4" fillId="0" borderId="195" xfId="18" applyNumberFormat="1" applyBorder="1"/>
    <xf numFmtId="2" fontId="4" fillId="0" borderId="196" xfId="18" applyNumberFormat="1" applyBorder="1" applyAlignment="1">
      <alignment horizontal="center"/>
    </xf>
    <xf numFmtId="2" fontId="120" fillId="0" borderId="169" xfId="30" applyNumberFormat="1" applyBorder="1" applyAlignment="1">
      <alignment horizontal="center"/>
    </xf>
    <xf numFmtId="2" fontId="4" fillId="0" borderId="175" xfId="18" applyNumberFormat="1" applyBorder="1"/>
    <xf numFmtId="0" fontId="4" fillId="0" borderId="197" xfId="18" applyBorder="1"/>
    <xf numFmtId="0" fontId="4" fillId="0" borderId="198" xfId="18" applyBorder="1" applyAlignment="1">
      <alignment wrapText="1"/>
    </xf>
    <xf numFmtId="0" fontId="4" fillId="0" borderId="199" xfId="18" applyBorder="1"/>
    <xf numFmtId="2" fontId="4" fillId="0" borderId="199" xfId="18" applyNumberFormat="1" applyBorder="1" applyAlignment="1">
      <alignment horizontal="center"/>
    </xf>
    <xf numFmtId="2" fontId="4" fillId="0" borderId="200" xfId="18" applyNumberFormat="1" applyBorder="1" applyAlignment="1">
      <alignment horizontal="center"/>
    </xf>
    <xf numFmtId="2" fontId="4" fillId="0" borderId="200" xfId="18" applyNumberFormat="1" applyBorder="1"/>
    <xf numFmtId="2" fontId="28" fillId="0" borderId="9" xfId="18" applyNumberFormat="1" applyFont="1" applyBorder="1"/>
    <xf numFmtId="0" fontId="2" fillId="0" borderId="0" xfId="25" applyAlignment="1">
      <alignment wrapText="1"/>
    </xf>
    <xf numFmtId="0" fontId="4" fillId="17" borderId="201" xfId="18" applyFill="1" applyBorder="1"/>
    <xf numFmtId="0" fontId="28" fillId="17" borderId="202" xfId="18" applyFont="1" applyFill="1" applyBorder="1" applyAlignment="1">
      <alignment wrapText="1"/>
    </xf>
    <xf numFmtId="0" fontId="28" fillId="0" borderId="176" xfId="18" applyFont="1" applyBorder="1" applyAlignment="1">
      <alignment horizontal="center" vertical="center" wrapText="1"/>
    </xf>
    <xf numFmtId="0" fontId="28" fillId="0" borderId="176" xfId="18" applyFont="1" applyBorder="1" applyAlignment="1">
      <alignment horizontal="center" vertical="center"/>
    </xf>
    <xf numFmtId="0" fontId="28" fillId="0" borderId="205" xfId="18" applyFont="1" applyBorder="1" applyAlignment="1">
      <alignment horizontal="center"/>
    </xf>
    <xf numFmtId="0" fontId="28" fillId="0" borderId="206" xfId="18" applyFont="1" applyBorder="1" applyAlignment="1">
      <alignment horizontal="center" vertical="center" wrapText="1"/>
    </xf>
    <xf numFmtId="0" fontId="28" fillId="0" borderId="206" xfId="18" applyFont="1" applyBorder="1" applyAlignment="1">
      <alignment horizontal="center" vertical="center"/>
    </xf>
    <xf numFmtId="195" fontId="28" fillId="0" borderId="207" xfId="18" applyNumberFormat="1" applyFont="1" applyBorder="1" applyAlignment="1">
      <alignment horizontal="right"/>
    </xf>
    <xf numFmtId="0" fontId="4" fillId="0" borderId="208" xfId="18" applyBorder="1" applyAlignment="1">
      <alignment wrapText="1"/>
    </xf>
    <xf numFmtId="0" fontId="4" fillId="0" borderId="209" xfId="18" applyBorder="1"/>
    <xf numFmtId="0" fontId="4" fillId="0" borderId="209" xfId="18" applyBorder="1" applyAlignment="1">
      <alignment horizontal="center"/>
    </xf>
    <xf numFmtId="2" fontId="28" fillId="0" borderId="210" xfId="18" applyNumberFormat="1" applyFont="1" applyBorder="1"/>
    <xf numFmtId="43" fontId="4" fillId="0" borderId="175" xfId="18" applyNumberFormat="1" applyBorder="1"/>
    <xf numFmtId="172" fontId="5" fillId="0" borderId="61" xfId="4" applyNumberFormat="1" applyFont="1" applyBorder="1" applyProtection="1">
      <protection locked="0"/>
    </xf>
    <xf numFmtId="0" fontId="95" fillId="0" borderId="12" xfId="4" applyFont="1" applyBorder="1" applyAlignment="1">
      <alignment horizontal="center"/>
    </xf>
    <xf numFmtId="0" fontId="95" fillId="0" borderId="12" xfId="4" applyFont="1" applyBorder="1" applyAlignment="1">
      <alignment horizontal="left"/>
    </xf>
    <xf numFmtId="174" fontId="5" fillId="8" borderId="61" xfId="4" applyNumberFormat="1" applyFont="1" applyFill="1" applyBorder="1" applyProtection="1">
      <protection locked="0"/>
    </xf>
    <xf numFmtId="175" fontId="5" fillId="8" borderId="61" xfId="4" applyNumberFormat="1" applyFont="1" applyFill="1" applyBorder="1" applyAlignment="1" applyProtection="1">
      <alignment horizontal="left"/>
      <protection locked="0"/>
    </xf>
    <xf numFmtId="175" fontId="5" fillId="0" borderId="61" xfId="4" applyNumberFormat="1" applyFont="1" applyBorder="1" applyAlignment="1" applyProtection="1">
      <alignment horizontal="right"/>
      <protection locked="0"/>
    </xf>
    <xf numFmtId="2" fontId="4" fillId="0" borderId="1" xfId="27" applyNumberFormat="1" applyBorder="1" applyAlignment="1">
      <alignment horizontal="right" vertical="center"/>
    </xf>
    <xf numFmtId="2" fontId="106" fillId="0" borderId="1" xfId="27" applyNumberFormat="1" applyFont="1" applyBorder="1"/>
    <xf numFmtId="0" fontId="4" fillId="0" borderId="1" xfId="27" applyBorder="1" applyAlignment="1">
      <alignment horizontal="right" vertical="center"/>
    </xf>
    <xf numFmtId="0" fontId="19" fillId="0" borderId="69" xfId="3" applyFont="1" applyBorder="1" applyAlignment="1">
      <alignment vertical="center"/>
    </xf>
    <xf numFmtId="0" fontId="19" fillId="0" borderId="71" xfId="3" applyFont="1" applyBorder="1"/>
    <xf numFmtId="0" fontId="19" fillId="0" borderId="10" xfId="3" applyFont="1" applyBorder="1" applyAlignment="1">
      <alignment horizontal="center"/>
    </xf>
    <xf numFmtId="43" fontId="19" fillId="0" borderId="10" xfId="1" quotePrefix="1" applyFont="1" applyFill="1" applyBorder="1" applyAlignment="1" applyProtection="1">
      <alignment horizontal="right"/>
    </xf>
    <xf numFmtId="0" fontId="19" fillId="0" borderId="40" xfId="3" quotePrefix="1" applyFont="1" applyBorder="1" applyAlignment="1">
      <alignment horizontal="left"/>
    </xf>
    <xf numFmtId="0" fontId="19" fillId="0" borderId="3" xfId="3" applyFont="1" applyBorder="1" applyAlignment="1">
      <alignment horizontal="center"/>
    </xf>
    <xf numFmtId="9" fontId="19" fillId="0" borderId="3" xfId="1" applyNumberFormat="1" applyFont="1" applyFill="1" applyBorder="1" applyAlignment="1">
      <alignment horizontal="center"/>
    </xf>
    <xf numFmtId="43" fontId="19" fillId="0" borderId="3" xfId="1" applyFont="1" applyFill="1" applyBorder="1" applyAlignment="1">
      <alignment horizontal="center"/>
    </xf>
    <xf numFmtId="0" fontId="1" fillId="0" borderId="0" xfId="31" applyAlignment="1">
      <alignment horizontal="center" vertical="center"/>
    </xf>
    <xf numFmtId="0" fontId="1" fillId="0" borderId="0" xfId="31"/>
    <xf numFmtId="165" fontId="38" fillId="0" borderId="211" xfId="31" applyNumberFormat="1" applyFont="1" applyBorder="1" applyAlignment="1">
      <alignment horizontal="center" vertical="center" wrapText="1"/>
    </xf>
    <xf numFmtId="0" fontId="14" fillId="0" borderId="212" xfId="31" applyFont="1" applyBorder="1" applyAlignment="1">
      <alignment horizontal="left" vertical="center" wrapText="1" indent="2"/>
    </xf>
    <xf numFmtId="0" fontId="14" fillId="0" borderId="213" xfId="31" applyFont="1" applyBorder="1" applyAlignment="1">
      <alignment horizontal="center" vertical="center"/>
    </xf>
    <xf numFmtId="171" fontId="14" fillId="0" borderId="213" xfId="31" applyNumberFormat="1" applyFont="1" applyBorder="1" applyAlignment="1">
      <alignment vertical="center"/>
    </xf>
    <xf numFmtId="196" fontId="14" fillId="0" borderId="214" xfId="31" applyNumberFormat="1" applyFont="1" applyBorder="1" applyAlignment="1">
      <alignment horizontal="center" vertical="center"/>
    </xf>
    <xf numFmtId="0" fontId="14" fillId="0" borderId="215" xfId="31" applyFont="1" applyBorder="1" applyAlignment="1">
      <alignment horizontal="left" vertical="center" indent="2"/>
    </xf>
    <xf numFmtId="0" fontId="122" fillId="0" borderId="216" xfId="31" applyFont="1" applyBorder="1" applyAlignment="1">
      <alignment horizontal="center" vertical="center"/>
    </xf>
    <xf numFmtId="0" fontId="123" fillId="0" borderId="2" xfId="31" applyFont="1" applyBorder="1" applyAlignment="1">
      <alignment horizontal="left" vertical="top" wrapText="1"/>
    </xf>
    <xf numFmtId="0" fontId="123" fillId="0" borderId="2" xfId="31" applyFont="1" applyBorder="1" applyAlignment="1">
      <alignment horizontal="center" vertical="center"/>
    </xf>
    <xf numFmtId="171" fontId="123" fillId="0" borderId="2" xfId="32" applyNumberFormat="1" applyFont="1" applyBorder="1" applyAlignment="1">
      <alignment vertical="center"/>
    </xf>
    <xf numFmtId="196" fontId="123" fillId="0" borderId="2" xfId="32" applyNumberFormat="1" applyFont="1" applyBorder="1" applyAlignment="1">
      <alignment horizontal="center" vertical="center"/>
    </xf>
    <xf numFmtId="0" fontId="123" fillId="0" borderId="217" xfId="31" applyFont="1" applyBorder="1" applyAlignment="1">
      <alignment horizontal="left" vertical="top" indent="2"/>
    </xf>
    <xf numFmtId="3" fontId="123" fillId="0" borderId="2" xfId="31" applyNumberFormat="1" applyFont="1" applyBorder="1" applyAlignment="1">
      <alignment horizontal="center" vertical="center"/>
    </xf>
    <xf numFmtId="0" fontId="123" fillId="0" borderId="218" xfId="31" applyFont="1" applyBorder="1" applyAlignment="1">
      <alignment horizontal="left" indent="2"/>
    </xf>
    <xf numFmtId="0" fontId="123" fillId="0" borderId="2" xfId="31" applyFont="1" applyBorder="1" applyAlignment="1">
      <alignment horizontal="left" wrapText="1"/>
    </xf>
    <xf numFmtId="0" fontId="19" fillId="0" borderId="1" xfId="31" applyFont="1" applyBorder="1" applyAlignment="1">
      <alignment vertical="center" wrapText="1"/>
    </xf>
    <xf numFmtId="196" fontId="123" fillId="0" borderId="2" xfId="31" applyNumberFormat="1" applyFont="1" applyBorder="1" applyAlignment="1">
      <alignment horizontal="center" vertical="center"/>
    </xf>
    <xf numFmtId="0" fontId="123" fillId="0" borderId="2" xfId="31" applyFont="1" applyBorder="1" applyAlignment="1">
      <alignment horizontal="left" vertical="center" wrapText="1"/>
    </xf>
    <xf numFmtId="171" fontId="123" fillId="0" borderId="2" xfId="31" applyNumberFormat="1" applyFont="1" applyBorder="1" applyAlignment="1">
      <alignment horizontal="center" vertical="center"/>
    </xf>
    <xf numFmtId="4" fontId="123" fillId="0" borderId="2" xfId="31" applyNumberFormat="1" applyFont="1" applyBorder="1" applyAlignment="1">
      <alignment horizontal="center" vertical="center"/>
    </xf>
    <xf numFmtId="2" fontId="123" fillId="0" borderId="2" xfId="31" applyNumberFormat="1" applyFont="1" applyBorder="1" applyAlignment="1">
      <alignment horizontal="center" vertical="center"/>
    </xf>
    <xf numFmtId="171" fontId="123" fillId="0" borderId="2" xfId="32" applyNumberFormat="1" applyFont="1" applyFill="1" applyBorder="1" applyAlignment="1">
      <alignment vertical="center"/>
    </xf>
    <xf numFmtId="43" fontId="123" fillId="0" borderId="2" xfId="31" applyNumberFormat="1" applyFont="1" applyBorder="1" applyAlignment="1">
      <alignment horizontal="center" vertical="center"/>
    </xf>
    <xf numFmtId="0" fontId="122" fillId="0" borderId="219" xfId="31" applyFont="1" applyBorder="1" applyAlignment="1">
      <alignment horizontal="center" vertical="center"/>
    </xf>
    <xf numFmtId="0" fontId="123" fillId="0" borderId="27" xfId="31" applyFont="1" applyBorder="1" applyAlignment="1">
      <alignment horizontal="left" wrapText="1"/>
    </xf>
    <xf numFmtId="0" fontId="123" fillId="0" borderId="27" xfId="31" applyFont="1" applyBorder="1" applyAlignment="1">
      <alignment horizontal="center" vertical="center"/>
    </xf>
    <xf numFmtId="43" fontId="123" fillId="0" borderId="27" xfId="31" applyNumberFormat="1" applyFont="1" applyBorder="1" applyAlignment="1">
      <alignment horizontal="center" vertical="center"/>
    </xf>
    <xf numFmtId="171" fontId="123" fillId="0" borderId="27" xfId="32" applyNumberFormat="1" applyFont="1" applyFill="1" applyBorder="1" applyAlignment="1">
      <alignment vertical="center"/>
    </xf>
    <xf numFmtId="196" fontId="123" fillId="0" borderId="27" xfId="32" applyNumberFormat="1" applyFont="1" applyBorder="1" applyAlignment="1">
      <alignment horizontal="center" vertical="center"/>
    </xf>
    <xf numFmtId="0" fontId="123" fillId="0" borderId="220" xfId="31" applyFont="1" applyBorder="1" applyAlignment="1">
      <alignment horizontal="left" indent="2"/>
    </xf>
    <xf numFmtId="0" fontId="122" fillId="0" borderId="14" xfId="31" applyFont="1" applyBorder="1" applyAlignment="1">
      <alignment horizontal="center" vertical="center"/>
    </xf>
    <xf numFmtId="0" fontId="123" fillId="0" borderId="7" xfId="31" applyFont="1" applyBorder="1" applyAlignment="1">
      <alignment horizontal="left" vertical="top" wrapText="1"/>
    </xf>
    <xf numFmtId="0" fontId="123" fillId="0" borderId="7" xfId="31" applyFont="1" applyBorder="1" applyAlignment="1">
      <alignment horizontal="center" vertical="center"/>
    </xf>
    <xf numFmtId="43" fontId="123" fillId="0" borderId="7" xfId="31" applyNumberFormat="1" applyFont="1" applyBorder="1" applyAlignment="1">
      <alignment horizontal="center" vertical="center"/>
    </xf>
    <xf numFmtId="171" fontId="123" fillId="0" borderId="7" xfId="32" applyNumberFormat="1" applyFont="1" applyFill="1" applyBorder="1" applyAlignment="1">
      <alignment vertical="center"/>
    </xf>
    <xf numFmtId="196" fontId="123" fillId="0" borderId="7" xfId="32" applyNumberFormat="1" applyFont="1" applyBorder="1" applyAlignment="1">
      <alignment horizontal="center" vertical="center"/>
    </xf>
    <xf numFmtId="0" fontId="123" fillId="0" borderId="13" xfId="31" applyFont="1" applyBorder="1" applyAlignment="1">
      <alignment horizontal="left" indent="2"/>
    </xf>
    <xf numFmtId="0" fontId="1" fillId="0" borderId="1" xfId="31" applyBorder="1" applyAlignment="1">
      <alignment horizontal="center" vertical="center"/>
    </xf>
    <xf numFmtId="0" fontId="1" fillId="0" borderId="1" xfId="31" applyBorder="1"/>
    <xf numFmtId="171" fontId="69" fillId="0" borderId="1" xfId="31" applyNumberFormat="1" applyFont="1" applyBorder="1" applyAlignment="1">
      <alignment vertical="center"/>
    </xf>
    <xf numFmtId="196" fontId="69" fillId="0" borderId="1" xfId="31" applyNumberFormat="1" applyFont="1" applyBorder="1" applyAlignment="1">
      <alignment horizontal="center" vertical="center"/>
    </xf>
    <xf numFmtId="171" fontId="1" fillId="0" borderId="0" xfId="31" applyNumberFormat="1" applyAlignment="1">
      <alignment vertical="center"/>
    </xf>
    <xf numFmtId="196" fontId="1" fillId="0" borderId="0" xfId="31" applyNumberFormat="1" applyAlignment="1">
      <alignment horizontal="center" vertical="center"/>
    </xf>
    <xf numFmtId="1" fontId="104" fillId="0" borderId="1" xfId="31" applyNumberFormat="1" applyFont="1" applyBorder="1" applyAlignment="1">
      <alignment horizontal="center" vertical="center"/>
    </xf>
    <xf numFmtId="2" fontId="104" fillId="0" borderId="1" xfId="31" applyNumberFormat="1" applyFont="1" applyBorder="1" applyAlignment="1">
      <alignment vertical="center"/>
    </xf>
    <xf numFmtId="2" fontId="104" fillId="0" borderId="1" xfId="31" applyNumberFormat="1" applyFont="1" applyBorder="1" applyAlignment="1">
      <alignment horizontal="center" vertical="center" wrapText="1"/>
    </xf>
    <xf numFmtId="43" fontId="104" fillId="0" borderId="1" xfId="32" applyFont="1" applyBorder="1" applyAlignment="1">
      <alignment horizontal="center" vertical="center"/>
    </xf>
    <xf numFmtId="2" fontId="104" fillId="0" borderId="1" xfId="31" applyNumberFormat="1" applyFont="1" applyBorder="1" applyAlignment="1">
      <alignment horizontal="center" vertical="center"/>
    </xf>
    <xf numFmtId="1" fontId="104" fillId="0" borderId="1" xfId="4" applyNumberFormat="1" applyFont="1" applyBorder="1" applyAlignment="1">
      <alignment horizontal="center" vertical="center"/>
    </xf>
    <xf numFmtId="2" fontId="104" fillId="0" borderId="1" xfId="4" applyNumberFormat="1" applyFont="1" applyBorder="1" applyAlignment="1">
      <alignment horizontal="left" vertical="center"/>
    </xf>
    <xf numFmtId="1" fontId="102" fillId="0" borderId="1" xfId="31" applyNumberFormat="1" applyFont="1" applyBorder="1" applyAlignment="1">
      <alignment horizontal="center" vertical="center"/>
    </xf>
    <xf numFmtId="2" fontId="102" fillId="0" borderId="1" xfId="31" applyNumberFormat="1" applyFont="1" applyBorder="1" applyAlignment="1">
      <alignment horizontal="center" vertical="center"/>
    </xf>
    <xf numFmtId="43" fontId="102" fillId="0" borderId="1" xfId="32" applyFont="1" applyBorder="1" applyAlignment="1">
      <alignment horizontal="center" vertical="center"/>
    </xf>
    <xf numFmtId="2" fontId="102" fillId="0" borderId="1" xfId="4" applyNumberFormat="1" applyFont="1" applyBorder="1" applyAlignment="1">
      <alignment horizontal="left" vertical="center"/>
    </xf>
    <xf numFmtId="2" fontId="102" fillId="0" borderId="11" xfId="31" applyNumberFormat="1" applyFont="1" applyBorder="1" applyAlignment="1">
      <alignment horizontal="center" vertical="center"/>
    </xf>
    <xf numFmtId="2" fontId="102" fillId="0" borderId="5" xfId="31" applyNumberFormat="1" applyFont="1" applyBorder="1" applyAlignment="1">
      <alignment horizontal="center" vertical="center"/>
    </xf>
    <xf numFmtId="2" fontId="102" fillId="0" borderId="6" xfId="31" applyNumberFormat="1" applyFont="1" applyBorder="1" applyAlignment="1">
      <alignment horizontal="center" vertical="center"/>
    </xf>
    <xf numFmtId="2" fontId="102" fillId="0" borderId="1" xfId="31" applyNumberFormat="1" applyFont="1" applyBorder="1" applyAlignment="1">
      <alignment vertical="center"/>
    </xf>
    <xf numFmtId="2" fontId="104" fillId="0" borderId="11" xfId="31" applyNumberFormat="1" applyFont="1" applyBorder="1" applyAlignment="1">
      <alignment horizontal="center" vertical="center"/>
    </xf>
    <xf numFmtId="2" fontId="102" fillId="0" borderId="1" xfId="31" applyNumberFormat="1" applyFont="1" applyBorder="1" applyAlignment="1">
      <alignment horizontal="right" vertical="center"/>
    </xf>
    <xf numFmtId="43" fontId="102" fillId="0" borderId="1" xfId="32" applyFont="1" applyFill="1" applyBorder="1" applyAlignment="1">
      <alignment horizontal="center" vertical="center"/>
    </xf>
    <xf numFmtId="43" fontId="104" fillId="0" borderId="1" xfId="32" applyFont="1" applyFill="1" applyBorder="1" applyAlignment="1">
      <alignment horizontal="center" vertical="center"/>
    </xf>
    <xf numFmtId="2" fontId="104" fillId="0" borderId="6" xfId="31" applyNumberFormat="1" applyFont="1" applyBorder="1" applyAlignment="1">
      <alignment horizontal="center" vertical="center"/>
    </xf>
    <xf numFmtId="0" fontId="126" fillId="0" borderId="0" xfId="31" applyFont="1" applyAlignment="1">
      <alignment horizontal="center" vertical="center"/>
    </xf>
    <xf numFmtId="0" fontId="125" fillId="0" borderId="211" xfId="31" applyFont="1" applyBorder="1" applyAlignment="1">
      <alignment horizontal="center" vertical="center"/>
    </xf>
    <xf numFmtId="0" fontId="125" fillId="0" borderId="213" xfId="31" applyFont="1" applyBorder="1" applyAlignment="1">
      <alignment horizontal="center" vertical="center"/>
    </xf>
    <xf numFmtId="0" fontId="125" fillId="0" borderId="221" xfId="31" applyFont="1" applyBorder="1" applyAlignment="1">
      <alignment horizontal="center" vertical="center"/>
    </xf>
    <xf numFmtId="0" fontId="126" fillId="0" borderId="222" xfId="31" applyFont="1" applyBorder="1" applyAlignment="1">
      <alignment horizontal="center" vertical="center"/>
    </xf>
    <xf numFmtId="0" fontId="126" fillId="0" borderId="10" xfId="31" applyFont="1" applyBorder="1" applyAlignment="1">
      <alignment horizontal="left" vertical="center"/>
    </xf>
    <xf numFmtId="0" fontId="126" fillId="0" borderId="10" xfId="31" applyFont="1" applyBorder="1" applyAlignment="1">
      <alignment horizontal="center" vertical="center"/>
    </xf>
    <xf numFmtId="164" fontId="126" fillId="0" borderId="10" xfId="31" applyNumberFormat="1" applyFont="1" applyBorder="1" applyAlignment="1">
      <alignment horizontal="center" vertical="center"/>
    </xf>
    <xf numFmtId="0" fontId="126" fillId="0" borderId="223" xfId="31" applyFont="1" applyBorder="1" applyAlignment="1">
      <alignment horizontal="center" vertical="center"/>
    </xf>
    <xf numFmtId="0" fontId="126" fillId="0" borderId="142" xfId="31" applyFont="1" applyBorder="1" applyAlignment="1">
      <alignment horizontal="center" vertical="center"/>
    </xf>
    <xf numFmtId="0" fontId="126" fillId="0" borderId="1" xfId="31" applyFont="1" applyBorder="1" applyAlignment="1">
      <alignment horizontal="left" vertical="center"/>
    </xf>
    <xf numFmtId="9" fontId="126" fillId="0" borderId="1" xfId="31" applyNumberFormat="1" applyFont="1" applyBorder="1" applyAlignment="1">
      <alignment horizontal="center" vertical="center"/>
    </xf>
    <xf numFmtId="0" fontId="126" fillId="0" borderId="1" xfId="31" applyFont="1" applyBorder="1" applyAlignment="1">
      <alignment horizontal="center" vertical="center"/>
    </xf>
    <xf numFmtId="0" fontId="126" fillId="0" borderId="143" xfId="31" applyFont="1" applyBorder="1" applyAlignment="1">
      <alignment horizontal="center" vertical="center"/>
    </xf>
    <xf numFmtId="0" fontId="126" fillId="0" borderId="224" xfId="31" applyFont="1" applyBorder="1" applyAlignment="1">
      <alignment horizontal="center" vertical="center"/>
    </xf>
    <xf numFmtId="0" fontId="126" fillId="0" borderId="4" xfId="31" applyFont="1" applyBorder="1" applyAlignment="1">
      <alignment horizontal="left" vertical="center"/>
    </xf>
    <xf numFmtId="0" fontId="126" fillId="0" borderId="4" xfId="31" applyFont="1" applyBorder="1" applyAlignment="1">
      <alignment horizontal="center" vertical="center"/>
    </xf>
    <xf numFmtId="0" fontId="126" fillId="0" borderId="139" xfId="31" applyFont="1" applyBorder="1" applyAlignment="1">
      <alignment horizontal="center" vertical="center"/>
    </xf>
    <xf numFmtId="0" fontId="126" fillId="0" borderId="140" xfId="31" applyFont="1" applyBorder="1" applyAlignment="1">
      <alignment horizontal="left" vertical="center"/>
    </xf>
    <xf numFmtId="0" fontId="126" fillId="0" borderId="140" xfId="31" applyFont="1" applyBorder="1" applyAlignment="1">
      <alignment horizontal="center" vertical="center"/>
    </xf>
    <xf numFmtId="0" fontId="126" fillId="0" borderId="141" xfId="31" applyFont="1" applyBorder="1" applyAlignment="1">
      <alignment horizontal="center" vertical="center"/>
    </xf>
    <xf numFmtId="164" fontId="126" fillId="0" borderId="1" xfId="31" applyNumberFormat="1" applyFont="1" applyBorder="1" applyAlignment="1">
      <alignment horizontal="center" vertical="center"/>
    </xf>
    <xf numFmtId="0" fontId="125" fillId="0" borderId="142" xfId="31" applyFont="1" applyBorder="1" applyAlignment="1">
      <alignment horizontal="center" vertical="center"/>
    </xf>
    <xf numFmtId="0" fontId="125" fillId="0" borderId="1" xfId="31" applyFont="1" applyBorder="1" applyAlignment="1">
      <alignment horizontal="left" vertical="center"/>
    </xf>
    <xf numFmtId="2" fontId="126" fillId="0" borderId="1" xfId="31" applyNumberFormat="1" applyFont="1" applyBorder="1" applyAlignment="1">
      <alignment horizontal="center" vertical="center"/>
    </xf>
    <xf numFmtId="0" fontId="126" fillId="0" borderId="1" xfId="31" applyFont="1" applyBorder="1" applyAlignment="1">
      <alignment horizontal="left" vertical="center" indent="4"/>
    </xf>
    <xf numFmtId="164" fontId="126" fillId="0" borderId="1" xfId="31" applyNumberFormat="1" applyFont="1" applyBorder="1" applyAlignment="1">
      <alignment horizontal="right" vertical="center"/>
    </xf>
    <xf numFmtId="2" fontId="126" fillId="0" borderId="1" xfId="31" applyNumberFormat="1" applyFont="1" applyBorder="1" applyAlignment="1">
      <alignment vertical="center"/>
    </xf>
    <xf numFmtId="2" fontId="126" fillId="0" borderId="143" xfId="31" applyNumberFormat="1" applyFont="1" applyBorder="1" applyAlignment="1">
      <alignment horizontal="center" vertical="center"/>
    </xf>
    <xf numFmtId="0" fontId="126" fillId="0" borderId="225" xfId="31" applyFont="1" applyBorder="1" applyAlignment="1">
      <alignment horizontal="center" vertical="center"/>
    </xf>
    <xf numFmtId="0" fontId="126" fillId="0" borderId="19" xfId="31" applyFont="1" applyBorder="1" applyAlignment="1">
      <alignment horizontal="left" vertical="center" indent="4"/>
    </xf>
    <xf numFmtId="0" fontId="126" fillId="0" borderId="19" xfId="31" applyFont="1" applyBorder="1" applyAlignment="1">
      <alignment horizontal="center" vertical="center"/>
    </xf>
    <xf numFmtId="164" fontId="126" fillId="0" borderId="19" xfId="31" applyNumberFormat="1" applyFont="1" applyBorder="1" applyAlignment="1">
      <alignment horizontal="center" vertical="center"/>
    </xf>
    <xf numFmtId="2" fontId="126" fillId="0" borderId="19" xfId="31" applyNumberFormat="1" applyFont="1" applyBorder="1" applyAlignment="1">
      <alignment horizontal="center" vertical="center"/>
    </xf>
    <xf numFmtId="2" fontId="126" fillId="0" borderId="226" xfId="31" applyNumberFormat="1" applyFont="1" applyBorder="1" applyAlignment="1">
      <alignment horizontal="center" vertical="center"/>
    </xf>
    <xf numFmtId="0" fontId="126" fillId="0" borderId="10" xfId="31" applyFont="1" applyBorder="1" applyAlignment="1">
      <alignment horizontal="left" vertical="center" indent="4"/>
    </xf>
    <xf numFmtId="2" fontId="126" fillId="0" borderId="10" xfId="31" applyNumberFormat="1" applyFont="1" applyBorder="1" applyAlignment="1">
      <alignment horizontal="center" vertical="center"/>
    </xf>
    <xf numFmtId="0" fontId="126" fillId="0" borderId="1" xfId="31" applyFont="1" applyBorder="1" applyAlignment="1">
      <alignment horizontal="left" vertical="center" indent="6"/>
    </xf>
    <xf numFmtId="164" fontId="126" fillId="0" borderId="143" xfId="31" applyNumberFormat="1" applyFont="1" applyBorder="1" applyAlignment="1">
      <alignment horizontal="center" vertical="center"/>
    </xf>
    <xf numFmtId="0" fontId="126" fillId="0" borderId="1" xfId="31" applyFont="1" applyBorder="1" applyAlignment="1">
      <alignment horizontal="right" vertical="center"/>
    </xf>
    <xf numFmtId="2" fontId="126" fillId="0" borderId="1" xfId="31" applyNumberFormat="1" applyFont="1" applyBorder="1" applyAlignment="1">
      <alignment horizontal="right" vertical="center"/>
    </xf>
    <xf numFmtId="0" fontId="126" fillId="0" borderId="144" xfId="31" applyFont="1" applyBorder="1" applyAlignment="1">
      <alignment horizontal="center" vertical="center"/>
    </xf>
    <xf numFmtId="0" fontId="126" fillId="0" borderId="145" xfId="31" applyFont="1" applyBorder="1" applyAlignment="1">
      <alignment horizontal="left" vertical="center"/>
    </xf>
    <xf numFmtId="0" fontId="126" fillId="0" borderId="145" xfId="31" applyFont="1" applyBorder="1" applyAlignment="1">
      <alignment horizontal="center" vertical="center"/>
    </xf>
    <xf numFmtId="164" fontId="126" fillId="0" borderId="145" xfId="31" applyNumberFormat="1" applyFont="1" applyBorder="1" applyAlignment="1">
      <alignment horizontal="right" vertical="center"/>
    </xf>
    <xf numFmtId="0" fontId="126" fillId="0" borderId="145" xfId="31" applyFont="1" applyBorder="1" applyAlignment="1">
      <alignment horizontal="right" vertical="center"/>
    </xf>
    <xf numFmtId="0" fontId="126" fillId="0" borderId="146" xfId="31" applyFont="1" applyBorder="1" applyAlignment="1">
      <alignment horizontal="right" vertical="center"/>
    </xf>
    <xf numFmtId="0" fontId="126" fillId="0" borderId="0" xfId="31" applyFont="1" applyAlignment="1">
      <alignment horizontal="left" vertical="center"/>
    </xf>
    <xf numFmtId="0" fontId="126" fillId="0" borderId="0" xfId="31" applyFont="1" applyAlignment="1">
      <alignment horizontal="right" vertical="center"/>
    </xf>
    <xf numFmtId="0" fontId="125" fillId="0" borderId="214" xfId="31" applyFont="1" applyBorder="1" applyAlignment="1">
      <alignment horizontal="center" vertical="center"/>
    </xf>
    <xf numFmtId="0" fontId="126" fillId="0" borderId="8" xfId="31" applyFont="1" applyBorder="1" applyAlignment="1">
      <alignment horizontal="center" vertical="center"/>
    </xf>
    <xf numFmtId="0" fontId="126" fillId="0" borderId="11" xfId="31" applyFont="1" applyBorder="1" applyAlignment="1">
      <alignment horizontal="center" vertical="center"/>
    </xf>
    <xf numFmtId="0" fontId="126" fillId="0" borderId="227" xfId="31" applyFont="1" applyBorder="1" applyAlignment="1">
      <alignment horizontal="center" vertical="center"/>
    </xf>
    <xf numFmtId="2" fontId="126" fillId="0" borderId="11" xfId="31" applyNumberFormat="1" applyFont="1" applyBorder="1" applyAlignment="1">
      <alignment horizontal="center" vertical="center"/>
    </xf>
    <xf numFmtId="2" fontId="126" fillId="0" borderId="228" xfId="31" applyNumberFormat="1" applyFont="1" applyBorder="1" applyAlignment="1">
      <alignment horizontal="center" vertical="center"/>
    </xf>
    <xf numFmtId="164" fontId="126" fillId="0" borderId="11" xfId="31" applyNumberFormat="1" applyFont="1" applyBorder="1" applyAlignment="1">
      <alignment horizontal="center" vertical="center"/>
    </xf>
    <xf numFmtId="0" fontId="126" fillId="0" borderId="11" xfId="31" applyFont="1" applyBorder="1" applyAlignment="1">
      <alignment horizontal="right" vertical="center"/>
    </xf>
    <xf numFmtId="2" fontId="126" fillId="0" borderId="11" xfId="31" applyNumberFormat="1" applyFont="1" applyBorder="1" applyAlignment="1">
      <alignment horizontal="right" vertical="center"/>
    </xf>
    <xf numFmtId="0" fontId="126" fillId="0" borderId="147" xfId="31" applyFont="1" applyBorder="1" applyAlignment="1">
      <alignment horizontal="right" vertical="center"/>
    </xf>
    <xf numFmtId="43" fontId="126" fillId="0" borderId="8" xfId="31" applyNumberFormat="1" applyFont="1" applyBorder="1" applyAlignment="1">
      <alignment horizontal="center" vertical="center"/>
    </xf>
    <xf numFmtId="43" fontId="126" fillId="0" borderId="15" xfId="31" applyNumberFormat="1" applyFont="1" applyBorder="1" applyAlignment="1">
      <alignment horizontal="center" vertical="center"/>
    </xf>
    <xf numFmtId="43" fontId="126" fillId="0" borderId="11" xfId="31" applyNumberFormat="1" applyFont="1" applyBorder="1" applyAlignment="1">
      <alignment horizontal="center" vertical="center"/>
    </xf>
    <xf numFmtId="0" fontId="126" fillId="0" borderId="229" xfId="31" applyFont="1" applyBorder="1" applyAlignment="1">
      <alignment horizontal="center" vertical="center"/>
    </xf>
    <xf numFmtId="0" fontId="126" fillId="0" borderId="230" xfId="31" applyFont="1" applyBorder="1" applyAlignment="1">
      <alignment horizontal="left" vertical="center"/>
    </xf>
    <xf numFmtId="0" fontId="126" fillId="0" borderId="230" xfId="31" applyFont="1" applyBorder="1" applyAlignment="1">
      <alignment horizontal="center" vertical="center"/>
    </xf>
    <xf numFmtId="164" fontId="126" fillId="0" borderId="230" xfId="31" applyNumberFormat="1" applyFont="1" applyBorder="1" applyAlignment="1">
      <alignment horizontal="right" vertical="center"/>
    </xf>
    <xf numFmtId="0" fontId="126" fillId="0" borderId="230" xfId="31" applyFont="1" applyBorder="1" applyAlignment="1">
      <alignment horizontal="right" vertical="center"/>
    </xf>
    <xf numFmtId="0" fontId="126" fillId="0" borderId="231" xfId="31" applyFont="1" applyBorder="1" applyAlignment="1">
      <alignment horizontal="right" vertical="center"/>
    </xf>
    <xf numFmtId="43" fontId="126" fillId="0" borderId="223" xfId="31" applyNumberFormat="1" applyFont="1" applyBorder="1" applyAlignment="1">
      <alignment horizontal="center" vertical="center"/>
    </xf>
    <xf numFmtId="0" fontId="126" fillId="0" borderId="143" xfId="31" applyFont="1" applyBorder="1" applyAlignment="1">
      <alignment horizontal="right" vertical="center"/>
    </xf>
    <xf numFmtId="2" fontId="126" fillId="0" borderId="143" xfId="31" applyNumberFormat="1" applyFont="1" applyBorder="1" applyAlignment="1">
      <alignment horizontal="right" vertical="center"/>
    </xf>
    <xf numFmtId="164" fontId="126" fillId="0" borderId="145" xfId="31" applyNumberFormat="1" applyFont="1" applyBorder="1" applyAlignment="1">
      <alignment horizontal="center" vertical="center"/>
    </xf>
    <xf numFmtId="2" fontId="126" fillId="0" borderId="145" xfId="31" applyNumberFormat="1" applyFont="1" applyBorder="1" applyAlignment="1">
      <alignment horizontal="center" vertical="center"/>
    </xf>
    <xf numFmtId="2" fontId="126" fillId="0" borderId="147" xfId="31" applyNumberFormat="1" applyFont="1" applyBorder="1" applyAlignment="1">
      <alignment horizontal="center" vertical="center"/>
    </xf>
    <xf numFmtId="43" fontId="126" fillId="0" borderId="232" xfId="31" applyNumberFormat="1" applyFont="1" applyBorder="1" applyAlignment="1">
      <alignment horizontal="center" vertical="center"/>
    </xf>
    <xf numFmtId="43" fontId="126" fillId="0" borderId="231" xfId="31" applyNumberFormat="1" applyFont="1" applyBorder="1" applyAlignment="1">
      <alignment horizontal="right" vertical="center"/>
    </xf>
    <xf numFmtId="0" fontId="102" fillId="0" borderId="0" xfId="0" applyFont="1" applyAlignment="1">
      <alignment horizontal="center"/>
    </xf>
    <xf numFmtId="43" fontId="102" fillId="0" borderId="0" xfId="1" applyFont="1"/>
    <xf numFmtId="0" fontId="102" fillId="0" borderId="0" xfId="0" applyFont="1" applyAlignment="1">
      <alignment horizontal="left" vertical="top" wrapText="1"/>
    </xf>
    <xf numFmtId="193" fontId="102" fillId="0" borderId="0" xfId="1" applyNumberFormat="1" applyFont="1"/>
    <xf numFmtId="0" fontId="104" fillId="0" borderId="1" xfId="0" applyFont="1" applyBorder="1" applyAlignment="1">
      <alignment horizontal="right"/>
    </xf>
    <xf numFmtId="0" fontId="104" fillId="0" borderId="1" xfId="0" applyFont="1" applyBorder="1" applyAlignment="1">
      <alignment horizontal="left" vertical="top" wrapText="1"/>
    </xf>
    <xf numFmtId="43" fontId="104" fillId="0" borderId="1" xfId="1" applyFont="1" applyBorder="1" applyAlignment="1">
      <alignment horizontal="right"/>
    </xf>
    <xf numFmtId="193" fontId="104" fillId="0" borderId="1" xfId="1" applyNumberFormat="1" applyFont="1" applyBorder="1" applyAlignment="1">
      <alignment horizontal="right"/>
    </xf>
    <xf numFmtId="43" fontId="104" fillId="0" borderId="1" xfId="1" applyFont="1" applyBorder="1" applyAlignment="1">
      <alignment horizontal="center"/>
    </xf>
    <xf numFmtId="0" fontId="104" fillId="0" borderId="1" xfId="0" applyFont="1" applyBorder="1" applyAlignment="1">
      <alignment horizontal="right" wrapText="1"/>
    </xf>
    <xf numFmtId="0" fontId="102" fillId="0" borderId="1" xfId="0" applyFont="1" applyBorder="1" applyAlignment="1">
      <alignment horizontal="left" vertical="top" wrapText="1"/>
    </xf>
    <xf numFmtId="0" fontId="102" fillId="0" borderId="1" xfId="0" applyFont="1" applyBorder="1" applyAlignment="1">
      <alignment horizontal="right"/>
    </xf>
    <xf numFmtId="43" fontId="102" fillId="0" borderId="1" xfId="1" applyFont="1" applyBorder="1" applyAlignment="1">
      <alignment horizontal="right"/>
    </xf>
    <xf numFmtId="193" fontId="102" fillId="0" borderId="1" xfId="1" applyNumberFormat="1" applyFont="1" applyBorder="1" applyAlignment="1">
      <alignment horizontal="right"/>
    </xf>
    <xf numFmtId="43" fontId="102" fillId="0" borderId="1" xfId="1" applyFont="1" applyBorder="1" applyAlignment="1">
      <alignment horizontal="center"/>
    </xf>
    <xf numFmtId="2" fontId="23" fillId="0" borderId="1" xfId="0" applyNumberFormat="1" applyFont="1" applyBorder="1" applyAlignment="1">
      <alignment horizontal="right"/>
    </xf>
    <xf numFmtId="2" fontId="23" fillId="0" borderId="0" xfId="0" applyNumberFormat="1" applyFont="1"/>
    <xf numFmtId="193" fontId="23" fillId="0" borderId="1" xfId="0" applyNumberFormat="1" applyFont="1" applyBorder="1" applyAlignment="1">
      <alignment horizontal="right"/>
    </xf>
    <xf numFmtId="43" fontId="23" fillId="0" borderId="1" xfId="1" applyFont="1" applyFill="1" applyBorder="1" applyAlignment="1">
      <alignment horizontal="right"/>
    </xf>
    <xf numFmtId="0" fontId="102" fillId="0" borderId="1" xfId="0" applyFont="1" applyBorder="1" applyAlignment="1">
      <alignment wrapText="1"/>
    </xf>
    <xf numFmtId="43" fontId="102" fillId="0" borderId="1" xfId="1" applyFont="1" applyBorder="1" applyAlignment="1">
      <alignment vertical="center"/>
    </xf>
    <xf numFmtId="0" fontId="102" fillId="0" borderId="1" xfId="0" applyFont="1" applyBorder="1" applyAlignment="1">
      <alignment vertical="center"/>
    </xf>
    <xf numFmtId="43" fontId="102" fillId="0" borderId="1" xfId="0" applyNumberFormat="1" applyFont="1" applyBorder="1" applyAlignment="1">
      <alignment horizontal="right"/>
    </xf>
    <xf numFmtId="43" fontId="102" fillId="0" borderId="1" xfId="1" applyFont="1" applyBorder="1" applyAlignment="1">
      <alignment horizontal="left" wrapText="1"/>
    </xf>
    <xf numFmtId="0" fontId="23" fillId="0" borderId="1" xfId="33" applyFont="1" applyBorder="1" applyAlignment="1">
      <alignment horizontal="center" vertical="center"/>
    </xf>
    <xf numFmtId="2" fontId="23" fillId="0" borderId="1" xfId="33" applyNumberFormat="1" applyFont="1" applyBorder="1" applyAlignment="1">
      <alignment horizontal="center" vertical="center"/>
    </xf>
    <xf numFmtId="2" fontId="23" fillId="0" borderId="1" xfId="33" applyNumberFormat="1" applyFont="1" applyBorder="1" applyAlignment="1">
      <alignment horizontal="right" vertical="center"/>
    </xf>
    <xf numFmtId="0" fontId="23" fillId="0" borderId="1" xfId="33" applyFont="1" applyBorder="1" applyAlignment="1">
      <alignment horizontal="justify" vertical="center" wrapText="1"/>
    </xf>
    <xf numFmtId="43" fontId="102" fillId="0" borderId="1" xfId="1" applyFont="1" applyBorder="1" applyAlignment="1">
      <alignment horizontal="right" vertical="center"/>
    </xf>
    <xf numFmtId="43" fontId="23" fillId="0" borderId="1" xfId="33" applyNumberFormat="1" applyFont="1" applyBorder="1" applyAlignment="1">
      <alignment horizontal="center" vertical="center"/>
    </xf>
    <xf numFmtId="0" fontId="23" fillId="0" borderId="1" xfId="33" applyFont="1" applyBorder="1" applyAlignment="1">
      <alignment horizontal="left" vertical="center" wrapText="1"/>
    </xf>
    <xf numFmtId="0" fontId="23" fillId="0" borderId="1" xfId="33" applyFont="1" applyBorder="1" applyAlignment="1">
      <alignment horizontal="justify" vertical="center"/>
    </xf>
    <xf numFmtId="0" fontId="102" fillId="0" borderId="1" xfId="0" applyFont="1" applyBorder="1" applyAlignment="1">
      <alignment vertical="center" wrapText="1"/>
    </xf>
    <xf numFmtId="0" fontId="102" fillId="0" borderId="0" xfId="0" applyFont="1" applyAlignment="1">
      <alignment vertical="center"/>
    </xf>
    <xf numFmtId="0" fontId="102" fillId="0" borderId="1" xfId="0" applyFont="1" applyBorder="1" applyAlignment="1">
      <alignment horizontal="left" vertical="center" wrapText="1"/>
    </xf>
    <xf numFmtId="0" fontId="102" fillId="0" borderId="1" xfId="0" applyFont="1" applyBorder="1"/>
    <xf numFmtId="193" fontId="102" fillId="0" borderId="1" xfId="0" applyNumberFormat="1" applyFont="1" applyBorder="1"/>
    <xf numFmtId="43" fontId="104" fillId="0" borderId="1" xfId="1" applyFont="1" applyBorder="1"/>
    <xf numFmtId="43" fontId="102" fillId="0" borderId="1" xfId="1" applyFont="1" applyBorder="1" applyAlignment="1">
      <alignment wrapText="1"/>
    </xf>
    <xf numFmtId="193" fontId="102" fillId="0" borderId="0" xfId="0" applyNumberFormat="1" applyFont="1"/>
    <xf numFmtId="0" fontId="102" fillId="0" borderId="0" xfId="0" applyFont="1" applyAlignment="1">
      <alignment wrapText="1"/>
    </xf>
    <xf numFmtId="0" fontId="123" fillId="0" borderId="1" xfId="0" applyFont="1" applyBorder="1" applyAlignment="1">
      <alignment vertical="center"/>
    </xf>
    <xf numFmtId="43" fontId="123" fillId="0" borderId="1" xfId="1" applyFont="1" applyBorder="1" applyAlignment="1">
      <alignment vertical="center"/>
    </xf>
    <xf numFmtId="43" fontId="123" fillId="0" borderId="1" xfId="1" applyFont="1" applyBorder="1" applyAlignment="1">
      <alignment horizontal="right"/>
    </xf>
    <xf numFmtId="2" fontId="99" fillId="0" borderId="1" xfId="4" applyNumberFormat="1" applyFont="1" applyBorder="1" applyAlignment="1">
      <alignment horizontal="center"/>
    </xf>
    <xf numFmtId="0" fontId="99" fillId="0" borderId="1" xfId="4" applyFont="1" applyBorder="1" applyAlignment="1">
      <alignment horizontal="center"/>
    </xf>
    <xf numFmtId="2" fontId="19" fillId="0" borderId="1" xfId="33" applyNumberFormat="1" applyFont="1" applyBorder="1" applyAlignment="1">
      <alignment horizontal="center" vertical="center"/>
    </xf>
    <xf numFmtId="0" fontId="102" fillId="0" borderId="0" xfId="0" applyFont="1"/>
    <xf numFmtId="0" fontId="28" fillId="0" borderId="56" xfId="18" applyFont="1" applyBorder="1" applyAlignment="1">
      <alignment horizontal="center" vertical="center"/>
    </xf>
    <xf numFmtId="2" fontId="4" fillId="0" borderId="38" xfId="18" applyNumberFormat="1" applyBorder="1" applyAlignment="1">
      <alignment vertical="center"/>
    </xf>
    <xf numFmtId="2" fontId="4" fillId="0" borderId="32" xfId="18" applyNumberFormat="1" applyBorder="1" applyAlignment="1">
      <alignment vertical="center"/>
    </xf>
    <xf numFmtId="2" fontId="28" fillId="0" borderId="38" xfId="18" applyNumberFormat="1" applyFont="1" applyBorder="1" applyAlignment="1">
      <alignment vertical="center"/>
    </xf>
    <xf numFmtId="2" fontId="28" fillId="0" borderId="233" xfId="18" applyNumberFormat="1" applyFont="1" applyBorder="1" applyAlignment="1">
      <alignment vertical="center"/>
    </xf>
    <xf numFmtId="2" fontId="4" fillId="0" borderId="233" xfId="18" applyNumberFormat="1" applyBorder="1" applyAlignment="1">
      <alignment vertical="center"/>
    </xf>
    <xf numFmtId="2" fontId="4" fillId="0" borderId="40" xfId="18" applyNumberFormat="1" applyBorder="1" applyAlignment="1">
      <alignment vertical="center"/>
    </xf>
    <xf numFmtId="2" fontId="106" fillId="0" borderId="62" xfId="18" applyNumberFormat="1" applyFont="1" applyBorder="1" applyAlignment="1">
      <alignment vertical="center"/>
    </xf>
    <xf numFmtId="0" fontId="28" fillId="0" borderId="74" xfId="18" applyFont="1" applyBorder="1" applyAlignment="1">
      <alignment horizontal="center" vertical="center"/>
    </xf>
    <xf numFmtId="2" fontId="4" fillId="0" borderId="74" xfId="18" applyNumberFormat="1" applyBorder="1" applyAlignment="1">
      <alignment vertical="center"/>
    </xf>
    <xf numFmtId="2" fontId="28" fillId="0" borderId="74" xfId="18" applyNumberFormat="1" applyFont="1" applyBorder="1" applyAlignment="1">
      <alignment vertical="center"/>
    </xf>
    <xf numFmtId="2" fontId="28" fillId="0" borderId="62" xfId="18" applyNumberFormat="1" applyFont="1" applyBorder="1" applyAlignment="1">
      <alignment vertical="center"/>
    </xf>
    <xf numFmtId="2" fontId="4" fillId="0" borderId="62" xfId="18" applyNumberFormat="1" applyBorder="1" applyAlignment="1">
      <alignment vertical="center"/>
    </xf>
    <xf numFmtId="2" fontId="28" fillId="0" borderId="40" xfId="18" applyNumberFormat="1" applyFont="1" applyBorder="1" applyAlignment="1">
      <alignment vertical="center"/>
    </xf>
    <xf numFmtId="2" fontId="132" fillId="0" borderId="116" xfId="18" applyNumberFormat="1" applyFont="1" applyBorder="1" applyAlignment="1">
      <alignment vertical="center"/>
    </xf>
    <xf numFmtId="0" fontId="19" fillId="0" borderId="1" xfId="4" applyFont="1" applyBorder="1" applyAlignment="1">
      <alignment horizontal="left" wrapText="1"/>
    </xf>
    <xf numFmtId="0" fontId="19" fillId="0" borderId="1" xfId="4" applyFont="1" applyBorder="1" applyAlignment="1">
      <alignment horizontal="right"/>
    </xf>
    <xf numFmtId="0" fontId="102" fillId="0" borderId="1" xfId="0" applyFont="1" applyBorder="1" applyAlignment="1">
      <alignment horizontal="right" wrapText="1"/>
    </xf>
    <xf numFmtId="0" fontId="26" fillId="0" borderId="1" xfId="0" applyFont="1" applyBorder="1"/>
    <xf numFmtId="0" fontId="23" fillId="0" borderId="1" xfId="0" applyFont="1" applyBorder="1" applyAlignment="1">
      <alignment horizontal="left" wrapText="1"/>
    </xf>
    <xf numFmtId="0" fontId="23" fillId="0" borderId="1" xfId="0" applyFont="1" applyBorder="1" applyAlignment="1">
      <alignment horizontal="left" vertical="top" wrapText="1"/>
    </xf>
    <xf numFmtId="0" fontId="4" fillId="0" borderId="1" xfId="4" applyBorder="1" applyAlignment="1">
      <alignment horizontal="center" vertical="top"/>
    </xf>
    <xf numFmtId="0" fontId="4" fillId="0" borderId="1" xfId="4" applyBorder="1" applyAlignment="1">
      <alignment horizontal="right"/>
    </xf>
    <xf numFmtId="0" fontId="19" fillId="0" borderId="1" xfId="4" applyFont="1" applyBorder="1" applyAlignment="1">
      <alignment horizontal="center"/>
    </xf>
    <xf numFmtId="2" fontId="19" fillId="0" borderId="1" xfId="4" applyNumberFormat="1" applyFont="1" applyBorder="1" applyAlignment="1">
      <alignment horizontal="center"/>
    </xf>
    <xf numFmtId="43" fontId="19" fillId="0" borderId="1" xfId="1" applyFont="1" applyBorder="1" applyAlignment="1">
      <alignment horizontal="center"/>
    </xf>
    <xf numFmtId="43" fontId="0" fillId="0" borderId="0" xfId="0" applyNumberFormat="1"/>
    <xf numFmtId="43" fontId="102" fillId="0" borderId="0" xfId="0" applyNumberFormat="1" applyFont="1"/>
    <xf numFmtId="0" fontId="19" fillId="0" borderId="1" xfId="0" applyFont="1" applyBorder="1" applyAlignment="1">
      <alignment wrapText="1"/>
    </xf>
    <xf numFmtId="0" fontId="128" fillId="0" borderId="0" xfId="0" applyFont="1" applyAlignment="1">
      <alignment horizontal="center"/>
    </xf>
    <xf numFmtId="0" fontId="102" fillId="0" borderId="0" xfId="0" applyFont="1" applyAlignment="1">
      <alignment horizontal="left"/>
    </xf>
    <xf numFmtId="0" fontId="102" fillId="0" borderId="0" xfId="0" quotePrefix="1" applyFont="1" applyAlignment="1">
      <alignment horizontal="left"/>
    </xf>
    <xf numFmtId="0" fontId="102" fillId="0" borderId="0" xfId="0" applyFont="1" applyAlignment="1">
      <alignment horizontal="right"/>
    </xf>
    <xf numFmtId="0" fontId="102" fillId="0" borderId="12" xfId="0" applyFont="1" applyBorder="1" applyAlignment="1">
      <alignment horizontal="right"/>
    </xf>
    <xf numFmtId="0" fontId="0" fillId="0" borderId="1" xfId="0" applyBorder="1" applyAlignment="1">
      <alignment horizontal="center"/>
    </xf>
    <xf numFmtId="0" fontId="0" fillId="0" borderId="1" xfId="0" applyBorder="1" applyAlignment="1">
      <alignment horizontal="center" wrapText="1"/>
    </xf>
    <xf numFmtId="165" fontId="0" fillId="0" borderId="1" xfId="0" applyNumberFormat="1" applyBorder="1" applyAlignment="1">
      <alignment horizontal="center"/>
    </xf>
    <xf numFmtId="0" fontId="102" fillId="13" borderId="1" xfId="0" applyFont="1" applyFill="1" applyBorder="1" applyAlignment="1">
      <alignment horizontal="left" vertical="top" wrapText="1"/>
    </xf>
    <xf numFmtId="0" fontId="104" fillId="0" borderId="1" xfId="0" applyFont="1" applyBorder="1" applyAlignment="1">
      <alignment horizontal="center" vertical="top" wrapText="1"/>
    </xf>
    <xf numFmtId="0" fontId="133" fillId="0" borderId="234" xfId="34" applyBorder="1" applyAlignment="1">
      <alignment horizontal="right" wrapText="1"/>
    </xf>
    <xf numFmtId="0" fontId="102" fillId="0" borderId="1" xfId="0" applyFont="1" applyBorder="1" applyAlignment="1">
      <alignment horizontal="right" vertical="top" wrapText="1"/>
    </xf>
    <xf numFmtId="0" fontId="123" fillId="0" borderId="1" xfId="0" applyFont="1" applyBorder="1" applyAlignment="1">
      <alignment horizontal="left" vertical="top" wrapText="1"/>
    </xf>
    <xf numFmtId="43" fontId="102" fillId="0" borderId="1" xfId="0" applyNumberFormat="1" applyFont="1" applyBorder="1"/>
    <xf numFmtId="2" fontId="23" fillId="0" borderId="1" xfId="0" applyNumberFormat="1" applyFont="1" applyBorder="1"/>
    <xf numFmtId="0" fontId="102" fillId="0" borderId="1" xfId="0" applyFont="1" applyBorder="1" applyAlignment="1">
      <alignment horizontal="right" vertical="center" wrapText="1"/>
    </xf>
    <xf numFmtId="43" fontId="102" fillId="0" borderId="1" xfId="0" applyNumberFormat="1" applyFont="1" applyBorder="1" applyAlignment="1">
      <alignment horizontal="left" vertical="top" wrapText="1"/>
    </xf>
    <xf numFmtId="43" fontId="104" fillId="0" borderId="1" xfId="0" applyNumberFormat="1" applyFont="1" applyBorder="1" applyAlignment="1">
      <alignment vertical="center" wrapText="1"/>
    </xf>
    <xf numFmtId="43" fontId="122" fillId="0" borderId="1" xfId="1" applyFont="1" applyBorder="1" applyAlignment="1">
      <alignment vertical="center"/>
    </xf>
    <xf numFmtId="43" fontId="122" fillId="0" borderId="1" xfId="1" applyFont="1" applyBorder="1" applyAlignment="1">
      <alignment horizontal="right"/>
    </xf>
    <xf numFmtId="0" fontId="134" fillId="0" borderId="0" xfId="36" applyFont="1" applyAlignment="1">
      <alignment horizontal="left" vertical="center"/>
    </xf>
    <xf numFmtId="0" fontId="136" fillId="0" borderId="0" xfId="36" applyFont="1" applyAlignment="1">
      <alignment horizontal="center"/>
    </xf>
    <xf numFmtId="0" fontId="137" fillId="0" borderId="0" xfId="0" applyFont="1" applyAlignment="1">
      <alignment horizontal="center" vertical="center"/>
    </xf>
    <xf numFmtId="0" fontId="137" fillId="5" borderId="0" xfId="0" applyFont="1" applyFill="1" applyAlignment="1">
      <alignment horizontal="center" vertical="center"/>
    </xf>
    <xf numFmtId="0" fontId="138" fillId="0" borderId="0" xfId="0" applyFont="1" applyAlignment="1">
      <alignment horizontal="left"/>
    </xf>
    <xf numFmtId="197" fontId="134" fillId="0" borderId="0" xfId="0" applyNumberFormat="1" applyFont="1" applyAlignment="1">
      <alignment horizontal="left"/>
    </xf>
    <xf numFmtId="2" fontId="136" fillId="5" borderId="0" xfId="0" applyNumberFormat="1" applyFont="1" applyFill="1" applyAlignment="1">
      <alignment horizontal="left" vertical="top"/>
    </xf>
    <xf numFmtId="0" fontId="136" fillId="5" borderId="0" xfId="0" applyFont="1" applyFill="1" applyAlignment="1">
      <alignment vertical="top"/>
    </xf>
    <xf numFmtId="0" fontId="138" fillId="0" borderId="0" xfId="0" applyFont="1"/>
    <xf numFmtId="0" fontId="136" fillId="0" borderId="0" xfId="0" applyFont="1"/>
    <xf numFmtId="1" fontId="136" fillId="0" borderId="0" xfId="0" applyNumberFormat="1" applyFont="1" applyAlignment="1">
      <alignment horizontal="left"/>
    </xf>
    <xf numFmtId="14" fontId="136" fillId="0" borderId="0" xfId="0" applyNumberFormat="1" applyFont="1"/>
    <xf numFmtId="197" fontId="136" fillId="0" borderId="0" xfId="0" applyNumberFormat="1" applyFont="1" applyAlignment="1">
      <alignment horizontal="left"/>
    </xf>
    <xf numFmtId="0" fontId="136" fillId="0" borderId="0" xfId="0" applyFont="1" applyAlignment="1">
      <alignment horizontal="center"/>
    </xf>
    <xf numFmtId="0" fontId="136" fillId="5" borderId="0" xfId="0" applyFont="1" applyFill="1"/>
    <xf numFmtId="2" fontId="136" fillId="0" borderId="0" xfId="0" applyNumberFormat="1" applyFont="1" applyAlignment="1">
      <alignment horizontal="center"/>
    </xf>
    <xf numFmtId="0" fontId="140" fillId="5" borderId="1" xfId="0" applyFont="1" applyFill="1" applyBorder="1" applyAlignment="1">
      <alignment horizontal="center" vertical="center"/>
    </xf>
    <xf numFmtId="0" fontId="140" fillId="5" borderId="1" xfId="0" applyFont="1" applyFill="1" applyBorder="1" applyAlignment="1">
      <alignment horizontal="center" vertical="center" wrapText="1"/>
    </xf>
    <xf numFmtId="0" fontId="140" fillId="0" borderId="1" xfId="0" applyFont="1" applyBorder="1" applyAlignment="1">
      <alignment horizontal="center" vertical="center"/>
    </xf>
    <xf numFmtId="0" fontId="140" fillId="0" borderId="1" xfId="0" applyFont="1" applyBorder="1" applyAlignment="1">
      <alignment horizontal="center" vertical="center" wrapText="1"/>
    </xf>
    <xf numFmtId="43" fontId="139" fillId="5" borderId="1" xfId="0" applyNumberFormat="1" applyFont="1" applyFill="1" applyBorder="1" applyAlignment="1">
      <alignment horizontal="center" vertical="center"/>
    </xf>
    <xf numFmtId="43" fontId="139" fillId="5" borderId="1" xfId="0" applyNumberFormat="1" applyFont="1" applyFill="1" applyBorder="1" applyAlignment="1">
      <alignment horizontal="center" vertical="center" wrapText="1"/>
    </xf>
    <xf numFmtId="0" fontId="139" fillId="5" borderId="1" xfId="0" applyFont="1" applyFill="1" applyBorder="1" applyAlignment="1">
      <alignment horizontal="center" vertical="center" wrapText="1"/>
    </xf>
    <xf numFmtId="43" fontId="139" fillId="0" borderId="1" xfId="0" applyNumberFormat="1" applyFont="1" applyBorder="1" applyAlignment="1">
      <alignment horizontal="center" vertical="center"/>
    </xf>
    <xf numFmtId="43" fontId="139" fillId="0" borderId="1" xfId="0" applyNumberFormat="1" applyFont="1" applyBorder="1" applyAlignment="1">
      <alignment horizontal="center" vertical="center" wrapText="1"/>
    </xf>
    <xf numFmtId="0" fontId="139" fillId="0" borderId="0" xfId="0" applyFont="1" applyAlignment="1">
      <alignment horizontal="center" vertical="center" wrapText="1"/>
    </xf>
    <xf numFmtId="2" fontId="139" fillId="5" borderId="1" xfId="0" applyNumberFormat="1" applyFont="1" applyFill="1" applyBorder="1" applyAlignment="1">
      <alignment horizontal="right" wrapText="1"/>
    </xf>
    <xf numFmtId="0" fontId="139" fillId="0" borderId="0" xfId="0" applyFont="1" applyAlignment="1">
      <alignment horizontal="center" vertical="top" wrapText="1"/>
    </xf>
    <xf numFmtId="0" fontId="136" fillId="0" borderId="1" xfId="0" applyFont="1" applyBorder="1" applyAlignment="1">
      <alignment vertical="top" wrapText="1"/>
    </xf>
    <xf numFmtId="2" fontId="140" fillId="5" borderId="1" xfId="0" applyNumberFormat="1" applyFont="1" applyFill="1" applyBorder="1" applyAlignment="1">
      <alignment horizontal="right" wrapText="1"/>
    </xf>
    <xf numFmtId="2" fontId="140" fillId="0" borderId="1" xfId="0" applyNumberFormat="1" applyFont="1" applyBorder="1" applyAlignment="1">
      <alignment horizontal="right"/>
    </xf>
    <xf numFmtId="2" fontId="140" fillId="0" borderId="1" xfId="0" applyNumberFormat="1" applyFont="1" applyBorder="1" applyAlignment="1">
      <alignment horizontal="right" wrapText="1"/>
    </xf>
    <xf numFmtId="2" fontId="139" fillId="0" borderId="1" xfId="0" applyNumberFormat="1" applyFont="1" applyBorder="1" applyAlignment="1">
      <alignment horizontal="right"/>
    </xf>
    <xf numFmtId="0" fontId="139" fillId="0" borderId="0" xfId="0" applyFont="1" applyAlignment="1">
      <alignment horizontal="right"/>
    </xf>
    <xf numFmtId="0" fontId="136" fillId="0" borderId="1" xfId="0" applyFont="1" applyBorder="1"/>
    <xf numFmtId="0" fontId="140" fillId="5" borderId="1" xfId="0" applyFont="1" applyFill="1" applyBorder="1"/>
    <xf numFmtId="0" fontId="140" fillId="0" borderId="1" xfId="0" applyFont="1" applyBorder="1"/>
    <xf numFmtId="0" fontId="139" fillId="0" borderId="0" xfId="0" applyFont="1"/>
    <xf numFmtId="0" fontId="140" fillId="0" borderId="1" xfId="0" applyFont="1" applyBorder="1" applyAlignment="1">
      <alignment horizontal="right" wrapText="1"/>
    </xf>
    <xf numFmtId="0" fontId="140" fillId="0" borderId="1" xfId="0" applyFont="1" applyBorder="1" applyAlignment="1">
      <alignment horizontal="right"/>
    </xf>
    <xf numFmtId="0" fontId="140" fillId="0" borderId="1" xfId="0" applyFont="1" applyBorder="1" applyAlignment="1">
      <alignment horizontal="center"/>
    </xf>
    <xf numFmtId="2" fontId="140" fillId="5" borderId="1" xfId="0" applyNumberFormat="1" applyFont="1" applyFill="1" applyBorder="1"/>
    <xf numFmtId="2" fontId="140" fillId="0" borderId="1" xfId="0" applyNumberFormat="1" applyFont="1" applyBorder="1"/>
    <xf numFmtId="0" fontId="140" fillId="0" borderId="1" xfId="0" applyFont="1" applyBorder="1" applyAlignment="1">
      <alignment horizontal="left" wrapText="1"/>
    </xf>
    <xf numFmtId="0" fontId="139" fillId="0" borderId="1" xfId="0" applyFont="1" applyBorder="1" applyAlignment="1">
      <alignment horizontal="right" wrapText="1"/>
    </xf>
    <xf numFmtId="0" fontId="139" fillId="0" borderId="1" xfId="0" applyFont="1" applyBorder="1" applyAlignment="1">
      <alignment horizontal="center"/>
    </xf>
    <xf numFmtId="0" fontId="139" fillId="5" borderId="1" xfId="0" applyFont="1" applyFill="1" applyBorder="1"/>
    <xf numFmtId="43" fontId="139" fillId="5" borderId="1" xfId="0" applyNumberFormat="1" applyFont="1" applyFill="1" applyBorder="1"/>
    <xf numFmtId="0" fontId="139" fillId="0" borderId="1" xfId="0" applyFont="1" applyBorder="1"/>
    <xf numFmtId="2" fontId="141" fillId="0" borderId="0" xfId="0" applyNumberFormat="1" applyFont="1"/>
    <xf numFmtId="2" fontId="141" fillId="0" borderId="0" xfId="37" applyNumberFormat="1" applyFont="1" applyAlignment="1">
      <alignment horizontal="center"/>
    </xf>
    <xf numFmtId="2" fontId="29" fillId="0" borderId="0" xfId="0" applyNumberFormat="1" applyFont="1"/>
    <xf numFmtId="0" fontId="141" fillId="0" borderId="0" xfId="0" applyFont="1"/>
    <xf numFmtId="0" fontId="142" fillId="0" borderId="0" xfId="0" applyFont="1"/>
    <xf numFmtId="10" fontId="141" fillId="0" borderId="0" xfId="0" applyNumberFormat="1" applyFont="1" applyAlignment="1">
      <alignment horizontal="center"/>
    </xf>
    <xf numFmtId="0" fontId="141" fillId="0" borderId="0" xfId="0" applyFont="1" applyAlignment="1">
      <alignment vertical="top"/>
    </xf>
    <xf numFmtId="14" fontId="136" fillId="0" borderId="0" xfId="0" applyNumberFormat="1" applyFont="1" applyAlignment="1">
      <alignment horizontal="right"/>
    </xf>
    <xf numFmtId="0" fontId="123" fillId="0" borderId="0" xfId="0" applyFont="1" applyAlignment="1">
      <alignment horizontal="left"/>
    </xf>
    <xf numFmtId="0" fontId="102" fillId="0" borderId="0" xfId="0" quotePrefix="1" applyFont="1"/>
    <xf numFmtId="0" fontId="123" fillId="0" borderId="1" xfId="0" applyFont="1" applyBorder="1" applyAlignment="1">
      <alignment horizontal="right" vertical="center"/>
    </xf>
    <xf numFmtId="0" fontId="26" fillId="0" borderId="0" xfId="38" applyFont="1"/>
    <xf numFmtId="0" fontId="10" fillId="0" borderId="0" xfId="38" applyFont="1"/>
    <xf numFmtId="0" fontId="10" fillId="0" borderId="0" xfId="38" applyFont="1" applyAlignment="1">
      <alignment horizontal="centerContinuous"/>
    </xf>
    <xf numFmtId="0" fontId="10" fillId="0" borderId="0" xfId="38" applyFont="1" applyAlignment="1">
      <alignment horizontal="right"/>
    </xf>
    <xf numFmtId="0" fontId="26" fillId="0" borderId="0" xfId="38" applyFont="1" applyAlignment="1">
      <alignment horizontal="centerContinuous"/>
    </xf>
    <xf numFmtId="0" fontId="17" fillId="0" borderId="4" xfId="38" applyFont="1" applyBorder="1" applyAlignment="1">
      <alignment horizontal="center"/>
    </xf>
    <xf numFmtId="0" fontId="26" fillId="0" borderId="15" xfId="38" applyFont="1" applyBorder="1"/>
    <xf numFmtId="2" fontId="17" fillId="0" borderId="4" xfId="38" applyNumberFormat="1" applyFont="1" applyBorder="1" applyAlignment="1">
      <alignment horizontal="center"/>
    </xf>
    <xf numFmtId="0" fontId="10" fillId="0" borderId="4" xfId="38" applyFont="1" applyBorder="1" applyAlignment="1">
      <alignment horizontal="center"/>
    </xf>
    <xf numFmtId="0" fontId="17" fillId="0" borderId="10" xfId="38" applyFont="1" applyBorder="1" applyAlignment="1">
      <alignment horizontal="center"/>
    </xf>
    <xf numFmtId="0" fontId="26" fillId="0" borderId="8" xfId="38" applyFont="1" applyBorder="1"/>
    <xf numFmtId="0" fontId="26" fillId="0" borderId="10" xfId="38" applyFont="1" applyBorder="1"/>
    <xf numFmtId="0" fontId="26" fillId="0" borderId="10" xfId="38" applyFont="1" applyBorder="1" applyAlignment="1">
      <alignment horizontal="center"/>
    </xf>
    <xf numFmtId="2" fontId="17" fillId="0" borderId="10" xfId="38" applyNumberFormat="1" applyFont="1" applyBorder="1" applyAlignment="1">
      <alignment horizontal="center"/>
    </xf>
    <xf numFmtId="0" fontId="10" fillId="0" borderId="10" xfId="38" applyFont="1" applyBorder="1" applyAlignment="1">
      <alignment horizontal="center"/>
    </xf>
    <xf numFmtId="0" fontId="10" fillId="0" borderId="0" xfId="38" applyFont="1" applyAlignment="1">
      <alignment horizontal="center"/>
    </xf>
    <xf numFmtId="0" fontId="26" fillId="0" borderId="0" xfId="38" applyFont="1" applyProtection="1">
      <protection locked="0"/>
    </xf>
    <xf numFmtId="0" fontId="26" fillId="0" borderId="13" xfId="38" applyFont="1" applyBorder="1" applyAlignment="1">
      <alignment horizontal="center"/>
    </xf>
    <xf numFmtId="0" fontId="26" fillId="0" borderId="0" xfId="38" applyFont="1" applyAlignment="1">
      <alignment horizontal="center"/>
    </xf>
    <xf numFmtId="165" fontId="10" fillId="0" borderId="0" xfId="38" applyNumberFormat="1" applyFont="1" applyAlignment="1">
      <alignment horizontal="left"/>
    </xf>
    <xf numFmtId="0" fontId="144" fillId="0" borderId="0" xfId="38" applyFont="1"/>
    <xf numFmtId="0" fontId="14" fillId="0" borderId="0" xfId="38" applyFont="1" applyAlignment="1">
      <alignment horizontal="center"/>
    </xf>
    <xf numFmtId="2" fontId="26" fillId="0" borderId="0" xfId="38" applyNumberFormat="1" applyFont="1" applyAlignment="1">
      <alignment horizontal="center"/>
    </xf>
    <xf numFmtId="2" fontId="26" fillId="0" borderId="0" xfId="38" applyNumberFormat="1" applyFont="1" applyAlignment="1">
      <alignment horizontal="right"/>
    </xf>
    <xf numFmtId="2" fontId="10" fillId="0" borderId="14" xfId="38" applyNumberFormat="1" applyFont="1" applyBorder="1" applyAlignment="1">
      <alignment horizontal="center"/>
    </xf>
    <xf numFmtId="0" fontId="26" fillId="0" borderId="8" xfId="38" applyFont="1" applyBorder="1" applyAlignment="1">
      <alignment horizontal="center"/>
    </xf>
    <xf numFmtId="0" fontId="26" fillId="0" borderId="12" xfId="38" applyFont="1" applyBorder="1" applyAlignment="1">
      <alignment horizontal="center"/>
    </xf>
    <xf numFmtId="165" fontId="10" fillId="0" borderId="12" xfId="38" applyNumberFormat="1" applyFont="1" applyBorder="1" applyAlignment="1">
      <alignment horizontal="left"/>
    </xf>
    <xf numFmtId="0" fontId="144" fillId="0" borderId="12" xfId="38" applyFont="1" applyBorder="1"/>
    <xf numFmtId="0" fontId="26" fillId="0" borderId="12" xfId="38" applyFont="1" applyBorder="1"/>
    <xf numFmtId="165" fontId="26" fillId="0" borderId="12" xfId="38" quotePrefix="1" applyNumberFormat="1" applyFont="1" applyBorder="1"/>
    <xf numFmtId="0" fontId="26" fillId="0" borderId="12" xfId="38" quotePrefix="1" applyFont="1" applyBorder="1"/>
    <xf numFmtId="2" fontId="26" fillId="0" borderId="12" xfId="38" applyNumberFormat="1" applyFont="1" applyBorder="1" applyAlignment="1">
      <alignment horizontal="center"/>
    </xf>
    <xf numFmtId="2" fontId="26" fillId="0" borderId="12" xfId="38" applyNumberFormat="1" applyFont="1" applyBorder="1" applyAlignment="1">
      <alignment horizontal="right"/>
    </xf>
    <xf numFmtId="2" fontId="10" fillId="0" borderId="9" xfId="38" applyNumberFormat="1" applyFont="1" applyBorder="1" applyAlignment="1">
      <alignment horizontal="center"/>
    </xf>
    <xf numFmtId="0" fontId="26" fillId="0" borderId="7" xfId="38" applyFont="1" applyBorder="1" applyAlignment="1">
      <alignment horizontal="center"/>
    </xf>
    <xf numFmtId="0" fontId="26" fillId="0" borderId="13" xfId="38" applyFont="1" applyBorder="1"/>
    <xf numFmtId="0" fontId="144" fillId="0" borderId="7" xfId="38" applyFont="1" applyBorder="1"/>
    <xf numFmtId="2" fontId="26" fillId="0" borderId="7" xfId="38" applyNumberFormat="1" applyFont="1" applyBorder="1" applyAlignment="1">
      <alignment horizontal="center"/>
    </xf>
    <xf numFmtId="0" fontId="10" fillId="0" borderId="7" xfId="38" applyFont="1" applyBorder="1" applyAlignment="1">
      <alignment horizontal="center"/>
    </xf>
    <xf numFmtId="0" fontId="26" fillId="0" borderId="7" xfId="38" applyFont="1" applyBorder="1"/>
    <xf numFmtId="165" fontId="26" fillId="0" borderId="7" xfId="38" applyNumberFormat="1" applyFont="1" applyBorder="1"/>
    <xf numFmtId="164" fontId="26" fillId="0" borderId="7" xfId="38" applyNumberFormat="1" applyFont="1" applyBorder="1"/>
    <xf numFmtId="43" fontId="26" fillId="0" borderId="7" xfId="38" applyNumberFormat="1" applyFont="1" applyBorder="1"/>
    <xf numFmtId="2" fontId="26" fillId="0" borderId="7" xfId="38" applyNumberFormat="1" applyFont="1" applyBorder="1"/>
    <xf numFmtId="0" fontId="10" fillId="0" borderId="7" xfId="38" applyFont="1" applyBorder="1" applyAlignment="1">
      <alignment horizontal="right"/>
    </xf>
    <xf numFmtId="0" fontId="26" fillId="0" borderId="13" xfId="38" applyFont="1" applyBorder="1" applyAlignment="1">
      <alignment horizontal="left" indent="2"/>
    </xf>
    <xf numFmtId="164" fontId="26" fillId="0" borderId="10" xfId="38" applyNumberFormat="1" applyFont="1" applyBorder="1"/>
    <xf numFmtId="2" fontId="26" fillId="0" borderId="7" xfId="39" applyNumberFormat="1" applyFont="1" applyBorder="1"/>
    <xf numFmtId="2" fontId="10" fillId="0" borderId="7" xfId="38" applyNumberFormat="1" applyFont="1" applyBorder="1" applyAlignment="1">
      <alignment horizontal="right"/>
    </xf>
    <xf numFmtId="170" fontId="26" fillId="0" borderId="13" xfId="39" applyNumberFormat="1" applyFont="1" applyBorder="1" applyAlignment="1">
      <alignment horizontal="left"/>
    </xf>
    <xf numFmtId="1" fontId="26" fillId="0" borderId="7" xfId="38" applyNumberFormat="1" applyFont="1" applyBorder="1"/>
    <xf numFmtId="2" fontId="10" fillId="18" borderId="7" xfId="38" applyNumberFormat="1" applyFont="1" applyFill="1" applyBorder="1" applyAlignment="1">
      <alignment horizontal="right"/>
    </xf>
    <xf numFmtId="2" fontId="26" fillId="0" borderId="10" xfId="38" applyNumberFormat="1" applyFont="1" applyBorder="1"/>
    <xf numFmtId="2" fontId="10" fillId="0" borderId="10" xfId="38" applyNumberFormat="1" applyFont="1" applyBorder="1" applyAlignment="1">
      <alignment horizontal="right"/>
    </xf>
    <xf numFmtId="0" fontId="26" fillId="0" borderId="4" xfId="38" applyFont="1" applyBorder="1" applyAlignment="1">
      <alignment horizontal="left"/>
    </xf>
    <xf numFmtId="0" fontId="26" fillId="0" borderId="4" xfId="38" applyFont="1" applyBorder="1"/>
    <xf numFmtId="2" fontId="26" fillId="0" borderId="4" xfId="38" applyNumberFormat="1" applyFont="1" applyBorder="1"/>
    <xf numFmtId="2" fontId="144" fillId="0" borderId="4" xfId="38" applyNumberFormat="1" applyFont="1" applyBorder="1"/>
    <xf numFmtId="164" fontId="26" fillId="0" borderId="4" xfId="38" applyNumberFormat="1" applyFont="1" applyBorder="1"/>
    <xf numFmtId="0" fontId="10" fillId="0" borderId="4" xfId="38" applyFont="1" applyBorder="1" applyAlignment="1">
      <alignment horizontal="right"/>
    </xf>
    <xf numFmtId="0" fontId="10" fillId="0" borderId="7" xfId="38" quotePrefix="1" applyFont="1" applyBorder="1" applyAlignment="1">
      <alignment horizontal="right"/>
    </xf>
    <xf numFmtId="0" fontId="26" fillId="0" borderId="13" xfId="38" quotePrefix="1" applyFont="1" applyBorder="1"/>
    <xf numFmtId="0" fontId="26" fillId="0" borderId="0" xfId="38" applyFont="1" applyProtection="1">
      <protection hidden="1"/>
    </xf>
    <xf numFmtId="2" fontId="17" fillId="0" borderId="7" xfId="38" applyNumberFormat="1" applyFont="1" applyBorder="1"/>
    <xf numFmtId="0" fontId="17" fillId="0" borderId="7" xfId="38" applyFont="1" applyBorder="1"/>
    <xf numFmtId="166" fontId="9" fillId="0" borderId="7" xfId="38" quotePrefix="1" applyNumberFormat="1" applyFont="1" applyBorder="1" applyAlignment="1">
      <alignment vertical="center" wrapText="1"/>
    </xf>
    <xf numFmtId="2" fontId="26" fillId="0" borderId="7" xfId="38" applyNumberFormat="1" applyFont="1" applyBorder="1" applyProtection="1">
      <protection locked="0"/>
    </xf>
    <xf numFmtId="0" fontId="26" fillId="0" borderId="8" xfId="38" applyFont="1" applyBorder="1" applyAlignment="1">
      <alignment horizontal="left"/>
    </xf>
    <xf numFmtId="0" fontId="10" fillId="0" borderId="10" xfId="38" applyFont="1" applyBorder="1" applyAlignment="1">
      <alignment horizontal="right"/>
    </xf>
    <xf numFmtId="0" fontId="26" fillId="0" borderId="11" xfId="38" applyFont="1" applyBorder="1"/>
    <xf numFmtId="0" fontId="17" fillId="0" borderId="5" xfId="38" applyFont="1" applyBorder="1"/>
    <xf numFmtId="2" fontId="26" fillId="0" borderId="5" xfId="38" applyNumberFormat="1" applyFont="1" applyBorder="1"/>
    <xf numFmtId="2" fontId="17" fillId="0" borderId="5" xfId="38" applyNumberFormat="1" applyFont="1" applyBorder="1"/>
    <xf numFmtId="0" fontId="26" fillId="0" borderId="6" xfId="38" applyFont="1" applyBorder="1" applyAlignment="1">
      <alignment horizontal="right"/>
    </xf>
    <xf numFmtId="0" fontId="5" fillId="0" borderId="0" xfId="0" applyFont="1" applyAlignment="1">
      <alignment vertical="center"/>
    </xf>
    <xf numFmtId="0" fontId="5" fillId="0" borderId="0" xfId="0" applyFont="1" applyAlignment="1">
      <alignment horizontal="right" vertical="center"/>
    </xf>
    <xf numFmtId="2" fontId="5" fillId="0" borderId="0" xfId="0" applyNumberFormat="1" applyFont="1" applyAlignment="1">
      <alignment horizontal="right" vertical="center"/>
    </xf>
    <xf numFmtId="166" fontId="5" fillId="0" borderId="0" xfId="0" applyNumberFormat="1" applyFont="1" applyAlignment="1">
      <alignment horizontal="right" vertical="center"/>
    </xf>
    <xf numFmtId="0" fontId="5" fillId="0" borderId="1" xfId="0" applyFont="1" applyBorder="1" applyAlignment="1">
      <alignment horizontal="center" vertical="center" wrapText="1"/>
    </xf>
    <xf numFmtId="0" fontId="5" fillId="0" borderId="1" xfId="0" applyFont="1" applyBorder="1" applyAlignment="1">
      <alignment horizontal="right" vertical="center" wrapText="1"/>
    </xf>
    <xf numFmtId="2" fontId="5" fillId="0" borderId="1" xfId="0" applyNumberFormat="1" applyFont="1" applyBorder="1" applyAlignment="1">
      <alignment horizontal="right" vertical="center" wrapText="1"/>
    </xf>
    <xf numFmtId="166" fontId="5" fillId="0" borderId="1" xfId="0" applyNumberFormat="1" applyFont="1" applyBorder="1" applyAlignment="1">
      <alignment horizontal="right" vertical="center" wrapText="1"/>
    </xf>
    <xf numFmtId="0" fontId="5" fillId="0" borderId="19" xfId="0" applyFont="1" applyBorder="1" applyAlignment="1">
      <alignment vertical="center" wrapText="1"/>
    </xf>
    <xf numFmtId="2" fontId="5" fillId="0" borderId="19" xfId="0" applyNumberFormat="1" applyFont="1" applyBorder="1" applyAlignment="1">
      <alignment vertical="center" wrapText="1"/>
    </xf>
    <xf numFmtId="166" fontId="38" fillId="0" borderId="19" xfId="0" applyNumberFormat="1" applyFont="1" applyBorder="1" applyAlignment="1">
      <alignment vertical="center" wrapText="1"/>
    </xf>
    <xf numFmtId="0" fontId="5" fillId="0" borderId="19" xfId="0" applyFont="1" applyBorder="1" applyAlignment="1">
      <alignment vertical="center"/>
    </xf>
    <xf numFmtId="0" fontId="5" fillId="0" borderId="23" xfId="0" applyFont="1" applyBorder="1" applyAlignment="1">
      <alignment horizontal="left" vertical="center"/>
    </xf>
    <xf numFmtId="167" fontId="5" fillId="0" borderId="23" xfId="0" applyNumberFormat="1" applyFont="1" applyBorder="1" applyAlignment="1">
      <alignment vertical="center"/>
    </xf>
    <xf numFmtId="2" fontId="5" fillId="0" borderId="23" xfId="0" applyNumberFormat="1" applyFont="1" applyBorder="1" applyAlignment="1">
      <alignment vertical="center"/>
    </xf>
    <xf numFmtId="166" fontId="5" fillId="0" borderId="23" xfId="0" applyNumberFormat="1" applyFont="1" applyBorder="1" applyAlignment="1">
      <alignment vertical="center"/>
    </xf>
    <xf numFmtId="166" fontId="5" fillId="0" borderId="24" xfId="0" applyNumberFormat="1" applyFont="1" applyBorder="1" applyAlignment="1">
      <alignment vertical="center"/>
    </xf>
    <xf numFmtId="0" fontId="5" fillId="0" borderId="23" xfId="0" applyFont="1" applyBorder="1" applyAlignment="1">
      <alignment horizontal="right" vertical="center"/>
    </xf>
    <xf numFmtId="166" fontId="38" fillId="0" borderId="23" xfId="0" applyNumberFormat="1" applyFont="1" applyBorder="1" applyAlignment="1">
      <alignment vertical="center"/>
    </xf>
    <xf numFmtId="166" fontId="5" fillId="0" borderId="26" xfId="0" applyNumberFormat="1" applyFont="1" applyBorder="1" applyAlignment="1">
      <alignment vertical="center"/>
    </xf>
    <xf numFmtId="0" fontId="5" fillId="0" borderId="12" xfId="0" applyFont="1" applyBorder="1" applyAlignment="1">
      <alignment vertical="center"/>
    </xf>
    <xf numFmtId="166" fontId="5" fillId="0" borderId="19" xfId="0" applyNumberFormat="1" applyFont="1" applyBorder="1" applyAlignment="1">
      <alignment vertical="center" wrapText="1"/>
    </xf>
    <xf numFmtId="0" fontId="38" fillId="0" borderId="23" xfId="0" applyFont="1" applyBorder="1" applyAlignment="1">
      <alignment horizontal="left" vertical="center"/>
    </xf>
    <xf numFmtId="1" fontId="5" fillId="0" borderId="10" xfId="0" applyNumberFormat="1" applyFont="1" applyBorder="1" applyAlignment="1">
      <alignment horizontal="right" vertical="center" wrapText="1"/>
    </xf>
    <xf numFmtId="2" fontId="5" fillId="0" borderId="10" xfId="0" applyNumberFormat="1" applyFont="1" applyBorder="1" applyAlignment="1">
      <alignment horizontal="right" vertical="center" wrapText="1"/>
    </xf>
    <xf numFmtId="166" fontId="38" fillId="0" borderId="10" xfId="0" applyNumberFormat="1" applyFont="1" applyBorder="1" applyAlignment="1">
      <alignment horizontal="right" vertical="center" wrapText="1"/>
    </xf>
    <xf numFmtId="0" fontId="5" fillId="0" borderId="10" xfId="0" applyFont="1" applyBorder="1" applyAlignment="1">
      <alignment vertical="center"/>
    </xf>
    <xf numFmtId="0" fontId="5" fillId="0" borderId="2" xfId="0" applyFont="1" applyBorder="1" applyAlignment="1">
      <alignment horizontal="right" vertical="center" wrapText="1"/>
    </xf>
    <xf numFmtId="2" fontId="5" fillId="0" borderId="2" xfId="0" applyNumberFormat="1" applyFont="1" applyBorder="1" applyAlignment="1">
      <alignment horizontal="right" vertical="center" wrapText="1"/>
    </xf>
    <xf numFmtId="0" fontId="5" fillId="0" borderId="2" xfId="0" applyFont="1" applyBorder="1" applyAlignment="1">
      <alignment vertical="center"/>
    </xf>
    <xf numFmtId="166" fontId="38" fillId="0" borderId="2" xfId="0" applyNumberFormat="1" applyFont="1" applyBorder="1" applyAlignment="1">
      <alignment horizontal="right" vertical="center" wrapText="1"/>
    </xf>
    <xf numFmtId="0" fontId="5" fillId="0" borderId="2" xfId="0" applyFont="1" applyBorder="1" applyAlignment="1">
      <alignment vertical="center" wrapText="1"/>
    </xf>
    <xf numFmtId="166" fontId="5" fillId="0" borderId="2" xfId="0" applyNumberFormat="1" applyFont="1" applyBorder="1" applyAlignment="1">
      <alignment horizontal="right" vertical="center" wrapText="1"/>
    </xf>
    <xf numFmtId="0" fontId="5" fillId="0" borderId="27" xfId="0" applyFont="1" applyBorder="1" applyAlignment="1">
      <alignment vertical="center" wrapText="1"/>
    </xf>
    <xf numFmtId="0" fontId="5" fillId="0" borderId="27" xfId="0" applyFont="1" applyBorder="1" applyAlignment="1">
      <alignment horizontal="right" vertical="center" wrapText="1"/>
    </xf>
    <xf numFmtId="2" fontId="5" fillId="0" borderId="27" xfId="0" applyNumberFormat="1" applyFont="1" applyBorder="1" applyAlignment="1">
      <alignment horizontal="right" vertical="center" wrapText="1"/>
    </xf>
    <xf numFmtId="166" fontId="5" fillId="0" borderId="27" xfId="0" applyNumberFormat="1" applyFont="1" applyBorder="1" applyAlignment="1">
      <alignment horizontal="right" vertical="center" wrapText="1"/>
    </xf>
    <xf numFmtId="0" fontId="5" fillId="0" borderId="27" xfId="0" applyFont="1" applyBorder="1" applyAlignment="1">
      <alignment vertical="center"/>
    </xf>
    <xf numFmtId="0" fontId="5" fillId="0" borderId="10" xfId="0" applyFont="1" applyBorder="1" applyAlignment="1">
      <alignment vertical="center" wrapText="1"/>
    </xf>
    <xf numFmtId="0" fontId="5" fillId="0" borderId="10" xfId="0" applyFont="1" applyBorder="1" applyAlignment="1">
      <alignment horizontal="right" vertical="center" wrapText="1"/>
    </xf>
    <xf numFmtId="0" fontId="14" fillId="0" borderId="1" xfId="33" applyFont="1" applyBorder="1" applyAlignment="1">
      <alignment horizontal="center" vertical="center"/>
    </xf>
    <xf numFmtId="0" fontId="14" fillId="0" borderId="1" xfId="33" applyFont="1" applyBorder="1" applyAlignment="1" applyProtection="1">
      <alignment vertical="center" wrapText="1"/>
      <protection hidden="1"/>
    </xf>
    <xf numFmtId="2" fontId="14" fillId="0" borderId="1" xfId="33" applyNumberFormat="1" applyFont="1" applyBorder="1" applyAlignment="1">
      <alignment horizontal="center" vertical="center"/>
    </xf>
    <xf numFmtId="0" fontId="14" fillId="0" borderId="1" xfId="33" applyFont="1" applyBorder="1" applyAlignment="1" applyProtection="1">
      <alignment vertical="center"/>
      <protection hidden="1"/>
    </xf>
    <xf numFmtId="2" fontId="4" fillId="0" borderId="1" xfId="40" applyNumberFormat="1" applyBorder="1" applyAlignment="1">
      <alignment horizontal="center" vertical="center"/>
    </xf>
    <xf numFmtId="2" fontId="28" fillId="0" borderId="1" xfId="40" applyNumberFormat="1" applyFont="1" applyBorder="1" applyAlignment="1">
      <alignment horizontal="center" vertical="center"/>
    </xf>
    <xf numFmtId="0" fontId="19" fillId="0" borderId="1" xfId="33" applyFont="1" applyBorder="1" applyAlignment="1" applyProtection="1">
      <alignment vertical="center"/>
      <protection hidden="1"/>
    </xf>
    <xf numFmtId="0" fontId="19" fillId="0" borderId="1" xfId="33" applyFont="1" applyBorder="1" applyAlignment="1">
      <alignment horizontal="center" vertical="center"/>
    </xf>
    <xf numFmtId="2" fontId="4" fillId="0" borderId="1" xfId="33" applyNumberFormat="1" applyBorder="1" applyAlignment="1">
      <alignment horizontal="center" vertical="center"/>
    </xf>
    <xf numFmtId="0" fontId="4" fillId="0" borderId="1" xfId="33" applyBorder="1"/>
    <xf numFmtId="2" fontId="19" fillId="0" borderId="1" xfId="33" applyNumberFormat="1" applyFont="1" applyBorder="1" applyAlignment="1">
      <alignment horizontal="left" vertical="center"/>
    </xf>
    <xf numFmtId="0" fontId="26" fillId="0" borderId="13" xfId="38" applyFont="1" applyBorder="1" applyAlignment="1">
      <alignment wrapText="1"/>
    </xf>
    <xf numFmtId="0" fontId="26" fillId="0" borderId="1" xfId="38" applyFont="1" applyBorder="1"/>
    <xf numFmtId="0" fontId="26" fillId="0" borderId="1" xfId="38" applyFont="1" applyBorder="1" applyAlignment="1">
      <alignment horizontal="center"/>
    </xf>
    <xf numFmtId="0" fontId="38" fillId="0" borderId="1" xfId="38" applyFont="1" applyBorder="1"/>
    <xf numFmtId="2" fontId="26" fillId="0" borderId="0" xfId="38" applyNumberFormat="1" applyFont="1"/>
    <xf numFmtId="43" fontId="26" fillId="0" borderId="0" xfId="38" applyNumberFormat="1" applyFont="1"/>
    <xf numFmtId="0" fontId="23" fillId="0" borderId="1" xfId="38" applyFont="1" applyBorder="1" applyAlignment="1">
      <alignment wrapText="1"/>
    </xf>
    <xf numFmtId="2" fontId="0" fillId="0" borderId="1" xfId="0" applyNumberFormat="1" applyBorder="1"/>
    <xf numFmtId="43" fontId="0" fillId="0" borderId="1" xfId="0" applyNumberFormat="1" applyBorder="1"/>
    <xf numFmtId="170" fontId="23" fillId="0" borderId="1" xfId="39" applyNumberFormat="1" applyFont="1" applyBorder="1" applyAlignment="1">
      <alignment horizontal="left" wrapText="1"/>
    </xf>
    <xf numFmtId="1" fontId="0" fillId="0" borderId="1" xfId="0" applyNumberFormat="1" applyBorder="1"/>
    <xf numFmtId="0" fontId="23" fillId="0" borderId="1" xfId="38" applyFont="1" applyBorder="1" applyAlignment="1">
      <alignment horizontal="left" wrapText="1"/>
    </xf>
    <xf numFmtId="0" fontId="4" fillId="0" borderId="1" xfId="0" applyFont="1" applyBorder="1" applyAlignment="1">
      <alignment wrapText="1"/>
    </xf>
    <xf numFmtId="2" fontId="26" fillId="0" borderId="0" xfId="38" applyNumberFormat="1" applyFont="1" applyProtection="1">
      <protection locked="0"/>
    </xf>
    <xf numFmtId="164" fontId="26" fillId="0" borderId="0" xfId="38" applyNumberFormat="1" applyFont="1" applyProtection="1">
      <protection locked="0"/>
    </xf>
    <xf numFmtId="43" fontId="26" fillId="0" borderId="0" xfId="38" applyNumberFormat="1" applyFont="1" applyProtection="1">
      <protection locked="0"/>
    </xf>
    <xf numFmtId="43" fontId="0" fillId="0" borderId="1" xfId="1" applyFont="1" applyBorder="1"/>
    <xf numFmtId="43" fontId="0" fillId="0" borderId="0" xfId="1" applyFont="1"/>
    <xf numFmtId="0" fontId="23" fillId="0" borderId="1" xfId="41" applyFont="1" applyBorder="1" applyAlignment="1">
      <alignment horizontal="justify" vertical="justify" wrapText="1"/>
    </xf>
    <xf numFmtId="0" fontId="145" fillId="0" borderId="1" xfId="0" applyFont="1" applyBorder="1" applyAlignment="1">
      <alignment vertical="center" wrapText="1"/>
    </xf>
    <xf numFmtId="0" fontId="146" fillId="0" borderId="1" xfId="0" applyFont="1" applyBorder="1" applyAlignment="1">
      <alignment vertical="center" wrapText="1"/>
    </xf>
    <xf numFmtId="0" fontId="63" fillId="0" borderId="0" xfId="38" applyFont="1" applyAlignment="1">
      <alignment horizontal="center"/>
    </xf>
    <xf numFmtId="0" fontId="23" fillId="0" borderId="0" xfId="38" applyFont="1" applyAlignment="1">
      <alignment horizontal="left"/>
    </xf>
    <xf numFmtId="0" fontId="23" fillId="0" borderId="0" xfId="38" applyFont="1" applyAlignment="1">
      <alignment horizontal="right"/>
    </xf>
    <xf numFmtId="0" fontId="63" fillId="0" borderId="0" xfId="38" applyFont="1"/>
    <xf numFmtId="0" fontId="19" fillId="0" borderId="0" xfId="38" applyFont="1"/>
    <xf numFmtId="0" fontId="5" fillId="0" borderId="0" xfId="38" applyFont="1" applyAlignment="1">
      <alignment horizontal="left"/>
    </xf>
    <xf numFmtId="0" fontId="5" fillId="0" borderId="0" xfId="38" applyFont="1" applyAlignment="1">
      <alignment horizontal="right"/>
    </xf>
    <xf numFmtId="0" fontId="38" fillId="0" borderId="1" xfId="0" applyFont="1" applyBorder="1"/>
    <xf numFmtId="43" fontId="38" fillId="0" borderId="1" xfId="1" applyFont="1" applyBorder="1"/>
    <xf numFmtId="0" fontId="23" fillId="0" borderId="0" xfId="38" applyFont="1"/>
    <xf numFmtId="0" fontId="28" fillId="0" borderId="1" xfId="0" applyFont="1" applyBorder="1"/>
    <xf numFmtId="43" fontId="28" fillId="0" borderId="1" xfId="1" applyFont="1" applyBorder="1"/>
    <xf numFmtId="0" fontId="28" fillId="0" borderId="1" xfId="0" applyFont="1" applyBorder="1" applyAlignment="1">
      <alignment horizontal="right"/>
    </xf>
    <xf numFmtId="1" fontId="5" fillId="0" borderId="1" xfId="2" applyNumberFormat="1" applyFont="1" applyBorder="1" applyAlignment="1">
      <alignment horizontal="right"/>
    </xf>
    <xf numFmtId="166" fontId="5" fillId="0" borderId="1" xfId="2" applyNumberFormat="1" applyFont="1" applyBorder="1" applyAlignment="1">
      <alignment horizontal="center"/>
    </xf>
    <xf numFmtId="0" fontId="11" fillId="0" borderId="1" xfId="2" applyBorder="1"/>
    <xf numFmtId="0" fontId="40" fillId="0" borderId="1" xfId="2" applyFont="1" applyBorder="1" applyAlignment="1">
      <alignment horizontal="left"/>
    </xf>
    <xf numFmtId="0" fontId="11" fillId="0" borderId="1" xfId="2" applyBorder="1" applyAlignment="1">
      <alignment horizontal="right"/>
    </xf>
    <xf numFmtId="2" fontId="11" fillId="0" borderId="1" xfId="2" applyNumberFormat="1" applyBorder="1" applyAlignment="1">
      <alignment horizontal="right"/>
    </xf>
    <xf numFmtId="166" fontId="11" fillId="0" borderId="1" xfId="2" applyNumberFormat="1" applyBorder="1" applyAlignment="1">
      <alignment horizontal="right"/>
    </xf>
    <xf numFmtId="166" fontId="5" fillId="0" borderId="1" xfId="2" applyNumberFormat="1" applyFont="1" applyBorder="1" applyAlignment="1">
      <alignment horizontal="right"/>
    </xf>
    <xf numFmtId="166" fontId="38" fillId="0" borderId="1" xfId="2" applyNumberFormat="1" applyFont="1" applyBorder="1" applyAlignment="1">
      <alignment horizontal="right"/>
    </xf>
    <xf numFmtId="166" fontId="11" fillId="0" borderId="1" xfId="2" applyNumberFormat="1" applyBorder="1"/>
    <xf numFmtId="166" fontId="5" fillId="0" borderId="1" xfId="0" applyNumberFormat="1" applyFont="1" applyBorder="1"/>
    <xf numFmtId="166" fontId="38" fillId="0" borderId="1" xfId="0" applyNumberFormat="1" applyFont="1" applyBorder="1" applyAlignment="1">
      <alignment horizontal="right" vertical="top" wrapText="1"/>
    </xf>
    <xf numFmtId="164" fontId="5" fillId="0" borderId="1" xfId="2" applyNumberFormat="1" applyFont="1" applyBorder="1" applyAlignment="1">
      <alignment horizontal="right"/>
    </xf>
    <xf numFmtId="166" fontId="5" fillId="0" borderId="1" xfId="2" applyNumberFormat="1" applyFont="1" applyBorder="1" applyAlignment="1">
      <alignment horizontal="left"/>
    </xf>
    <xf numFmtId="0" fontId="5" fillId="0" borderId="1" xfId="2" applyFont="1" applyBorder="1" applyAlignment="1">
      <alignment horizontal="right"/>
    </xf>
    <xf numFmtId="0" fontId="147" fillId="0" borderId="1" xfId="2" applyFont="1" applyBorder="1" applyAlignment="1">
      <alignment horizontal="left"/>
    </xf>
    <xf numFmtId="166" fontId="0" fillId="0" borderId="1" xfId="0" applyNumberFormat="1" applyBorder="1"/>
    <xf numFmtId="0" fontId="147" fillId="0" borderId="23" xfId="0" applyFont="1" applyBorder="1" applyAlignment="1">
      <alignment horizontal="left" vertical="center"/>
    </xf>
    <xf numFmtId="164" fontId="5" fillId="0" borderId="23" xfId="0" applyNumberFormat="1" applyFont="1" applyBorder="1" applyAlignment="1">
      <alignment vertical="center"/>
    </xf>
    <xf numFmtId="166" fontId="38" fillId="0" borderId="24" xfId="0" applyNumberFormat="1" applyFont="1" applyBorder="1" applyAlignment="1">
      <alignment vertical="center"/>
    </xf>
    <xf numFmtId="0" fontId="5" fillId="0" borderId="7" xfId="0" applyFont="1" applyBorder="1" applyProtection="1">
      <protection hidden="1"/>
    </xf>
    <xf numFmtId="0" fontId="5" fillId="0" borderId="27" xfId="0" applyFont="1" applyBorder="1" applyProtection="1">
      <protection hidden="1"/>
    </xf>
    <xf numFmtId="0" fontId="5" fillId="0" borderId="150" xfId="0" applyFont="1" applyBorder="1" applyAlignment="1">
      <alignment horizontal="right" vertical="center"/>
    </xf>
    <xf numFmtId="167" fontId="5" fillId="0" borderId="150" xfId="0" applyNumberFormat="1" applyFont="1" applyBorder="1" applyAlignment="1">
      <alignment vertical="center"/>
    </xf>
    <xf numFmtId="2" fontId="5" fillId="0" borderId="150" xfId="0" applyNumberFormat="1" applyFont="1" applyBorder="1" applyAlignment="1">
      <alignment vertical="center"/>
    </xf>
    <xf numFmtId="166" fontId="5" fillId="0" borderId="150" xfId="0" applyNumberFormat="1" applyFont="1" applyBorder="1" applyAlignment="1">
      <alignment vertical="center"/>
    </xf>
    <xf numFmtId="166" fontId="5" fillId="0" borderId="235" xfId="0" applyNumberFormat="1" applyFont="1" applyBorder="1" applyAlignment="1">
      <alignment vertical="center"/>
    </xf>
    <xf numFmtId="0" fontId="5" fillId="0" borderId="20" xfId="0" applyFont="1" applyBorder="1" applyAlignment="1">
      <alignment horizontal="right" vertical="top" wrapText="1"/>
    </xf>
    <xf numFmtId="0" fontId="5" fillId="0" borderId="20" xfId="0" applyFont="1" applyBorder="1" applyAlignment="1">
      <alignment horizontal="right" vertical="center" wrapText="1"/>
    </xf>
    <xf numFmtId="0" fontId="5" fillId="0" borderId="20" xfId="0" applyFont="1" applyBorder="1" applyAlignment="1">
      <alignment vertical="center" wrapText="1"/>
    </xf>
    <xf numFmtId="2" fontId="5" fillId="0" borderId="20" xfId="0" applyNumberFormat="1" applyFont="1" applyBorder="1" applyAlignment="1">
      <alignment vertical="center" wrapText="1"/>
    </xf>
    <xf numFmtId="166" fontId="5" fillId="0" borderId="236" xfId="0" applyNumberFormat="1" applyFont="1" applyBorder="1" applyAlignment="1">
      <alignment vertical="center"/>
    </xf>
    <xf numFmtId="0" fontId="5" fillId="0" borderId="20" xfId="0" applyFont="1" applyBorder="1" applyAlignment="1">
      <alignment vertical="center"/>
    </xf>
    <xf numFmtId="0" fontId="5" fillId="0" borderId="1" xfId="0" applyFont="1" applyBorder="1" applyProtection="1">
      <protection hidden="1"/>
    </xf>
    <xf numFmtId="0" fontId="5" fillId="0" borderId="1" xfId="0" applyFont="1" applyBorder="1" applyAlignment="1">
      <alignment horizontal="right" vertical="center"/>
    </xf>
    <xf numFmtId="167" fontId="5" fillId="0" borderId="1" xfId="0" applyNumberFormat="1" applyFont="1" applyBorder="1" applyAlignment="1">
      <alignment vertical="center"/>
    </xf>
    <xf numFmtId="2" fontId="5" fillId="0" borderId="1" xfId="0" applyNumberFormat="1" applyFont="1" applyBorder="1" applyAlignment="1">
      <alignment vertical="center"/>
    </xf>
    <xf numFmtId="166" fontId="5" fillId="0" borderId="1" xfId="0" applyNumberFormat="1" applyFont="1" applyBorder="1" applyAlignment="1">
      <alignment vertical="center"/>
    </xf>
    <xf numFmtId="0" fontId="5" fillId="0" borderId="7" xfId="0" applyFont="1" applyBorder="1" applyAlignment="1">
      <alignment horizontal="right" vertical="center"/>
    </xf>
    <xf numFmtId="167" fontId="5" fillId="0" borderId="7" xfId="0" applyNumberFormat="1" applyFont="1" applyBorder="1" applyAlignment="1">
      <alignment vertical="center"/>
    </xf>
    <xf numFmtId="2" fontId="5" fillId="0" borderId="7" xfId="0" applyNumberFormat="1" applyFont="1" applyBorder="1" applyAlignment="1">
      <alignment vertical="center"/>
    </xf>
    <xf numFmtId="166" fontId="5" fillId="0" borderId="0" xfId="0" applyNumberFormat="1" applyFont="1" applyAlignment="1">
      <alignment vertical="center"/>
    </xf>
    <xf numFmtId="166" fontId="5" fillId="0" borderId="7" xfId="0" applyNumberFormat="1" applyFont="1" applyBorder="1" applyAlignment="1">
      <alignment vertical="center"/>
    </xf>
    <xf numFmtId="0" fontId="26" fillId="0" borderId="12" xfId="38" quotePrefix="1" applyFont="1" applyBorder="1" applyAlignment="1">
      <alignment horizontal="left"/>
    </xf>
    <xf numFmtId="0" fontId="134" fillId="0" borderId="0" xfId="0" applyFont="1" applyAlignment="1">
      <alignment horizontal="center"/>
    </xf>
    <xf numFmtId="0" fontId="135" fillId="0" borderId="0" xfId="0" applyFont="1" applyAlignment="1">
      <alignment horizontal="center"/>
    </xf>
    <xf numFmtId="2" fontId="136" fillId="0" borderId="0" xfId="0" applyNumberFormat="1" applyFont="1" applyAlignment="1">
      <alignment horizontal="left"/>
    </xf>
    <xf numFmtId="0" fontId="134" fillId="0" borderId="1" xfId="0" applyFont="1" applyBorder="1" applyAlignment="1">
      <alignment horizontal="center" vertical="center" wrapText="1"/>
    </xf>
    <xf numFmtId="0" fontId="139" fillId="0" borderId="1" xfId="0" applyFont="1" applyBorder="1" applyAlignment="1">
      <alignment horizontal="center" vertical="center" wrapText="1"/>
    </xf>
    <xf numFmtId="0" fontId="141" fillId="0" borderId="0" xfId="0" applyFont="1" applyAlignment="1">
      <alignment horizontal="center"/>
    </xf>
    <xf numFmtId="0" fontId="140" fillId="0" borderId="0" xfId="0" applyFont="1" applyAlignment="1">
      <alignment horizontal="center" vertical="center" wrapText="1"/>
    </xf>
    <xf numFmtId="0" fontId="140" fillId="0" borderId="1" xfId="0" applyFont="1" applyBorder="1" applyAlignment="1">
      <alignment horizontal="right" vertical="top" wrapText="1"/>
    </xf>
    <xf numFmtId="2" fontId="140" fillId="0" borderId="1" xfId="0" applyNumberFormat="1" applyFont="1" applyBorder="1" applyAlignment="1">
      <alignment horizontal="center" wrapText="1"/>
    </xf>
    <xf numFmtId="2" fontId="141" fillId="0" borderId="0" xfId="0" applyNumberFormat="1" applyFont="1" applyAlignment="1">
      <alignment horizontal="center"/>
    </xf>
    <xf numFmtId="2" fontId="142" fillId="0" borderId="0" xfId="0" applyNumberFormat="1" applyFont="1" applyAlignment="1">
      <alignment horizontal="center"/>
    </xf>
    <xf numFmtId="0" fontId="142" fillId="0" borderId="0" xfId="0" applyFont="1" applyAlignment="1">
      <alignment horizontal="center"/>
    </xf>
    <xf numFmtId="2" fontId="141" fillId="0" borderId="0" xfId="0" applyNumberFormat="1" applyFont="1" applyAlignment="1">
      <alignment horizontal="center" vertical="top"/>
    </xf>
    <xf numFmtId="0" fontId="141" fillId="0" borderId="0" xfId="0" applyFont="1" applyAlignment="1">
      <alignment horizontal="center" vertical="top"/>
    </xf>
    <xf numFmtId="0" fontId="23" fillId="0" borderId="0" xfId="38" applyFont="1" applyAlignment="1">
      <alignment horizontal="center"/>
    </xf>
    <xf numFmtId="43" fontId="28" fillId="0" borderId="1" xfId="1" applyFont="1" applyBorder="1" applyAlignment="1">
      <alignment horizontal="center"/>
    </xf>
    <xf numFmtId="43" fontId="4" fillId="0" borderId="1" xfId="1" applyFont="1" applyBorder="1"/>
    <xf numFmtId="43" fontId="4" fillId="0" borderId="1" xfId="0" applyNumberFormat="1" applyFont="1" applyBorder="1"/>
    <xf numFmtId="43" fontId="28" fillId="0" borderId="1" xfId="0" applyNumberFormat="1" applyFont="1" applyBorder="1"/>
    <xf numFmtId="0" fontId="19" fillId="0" borderId="0" xfId="38" applyFont="1" applyAlignment="1">
      <alignment horizontal="left"/>
    </xf>
    <xf numFmtId="0" fontId="59" fillId="0" borderId="0" xfId="38" applyFont="1" applyAlignment="1">
      <alignment horizontal="center"/>
    </xf>
    <xf numFmtId="0" fontId="59" fillId="0" borderId="0" xfId="38" applyFont="1"/>
    <xf numFmtId="43" fontId="139" fillId="0" borderId="0" xfId="0" applyNumberFormat="1" applyFont="1" applyAlignment="1">
      <alignment horizontal="center" vertical="center" wrapText="1"/>
    </xf>
    <xf numFmtId="0" fontId="19" fillId="0" borderId="1" xfId="36" applyFont="1" applyBorder="1" applyAlignment="1">
      <alignment horizontal="left" wrapText="1"/>
    </xf>
    <xf numFmtId="2" fontId="139" fillId="5" borderId="1" xfId="0" applyNumberFormat="1" applyFont="1" applyFill="1" applyBorder="1" applyAlignment="1">
      <alignment horizontal="right" vertical="center" wrapText="1"/>
    </xf>
    <xf numFmtId="43" fontId="140" fillId="5" borderId="1" xfId="1" applyFont="1" applyFill="1" applyBorder="1"/>
    <xf numFmtId="2" fontId="139" fillId="0" borderId="0" xfId="0" applyNumberFormat="1" applyFont="1"/>
    <xf numFmtId="43" fontId="137" fillId="5" borderId="0" xfId="1" applyFont="1" applyFill="1" applyAlignment="1">
      <alignment horizontal="center" vertical="center"/>
    </xf>
    <xf numFmtId="43" fontId="138" fillId="0" borderId="0" xfId="1" applyFont="1"/>
    <xf numFmtId="43" fontId="136" fillId="5" borderId="0" xfId="1" applyFont="1" applyFill="1"/>
    <xf numFmtId="43" fontId="140" fillId="5" borderId="1" xfId="1" applyFont="1" applyFill="1" applyBorder="1" applyAlignment="1">
      <alignment horizontal="center" vertical="center" wrapText="1"/>
    </xf>
    <xf numFmtId="43" fontId="139" fillId="5" borderId="1" xfId="1" applyFont="1" applyFill="1" applyBorder="1" applyAlignment="1">
      <alignment horizontal="center" vertical="center" wrapText="1"/>
    </xf>
    <xf numFmtId="43" fontId="140" fillId="5" borderId="1" xfId="1" applyFont="1" applyFill="1" applyBorder="1" applyAlignment="1">
      <alignment horizontal="right" wrapText="1"/>
    </xf>
    <xf numFmtId="43" fontId="141" fillId="0" borderId="0" xfId="1" applyFont="1" applyAlignment="1">
      <alignment horizontal="center"/>
    </xf>
    <xf numFmtId="43" fontId="141" fillId="0" borderId="0" xfId="1" applyFont="1"/>
    <xf numFmtId="43" fontId="137" fillId="0" borderId="0" xfId="1" applyFont="1" applyAlignment="1">
      <alignment horizontal="center" vertical="center"/>
    </xf>
    <xf numFmtId="43" fontId="136" fillId="0" borderId="0" xfId="1" applyFont="1"/>
    <xf numFmtId="43" fontId="136" fillId="0" borderId="0" xfId="1" applyFont="1" applyAlignment="1">
      <alignment horizontal="right"/>
    </xf>
    <xf numFmtId="43" fontId="103" fillId="0" borderId="0" xfId="1" applyFont="1" applyAlignment="1">
      <alignment horizontal="right"/>
    </xf>
    <xf numFmtId="43" fontId="140" fillId="0" borderId="1" xfId="1" applyFont="1" applyBorder="1" applyAlignment="1">
      <alignment horizontal="center" vertical="center" wrapText="1"/>
    </xf>
    <xf numFmtId="43" fontId="139" fillId="0" borderId="1" xfId="1" applyFont="1" applyBorder="1" applyAlignment="1">
      <alignment horizontal="center" vertical="center" wrapText="1"/>
    </xf>
    <xf numFmtId="43" fontId="140" fillId="0" borderId="1" xfId="1" applyFont="1" applyBorder="1" applyAlignment="1">
      <alignment horizontal="right" wrapText="1"/>
    </xf>
    <xf numFmtId="43" fontId="140" fillId="0" borderId="1" xfId="1" applyFont="1" applyBorder="1"/>
    <xf numFmtId="0" fontId="139" fillId="0" borderId="1" xfId="0" applyFont="1" applyBorder="1" applyAlignment="1">
      <alignment horizontal="center" vertical="center"/>
    </xf>
    <xf numFmtId="0" fontId="139" fillId="5" borderId="1" xfId="0" applyFont="1" applyFill="1" applyBorder="1" applyAlignment="1">
      <alignment vertical="center"/>
    </xf>
    <xf numFmtId="43" fontId="139" fillId="5" borderId="1" xfId="0" applyNumberFormat="1" applyFont="1" applyFill="1" applyBorder="1" applyAlignment="1">
      <alignment vertical="center"/>
    </xf>
    <xf numFmtId="43" fontId="139" fillId="5" borderId="1" xfId="1" applyFont="1" applyFill="1" applyBorder="1" applyAlignment="1">
      <alignment vertical="center"/>
    </xf>
    <xf numFmtId="0" fontId="59" fillId="0" borderId="0" xfId="15" applyFont="1" applyAlignment="1">
      <alignment horizontal="center"/>
    </xf>
    <xf numFmtId="2" fontId="19" fillId="19" borderId="1" xfId="12" applyNumberFormat="1" applyFont="1" applyFill="1" applyBorder="1" applyAlignment="1" applyProtection="1">
      <alignment horizontal="center"/>
      <protection locked="0"/>
    </xf>
    <xf numFmtId="43" fontId="23" fillId="0" borderId="0" xfId="15" applyNumberFormat="1"/>
    <xf numFmtId="0" fontId="148" fillId="0" borderId="1" xfId="0" applyFont="1" applyBorder="1"/>
    <xf numFmtId="43" fontId="148" fillId="3" borderId="1" xfId="1" applyFont="1" applyFill="1" applyBorder="1"/>
    <xf numFmtId="2" fontId="38" fillId="20" borderId="0" xfId="12" applyNumberFormat="1" applyFont="1" applyFill="1" applyAlignment="1" applyProtection="1">
      <alignment horizontal="right"/>
      <protection locked="0"/>
    </xf>
    <xf numFmtId="43" fontId="10" fillId="19" borderId="1" xfId="1" applyFont="1" applyFill="1" applyBorder="1"/>
    <xf numFmtId="2" fontId="19" fillId="0" borderId="1" xfId="12" applyNumberFormat="1" applyFont="1" applyBorder="1" applyAlignment="1" applyProtection="1">
      <alignment horizontal="center"/>
      <protection locked="0"/>
    </xf>
    <xf numFmtId="0" fontId="10" fillId="19" borderId="22" xfId="0" applyFont="1" applyFill="1" applyBorder="1"/>
    <xf numFmtId="2" fontId="14" fillId="19" borderId="1" xfId="12" applyNumberFormat="1" applyFont="1" applyFill="1" applyBorder="1" applyAlignment="1" applyProtection="1">
      <alignment horizontal="center"/>
      <protection locked="0"/>
    </xf>
    <xf numFmtId="2" fontId="5" fillId="19" borderId="0" xfId="0" applyNumberFormat="1" applyFont="1" applyFill="1"/>
    <xf numFmtId="165" fontId="5" fillId="19" borderId="0" xfId="0" applyNumberFormat="1" applyFont="1" applyFill="1"/>
    <xf numFmtId="0" fontId="38" fillId="0" borderId="237" xfId="15" applyFont="1" applyBorder="1" applyAlignment="1">
      <alignment horizontal="center" wrapText="1"/>
    </xf>
    <xf numFmtId="0" fontId="38" fillId="0" borderId="0" xfId="15" applyFont="1"/>
    <xf numFmtId="43" fontId="38" fillId="0" borderId="11" xfId="15" applyNumberFormat="1" applyFont="1" applyBorder="1"/>
    <xf numFmtId="0" fontId="15" fillId="0" borderId="0" xfId="15" applyFont="1" applyAlignment="1">
      <alignment horizontal="center"/>
    </xf>
    <xf numFmtId="0" fontId="23" fillId="0" borderId="0" xfId="15" applyAlignment="1">
      <alignment horizontal="center"/>
    </xf>
    <xf numFmtId="0" fontId="59" fillId="0" borderId="0" xfId="15" applyFont="1" applyAlignment="1">
      <alignment horizontal="center"/>
    </xf>
    <xf numFmtId="0" fontId="24" fillId="0" borderId="0" xfId="0" applyFont="1" applyAlignment="1">
      <alignment horizontal="center"/>
    </xf>
    <xf numFmtId="0" fontId="6" fillId="0" borderId="0" xfId="0" applyFont="1" applyAlignment="1">
      <alignment horizontal="center"/>
    </xf>
    <xf numFmtId="0" fontId="7" fillId="0" borderId="0" xfId="0" applyFont="1" applyAlignment="1">
      <alignment horizontal="center"/>
    </xf>
    <xf numFmtId="0" fontId="15" fillId="0" borderId="0" xfId="0" applyFont="1" applyAlignment="1">
      <alignment horizontal="center"/>
    </xf>
    <xf numFmtId="0" fontId="8" fillId="0" borderId="0" xfId="0" applyFont="1" applyAlignment="1">
      <alignment horizontal="center"/>
    </xf>
    <xf numFmtId="0" fontId="52" fillId="0" borderId="0" xfId="3" applyFont="1" applyAlignment="1">
      <alignment horizontal="center"/>
    </xf>
    <xf numFmtId="2" fontId="14" fillId="0" borderId="11" xfId="3" applyNumberFormat="1" applyFont="1" applyBorder="1" applyAlignment="1">
      <alignment horizontal="center"/>
    </xf>
    <xf numFmtId="2" fontId="14" fillId="0" borderId="5" xfId="3" applyNumberFormat="1" applyFont="1" applyBorder="1" applyAlignment="1">
      <alignment horizontal="center"/>
    </xf>
    <xf numFmtId="2" fontId="14" fillId="0" borderId="6" xfId="3" applyNumberFormat="1" applyFont="1" applyBorder="1" applyAlignment="1">
      <alignment horizontal="center"/>
    </xf>
    <xf numFmtId="0" fontId="53" fillId="0" borderId="0" xfId="4" applyFont="1" applyAlignment="1">
      <alignment horizontal="center"/>
    </xf>
    <xf numFmtId="0" fontId="15" fillId="0" borderId="44" xfId="3" applyFont="1" applyBorder="1" applyAlignment="1">
      <alignment horizontal="center" vertical="center"/>
    </xf>
    <xf numFmtId="0" fontId="15" fillId="0" borderId="46" xfId="3" applyFont="1" applyBorder="1" applyAlignment="1">
      <alignment horizontal="center" vertical="center"/>
    </xf>
    <xf numFmtId="0" fontId="5" fillId="0" borderId="41" xfId="3" applyBorder="1" applyAlignment="1">
      <alignment horizontal="center" vertical="center"/>
    </xf>
    <xf numFmtId="0" fontId="5" fillId="0" borderId="50" xfId="3" applyBorder="1" applyAlignment="1">
      <alignment horizontal="center" vertical="center"/>
    </xf>
    <xf numFmtId="0" fontId="23" fillId="0" borderId="42" xfId="3" applyFont="1" applyBorder="1" applyAlignment="1">
      <alignment horizontal="center" vertical="center"/>
    </xf>
    <xf numFmtId="0" fontId="23" fillId="0" borderId="156" xfId="3" applyFont="1" applyBorder="1" applyAlignment="1">
      <alignment horizontal="center" vertical="center"/>
    </xf>
    <xf numFmtId="0" fontId="23" fillId="0" borderId="43" xfId="3" applyFont="1" applyBorder="1" applyAlignment="1">
      <alignment horizontal="center" vertical="center"/>
    </xf>
    <xf numFmtId="0" fontId="23" fillId="0" borderId="157" xfId="3" applyFont="1" applyBorder="1" applyAlignment="1">
      <alignment horizontal="center" vertical="center"/>
    </xf>
    <xf numFmtId="0" fontId="15" fillId="0" borderId="45" xfId="3" applyFont="1" applyBorder="1" applyAlignment="1">
      <alignment horizontal="center" vertical="center"/>
    </xf>
    <xf numFmtId="2" fontId="38" fillId="0" borderId="5" xfId="0" applyNumberFormat="1" applyFont="1" applyBorder="1" applyAlignment="1">
      <alignment horizontal="center" vertical="top" wrapText="1"/>
    </xf>
    <xf numFmtId="2" fontId="38" fillId="0" borderId="6" xfId="0" applyNumberFormat="1" applyFont="1" applyBorder="1" applyAlignment="1">
      <alignment horizontal="center" vertical="top" wrapText="1"/>
    </xf>
    <xf numFmtId="2" fontId="38" fillId="0" borderId="1" xfId="0" applyNumberFormat="1" applyFont="1" applyBorder="1" applyAlignment="1">
      <alignment horizontal="center" vertical="top" wrapText="1"/>
    </xf>
    <xf numFmtId="0" fontId="5" fillId="0" borderId="11" xfId="2" applyFont="1" applyBorder="1" applyAlignment="1">
      <alignment horizontal="center"/>
    </xf>
    <xf numFmtId="0" fontId="5" fillId="0" borderId="5" xfId="2" applyFont="1" applyBorder="1" applyAlignment="1">
      <alignment horizontal="center"/>
    </xf>
    <xf numFmtId="0" fontId="5" fillId="0" borderId="6" xfId="2" applyFont="1" applyBorder="1" applyAlignment="1">
      <alignment horizontal="center"/>
    </xf>
    <xf numFmtId="0" fontId="5" fillId="0" borderId="11" xfId="0" applyFont="1" applyBorder="1" applyAlignment="1">
      <alignment horizontal="center" vertical="top" wrapText="1"/>
    </xf>
    <xf numFmtId="0" fontId="5" fillId="0" borderId="5" xfId="0" applyFont="1" applyBorder="1" applyAlignment="1">
      <alignment horizontal="center" vertical="top" wrapText="1"/>
    </xf>
    <xf numFmtId="0" fontId="5" fillId="0" borderId="6" xfId="0" applyFont="1" applyBorder="1" applyAlignment="1">
      <alignment horizontal="center" vertical="top" wrapText="1"/>
    </xf>
    <xf numFmtId="0" fontId="22" fillId="0" borderId="28" xfId="2" applyFont="1" applyBorder="1" applyAlignment="1">
      <alignment horizontal="center"/>
    </xf>
    <xf numFmtId="0" fontId="22" fillId="0" borderId="29" xfId="2" applyFont="1" applyBorder="1" applyAlignment="1">
      <alignment horizontal="center"/>
    </xf>
    <xf numFmtId="0" fontId="22" fillId="0" borderId="30" xfId="2" applyFont="1" applyBorder="1" applyAlignment="1">
      <alignment horizontal="center"/>
    </xf>
    <xf numFmtId="0" fontId="5" fillId="0" borderId="1" xfId="0" applyFont="1" applyBorder="1" applyAlignment="1">
      <alignment horizontal="center" vertical="top" wrapText="1"/>
    </xf>
    <xf numFmtId="0" fontId="5" fillId="0" borderId="11" xfId="2" applyFont="1" applyBorder="1" applyAlignment="1">
      <alignment horizontal="right"/>
    </xf>
    <xf numFmtId="0" fontId="5" fillId="0" borderId="5" xfId="2" applyFont="1" applyBorder="1" applyAlignment="1">
      <alignment horizontal="right"/>
    </xf>
    <xf numFmtId="0" fontId="5" fillId="0" borderId="6" xfId="2" applyFont="1" applyBorder="1" applyAlignment="1">
      <alignment horizontal="right"/>
    </xf>
    <xf numFmtId="0" fontId="5" fillId="0" borderId="31" xfId="0" applyFont="1" applyBorder="1" applyAlignment="1">
      <alignment horizontal="center" vertical="top" wrapText="1"/>
    </xf>
    <xf numFmtId="0" fontId="5" fillId="0" borderId="21" xfId="0" applyFont="1" applyBorder="1" applyAlignment="1">
      <alignment horizontal="center" vertical="top" wrapText="1"/>
    </xf>
    <xf numFmtId="2" fontId="38" fillId="0" borderId="11" xfId="0" applyNumberFormat="1" applyFont="1" applyBorder="1" applyAlignment="1">
      <alignment horizontal="center" vertical="top" wrapText="1"/>
    </xf>
    <xf numFmtId="0" fontId="38" fillId="0" borderId="31" xfId="0" applyFont="1" applyBorder="1" applyAlignment="1">
      <alignment horizontal="left" vertical="top" wrapText="1"/>
    </xf>
    <xf numFmtId="0" fontId="38" fillId="0" borderId="32" xfId="0" applyFont="1" applyBorder="1" applyAlignment="1">
      <alignment horizontal="left" vertical="top" wrapText="1"/>
    </xf>
    <xf numFmtId="0" fontId="38" fillId="0" borderId="33" xfId="0" applyFont="1" applyBorder="1" applyAlignment="1">
      <alignment horizontal="center" vertical="top" wrapText="1"/>
    </xf>
    <xf numFmtId="0" fontId="38" fillId="0" borderId="34" xfId="0" applyFont="1" applyBorder="1" applyAlignment="1">
      <alignment horizontal="center" vertical="top" wrapText="1"/>
    </xf>
    <xf numFmtId="0" fontId="28" fillId="0" borderId="0" xfId="0" applyFont="1" applyAlignment="1">
      <alignment horizontal="center"/>
    </xf>
    <xf numFmtId="0" fontId="5" fillId="0" borderId="11" xfId="2" applyFont="1" applyBorder="1" applyAlignment="1">
      <alignment horizontal="left"/>
    </xf>
    <xf numFmtId="0" fontId="5" fillId="0" borderId="5" xfId="2" applyFont="1" applyBorder="1" applyAlignment="1">
      <alignment horizontal="left"/>
    </xf>
    <xf numFmtId="0" fontId="5" fillId="0" borderId="6" xfId="2" applyFont="1" applyBorder="1" applyAlignment="1">
      <alignment horizontal="left"/>
    </xf>
    <xf numFmtId="0" fontId="5" fillId="0" borderId="1" xfId="0" applyFont="1" applyBorder="1" applyAlignment="1">
      <alignment horizontal="right"/>
    </xf>
    <xf numFmtId="0" fontId="49" fillId="0" borderId="1" xfId="21" applyFont="1" applyBorder="1" applyAlignment="1">
      <alignment horizontal="center"/>
    </xf>
    <xf numFmtId="0" fontId="4" fillId="0" borderId="1" xfId="21" applyBorder="1" applyAlignment="1">
      <alignment horizontal="center"/>
    </xf>
    <xf numFmtId="0" fontId="28" fillId="0" borderId="1" xfId="21" applyFont="1" applyBorder="1" applyAlignment="1">
      <alignment horizontal="left"/>
    </xf>
    <xf numFmtId="0" fontId="28" fillId="0" borderId="1" xfId="21" applyFont="1" applyBorder="1" applyAlignment="1">
      <alignment horizontal="center" vertical="center"/>
    </xf>
    <xf numFmtId="0" fontId="4" fillId="0" borderId="1" xfId="21" applyBorder="1" applyAlignment="1">
      <alignment vertical="center"/>
    </xf>
    <xf numFmtId="2" fontId="28" fillId="0" borderId="1" xfId="21" applyNumberFormat="1" applyFont="1" applyBorder="1" applyAlignment="1">
      <alignment horizontal="center" vertical="center"/>
    </xf>
    <xf numFmtId="0" fontId="4" fillId="0" borderId="1" xfId="21" applyBorder="1" applyAlignment="1">
      <alignment horizontal="center" vertical="center"/>
    </xf>
    <xf numFmtId="0" fontId="28" fillId="0" borderId="1" xfId="21" applyFont="1" applyBorder="1" applyAlignment="1">
      <alignment horizontal="center" vertical="center" wrapText="1"/>
    </xf>
    <xf numFmtId="0" fontId="127" fillId="0" borderId="0" xfId="31" applyFont="1" applyAlignment="1">
      <alignment horizontal="left" vertical="center"/>
    </xf>
    <xf numFmtId="0" fontId="125" fillId="0" borderId="0" xfId="31" applyFont="1" applyAlignment="1">
      <alignment horizontal="left" vertical="center"/>
    </xf>
    <xf numFmtId="0" fontId="126" fillId="0" borderId="4" xfId="31" applyFont="1" applyBorder="1" applyAlignment="1">
      <alignment horizontal="center" vertical="center"/>
    </xf>
    <xf numFmtId="164" fontId="126" fillId="0" borderId="1" xfId="31" applyNumberFormat="1" applyFont="1" applyBorder="1" applyAlignment="1">
      <alignment horizontal="left" vertical="center"/>
    </xf>
    <xf numFmtId="0" fontId="121" fillId="0" borderId="0" xfId="31" applyFont="1" applyAlignment="1">
      <alignment horizontal="center" wrapText="1"/>
    </xf>
    <xf numFmtId="0" fontId="4" fillId="17" borderId="203" xfId="18" applyFill="1" applyBorder="1" applyAlignment="1">
      <alignment horizontal="center"/>
    </xf>
    <xf numFmtId="0" fontId="4" fillId="17" borderId="204" xfId="18" applyFill="1" applyBorder="1" applyAlignment="1">
      <alignment horizontal="center"/>
    </xf>
    <xf numFmtId="0" fontId="49" fillId="0" borderId="0" xfId="27" applyFont="1" applyAlignment="1">
      <alignment horizontal="center"/>
    </xf>
    <xf numFmtId="0" fontId="4" fillId="17" borderId="166" xfId="18" applyFill="1" applyBorder="1" applyAlignment="1">
      <alignment horizontal="center"/>
    </xf>
    <xf numFmtId="0" fontId="4" fillId="17" borderId="167" xfId="18" applyFill="1" applyBorder="1" applyAlignment="1">
      <alignment horizontal="center"/>
    </xf>
    <xf numFmtId="0" fontId="4" fillId="17" borderId="182" xfId="18" applyFill="1" applyBorder="1" applyAlignment="1">
      <alignment horizontal="center"/>
    </xf>
    <xf numFmtId="0" fontId="4" fillId="17" borderId="183" xfId="18" applyFill="1" applyBorder="1" applyAlignment="1">
      <alignment horizontal="center"/>
    </xf>
    <xf numFmtId="0" fontId="4" fillId="17" borderId="184" xfId="18" applyFill="1" applyBorder="1" applyAlignment="1">
      <alignment horizontal="center"/>
    </xf>
    <xf numFmtId="0" fontId="4" fillId="17" borderId="169" xfId="18" applyFill="1" applyBorder="1" applyAlignment="1">
      <alignment horizontal="center"/>
    </xf>
    <xf numFmtId="0" fontId="4" fillId="17" borderId="194" xfId="18" applyFill="1" applyBorder="1" applyAlignment="1">
      <alignment horizontal="center"/>
    </xf>
    <xf numFmtId="0" fontId="100" fillId="0" borderId="0" xfId="18" applyFont="1" applyAlignment="1">
      <alignment horizontal="center" vertical="top"/>
    </xf>
    <xf numFmtId="0" fontId="100" fillId="0" borderId="0" xfId="18" applyFont="1" applyAlignment="1">
      <alignment horizontal="left" vertical="top"/>
    </xf>
    <xf numFmtId="0" fontId="100" fillId="5" borderId="12" xfId="18" applyFont="1" applyFill="1" applyBorder="1" applyAlignment="1">
      <alignment horizontal="left" vertical="top"/>
    </xf>
    <xf numFmtId="2" fontId="5" fillId="0" borderId="31" xfId="0" applyNumberFormat="1" applyFont="1" applyBorder="1" applyAlignment="1">
      <alignment horizontal="right" vertical="top" wrapText="1"/>
    </xf>
    <xf numFmtId="2" fontId="5" fillId="0" borderId="21" xfId="0" applyNumberFormat="1" applyFont="1" applyBorder="1" applyAlignment="1">
      <alignment horizontal="right" vertical="top" wrapText="1"/>
    </xf>
    <xf numFmtId="2" fontId="28" fillId="0" borderId="31" xfId="0" applyNumberFormat="1" applyFont="1" applyBorder="1" applyAlignment="1">
      <alignment horizontal="right"/>
    </xf>
    <xf numFmtId="2" fontId="28" fillId="0" borderId="21" xfId="0" applyNumberFormat="1" applyFont="1" applyBorder="1" applyAlignment="1">
      <alignment horizontal="right"/>
    </xf>
    <xf numFmtId="2" fontId="4" fillId="0" borderId="31" xfId="0" applyNumberFormat="1" applyFont="1" applyBorder="1" applyAlignment="1">
      <alignment horizontal="right"/>
    </xf>
    <xf numFmtId="2" fontId="4" fillId="0" borderId="21" xfId="0" applyNumberFormat="1" applyFont="1" applyBorder="1" applyAlignment="1">
      <alignment horizontal="right"/>
    </xf>
    <xf numFmtId="0" fontId="22" fillId="0" borderId="5" xfId="2" applyFont="1" applyBorder="1" applyAlignment="1">
      <alignment horizontal="center"/>
    </xf>
    <xf numFmtId="0" fontId="5" fillId="0" borderId="107" xfId="0" applyFont="1" applyBorder="1" applyAlignment="1">
      <alignment horizontal="right" vertical="top" wrapText="1"/>
    </xf>
    <xf numFmtId="0" fontId="5" fillId="0" borderId="109" xfId="0" applyFont="1" applyBorder="1" applyAlignment="1">
      <alignment horizontal="right" vertical="top" wrapText="1"/>
    </xf>
    <xf numFmtId="0" fontId="5" fillId="0" borderId="110" xfId="0" applyFont="1" applyBorder="1" applyAlignment="1">
      <alignment horizontal="right" vertical="top" wrapText="1"/>
    </xf>
    <xf numFmtId="0" fontId="5" fillId="0" borderId="28" xfId="0" applyFont="1" applyBorder="1" applyAlignment="1">
      <alignment horizontal="right" vertical="top" wrapText="1"/>
    </xf>
    <xf numFmtId="0" fontId="5" fillId="0" borderId="29" xfId="0" applyFont="1" applyBorder="1" applyAlignment="1">
      <alignment horizontal="right" vertical="top" wrapText="1"/>
    </xf>
    <xf numFmtId="0" fontId="5" fillId="0" borderId="30" xfId="0" applyFont="1" applyBorder="1" applyAlignment="1">
      <alignment horizontal="right" vertical="top" wrapText="1"/>
    </xf>
    <xf numFmtId="2" fontId="38" fillId="0" borderId="31" xfId="0" applyNumberFormat="1" applyFont="1" applyBorder="1" applyAlignment="1">
      <alignment horizontal="right" vertical="top" wrapText="1"/>
    </xf>
    <xf numFmtId="2" fontId="38" fillId="0" borderId="21" xfId="0" applyNumberFormat="1" applyFont="1" applyBorder="1" applyAlignment="1">
      <alignment horizontal="right" vertical="top" wrapText="1"/>
    </xf>
    <xf numFmtId="2" fontId="5" fillId="0" borderId="33" xfId="0" applyNumberFormat="1" applyFont="1" applyBorder="1" applyAlignment="1">
      <alignment horizontal="right" vertical="top" wrapText="1"/>
    </xf>
    <xf numFmtId="2" fontId="5" fillId="0" borderId="34" xfId="0" applyNumberFormat="1" applyFont="1" applyBorder="1" applyAlignment="1">
      <alignment horizontal="right" vertical="top" wrapText="1"/>
    </xf>
    <xf numFmtId="2" fontId="5" fillId="0" borderId="31" xfId="0" applyNumberFormat="1" applyFont="1" applyBorder="1" applyAlignment="1">
      <alignment horizontal="center" vertical="top" wrapText="1"/>
    </xf>
    <xf numFmtId="2" fontId="5" fillId="0" borderId="21" xfId="0" applyNumberFormat="1" applyFont="1" applyBorder="1" applyAlignment="1">
      <alignment horizontal="center" vertical="top" wrapText="1"/>
    </xf>
    <xf numFmtId="0" fontId="5" fillId="0" borderId="31" xfId="0" applyFont="1" applyBorder="1" applyAlignment="1">
      <alignment horizontal="right" vertical="top" wrapText="1"/>
    </xf>
    <xf numFmtId="0" fontId="5" fillId="0" borderId="21" xfId="0" applyFont="1" applyBorder="1" applyAlignment="1">
      <alignment horizontal="right" vertical="top" wrapText="1"/>
    </xf>
    <xf numFmtId="2" fontId="5" fillId="0" borderId="31" xfId="0" applyNumberFormat="1" applyFont="1" applyBorder="1" applyAlignment="1">
      <alignment horizontal="left" vertical="top" wrapText="1"/>
    </xf>
    <xf numFmtId="2" fontId="5" fillId="0" borderId="21" xfId="0" applyNumberFormat="1" applyFont="1" applyBorder="1" applyAlignment="1">
      <alignment horizontal="left" vertical="top" wrapText="1"/>
    </xf>
    <xf numFmtId="0" fontId="49" fillId="0" borderId="0" xfId="0" applyFont="1" applyAlignment="1">
      <alignment horizontal="center"/>
    </xf>
    <xf numFmtId="0" fontId="5" fillId="0" borderId="15" xfId="0" applyFont="1" applyBorder="1" applyAlignment="1">
      <alignment horizontal="right" vertical="top" wrapText="1"/>
    </xf>
    <xf numFmtId="0" fontId="5" fillId="0" borderId="16" xfId="0" applyFont="1" applyBorder="1" applyAlignment="1">
      <alignment horizontal="right" vertical="top" wrapText="1"/>
    </xf>
    <xf numFmtId="0" fontId="5" fillId="0" borderId="17" xfId="0" applyFont="1" applyBorder="1" applyAlignment="1">
      <alignment horizontal="right" vertical="top" wrapText="1"/>
    </xf>
    <xf numFmtId="43" fontId="119" fillId="0" borderId="0" xfId="26" applyNumberFormat="1" applyFont="1" applyAlignment="1">
      <alignment horizontal="left" vertical="center"/>
    </xf>
    <xf numFmtId="0" fontId="113" fillId="0" borderId="0" xfId="26" applyFont="1" applyAlignment="1">
      <alignment horizontal="center" vertical="center"/>
    </xf>
    <xf numFmtId="0" fontId="4" fillId="0" borderId="0" xfId="27"/>
    <xf numFmtId="0" fontId="52" fillId="0" borderId="0" xfId="4" applyFont="1" applyAlignment="1">
      <alignment horizontal="center"/>
    </xf>
    <xf numFmtId="0" fontId="5" fillId="0" borderId="56" xfId="4" applyFont="1" applyBorder="1" applyAlignment="1">
      <alignment horizontal="center"/>
    </xf>
    <xf numFmtId="0" fontId="5" fillId="0" borderId="57" xfId="4" applyFont="1" applyBorder="1" applyAlignment="1">
      <alignment horizontal="center"/>
    </xf>
    <xf numFmtId="0" fontId="5" fillId="0" borderId="58" xfId="4" applyFont="1" applyBorder="1" applyAlignment="1">
      <alignment horizontal="center" vertical="center" wrapText="1"/>
    </xf>
    <xf numFmtId="0" fontId="5" fillId="0" borderId="63" xfId="4" applyFont="1" applyBorder="1" applyAlignment="1">
      <alignment horizontal="center" vertical="center" wrapText="1"/>
    </xf>
    <xf numFmtId="0" fontId="5" fillId="0" borderId="67" xfId="4" applyFont="1" applyBorder="1" applyAlignment="1">
      <alignment horizontal="center" vertical="center" wrapText="1"/>
    </xf>
    <xf numFmtId="0" fontId="5" fillId="0" borderId="61" xfId="4" applyFont="1" applyBorder="1" applyAlignment="1">
      <alignment horizontal="center" wrapText="1"/>
    </xf>
    <xf numFmtId="0" fontId="5" fillId="0" borderId="66" xfId="4" applyFont="1" applyBorder="1" applyAlignment="1">
      <alignment horizontal="center"/>
    </xf>
    <xf numFmtId="0" fontId="5" fillId="0" borderId="64" xfId="4" applyFont="1" applyBorder="1" applyAlignment="1">
      <alignment horizontal="center" wrapText="1"/>
    </xf>
    <xf numFmtId="0" fontId="5" fillId="0" borderId="68" xfId="4" applyFont="1" applyBorder="1" applyAlignment="1">
      <alignment horizontal="center" wrapText="1"/>
    </xf>
    <xf numFmtId="0" fontId="59" fillId="0" borderId="0" xfId="4" applyFont="1" applyAlignment="1" applyProtection="1">
      <alignment horizontal="center"/>
      <protection locked="0"/>
    </xf>
    <xf numFmtId="0" fontId="19" fillId="0" borderId="76" xfId="4" applyFont="1" applyBorder="1" applyAlignment="1" applyProtection="1">
      <alignment horizontal="center" vertical="center"/>
      <protection locked="0"/>
    </xf>
    <xf numFmtId="0" fontId="19" fillId="0" borderId="77" xfId="4" applyFont="1" applyBorder="1" applyProtection="1">
      <protection locked="0"/>
    </xf>
    <xf numFmtId="0" fontId="52" fillId="0" borderId="0" xfId="4" applyFont="1" applyAlignment="1" applyProtection="1">
      <alignment horizontal="center"/>
      <protection locked="0"/>
    </xf>
    <xf numFmtId="0" fontId="5" fillId="0" borderId="54" xfId="4" applyFont="1" applyBorder="1" applyAlignment="1" applyProtection="1">
      <alignment horizontal="center" vertical="center"/>
      <protection locked="0"/>
    </xf>
    <xf numFmtId="0" fontId="5" fillId="0" borderId="65" xfId="4" applyFont="1" applyBorder="1" applyAlignment="1" applyProtection="1">
      <alignment horizontal="center" vertical="center"/>
      <protection locked="0"/>
    </xf>
    <xf numFmtId="0" fontId="19" fillId="0" borderId="73" xfId="4" applyFont="1" applyBorder="1" applyAlignment="1" applyProtection="1">
      <alignment horizontal="center" vertical="center"/>
      <protection locked="0"/>
    </xf>
    <xf numFmtId="0" fontId="19" fillId="0" borderId="58" xfId="4" applyFont="1" applyBorder="1" applyProtection="1">
      <protection locked="0"/>
    </xf>
    <xf numFmtId="0" fontId="19" fillId="0" borderId="74" xfId="4" applyFont="1" applyBorder="1" applyProtection="1">
      <protection locked="0"/>
    </xf>
    <xf numFmtId="0" fontId="19" fillId="0" borderId="67" xfId="4" applyFont="1" applyBorder="1" applyProtection="1">
      <protection locked="0"/>
    </xf>
    <xf numFmtId="0" fontId="5" fillId="0" borderId="16" xfId="4" applyFont="1" applyBorder="1" applyAlignment="1" applyProtection="1">
      <alignment horizontal="center" vertical="center"/>
      <protection locked="0"/>
    </xf>
    <xf numFmtId="0" fontId="5" fillId="0" borderId="29" xfId="4" applyFont="1" applyBorder="1" applyAlignment="1" applyProtection="1">
      <alignment horizontal="center" vertical="center"/>
      <protection locked="0"/>
    </xf>
    <xf numFmtId="0" fontId="5" fillId="0" borderId="55" xfId="4" applyFont="1" applyBorder="1" applyAlignment="1" applyProtection="1">
      <alignment horizontal="center" vertical="center"/>
      <protection locked="0"/>
    </xf>
    <xf numFmtId="0" fontId="5" fillId="0" borderId="66" xfId="4" applyFont="1" applyBorder="1" applyAlignment="1" applyProtection="1">
      <alignment horizontal="center" vertical="center"/>
      <protection locked="0"/>
    </xf>
    <xf numFmtId="0" fontId="5" fillId="0" borderId="59" xfId="4" applyFont="1" applyBorder="1" applyAlignment="1" applyProtection="1">
      <alignment horizontal="center" vertical="center"/>
      <protection locked="0"/>
    </xf>
    <xf numFmtId="0" fontId="5" fillId="0" borderId="68" xfId="4" applyFont="1" applyBorder="1" applyAlignment="1" applyProtection="1">
      <alignment horizontal="center" vertical="center"/>
      <protection locked="0"/>
    </xf>
    <xf numFmtId="2" fontId="104" fillId="0" borderId="11" xfId="31" applyNumberFormat="1" applyFont="1" applyBorder="1" applyAlignment="1">
      <alignment horizontal="center" vertical="center"/>
    </xf>
    <xf numFmtId="2" fontId="104" fillId="0" borderId="6" xfId="31" applyNumberFormat="1" applyFont="1" applyBorder="1" applyAlignment="1">
      <alignment horizontal="center" vertical="center"/>
    </xf>
    <xf numFmtId="2" fontId="124" fillId="0" borderId="12" xfId="31" applyNumberFormat="1" applyFont="1" applyBorder="1" applyAlignment="1">
      <alignment horizontal="center" vertical="center"/>
    </xf>
    <xf numFmtId="2" fontId="102" fillId="0" borderId="11" xfId="31" applyNumberFormat="1" applyFont="1" applyBorder="1" applyAlignment="1">
      <alignment horizontal="center" vertical="center"/>
    </xf>
    <xf numFmtId="2" fontId="102" fillId="0" borderId="6" xfId="31" applyNumberFormat="1" applyFont="1" applyBorder="1" applyAlignment="1">
      <alignment horizontal="center" vertical="center"/>
    </xf>
    <xf numFmtId="2" fontId="102" fillId="0" borderId="11" xfId="31" quotePrefix="1" applyNumberFormat="1" applyFont="1" applyBorder="1" applyAlignment="1">
      <alignment horizontal="center" vertical="center"/>
    </xf>
    <xf numFmtId="2" fontId="102" fillId="0" borderId="5" xfId="31" applyNumberFormat="1" applyFont="1" applyBorder="1" applyAlignment="1">
      <alignment horizontal="center" vertical="center"/>
    </xf>
    <xf numFmtId="0" fontId="95" fillId="0" borderId="0" xfId="4" applyFont="1" applyAlignment="1">
      <alignment horizontal="center"/>
    </xf>
    <xf numFmtId="0" fontId="30" fillId="0" borderId="0" xfId="4" applyFont="1" applyAlignment="1">
      <alignment horizontal="center"/>
    </xf>
    <xf numFmtId="0" fontId="99" fillId="0" borderId="76" xfId="4" applyFont="1" applyBorder="1" applyAlignment="1">
      <alignment horizontal="center"/>
    </xf>
    <xf numFmtId="0" fontId="99" fillId="0" borderId="5" xfId="4" applyFont="1" applyBorder="1" applyAlignment="1">
      <alignment horizontal="center"/>
    </xf>
    <xf numFmtId="0" fontId="99" fillId="0" borderId="77" xfId="4" applyFont="1" applyBorder="1" applyAlignment="1">
      <alignment horizontal="center"/>
    </xf>
    <xf numFmtId="170" fontId="65" fillId="0" borderId="85" xfId="7" applyFont="1" applyBorder="1" applyAlignment="1">
      <alignment horizontal="center"/>
    </xf>
    <xf numFmtId="170" fontId="63" fillId="0" borderId="0" xfId="7" applyFont="1" applyAlignment="1">
      <alignment horizontal="center"/>
    </xf>
    <xf numFmtId="170" fontId="23" fillId="0" borderId="85" xfId="7" applyFont="1" applyBorder="1" applyAlignment="1">
      <alignment horizontal="center"/>
    </xf>
    <xf numFmtId="170" fontId="26" fillId="0" borderId="95" xfId="7" applyFont="1" applyBorder="1" applyAlignment="1">
      <alignment horizontal="left" vertical="top" wrapText="1"/>
    </xf>
    <xf numFmtId="170" fontId="26" fillId="0" borderId="0" xfId="7" applyFont="1" applyAlignment="1">
      <alignment horizontal="left" vertical="top" wrapText="1"/>
    </xf>
    <xf numFmtId="170" fontId="26" fillId="0" borderId="96" xfId="7" applyFont="1" applyBorder="1" applyAlignment="1">
      <alignment horizontal="left" vertical="top" wrapText="1"/>
    </xf>
    <xf numFmtId="182" fontId="5" fillId="0" borderId="116" xfId="4" applyNumberFormat="1" applyFont="1" applyBorder="1" applyAlignment="1">
      <alignment horizontal="center"/>
    </xf>
    <xf numFmtId="0" fontId="52" fillId="0" borderId="0" xfId="8" applyFont="1" applyAlignment="1">
      <alignment horizontal="center"/>
    </xf>
    <xf numFmtId="2" fontId="23" fillId="0" borderId="0" xfId="8" applyNumberFormat="1" applyFont="1" applyAlignment="1">
      <alignment horizontal="left"/>
    </xf>
    <xf numFmtId="0" fontId="23" fillId="0" borderId="0" xfId="8" applyFont="1" applyAlignment="1">
      <alignment horizontal="left"/>
    </xf>
    <xf numFmtId="182" fontId="5" fillId="0" borderId="61" xfId="8" applyNumberFormat="1" applyFont="1" applyBorder="1" applyAlignment="1">
      <alignment horizontal="center"/>
    </xf>
    <xf numFmtId="0" fontId="23" fillId="0" borderId="0" xfId="4" applyFont="1" applyAlignment="1">
      <alignment horizontal="center"/>
    </xf>
    <xf numFmtId="0" fontId="28" fillId="0" borderId="0" xfId="18" applyFont="1" applyAlignment="1">
      <alignment horizontal="center" vertical="center"/>
    </xf>
    <xf numFmtId="0" fontId="28" fillId="0" borderId="12" xfId="18" applyFont="1" applyBorder="1" applyAlignment="1">
      <alignment horizontal="left" vertical="center"/>
    </xf>
    <xf numFmtId="0" fontId="28" fillId="5" borderId="12" xfId="18" applyFont="1" applyFill="1" applyBorder="1" applyAlignment="1">
      <alignment horizontal="left" vertical="center"/>
    </xf>
    <xf numFmtId="0" fontId="59" fillId="0" borderId="0" xfId="4" applyFont="1" applyAlignment="1">
      <alignment horizontal="center"/>
    </xf>
    <xf numFmtId="170" fontId="52" fillId="0" borderId="0" xfId="6" applyFont="1" applyAlignment="1">
      <alignment horizontal="center"/>
    </xf>
    <xf numFmtId="0" fontId="26" fillId="0" borderId="0" xfId="4" applyFont="1" applyAlignment="1">
      <alignment horizontal="right"/>
    </xf>
    <xf numFmtId="0" fontId="38" fillId="0" borderId="0" xfId="8" applyFont="1" applyAlignment="1">
      <alignment horizontal="center"/>
    </xf>
    <xf numFmtId="0" fontId="72" fillId="0" borderId="4" xfId="11" applyFont="1" applyBorder="1" applyAlignment="1">
      <alignment horizontal="center" vertical="center" wrapText="1"/>
    </xf>
    <xf numFmtId="0" fontId="72" fillId="0" borderId="10" xfId="11" applyFont="1" applyBorder="1" applyAlignment="1">
      <alignment horizontal="center" vertical="center" wrapText="1"/>
    </xf>
    <xf numFmtId="0" fontId="128" fillId="0" borderId="0" xfId="0" applyFont="1" applyAlignment="1">
      <alignment horizontal="center"/>
    </xf>
    <xf numFmtId="0" fontId="129" fillId="0" borderId="0" xfId="0" applyFont="1" applyAlignment="1">
      <alignment horizontal="center"/>
    </xf>
    <xf numFmtId="0" fontId="102" fillId="0" borderId="0" xfId="0" applyFont="1" applyAlignment="1">
      <alignment horizontal="left"/>
    </xf>
    <xf numFmtId="0" fontId="131" fillId="0" borderId="0" xfId="0" applyFont="1" applyAlignment="1">
      <alignment horizontal="center" vertical="center"/>
    </xf>
    <xf numFmtId="0" fontId="104" fillId="0" borderId="0" xfId="0" applyFont="1" applyAlignment="1">
      <alignment horizontal="center"/>
    </xf>
    <xf numFmtId="0" fontId="102" fillId="0" borderId="0" xfId="0" applyFont="1"/>
    <xf numFmtId="0" fontId="130" fillId="0" borderId="13" xfId="0" applyFont="1" applyBorder="1" applyAlignment="1">
      <alignment horizontal="center" vertical="center"/>
    </xf>
    <xf numFmtId="0" fontId="130" fillId="0" borderId="0" xfId="0" applyFont="1" applyAlignment="1">
      <alignment horizontal="center" vertical="center"/>
    </xf>
    <xf numFmtId="0" fontId="130" fillId="0" borderId="13" xfId="0" quotePrefix="1" applyFont="1" applyBorder="1" applyAlignment="1">
      <alignment horizontal="center" vertical="center"/>
    </xf>
    <xf numFmtId="0" fontId="130" fillId="0" borderId="0" xfId="0" quotePrefix="1" applyFont="1" applyAlignment="1">
      <alignment horizontal="center" vertical="center"/>
    </xf>
    <xf numFmtId="197" fontId="136" fillId="0" borderId="0" xfId="0" applyNumberFormat="1" applyFont="1" applyAlignment="1">
      <alignment horizontal="left"/>
    </xf>
    <xf numFmtId="0" fontId="134" fillId="0" borderId="0" xfId="0" applyFont="1" applyAlignment="1">
      <alignment horizontal="center"/>
    </xf>
    <xf numFmtId="0" fontId="135" fillId="0" borderId="0" xfId="0" applyFont="1" applyAlignment="1">
      <alignment horizontal="center"/>
    </xf>
    <xf numFmtId="0" fontId="136" fillId="0" borderId="0" xfId="0" applyFont="1" applyAlignment="1">
      <alignment horizontal="center"/>
    </xf>
    <xf numFmtId="0" fontId="137" fillId="0" borderId="0" xfId="0" applyFont="1" applyAlignment="1">
      <alignment horizontal="center" vertical="center"/>
    </xf>
    <xf numFmtId="2" fontId="136" fillId="0" borderId="0" xfId="0" applyNumberFormat="1" applyFont="1" applyAlignment="1">
      <alignment horizontal="left"/>
    </xf>
    <xf numFmtId="0" fontId="134" fillId="0" borderId="1" xfId="0" applyFont="1" applyBorder="1" applyAlignment="1">
      <alignment horizontal="center" vertical="center" wrapText="1"/>
    </xf>
    <xf numFmtId="0" fontId="139" fillId="0" borderId="1" xfId="0" applyFont="1" applyBorder="1" applyAlignment="1">
      <alignment horizontal="center" vertical="center" wrapText="1"/>
    </xf>
    <xf numFmtId="0" fontId="140" fillId="0" borderId="1" xfId="0" applyFont="1" applyBorder="1" applyAlignment="1">
      <alignment horizontal="center" vertical="center" wrapText="1"/>
    </xf>
    <xf numFmtId="0" fontId="140" fillId="5" borderId="1" xfId="0" applyFont="1" applyFill="1" applyBorder="1" applyAlignment="1">
      <alignment horizontal="center" vertical="center" wrapText="1"/>
    </xf>
    <xf numFmtId="0" fontId="141" fillId="0" borderId="0" xfId="0" applyFont="1" applyAlignment="1">
      <alignment horizontal="center"/>
    </xf>
    <xf numFmtId="0" fontId="140" fillId="0" borderId="0" xfId="0" applyFont="1" applyAlignment="1">
      <alignment horizontal="center" vertical="center" wrapText="1"/>
    </xf>
    <xf numFmtId="0" fontId="140" fillId="0" borderId="1" xfId="0" applyFont="1" applyBorder="1" applyAlignment="1">
      <alignment horizontal="right" vertical="top" wrapText="1"/>
    </xf>
    <xf numFmtId="2" fontId="140" fillId="0" borderId="1" xfId="0" applyNumberFormat="1" applyFont="1" applyBorder="1" applyAlignment="1">
      <alignment horizontal="center" wrapText="1"/>
    </xf>
    <xf numFmtId="0" fontId="140" fillId="0" borderId="1" xfId="0" applyFont="1" applyBorder="1" applyAlignment="1">
      <alignment horizontal="right" wrapText="1"/>
    </xf>
    <xf numFmtId="0" fontId="140" fillId="0" borderId="1" xfId="0" applyFont="1" applyBorder="1" applyAlignment="1">
      <alignment horizontal="center"/>
    </xf>
    <xf numFmtId="0" fontId="139" fillId="0" borderId="1" xfId="0" applyFont="1" applyBorder="1" applyAlignment="1">
      <alignment horizontal="center"/>
    </xf>
    <xf numFmtId="2" fontId="141" fillId="0" borderId="0" xfId="0" applyNumberFormat="1" applyFont="1" applyAlignment="1">
      <alignment horizontal="center"/>
    </xf>
    <xf numFmtId="2" fontId="142" fillId="0" borderId="0" xfId="0" applyNumberFormat="1" applyFont="1" applyAlignment="1">
      <alignment horizontal="center"/>
    </xf>
    <xf numFmtId="0" fontId="142" fillId="0" borderId="0" xfId="0" applyFont="1" applyAlignment="1">
      <alignment horizontal="center"/>
    </xf>
    <xf numFmtId="2" fontId="141" fillId="0" borderId="0" xfId="0" applyNumberFormat="1" applyFont="1" applyAlignment="1">
      <alignment horizontal="center" vertical="top"/>
    </xf>
    <xf numFmtId="0" fontId="141" fillId="0" borderId="0" xfId="0" applyFont="1" applyAlignment="1">
      <alignment horizontal="center" vertical="top"/>
    </xf>
    <xf numFmtId="0" fontId="102" fillId="0" borderId="0" xfId="0" applyFont="1" applyAlignment="1">
      <alignment horizontal="right"/>
    </xf>
    <xf numFmtId="0" fontId="102" fillId="0" borderId="12" xfId="0" applyFont="1" applyBorder="1" applyAlignment="1">
      <alignment horizontal="right"/>
    </xf>
    <xf numFmtId="0" fontId="102" fillId="0" borderId="0" xfId="0" quotePrefix="1" applyFont="1" applyAlignment="1">
      <alignment horizontal="left"/>
    </xf>
    <xf numFmtId="0" fontId="17" fillId="0" borderId="15" xfId="0" applyFont="1" applyBorder="1" applyAlignment="1">
      <alignment horizontal="center"/>
    </xf>
    <xf numFmtId="0" fontId="17" fillId="0" borderId="17" xfId="0" applyFont="1" applyBorder="1" applyAlignment="1">
      <alignment horizontal="center"/>
    </xf>
    <xf numFmtId="0" fontId="5" fillId="0" borderId="1" xfId="0" applyFont="1" applyBorder="1" applyAlignment="1">
      <alignment horizontal="center"/>
    </xf>
    <xf numFmtId="0" fontId="17" fillId="0" borderId="4" xfId="0" applyFont="1" applyBorder="1" applyAlignment="1">
      <alignment horizontal="center"/>
    </xf>
    <xf numFmtId="0" fontId="17" fillId="0" borderId="10" xfId="0" applyFont="1" applyBorder="1" applyAlignment="1">
      <alignment horizontal="center"/>
    </xf>
    <xf numFmtId="0" fontId="43" fillId="0" borderId="1" xfId="0" applyFont="1" applyBorder="1" applyAlignment="1">
      <alignment horizontal="center"/>
    </xf>
    <xf numFmtId="0" fontId="26" fillId="0" borderId="4" xfId="0" applyFont="1" applyBorder="1" applyAlignment="1">
      <alignment horizontal="center" vertical="center"/>
    </xf>
    <xf numFmtId="0" fontId="26" fillId="0" borderId="7" xfId="0" applyFont="1" applyBorder="1" applyAlignment="1">
      <alignment horizontal="center" vertical="center"/>
    </xf>
    <xf numFmtId="0" fontId="26" fillId="0" borderId="10" xfId="0" applyFont="1" applyBorder="1" applyAlignment="1">
      <alignment horizontal="center" vertical="center"/>
    </xf>
    <xf numFmtId="0" fontId="30" fillId="0" borderId="1" xfId="0" applyFont="1" applyBorder="1" applyAlignment="1">
      <alignment horizontal="left"/>
    </xf>
    <xf numFmtId="0" fontId="18" fillId="0" borderId="0" xfId="0" applyFont="1" applyAlignment="1">
      <alignment horizontal="center"/>
    </xf>
    <xf numFmtId="0" fontId="38" fillId="0" borderId="0" xfId="12" applyFont="1" applyAlignment="1" applyProtection="1">
      <alignment horizontal="left"/>
      <protection locked="0"/>
    </xf>
    <xf numFmtId="0" fontId="10" fillId="0" borderId="0" xfId="0" applyFont="1" applyAlignment="1">
      <alignment horizontal="center"/>
    </xf>
    <xf numFmtId="0" fontId="10" fillId="0" borderId="12" xfId="0" applyFont="1" applyBorder="1" applyAlignment="1">
      <alignment horizontal="center"/>
    </xf>
    <xf numFmtId="0" fontId="13" fillId="0" borderId="0" xfId="0" applyFont="1" applyAlignment="1">
      <alignment horizontal="center"/>
    </xf>
    <xf numFmtId="0" fontId="23" fillId="0" borderId="0" xfId="0" applyFont="1" applyAlignment="1">
      <alignment horizontal="center"/>
    </xf>
    <xf numFmtId="0" fontId="5" fillId="0" borderId="0" xfId="0" applyFont="1" applyAlignment="1">
      <alignment horizontal="center"/>
    </xf>
    <xf numFmtId="0" fontId="5" fillId="0" borderId="0" xfId="0" applyFont="1" applyAlignment="1">
      <alignment horizontal="left" wrapText="1"/>
    </xf>
    <xf numFmtId="0" fontId="12" fillId="0" borderId="0" xfId="0" applyFont="1" applyAlignment="1">
      <alignment horizontal="center"/>
    </xf>
    <xf numFmtId="0" fontId="10" fillId="0" borderId="4" xfId="0" applyFont="1" applyBorder="1" applyAlignment="1">
      <alignment horizontal="left" vertical="center" wrapText="1"/>
    </xf>
    <xf numFmtId="0" fontId="10" fillId="0" borderId="7" xfId="0" applyFont="1" applyBorder="1" applyAlignment="1">
      <alignment horizontal="left" vertical="center" wrapText="1"/>
    </xf>
    <xf numFmtId="0" fontId="10" fillId="0" borderId="10" xfId="0" applyFont="1" applyBorder="1" applyAlignment="1">
      <alignment horizontal="left" vertical="center" wrapText="1"/>
    </xf>
    <xf numFmtId="0" fontId="13" fillId="0" borderId="0" xfId="13" applyFont="1" applyAlignment="1">
      <alignment horizontal="center"/>
    </xf>
    <xf numFmtId="0" fontId="5" fillId="0" borderId="73" xfId="13" applyFont="1" applyBorder="1" applyAlignment="1">
      <alignment horizontal="center"/>
    </xf>
    <xf numFmtId="0" fontId="5" fillId="0" borderId="58" xfId="13" applyFont="1" applyBorder="1" applyAlignment="1">
      <alignment horizontal="center"/>
    </xf>
    <xf numFmtId="0" fontId="23" fillId="0" borderId="56" xfId="16" applyBorder="1" applyAlignment="1">
      <alignment horizontal="center" vertical="center" wrapText="1"/>
    </xf>
    <xf numFmtId="0" fontId="23" fillId="0" borderId="57" xfId="16" applyBorder="1" applyAlignment="1">
      <alignment horizontal="center" vertical="center" wrapText="1"/>
    </xf>
    <xf numFmtId="0" fontId="23" fillId="0" borderId="138" xfId="16" applyBorder="1" applyAlignment="1">
      <alignment horizontal="center" vertical="center" wrapText="1"/>
    </xf>
    <xf numFmtId="0" fontId="26" fillId="0" borderId="35" xfId="17" applyFont="1" applyBorder="1" applyAlignment="1">
      <alignment horizontal="center" vertical="center" wrapText="1"/>
    </xf>
    <xf numFmtId="0" fontId="26" fillId="0" borderId="37" xfId="17" applyFont="1" applyBorder="1" applyAlignment="1">
      <alignment horizontal="center" vertical="center" wrapText="1"/>
    </xf>
    <xf numFmtId="0" fontId="26" fillId="0" borderId="80" xfId="17" applyFont="1" applyBorder="1" applyAlignment="1">
      <alignment horizontal="center" vertical="center"/>
    </xf>
    <xf numFmtId="0" fontId="26" fillId="0" borderId="116" xfId="17" applyFont="1" applyBorder="1" applyAlignment="1">
      <alignment horizontal="center" vertical="center"/>
    </xf>
    <xf numFmtId="0" fontId="26" fillId="0" borderId="80" xfId="17" applyFont="1" applyBorder="1" applyAlignment="1">
      <alignment horizontal="center" vertical="center" wrapText="1"/>
    </xf>
    <xf numFmtId="0" fontId="26" fillId="0" borderId="116" xfId="17" applyFont="1" applyBorder="1" applyAlignment="1">
      <alignment horizontal="center" vertical="center" wrapText="1"/>
    </xf>
    <xf numFmtId="0" fontId="5" fillId="0" borderId="56" xfId="16" applyFont="1" applyBorder="1" applyAlignment="1">
      <alignment horizontal="center" vertical="center" wrapText="1"/>
    </xf>
    <xf numFmtId="0" fontId="5" fillId="0" borderId="57" xfId="16" applyFont="1" applyBorder="1" applyAlignment="1">
      <alignment horizontal="center" vertical="center" wrapText="1"/>
    </xf>
    <xf numFmtId="0" fontId="26" fillId="0" borderId="56" xfId="17" applyFont="1" applyBorder="1" applyAlignment="1">
      <alignment horizontal="center" vertical="center" wrapText="1"/>
    </xf>
    <xf numFmtId="0" fontId="26" fillId="0" borderId="57" xfId="17" applyFont="1" applyBorder="1" applyAlignment="1">
      <alignment horizontal="center" vertical="center" wrapText="1"/>
    </xf>
    <xf numFmtId="0" fontId="26" fillId="0" borderId="138" xfId="17" applyFont="1" applyBorder="1" applyAlignment="1">
      <alignment horizontal="center" vertical="center" wrapText="1"/>
    </xf>
    <xf numFmtId="0" fontId="17" fillId="0" borderId="56" xfId="17" applyFont="1" applyBorder="1" applyAlignment="1">
      <alignment horizontal="center" vertical="center" wrapText="1"/>
    </xf>
    <xf numFmtId="0" fontId="17" fillId="0" borderId="138" xfId="17" applyFont="1" applyBorder="1" applyAlignment="1">
      <alignment horizontal="center" vertical="center" wrapText="1"/>
    </xf>
    <xf numFmtId="0" fontId="17" fillId="0" borderId="57" xfId="17" applyFont="1" applyBorder="1" applyAlignment="1">
      <alignment horizontal="center" vertical="center" wrapText="1"/>
    </xf>
    <xf numFmtId="0" fontId="26" fillId="16" borderId="56" xfId="17" applyFont="1" applyFill="1" applyBorder="1" applyAlignment="1">
      <alignment horizontal="center" vertical="center" wrapText="1"/>
    </xf>
    <xf numFmtId="0" fontId="26" fillId="16" borderId="138" xfId="17" applyFont="1" applyFill="1" applyBorder="1" applyAlignment="1">
      <alignment horizontal="center" vertical="center" wrapText="1"/>
    </xf>
    <xf numFmtId="0" fontId="26" fillId="0" borderId="56" xfId="17" applyFont="1" applyBorder="1" applyAlignment="1">
      <alignment horizontal="left" vertical="top" wrapText="1"/>
    </xf>
    <xf numFmtId="0" fontId="26" fillId="0" borderId="57" xfId="17" applyFont="1" applyBorder="1" applyAlignment="1">
      <alignment horizontal="left" vertical="top" wrapText="1"/>
    </xf>
    <xf numFmtId="0" fontId="17" fillId="0" borderId="4" xfId="38" applyFont="1" applyBorder="1" applyAlignment="1">
      <alignment horizontal="center" textRotation="90"/>
    </xf>
    <xf numFmtId="0" fontId="17" fillId="0" borderId="10" xfId="38" applyFont="1" applyBorder="1" applyAlignment="1">
      <alignment horizontal="center" textRotation="90"/>
    </xf>
    <xf numFmtId="0" fontId="19" fillId="0" borderId="0" xfId="38" applyFont="1" applyAlignment="1">
      <alignment horizontal="center"/>
    </xf>
    <xf numFmtId="0" fontId="63" fillId="0" borderId="0" xfId="38" applyFont="1" applyAlignment="1">
      <alignment horizontal="center"/>
    </xf>
    <xf numFmtId="0" fontId="23" fillId="0" borderId="0" xfId="38" applyFont="1" applyAlignment="1">
      <alignment horizontal="center"/>
    </xf>
    <xf numFmtId="0" fontId="59" fillId="0" borderId="0" xfId="38" applyFont="1" applyAlignment="1">
      <alignment horizontal="center"/>
    </xf>
    <xf numFmtId="0" fontId="15" fillId="0" borderId="0" xfId="38" applyFont="1" applyAlignment="1">
      <alignment horizontal="center"/>
    </xf>
    <xf numFmtId="0" fontId="38" fillId="0" borderId="12" xfId="0" applyFont="1" applyBorder="1" applyAlignment="1">
      <alignment horizontal="center"/>
    </xf>
    <xf numFmtId="0" fontId="5" fillId="0" borderId="31" xfId="0" applyFont="1" applyBorder="1" applyAlignment="1">
      <alignment horizontal="right" vertical="center" wrapText="1"/>
    </xf>
    <xf numFmtId="0" fontId="5" fillId="0" borderId="21" xfId="0" applyFont="1" applyBorder="1" applyAlignment="1">
      <alignment horizontal="right" vertical="center" wrapText="1"/>
    </xf>
    <xf numFmtId="2" fontId="5" fillId="0" borderId="31" xfId="0" applyNumberFormat="1" applyFont="1" applyBorder="1" applyAlignment="1">
      <alignment horizontal="right" vertical="center" wrapText="1"/>
    </xf>
    <xf numFmtId="2" fontId="5" fillId="0" borderId="21" xfId="0" applyNumberFormat="1" applyFont="1" applyBorder="1" applyAlignment="1">
      <alignment horizontal="right" vertical="center" wrapText="1"/>
    </xf>
    <xf numFmtId="0" fontId="5" fillId="0" borderId="107" xfId="0" applyFont="1" applyBorder="1" applyAlignment="1">
      <alignment horizontal="right" vertical="center" wrapText="1"/>
    </xf>
    <xf numFmtId="0" fontId="5" fillId="0" borderId="109" xfId="0" applyFont="1" applyBorder="1" applyAlignment="1">
      <alignment horizontal="right" vertical="center" wrapText="1"/>
    </xf>
    <xf numFmtId="0" fontId="5" fillId="0" borderId="110" xfId="0" applyFont="1" applyBorder="1" applyAlignment="1">
      <alignment horizontal="right" vertical="center" wrapText="1"/>
    </xf>
    <xf numFmtId="0" fontId="5" fillId="0" borderId="28" xfId="0" applyFont="1" applyBorder="1" applyAlignment="1">
      <alignment horizontal="right" vertical="center" wrapText="1"/>
    </xf>
    <xf numFmtId="0" fontId="5" fillId="0" borderId="29" xfId="0" applyFont="1" applyBorder="1" applyAlignment="1">
      <alignment horizontal="right" vertical="center" wrapText="1"/>
    </xf>
    <xf numFmtId="0" fontId="5" fillId="0" borderId="30" xfId="0" applyFont="1" applyBorder="1" applyAlignment="1">
      <alignment horizontal="right" vertical="center" wrapText="1"/>
    </xf>
    <xf numFmtId="0" fontId="38" fillId="0" borderId="0" xfId="14" applyFont="1" applyAlignment="1">
      <alignment horizontal="center"/>
    </xf>
    <xf numFmtId="0" fontId="5" fillId="0" borderId="0" xfId="14" applyAlignment="1">
      <alignment horizontal="center"/>
    </xf>
    <xf numFmtId="0" fontId="140" fillId="5" borderId="11" xfId="0" applyFont="1" applyFill="1" applyBorder="1" applyAlignment="1">
      <alignment horizontal="center" vertical="center" wrapText="1"/>
    </xf>
    <xf numFmtId="0" fontId="140" fillId="5" borderId="5" xfId="0" applyFont="1" applyFill="1" applyBorder="1" applyAlignment="1">
      <alignment horizontal="center" vertical="center" wrapText="1"/>
    </xf>
    <xf numFmtId="0" fontId="140" fillId="5" borderId="6" xfId="0" applyFont="1" applyFill="1" applyBorder="1" applyAlignment="1">
      <alignment horizontal="center" vertical="center" wrapText="1"/>
    </xf>
    <xf numFmtId="0" fontId="140" fillId="0" borderId="11" xfId="0" applyFont="1" applyBorder="1" applyAlignment="1">
      <alignment horizontal="center" vertical="center" wrapText="1"/>
    </xf>
    <xf numFmtId="0" fontId="140" fillId="0" borderId="6" xfId="0" applyFont="1" applyBorder="1" applyAlignment="1">
      <alignment horizontal="center" vertical="center" wrapText="1"/>
    </xf>
    <xf numFmtId="0" fontId="140" fillId="0" borderId="4" xfId="0" applyFont="1" applyBorder="1" applyAlignment="1">
      <alignment horizontal="center" vertical="center" wrapText="1"/>
    </xf>
    <xf numFmtId="0" fontId="140" fillId="0" borderId="10" xfId="0" applyFont="1" applyBorder="1" applyAlignment="1">
      <alignment horizontal="center" vertical="center" wrapText="1"/>
    </xf>
  </cellXfs>
  <cellStyles count="42">
    <cellStyle name="Comma" xfId="1" builtinId="3"/>
    <cellStyle name="Comma 2" xfId="20" xr:uid="{00000000-0005-0000-0000-000001000000}"/>
    <cellStyle name="Comma 2 2 2" xfId="24" xr:uid="{00000000-0005-0000-0000-000002000000}"/>
    <cellStyle name="Comma 2 2 2 2 2" xfId="37" xr:uid="{00000000-0005-0000-0000-000003000000}"/>
    <cellStyle name="Comma 3" xfId="32" xr:uid="{00000000-0005-0000-0000-000004000000}"/>
    <cellStyle name="Comma 4" xfId="35" xr:uid="{00000000-0005-0000-0000-000005000000}"/>
    <cellStyle name="Comma_APP-DRAIN" xfId="22" xr:uid="{00000000-0005-0000-0000-000006000000}"/>
    <cellStyle name="Comma_Detail mesurement of Generator HousePump House 2" xfId="29" xr:uid="{00000000-0005-0000-0000-000007000000}"/>
    <cellStyle name="Hyperlink" xfId="30" builtinId="8"/>
    <cellStyle name="Normal" xfId="0" builtinId="0"/>
    <cellStyle name="Normal 10" xfId="27" xr:uid="{00000000-0005-0000-0000-00000A000000}"/>
    <cellStyle name="Normal 11" xfId="19" xr:uid="{00000000-0005-0000-0000-00000B000000}"/>
    <cellStyle name="Normal 15 4 4" xfId="25" xr:uid="{00000000-0005-0000-0000-00000C000000}"/>
    <cellStyle name="Normal 2" xfId="4" xr:uid="{00000000-0005-0000-0000-00000D000000}"/>
    <cellStyle name="Normal 2 10" xfId="21" xr:uid="{00000000-0005-0000-0000-00000E000000}"/>
    <cellStyle name="Normal 2 2 2 26" xfId="36" xr:uid="{00000000-0005-0000-0000-00000F000000}"/>
    <cellStyle name="Normal 2 4 2" xfId="28" xr:uid="{00000000-0005-0000-0000-000010000000}"/>
    <cellStyle name="Normal 25 4" xfId="23" xr:uid="{00000000-0005-0000-0000-000011000000}"/>
    <cellStyle name="Normal 3" xfId="8" xr:uid="{00000000-0005-0000-0000-000012000000}"/>
    <cellStyle name="Normal 3 2" xfId="18" xr:uid="{00000000-0005-0000-0000-000013000000}"/>
    <cellStyle name="Normal 3 22" xfId="26" xr:uid="{00000000-0005-0000-0000-000014000000}"/>
    <cellStyle name="Normal 4" xfId="10" xr:uid="{00000000-0005-0000-0000-000015000000}"/>
    <cellStyle name="Normal 5" xfId="11" xr:uid="{00000000-0005-0000-0000-000016000000}"/>
    <cellStyle name="Normal 6" xfId="31" xr:uid="{00000000-0005-0000-0000-000017000000}"/>
    <cellStyle name="Normal 7" xfId="34" xr:uid="{00000000-0005-0000-0000-000018000000}"/>
    <cellStyle name="Normal_Analysis" xfId="17" xr:uid="{00000000-0005-0000-0000-000019000000}"/>
    <cellStyle name="Normal_BAR-1" xfId="7" xr:uid="{00000000-0005-0000-0000-00001A000000}"/>
    <cellStyle name="Normal_BAR-1 2" xfId="9" xr:uid="{00000000-0005-0000-0000-00001B000000}"/>
    <cellStyle name="Normal_Book2_1" xfId="14" xr:uid="{00000000-0005-0000-0000-00001C000000}"/>
    <cellStyle name="Normal_BRBD-A" xfId="2" xr:uid="{00000000-0005-0000-0000-00001D000000}"/>
    <cellStyle name="Normal_E.Work" xfId="16" xr:uid="{00000000-0005-0000-0000-00001E000000}"/>
    <cellStyle name="Normal_Estimate1" xfId="38" xr:uid="{00000000-0005-0000-0000-00001F000000}"/>
    <cellStyle name="Normal_Matatirtha Estimate1 2" xfId="33" xr:uid="{00000000-0005-0000-0000-000020000000}"/>
    <cellStyle name="Normal_Matatirtha Estimate1 2 2" xfId="40" xr:uid="{00000000-0005-0000-0000-000021000000}"/>
    <cellStyle name="Normal_MR" xfId="13" xr:uid="{00000000-0005-0000-0000-000022000000}"/>
    <cellStyle name="Normal_QTY_EST" xfId="6" xr:uid="{00000000-0005-0000-0000-000023000000}"/>
    <cellStyle name="Normal_QTY_EST 2" xfId="39" xr:uid="{00000000-0005-0000-0000-000024000000}"/>
    <cellStyle name="Normal_Rate-1" xfId="12" xr:uid="{00000000-0005-0000-0000-000025000000}"/>
    <cellStyle name="Normal_Rates" xfId="15" xr:uid="{00000000-0005-0000-0000-000026000000}"/>
    <cellStyle name="Normal_Tables" xfId="3" xr:uid="{00000000-0005-0000-0000-000027000000}"/>
    <cellStyle name="Normal_Tender form template" xfId="41" xr:uid="{00000000-0005-0000-0000-000028000000}"/>
    <cellStyle name="Percent 2" xfId="5" xr:uid="{00000000-0005-0000-0000-00002900000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externalLink" Target="externalLinks/externalLink63.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9.xml"/><Relationship Id="rId68" Type="http://schemas.openxmlformats.org/officeDocument/2006/relationships/externalLink" Target="externalLinks/externalLink14.xml"/><Relationship Id="rId84" Type="http://schemas.openxmlformats.org/officeDocument/2006/relationships/externalLink" Target="externalLinks/externalLink30.xml"/><Relationship Id="rId89" Type="http://schemas.openxmlformats.org/officeDocument/2006/relationships/externalLink" Target="externalLinks/externalLink35.xml"/><Relationship Id="rId112" Type="http://schemas.openxmlformats.org/officeDocument/2006/relationships/externalLink" Target="externalLinks/externalLink58.xml"/><Relationship Id="rId16" Type="http://schemas.openxmlformats.org/officeDocument/2006/relationships/worksheet" Target="worksheets/sheet16.xml"/><Relationship Id="rId107" Type="http://schemas.openxmlformats.org/officeDocument/2006/relationships/externalLink" Target="externalLinks/externalLink53.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externalLink" Target="externalLinks/externalLink4.xml"/><Relationship Id="rId74" Type="http://schemas.openxmlformats.org/officeDocument/2006/relationships/externalLink" Target="externalLinks/externalLink20.xml"/><Relationship Id="rId79" Type="http://schemas.openxmlformats.org/officeDocument/2006/relationships/externalLink" Target="externalLinks/externalLink25.xml"/><Relationship Id="rId102" Type="http://schemas.openxmlformats.org/officeDocument/2006/relationships/externalLink" Target="externalLinks/externalLink48.xml"/><Relationship Id="rId123"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externalLink" Target="externalLinks/externalLink36.xml"/><Relationship Id="rId95" Type="http://schemas.openxmlformats.org/officeDocument/2006/relationships/externalLink" Target="externalLinks/externalLink4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10.xml"/><Relationship Id="rId69" Type="http://schemas.openxmlformats.org/officeDocument/2006/relationships/externalLink" Target="externalLinks/externalLink15.xml"/><Relationship Id="rId113" Type="http://schemas.openxmlformats.org/officeDocument/2006/relationships/externalLink" Target="externalLinks/externalLink59.xml"/><Relationship Id="rId118" Type="http://schemas.openxmlformats.org/officeDocument/2006/relationships/externalLink" Target="externalLinks/externalLink64.xml"/><Relationship Id="rId80" Type="http://schemas.openxmlformats.org/officeDocument/2006/relationships/externalLink" Target="externalLinks/externalLink26.xml"/><Relationship Id="rId85" Type="http://schemas.openxmlformats.org/officeDocument/2006/relationships/externalLink" Target="externalLinks/externalLink3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5.xml"/><Relationship Id="rId103" Type="http://schemas.openxmlformats.org/officeDocument/2006/relationships/externalLink" Target="externalLinks/externalLink49.xml"/><Relationship Id="rId108" Type="http://schemas.openxmlformats.org/officeDocument/2006/relationships/externalLink" Target="externalLinks/externalLink54.xml"/><Relationship Id="rId54" Type="http://schemas.openxmlformats.org/officeDocument/2006/relationships/worksheet" Target="worksheets/sheet54.xml"/><Relationship Id="rId70" Type="http://schemas.openxmlformats.org/officeDocument/2006/relationships/externalLink" Target="externalLinks/externalLink16.xml"/><Relationship Id="rId75" Type="http://schemas.openxmlformats.org/officeDocument/2006/relationships/externalLink" Target="externalLinks/externalLink21.xml"/><Relationship Id="rId91" Type="http://schemas.openxmlformats.org/officeDocument/2006/relationships/externalLink" Target="externalLinks/externalLink37.xml"/><Relationship Id="rId96" Type="http://schemas.openxmlformats.org/officeDocument/2006/relationships/externalLink" Target="externalLinks/externalLink42.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60.xml"/><Relationship Id="rId119" Type="http://schemas.openxmlformats.org/officeDocument/2006/relationships/externalLink" Target="externalLinks/externalLink65.xml"/><Relationship Id="rId44" Type="http://schemas.openxmlformats.org/officeDocument/2006/relationships/worksheet" Target="worksheets/sheet44.xml"/><Relationship Id="rId60" Type="http://schemas.openxmlformats.org/officeDocument/2006/relationships/externalLink" Target="externalLinks/externalLink6.xml"/><Relationship Id="rId65" Type="http://schemas.openxmlformats.org/officeDocument/2006/relationships/externalLink" Target="externalLinks/externalLink11.xml"/><Relationship Id="rId81" Type="http://schemas.openxmlformats.org/officeDocument/2006/relationships/externalLink" Target="externalLinks/externalLink27.xml"/><Relationship Id="rId86" Type="http://schemas.openxmlformats.org/officeDocument/2006/relationships/externalLink" Target="externalLinks/externalLink3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55.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externalLink" Target="externalLinks/externalLink1.xml"/><Relationship Id="rId76" Type="http://schemas.openxmlformats.org/officeDocument/2006/relationships/externalLink" Target="externalLinks/externalLink22.xml"/><Relationship Id="rId97" Type="http://schemas.openxmlformats.org/officeDocument/2006/relationships/externalLink" Target="externalLinks/externalLink43.xml"/><Relationship Id="rId104" Type="http://schemas.openxmlformats.org/officeDocument/2006/relationships/externalLink" Target="externalLinks/externalLink50.xml"/><Relationship Id="rId120"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17.xml"/><Relationship Id="rId92" Type="http://schemas.openxmlformats.org/officeDocument/2006/relationships/externalLink" Target="externalLinks/externalLink38.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2.xml"/><Relationship Id="rId87" Type="http://schemas.openxmlformats.org/officeDocument/2006/relationships/externalLink" Target="externalLinks/externalLink33.xml"/><Relationship Id="rId110" Type="http://schemas.openxmlformats.org/officeDocument/2006/relationships/externalLink" Target="externalLinks/externalLink56.xml"/><Relationship Id="rId115" Type="http://schemas.openxmlformats.org/officeDocument/2006/relationships/externalLink" Target="externalLinks/externalLink61.xml"/><Relationship Id="rId61" Type="http://schemas.openxmlformats.org/officeDocument/2006/relationships/externalLink" Target="externalLinks/externalLink7.xml"/><Relationship Id="rId82"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externalLink" Target="externalLinks/externalLink2.xml"/><Relationship Id="rId77" Type="http://schemas.openxmlformats.org/officeDocument/2006/relationships/externalLink" Target="externalLinks/externalLink23.xml"/><Relationship Id="rId100" Type="http://schemas.openxmlformats.org/officeDocument/2006/relationships/externalLink" Target="externalLinks/externalLink46.xml"/><Relationship Id="rId105" Type="http://schemas.openxmlformats.org/officeDocument/2006/relationships/externalLink" Target="externalLinks/externalLink5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8.xml"/><Relationship Id="rId93" Type="http://schemas.openxmlformats.org/officeDocument/2006/relationships/externalLink" Target="externalLinks/externalLink39.xml"/><Relationship Id="rId98" Type="http://schemas.openxmlformats.org/officeDocument/2006/relationships/externalLink" Target="externalLinks/externalLink44.xml"/><Relationship Id="rId121" Type="http://schemas.openxmlformats.org/officeDocument/2006/relationships/styles" Target="style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13.xml"/><Relationship Id="rId116" Type="http://schemas.openxmlformats.org/officeDocument/2006/relationships/externalLink" Target="externalLinks/externalLink62.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8.xml"/><Relationship Id="rId83" Type="http://schemas.openxmlformats.org/officeDocument/2006/relationships/externalLink" Target="externalLinks/externalLink29.xml"/><Relationship Id="rId88" Type="http://schemas.openxmlformats.org/officeDocument/2006/relationships/externalLink" Target="externalLinks/externalLink34.xml"/><Relationship Id="rId111" Type="http://schemas.openxmlformats.org/officeDocument/2006/relationships/externalLink" Target="externalLinks/externalLink57.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externalLink" Target="externalLinks/externalLink3.xml"/><Relationship Id="rId106" Type="http://schemas.openxmlformats.org/officeDocument/2006/relationships/externalLink" Target="externalLinks/externalLink52.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9.xml"/><Relationship Id="rId78" Type="http://schemas.openxmlformats.org/officeDocument/2006/relationships/externalLink" Target="externalLinks/externalLink24.xml"/><Relationship Id="rId94" Type="http://schemas.openxmlformats.org/officeDocument/2006/relationships/externalLink" Target="externalLinks/externalLink40.xml"/><Relationship Id="rId99" Type="http://schemas.openxmlformats.org/officeDocument/2006/relationships/externalLink" Target="externalLinks/externalLink45.xml"/><Relationship Id="rId101" Type="http://schemas.openxmlformats.org/officeDocument/2006/relationships/externalLink" Target="externalLinks/externalLink47.xml"/><Relationship Id="rId122" Type="http://schemas.openxmlformats.org/officeDocument/2006/relationships/sharedStrings" Target="sharedStrings.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xdr:twoCellAnchor>
    <xdr:from>
      <xdr:col>6</xdr:col>
      <xdr:colOff>142875</xdr:colOff>
      <xdr:row>32</xdr:row>
      <xdr:rowOff>0</xdr:rowOff>
    </xdr:from>
    <xdr:to>
      <xdr:col>7</xdr:col>
      <xdr:colOff>0</xdr:colOff>
      <xdr:row>32</xdr:row>
      <xdr:rowOff>0</xdr:rowOff>
    </xdr:to>
    <xdr:sp macro="" textlink="">
      <xdr:nvSpPr>
        <xdr:cNvPr id="2" name="Line 2">
          <a:extLst>
            <a:ext uri="{FF2B5EF4-FFF2-40B4-BE49-F238E27FC236}">
              <a16:creationId xmlns:a16="http://schemas.microsoft.com/office/drawing/2014/main" id="{00000000-0008-0000-0700-0000302C0000}"/>
            </a:ext>
          </a:extLst>
        </xdr:cNvPr>
        <xdr:cNvSpPr>
          <a:spLocks noChangeShapeType="1"/>
        </xdr:cNvSpPr>
      </xdr:nvSpPr>
      <xdr:spPr bwMode="auto">
        <a:xfrm>
          <a:off x="3945255" y="5966460"/>
          <a:ext cx="352425" cy="0"/>
        </a:xfrm>
        <a:prstGeom prst="line">
          <a:avLst/>
        </a:prstGeom>
        <a:noFill/>
        <a:ln w="9525">
          <a:solidFill>
            <a:srgbClr val="000000"/>
          </a:solidFill>
          <a:round/>
          <a:headEnd/>
          <a:tailEnd/>
        </a:ln>
      </xdr:spPr>
    </xdr:sp>
    <xdr:clientData/>
  </xdr:twoCellAnchor>
  <xdr:twoCellAnchor>
    <xdr:from>
      <xdr:col>6</xdr:col>
      <xdr:colOff>180975</xdr:colOff>
      <xdr:row>57</xdr:row>
      <xdr:rowOff>0</xdr:rowOff>
    </xdr:from>
    <xdr:to>
      <xdr:col>7</xdr:col>
      <xdr:colOff>0</xdr:colOff>
      <xdr:row>57</xdr:row>
      <xdr:rowOff>0</xdr:rowOff>
    </xdr:to>
    <xdr:sp macro="" textlink="">
      <xdr:nvSpPr>
        <xdr:cNvPr id="3" name="Line 4">
          <a:extLst>
            <a:ext uri="{FF2B5EF4-FFF2-40B4-BE49-F238E27FC236}">
              <a16:creationId xmlns:a16="http://schemas.microsoft.com/office/drawing/2014/main" id="{00000000-0008-0000-0700-0000312C0000}"/>
            </a:ext>
          </a:extLst>
        </xdr:cNvPr>
        <xdr:cNvSpPr>
          <a:spLocks noChangeShapeType="1"/>
        </xdr:cNvSpPr>
      </xdr:nvSpPr>
      <xdr:spPr bwMode="auto">
        <a:xfrm>
          <a:off x="3983355" y="10599420"/>
          <a:ext cx="314325" cy="0"/>
        </a:xfrm>
        <a:prstGeom prst="line">
          <a:avLst/>
        </a:prstGeom>
        <a:noFill/>
        <a:ln w="9525">
          <a:solidFill>
            <a:srgbClr val="000000"/>
          </a:solidFill>
          <a:round/>
          <a:headEnd/>
          <a:tailEnd/>
        </a:ln>
      </xdr:spPr>
    </xdr:sp>
    <xdr:clientData/>
  </xdr:twoCellAnchor>
  <xdr:twoCellAnchor>
    <xdr:from>
      <xdr:col>6</xdr:col>
      <xdr:colOff>161925</xdr:colOff>
      <xdr:row>69</xdr:row>
      <xdr:rowOff>0</xdr:rowOff>
    </xdr:from>
    <xdr:to>
      <xdr:col>6</xdr:col>
      <xdr:colOff>485775</xdr:colOff>
      <xdr:row>69</xdr:row>
      <xdr:rowOff>0</xdr:rowOff>
    </xdr:to>
    <xdr:sp macro="" textlink="">
      <xdr:nvSpPr>
        <xdr:cNvPr id="4" name="Line 5">
          <a:extLst>
            <a:ext uri="{FF2B5EF4-FFF2-40B4-BE49-F238E27FC236}">
              <a16:creationId xmlns:a16="http://schemas.microsoft.com/office/drawing/2014/main" id="{00000000-0008-0000-0700-0000322C0000}"/>
            </a:ext>
          </a:extLst>
        </xdr:cNvPr>
        <xdr:cNvSpPr>
          <a:spLocks noChangeShapeType="1"/>
        </xdr:cNvSpPr>
      </xdr:nvSpPr>
      <xdr:spPr bwMode="auto">
        <a:xfrm>
          <a:off x="3964305" y="12611100"/>
          <a:ext cx="323850" cy="0"/>
        </a:xfrm>
        <a:prstGeom prst="line">
          <a:avLst/>
        </a:prstGeom>
        <a:noFill/>
        <a:ln w="9525">
          <a:solidFill>
            <a:srgbClr val="000000"/>
          </a:solidFill>
          <a:round/>
          <a:headEnd/>
          <a:tailEnd/>
        </a:ln>
      </xdr:spPr>
    </xdr:sp>
    <xdr:clientData/>
  </xdr:twoCellAnchor>
  <xdr:twoCellAnchor>
    <xdr:from>
      <xdr:col>6</xdr:col>
      <xdr:colOff>123825</xdr:colOff>
      <xdr:row>91</xdr:row>
      <xdr:rowOff>0</xdr:rowOff>
    </xdr:from>
    <xdr:to>
      <xdr:col>6</xdr:col>
      <xdr:colOff>485775</xdr:colOff>
      <xdr:row>91</xdr:row>
      <xdr:rowOff>0</xdr:rowOff>
    </xdr:to>
    <xdr:sp macro="" textlink="">
      <xdr:nvSpPr>
        <xdr:cNvPr id="5" name="Line 6">
          <a:extLst>
            <a:ext uri="{FF2B5EF4-FFF2-40B4-BE49-F238E27FC236}">
              <a16:creationId xmlns:a16="http://schemas.microsoft.com/office/drawing/2014/main" id="{00000000-0008-0000-0700-0000332C0000}"/>
            </a:ext>
          </a:extLst>
        </xdr:cNvPr>
        <xdr:cNvSpPr>
          <a:spLocks noChangeShapeType="1"/>
        </xdr:cNvSpPr>
      </xdr:nvSpPr>
      <xdr:spPr bwMode="auto">
        <a:xfrm>
          <a:off x="3926205" y="16443960"/>
          <a:ext cx="361950" cy="0"/>
        </a:xfrm>
        <a:prstGeom prst="line">
          <a:avLst/>
        </a:prstGeom>
        <a:noFill/>
        <a:ln w="9525">
          <a:solidFill>
            <a:srgbClr val="000000"/>
          </a:solidFill>
          <a:round/>
          <a:headEnd/>
          <a:tailEnd/>
        </a:ln>
      </xdr:spPr>
    </xdr:sp>
    <xdr:clientData/>
  </xdr:twoCellAnchor>
  <xdr:twoCellAnchor>
    <xdr:from>
      <xdr:col>6</xdr:col>
      <xdr:colOff>66675</xdr:colOff>
      <xdr:row>12</xdr:row>
      <xdr:rowOff>0</xdr:rowOff>
    </xdr:from>
    <xdr:to>
      <xdr:col>6</xdr:col>
      <xdr:colOff>485775</xdr:colOff>
      <xdr:row>12</xdr:row>
      <xdr:rowOff>0</xdr:rowOff>
    </xdr:to>
    <xdr:sp macro="" textlink="">
      <xdr:nvSpPr>
        <xdr:cNvPr id="6" name="Line 7">
          <a:extLst>
            <a:ext uri="{FF2B5EF4-FFF2-40B4-BE49-F238E27FC236}">
              <a16:creationId xmlns:a16="http://schemas.microsoft.com/office/drawing/2014/main" id="{00000000-0008-0000-0700-0000342C0000}"/>
            </a:ext>
          </a:extLst>
        </xdr:cNvPr>
        <xdr:cNvSpPr>
          <a:spLocks noChangeShapeType="1"/>
        </xdr:cNvSpPr>
      </xdr:nvSpPr>
      <xdr:spPr bwMode="auto">
        <a:xfrm>
          <a:off x="3869055" y="2484120"/>
          <a:ext cx="419100" cy="0"/>
        </a:xfrm>
        <a:prstGeom prst="line">
          <a:avLst/>
        </a:prstGeom>
        <a:noFill/>
        <a:ln w="9525">
          <a:solidFill>
            <a:srgbClr val="000000"/>
          </a:solidFill>
          <a:round/>
          <a:headEnd/>
          <a:tailEnd/>
        </a:ln>
      </xdr:spPr>
    </xdr:sp>
    <xdr:clientData/>
  </xdr:twoCellAnchor>
  <xdr:twoCellAnchor>
    <xdr:from>
      <xdr:col>6</xdr:col>
      <xdr:colOff>142875</xdr:colOff>
      <xdr:row>32</xdr:row>
      <xdr:rowOff>0</xdr:rowOff>
    </xdr:from>
    <xdr:to>
      <xdr:col>7</xdr:col>
      <xdr:colOff>0</xdr:colOff>
      <xdr:row>32</xdr:row>
      <xdr:rowOff>0</xdr:rowOff>
    </xdr:to>
    <xdr:sp macro="" textlink="">
      <xdr:nvSpPr>
        <xdr:cNvPr id="7" name="Line 8">
          <a:extLst>
            <a:ext uri="{FF2B5EF4-FFF2-40B4-BE49-F238E27FC236}">
              <a16:creationId xmlns:a16="http://schemas.microsoft.com/office/drawing/2014/main" id="{00000000-0008-0000-0700-0000352C0000}"/>
            </a:ext>
          </a:extLst>
        </xdr:cNvPr>
        <xdr:cNvSpPr>
          <a:spLocks noChangeShapeType="1"/>
        </xdr:cNvSpPr>
      </xdr:nvSpPr>
      <xdr:spPr bwMode="auto">
        <a:xfrm>
          <a:off x="3945255" y="5966460"/>
          <a:ext cx="352425" cy="0"/>
        </a:xfrm>
        <a:prstGeom prst="line">
          <a:avLst/>
        </a:prstGeom>
        <a:noFill/>
        <a:ln w="9525">
          <a:solidFill>
            <a:srgbClr val="000000"/>
          </a:solidFill>
          <a:round/>
          <a:headEnd/>
          <a:tailEnd/>
        </a:ln>
      </xdr:spPr>
    </xdr:sp>
    <xdr:clientData/>
  </xdr:twoCellAnchor>
  <xdr:twoCellAnchor>
    <xdr:from>
      <xdr:col>6</xdr:col>
      <xdr:colOff>114300</xdr:colOff>
      <xdr:row>37</xdr:row>
      <xdr:rowOff>152400</xdr:rowOff>
    </xdr:from>
    <xdr:to>
      <xdr:col>6</xdr:col>
      <xdr:colOff>485775</xdr:colOff>
      <xdr:row>37</xdr:row>
      <xdr:rowOff>152400</xdr:rowOff>
    </xdr:to>
    <xdr:sp macro="" textlink="">
      <xdr:nvSpPr>
        <xdr:cNvPr id="8" name="Line 9">
          <a:extLst>
            <a:ext uri="{FF2B5EF4-FFF2-40B4-BE49-F238E27FC236}">
              <a16:creationId xmlns:a16="http://schemas.microsoft.com/office/drawing/2014/main" id="{00000000-0008-0000-0700-0000362C0000}"/>
            </a:ext>
          </a:extLst>
        </xdr:cNvPr>
        <xdr:cNvSpPr>
          <a:spLocks noChangeShapeType="1"/>
        </xdr:cNvSpPr>
      </xdr:nvSpPr>
      <xdr:spPr bwMode="auto">
        <a:xfrm>
          <a:off x="3916680" y="6957060"/>
          <a:ext cx="371475" cy="0"/>
        </a:xfrm>
        <a:prstGeom prst="line">
          <a:avLst/>
        </a:prstGeom>
        <a:noFill/>
        <a:ln w="9525">
          <a:solidFill>
            <a:srgbClr val="000000"/>
          </a:solidFill>
          <a:round/>
          <a:headEnd/>
          <a:tailEnd/>
        </a:ln>
      </xdr:spPr>
    </xdr:sp>
    <xdr:clientData/>
  </xdr:twoCellAnchor>
  <xdr:twoCellAnchor>
    <xdr:from>
      <xdr:col>6</xdr:col>
      <xdr:colOff>114300</xdr:colOff>
      <xdr:row>35</xdr:row>
      <xdr:rowOff>0</xdr:rowOff>
    </xdr:from>
    <xdr:to>
      <xdr:col>7</xdr:col>
      <xdr:colOff>0</xdr:colOff>
      <xdr:row>35</xdr:row>
      <xdr:rowOff>0</xdr:rowOff>
    </xdr:to>
    <xdr:sp macro="" textlink="">
      <xdr:nvSpPr>
        <xdr:cNvPr id="9" name="Line 10">
          <a:extLst>
            <a:ext uri="{FF2B5EF4-FFF2-40B4-BE49-F238E27FC236}">
              <a16:creationId xmlns:a16="http://schemas.microsoft.com/office/drawing/2014/main" id="{00000000-0008-0000-0700-0000372C0000}"/>
            </a:ext>
          </a:extLst>
        </xdr:cNvPr>
        <xdr:cNvSpPr>
          <a:spLocks noChangeShapeType="1"/>
        </xdr:cNvSpPr>
      </xdr:nvSpPr>
      <xdr:spPr bwMode="auto">
        <a:xfrm>
          <a:off x="3916680" y="6469380"/>
          <a:ext cx="381000" cy="0"/>
        </a:xfrm>
        <a:prstGeom prst="line">
          <a:avLst/>
        </a:prstGeom>
        <a:noFill/>
        <a:ln w="9525">
          <a:solidFill>
            <a:srgbClr val="000000"/>
          </a:solidFill>
          <a:round/>
          <a:headEnd/>
          <a:tailEnd/>
        </a:ln>
      </xdr:spPr>
    </xdr:sp>
    <xdr:clientData/>
  </xdr:twoCellAnchor>
  <xdr:twoCellAnchor>
    <xdr:from>
      <xdr:col>6</xdr:col>
      <xdr:colOff>142875</xdr:colOff>
      <xdr:row>61</xdr:row>
      <xdr:rowOff>0</xdr:rowOff>
    </xdr:from>
    <xdr:to>
      <xdr:col>6</xdr:col>
      <xdr:colOff>447675</xdr:colOff>
      <xdr:row>61</xdr:row>
      <xdr:rowOff>0</xdr:rowOff>
    </xdr:to>
    <xdr:sp macro="" textlink="">
      <xdr:nvSpPr>
        <xdr:cNvPr id="10" name="Line 11">
          <a:extLst>
            <a:ext uri="{FF2B5EF4-FFF2-40B4-BE49-F238E27FC236}">
              <a16:creationId xmlns:a16="http://schemas.microsoft.com/office/drawing/2014/main" id="{00000000-0008-0000-0700-0000382C0000}"/>
            </a:ext>
          </a:extLst>
        </xdr:cNvPr>
        <xdr:cNvSpPr>
          <a:spLocks noChangeShapeType="1"/>
        </xdr:cNvSpPr>
      </xdr:nvSpPr>
      <xdr:spPr bwMode="auto">
        <a:xfrm>
          <a:off x="3945255" y="11269980"/>
          <a:ext cx="304800" cy="0"/>
        </a:xfrm>
        <a:prstGeom prst="line">
          <a:avLst/>
        </a:prstGeom>
        <a:no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66675</xdr:colOff>
      <xdr:row>18</xdr:row>
      <xdr:rowOff>0</xdr:rowOff>
    </xdr:from>
    <xdr:to>
      <xdr:col>7</xdr:col>
      <xdr:colOff>9525</xdr:colOff>
      <xdr:row>18</xdr:row>
      <xdr:rowOff>0</xdr:rowOff>
    </xdr:to>
    <xdr:sp macro="" textlink="">
      <xdr:nvSpPr>
        <xdr:cNvPr id="2" name="Line 11">
          <a:extLst>
            <a:ext uri="{FF2B5EF4-FFF2-40B4-BE49-F238E27FC236}">
              <a16:creationId xmlns:a16="http://schemas.microsoft.com/office/drawing/2014/main" id="{00000000-0008-0000-0800-00000C000000}"/>
            </a:ext>
          </a:extLst>
        </xdr:cNvPr>
        <xdr:cNvSpPr>
          <a:spLocks noChangeShapeType="1"/>
        </xdr:cNvSpPr>
      </xdr:nvSpPr>
      <xdr:spPr bwMode="auto">
        <a:xfrm>
          <a:off x="4234815" y="3208020"/>
          <a:ext cx="422910" cy="0"/>
        </a:xfrm>
        <a:prstGeom prst="line">
          <a:avLst/>
        </a:prstGeom>
        <a:noFill/>
        <a:ln w="9525">
          <a:solidFill>
            <a:srgbClr val="000000"/>
          </a:solidFill>
          <a:round/>
          <a:headEnd/>
          <a:tailEnd/>
        </a:ln>
      </xdr:spPr>
    </xdr:sp>
    <xdr:clientData/>
  </xdr:twoCellAnchor>
  <xdr:twoCellAnchor>
    <xdr:from>
      <xdr:col>6</xdr:col>
      <xdr:colOff>66675</xdr:colOff>
      <xdr:row>32</xdr:row>
      <xdr:rowOff>0</xdr:rowOff>
    </xdr:from>
    <xdr:to>
      <xdr:col>7</xdr:col>
      <xdr:colOff>9525</xdr:colOff>
      <xdr:row>32</xdr:row>
      <xdr:rowOff>0</xdr:rowOff>
    </xdr:to>
    <xdr:sp macro="" textlink="">
      <xdr:nvSpPr>
        <xdr:cNvPr id="3" name="Line 13">
          <a:extLst>
            <a:ext uri="{FF2B5EF4-FFF2-40B4-BE49-F238E27FC236}">
              <a16:creationId xmlns:a16="http://schemas.microsoft.com/office/drawing/2014/main" id="{00000000-0008-0000-0800-00000D000000}"/>
            </a:ext>
          </a:extLst>
        </xdr:cNvPr>
        <xdr:cNvSpPr>
          <a:spLocks noChangeShapeType="1"/>
        </xdr:cNvSpPr>
      </xdr:nvSpPr>
      <xdr:spPr bwMode="auto">
        <a:xfrm>
          <a:off x="4234815" y="5554980"/>
          <a:ext cx="422910" cy="0"/>
        </a:xfrm>
        <a:prstGeom prst="line">
          <a:avLst/>
        </a:prstGeom>
        <a:noFill/>
        <a:ln w="9525">
          <a:solidFill>
            <a:srgbClr val="000000"/>
          </a:solidFill>
          <a:round/>
          <a:headEnd/>
          <a:tailEnd/>
        </a:ln>
      </xdr:spPr>
    </xdr:sp>
    <xdr:clientData/>
  </xdr:twoCellAnchor>
  <xdr:twoCellAnchor>
    <xdr:from>
      <xdr:col>6</xdr:col>
      <xdr:colOff>66675</xdr:colOff>
      <xdr:row>41</xdr:row>
      <xdr:rowOff>0</xdr:rowOff>
    </xdr:from>
    <xdr:to>
      <xdr:col>7</xdr:col>
      <xdr:colOff>9525</xdr:colOff>
      <xdr:row>41</xdr:row>
      <xdr:rowOff>0</xdr:rowOff>
    </xdr:to>
    <xdr:sp macro="" textlink="">
      <xdr:nvSpPr>
        <xdr:cNvPr id="4" name="Line 14">
          <a:extLst>
            <a:ext uri="{FF2B5EF4-FFF2-40B4-BE49-F238E27FC236}">
              <a16:creationId xmlns:a16="http://schemas.microsoft.com/office/drawing/2014/main" id="{00000000-0008-0000-0800-00000E000000}"/>
            </a:ext>
          </a:extLst>
        </xdr:cNvPr>
        <xdr:cNvSpPr>
          <a:spLocks noChangeShapeType="1"/>
        </xdr:cNvSpPr>
      </xdr:nvSpPr>
      <xdr:spPr bwMode="auto">
        <a:xfrm>
          <a:off x="4234815" y="7063740"/>
          <a:ext cx="422910" cy="0"/>
        </a:xfrm>
        <a:prstGeom prst="line">
          <a:avLst/>
        </a:prstGeom>
        <a:noFill/>
        <a:ln w="9525">
          <a:solidFill>
            <a:srgbClr val="000000"/>
          </a:solidFill>
          <a:round/>
          <a:headEnd/>
          <a:tailEnd/>
        </a:ln>
      </xdr:spPr>
    </xdr:sp>
    <xdr:clientData/>
  </xdr:twoCellAnchor>
  <xdr:twoCellAnchor>
    <xdr:from>
      <xdr:col>6</xdr:col>
      <xdr:colOff>47625</xdr:colOff>
      <xdr:row>44</xdr:row>
      <xdr:rowOff>152400</xdr:rowOff>
    </xdr:from>
    <xdr:to>
      <xdr:col>6</xdr:col>
      <xdr:colOff>419100</xdr:colOff>
      <xdr:row>44</xdr:row>
      <xdr:rowOff>152400</xdr:rowOff>
    </xdr:to>
    <xdr:sp macro="" textlink="">
      <xdr:nvSpPr>
        <xdr:cNvPr id="5" name="Line 15">
          <a:extLst>
            <a:ext uri="{FF2B5EF4-FFF2-40B4-BE49-F238E27FC236}">
              <a16:creationId xmlns:a16="http://schemas.microsoft.com/office/drawing/2014/main" id="{00000000-0008-0000-0800-00000F000000}"/>
            </a:ext>
          </a:extLst>
        </xdr:cNvPr>
        <xdr:cNvSpPr>
          <a:spLocks noChangeShapeType="1"/>
        </xdr:cNvSpPr>
      </xdr:nvSpPr>
      <xdr:spPr bwMode="auto">
        <a:xfrm>
          <a:off x="4215765" y="7719060"/>
          <a:ext cx="371475" cy="0"/>
        </a:xfrm>
        <a:prstGeom prst="line">
          <a:avLst/>
        </a:prstGeom>
        <a:noFill/>
        <a:ln w="9525">
          <a:solidFill>
            <a:srgbClr val="000000"/>
          </a:solidFill>
          <a:round/>
          <a:headEnd/>
          <a:tailEnd/>
        </a:ln>
      </xdr:spPr>
    </xdr:sp>
    <xdr:clientData/>
  </xdr:twoCellAnchor>
  <xdr:twoCellAnchor>
    <xdr:from>
      <xdr:col>6</xdr:col>
      <xdr:colOff>66675</xdr:colOff>
      <xdr:row>18</xdr:row>
      <xdr:rowOff>0</xdr:rowOff>
    </xdr:from>
    <xdr:to>
      <xdr:col>7</xdr:col>
      <xdr:colOff>9525</xdr:colOff>
      <xdr:row>18</xdr:row>
      <xdr:rowOff>0</xdr:rowOff>
    </xdr:to>
    <xdr:sp macro="" textlink="">
      <xdr:nvSpPr>
        <xdr:cNvPr id="6" name="Line 16">
          <a:extLst>
            <a:ext uri="{FF2B5EF4-FFF2-40B4-BE49-F238E27FC236}">
              <a16:creationId xmlns:a16="http://schemas.microsoft.com/office/drawing/2014/main" id="{00000000-0008-0000-0800-000010000000}"/>
            </a:ext>
          </a:extLst>
        </xdr:cNvPr>
        <xdr:cNvSpPr>
          <a:spLocks noChangeShapeType="1"/>
        </xdr:cNvSpPr>
      </xdr:nvSpPr>
      <xdr:spPr bwMode="auto">
        <a:xfrm>
          <a:off x="4234815" y="3208020"/>
          <a:ext cx="422910" cy="0"/>
        </a:xfrm>
        <a:prstGeom prst="line">
          <a:avLst/>
        </a:prstGeom>
        <a:noFill/>
        <a:ln w="9525">
          <a:solidFill>
            <a:srgbClr val="000000"/>
          </a:solidFill>
          <a:round/>
          <a:headEnd/>
          <a:tailEnd/>
        </a:ln>
      </xdr:spPr>
    </xdr:sp>
    <xdr:clientData/>
  </xdr:twoCellAnchor>
  <xdr:twoCellAnchor>
    <xdr:from>
      <xdr:col>6</xdr:col>
      <xdr:colOff>38100</xdr:colOff>
      <xdr:row>23</xdr:row>
      <xdr:rowOff>9525</xdr:rowOff>
    </xdr:from>
    <xdr:to>
      <xdr:col>6</xdr:col>
      <xdr:colOff>409575</xdr:colOff>
      <xdr:row>23</xdr:row>
      <xdr:rowOff>9525</xdr:rowOff>
    </xdr:to>
    <xdr:sp macro="" textlink="">
      <xdr:nvSpPr>
        <xdr:cNvPr id="7" name="Line 17">
          <a:extLst>
            <a:ext uri="{FF2B5EF4-FFF2-40B4-BE49-F238E27FC236}">
              <a16:creationId xmlns:a16="http://schemas.microsoft.com/office/drawing/2014/main" id="{00000000-0008-0000-0800-000011000000}"/>
            </a:ext>
          </a:extLst>
        </xdr:cNvPr>
        <xdr:cNvSpPr>
          <a:spLocks noChangeShapeType="1"/>
        </xdr:cNvSpPr>
      </xdr:nvSpPr>
      <xdr:spPr bwMode="auto">
        <a:xfrm>
          <a:off x="4206240" y="4055745"/>
          <a:ext cx="371475" cy="0"/>
        </a:xfrm>
        <a:prstGeom prst="line">
          <a:avLst/>
        </a:prstGeom>
        <a:noFill/>
        <a:ln w="9525">
          <a:solidFill>
            <a:srgbClr val="000000"/>
          </a:solidFill>
          <a:round/>
          <a:headEnd/>
          <a:tailEnd/>
        </a:ln>
      </xdr:spPr>
    </xdr:sp>
    <xdr:clientData/>
  </xdr:twoCellAnchor>
  <xdr:twoCellAnchor>
    <xdr:from>
      <xdr:col>6</xdr:col>
      <xdr:colOff>66675</xdr:colOff>
      <xdr:row>27</xdr:row>
      <xdr:rowOff>0</xdr:rowOff>
    </xdr:from>
    <xdr:to>
      <xdr:col>7</xdr:col>
      <xdr:colOff>9525</xdr:colOff>
      <xdr:row>27</xdr:row>
      <xdr:rowOff>0</xdr:rowOff>
    </xdr:to>
    <xdr:sp macro="" textlink="">
      <xdr:nvSpPr>
        <xdr:cNvPr id="8" name="Line 18">
          <a:extLst>
            <a:ext uri="{FF2B5EF4-FFF2-40B4-BE49-F238E27FC236}">
              <a16:creationId xmlns:a16="http://schemas.microsoft.com/office/drawing/2014/main" id="{00000000-0008-0000-0800-000012000000}"/>
            </a:ext>
          </a:extLst>
        </xdr:cNvPr>
        <xdr:cNvSpPr>
          <a:spLocks noChangeShapeType="1"/>
        </xdr:cNvSpPr>
      </xdr:nvSpPr>
      <xdr:spPr bwMode="auto">
        <a:xfrm>
          <a:off x="4234815" y="4716780"/>
          <a:ext cx="422910" cy="0"/>
        </a:xfrm>
        <a:prstGeom prst="line">
          <a:avLst/>
        </a:prstGeom>
        <a:noFill/>
        <a:ln w="9525">
          <a:solidFill>
            <a:srgbClr val="000000"/>
          </a:solidFill>
          <a:round/>
          <a:headEnd/>
          <a:tailEnd/>
        </a:ln>
      </xdr:spPr>
    </xdr:sp>
    <xdr:clientData/>
  </xdr:twoCellAnchor>
  <xdr:twoCellAnchor>
    <xdr:from>
      <xdr:col>6</xdr:col>
      <xdr:colOff>66675</xdr:colOff>
      <xdr:row>32</xdr:row>
      <xdr:rowOff>0</xdr:rowOff>
    </xdr:from>
    <xdr:to>
      <xdr:col>7</xdr:col>
      <xdr:colOff>9525</xdr:colOff>
      <xdr:row>32</xdr:row>
      <xdr:rowOff>0</xdr:rowOff>
    </xdr:to>
    <xdr:sp macro="" textlink="">
      <xdr:nvSpPr>
        <xdr:cNvPr id="9" name="Line 19">
          <a:extLst>
            <a:ext uri="{FF2B5EF4-FFF2-40B4-BE49-F238E27FC236}">
              <a16:creationId xmlns:a16="http://schemas.microsoft.com/office/drawing/2014/main" id="{00000000-0008-0000-0800-000013000000}"/>
            </a:ext>
          </a:extLst>
        </xdr:cNvPr>
        <xdr:cNvSpPr>
          <a:spLocks noChangeShapeType="1"/>
        </xdr:cNvSpPr>
      </xdr:nvSpPr>
      <xdr:spPr bwMode="auto">
        <a:xfrm>
          <a:off x="4234815" y="5554980"/>
          <a:ext cx="422910" cy="0"/>
        </a:xfrm>
        <a:prstGeom prst="line">
          <a:avLst/>
        </a:prstGeom>
        <a:noFill/>
        <a:ln w="9525">
          <a:solidFill>
            <a:srgbClr val="000000"/>
          </a:solidFill>
          <a:round/>
          <a:headEnd/>
          <a:tailEnd/>
        </a:ln>
      </xdr:spPr>
    </xdr:sp>
    <xdr:clientData/>
  </xdr:twoCellAnchor>
  <xdr:twoCellAnchor>
    <xdr:from>
      <xdr:col>6</xdr:col>
      <xdr:colOff>66675</xdr:colOff>
      <xdr:row>41</xdr:row>
      <xdr:rowOff>0</xdr:rowOff>
    </xdr:from>
    <xdr:to>
      <xdr:col>7</xdr:col>
      <xdr:colOff>9525</xdr:colOff>
      <xdr:row>41</xdr:row>
      <xdr:rowOff>0</xdr:rowOff>
    </xdr:to>
    <xdr:sp macro="" textlink="">
      <xdr:nvSpPr>
        <xdr:cNvPr id="10" name="Line 20">
          <a:extLst>
            <a:ext uri="{FF2B5EF4-FFF2-40B4-BE49-F238E27FC236}">
              <a16:creationId xmlns:a16="http://schemas.microsoft.com/office/drawing/2014/main" id="{00000000-0008-0000-0800-000014000000}"/>
            </a:ext>
          </a:extLst>
        </xdr:cNvPr>
        <xdr:cNvSpPr>
          <a:spLocks noChangeShapeType="1"/>
        </xdr:cNvSpPr>
      </xdr:nvSpPr>
      <xdr:spPr bwMode="auto">
        <a:xfrm>
          <a:off x="4234815" y="7063740"/>
          <a:ext cx="422910" cy="0"/>
        </a:xfrm>
        <a:prstGeom prst="line">
          <a:avLst/>
        </a:prstGeom>
        <a:noFill/>
        <a:ln w="9525">
          <a:solidFill>
            <a:srgbClr val="000000"/>
          </a:solidFill>
          <a:round/>
          <a:headEnd/>
          <a:tailEnd/>
        </a:ln>
      </xdr:spPr>
    </xdr:sp>
    <xdr:clientData/>
  </xdr:twoCellAnchor>
  <xdr:twoCellAnchor>
    <xdr:from>
      <xdr:col>6</xdr:col>
      <xdr:colOff>47625</xdr:colOff>
      <xdr:row>44</xdr:row>
      <xdr:rowOff>152400</xdr:rowOff>
    </xdr:from>
    <xdr:to>
      <xdr:col>6</xdr:col>
      <xdr:colOff>419100</xdr:colOff>
      <xdr:row>44</xdr:row>
      <xdr:rowOff>152400</xdr:rowOff>
    </xdr:to>
    <xdr:sp macro="" textlink="">
      <xdr:nvSpPr>
        <xdr:cNvPr id="11" name="Line 21">
          <a:extLst>
            <a:ext uri="{FF2B5EF4-FFF2-40B4-BE49-F238E27FC236}">
              <a16:creationId xmlns:a16="http://schemas.microsoft.com/office/drawing/2014/main" id="{00000000-0008-0000-0800-000015000000}"/>
            </a:ext>
          </a:extLst>
        </xdr:cNvPr>
        <xdr:cNvSpPr>
          <a:spLocks noChangeShapeType="1"/>
        </xdr:cNvSpPr>
      </xdr:nvSpPr>
      <xdr:spPr bwMode="auto">
        <a:xfrm>
          <a:off x="4215765" y="7719060"/>
          <a:ext cx="371475" cy="0"/>
        </a:xfrm>
        <a:prstGeom prst="line">
          <a:avLst/>
        </a:prstGeom>
        <a:noFill/>
        <a:ln w="9525">
          <a:solidFill>
            <a:srgbClr val="000000"/>
          </a:solidFill>
          <a:round/>
          <a:headEnd/>
          <a:tailEnd/>
        </a:ln>
      </xdr:spPr>
    </xdr:sp>
    <xdr:clientData/>
  </xdr:twoCellAnchor>
  <xdr:twoCellAnchor>
    <xdr:from>
      <xdr:col>6</xdr:col>
      <xdr:colOff>66675</xdr:colOff>
      <xdr:row>70</xdr:row>
      <xdr:rowOff>0</xdr:rowOff>
    </xdr:from>
    <xdr:to>
      <xdr:col>7</xdr:col>
      <xdr:colOff>9525</xdr:colOff>
      <xdr:row>70</xdr:row>
      <xdr:rowOff>0</xdr:rowOff>
    </xdr:to>
    <xdr:sp macro="" textlink="">
      <xdr:nvSpPr>
        <xdr:cNvPr id="12" name="Line 22">
          <a:extLst>
            <a:ext uri="{FF2B5EF4-FFF2-40B4-BE49-F238E27FC236}">
              <a16:creationId xmlns:a16="http://schemas.microsoft.com/office/drawing/2014/main" id="{00000000-0008-0000-0800-000016000000}"/>
            </a:ext>
          </a:extLst>
        </xdr:cNvPr>
        <xdr:cNvSpPr>
          <a:spLocks noChangeShapeType="1"/>
        </xdr:cNvSpPr>
      </xdr:nvSpPr>
      <xdr:spPr bwMode="auto">
        <a:xfrm>
          <a:off x="4234815" y="12283440"/>
          <a:ext cx="422910" cy="0"/>
        </a:xfrm>
        <a:prstGeom prst="line">
          <a:avLst/>
        </a:prstGeom>
        <a:noFill/>
        <a:ln w="9525">
          <a:solidFill>
            <a:srgbClr val="000000"/>
          </a:solidFill>
          <a:round/>
          <a:headEnd/>
          <a:tailEnd/>
        </a:ln>
      </xdr:spPr>
    </xdr:sp>
    <xdr:clientData/>
  </xdr:twoCellAnchor>
  <xdr:twoCellAnchor>
    <xdr:from>
      <xdr:col>6</xdr:col>
      <xdr:colOff>66675</xdr:colOff>
      <xdr:row>74</xdr:row>
      <xdr:rowOff>0</xdr:rowOff>
    </xdr:from>
    <xdr:to>
      <xdr:col>7</xdr:col>
      <xdr:colOff>9525</xdr:colOff>
      <xdr:row>74</xdr:row>
      <xdr:rowOff>0</xdr:rowOff>
    </xdr:to>
    <xdr:sp macro="" textlink="">
      <xdr:nvSpPr>
        <xdr:cNvPr id="13" name="Line 23">
          <a:extLst>
            <a:ext uri="{FF2B5EF4-FFF2-40B4-BE49-F238E27FC236}">
              <a16:creationId xmlns:a16="http://schemas.microsoft.com/office/drawing/2014/main" id="{00000000-0008-0000-0800-000017000000}"/>
            </a:ext>
          </a:extLst>
        </xdr:cNvPr>
        <xdr:cNvSpPr>
          <a:spLocks noChangeShapeType="1"/>
        </xdr:cNvSpPr>
      </xdr:nvSpPr>
      <xdr:spPr bwMode="auto">
        <a:xfrm>
          <a:off x="4234815" y="12954000"/>
          <a:ext cx="422910" cy="0"/>
        </a:xfrm>
        <a:prstGeom prst="line">
          <a:avLst/>
        </a:prstGeom>
        <a:noFill/>
        <a:ln w="9525">
          <a:solidFill>
            <a:srgbClr val="000000"/>
          </a:solidFill>
          <a:round/>
          <a:headEnd/>
          <a:tailEnd/>
        </a:ln>
      </xdr:spPr>
    </xdr:sp>
    <xdr:clientData/>
  </xdr:twoCellAnchor>
  <xdr:twoCellAnchor>
    <xdr:from>
      <xdr:col>6</xdr:col>
      <xdr:colOff>66675</xdr:colOff>
      <xdr:row>78</xdr:row>
      <xdr:rowOff>0</xdr:rowOff>
    </xdr:from>
    <xdr:to>
      <xdr:col>7</xdr:col>
      <xdr:colOff>9525</xdr:colOff>
      <xdr:row>78</xdr:row>
      <xdr:rowOff>0</xdr:rowOff>
    </xdr:to>
    <xdr:sp macro="" textlink="">
      <xdr:nvSpPr>
        <xdr:cNvPr id="14" name="Line 24">
          <a:extLst>
            <a:ext uri="{FF2B5EF4-FFF2-40B4-BE49-F238E27FC236}">
              <a16:creationId xmlns:a16="http://schemas.microsoft.com/office/drawing/2014/main" id="{00000000-0008-0000-0800-000018000000}"/>
            </a:ext>
          </a:extLst>
        </xdr:cNvPr>
        <xdr:cNvSpPr>
          <a:spLocks noChangeShapeType="1"/>
        </xdr:cNvSpPr>
      </xdr:nvSpPr>
      <xdr:spPr bwMode="auto">
        <a:xfrm>
          <a:off x="4234815" y="13624560"/>
          <a:ext cx="422910" cy="0"/>
        </a:xfrm>
        <a:prstGeom prst="line">
          <a:avLst/>
        </a:prstGeom>
        <a:noFill/>
        <a:ln w="9525">
          <a:solidFill>
            <a:srgbClr val="000000"/>
          </a:solidFill>
          <a:round/>
          <a:headEnd/>
          <a:tailEnd/>
        </a:ln>
      </xdr:spPr>
    </xdr:sp>
    <xdr:clientData/>
  </xdr:twoCellAnchor>
  <xdr:twoCellAnchor>
    <xdr:from>
      <xdr:col>6</xdr:col>
      <xdr:colOff>66675</xdr:colOff>
      <xdr:row>84</xdr:row>
      <xdr:rowOff>0</xdr:rowOff>
    </xdr:from>
    <xdr:to>
      <xdr:col>7</xdr:col>
      <xdr:colOff>9525</xdr:colOff>
      <xdr:row>84</xdr:row>
      <xdr:rowOff>0</xdr:rowOff>
    </xdr:to>
    <xdr:sp macro="" textlink="">
      <xdr:nvSpPr>
        <xdr:cNvPr id="15" name="Line 25">
          <a:extLst>
            <a:ext uri="{FF2B5EF4-FFF2-40B4-BE49-F238E27FC236}">
              <a16:creationId xmlns:a16="http://schemas.microsoft.com/office/drawing/2014/main" id="{00000000-0008-0000-0800-000019000000}"/>
            </a:ext>
          </a:extLst>
        </xdr:cNvPr>
        <xdr:cNvSpPr>
          <a:spLocks noChangeShapeType="1"/>
        </xdr:cNvSpPr>
      </xdr:nvSpPr>
      <xdr:spPr bwMode="auto">
        <a:xfrm>
          <a:off x="4234815" y="14630400"/>
          <a:ext cx="422910" cy="0"/>
        </a:xfrm>
        <a:prstGeom prst="line">
          <a:avLst/>
        </a:prstGeom>
        <a:noFill/>
        <a:ln w="9525">
          <a:solidFill>
            <a:srgbClr val="000000"/>
          </a:solidFill>
          <a:round/>
          <a:headEnd/>
          <a:tailEnd/>
        </a:ln>
      </xdr:spPr>
    </xdr:sp>
    <xdr:clientData/>
  </xdr:twoCellAnchor>
  <xdr:twoCellAnchor>
    <xdr:from>
      <xdr:col>6</xdr:col>
      <xdr:colOff>66675</xdr:colOff>
      <xdr:row>92</xdr:row>
      <xdr:rowOff>0</xdr:rowOff>
    </xdr:from>
    <xdr:to>
      <xdr:col>7</xdr:col>
      <xdr:colOff>9525</xdr:colOff>
      <xdr:row>92</xdr:row>
      <xdr:rowOff>0</xdr:rowOff>
    </xdr:to>
    <xdr:sp macro="" textlink="">
      <xdr:nvSpPr>
        <xdr:cNvPr id="16" name="Line 26">
          <a:extLst>
            <a:ext uri="{FF2B5EF4-FFF2-40B4-BE49-F238E27FC236}">
              <a16:creationId xmlns:a16="http://schemas.microsoft.com/office/drawing/2014/main" id="{00000000-0008-0000-0800-00001A000000}"/>
            </a:ext>
          </a:extLst>
        </xdr:cNvPr>
        <xdr:cNvSpPr>
          <a:spLocks noChangeShapeType="1"/>
        </xdr:cNvSpPr>
      </xdr:nvSpPr>
      <xdr:spPr bwMode="auto">
        <a:xfrm>
          <a:off x="4234815" y="15971520"/>
          <a:ext cx="422910" cy="0"/>
        </a:xfrm>
        <a:prstGeom prst="line">
          <a:avLst/>
        </a:prstGeom>
        <a:noFill/>
        <a:ln w="9525">
          <a:solidFill>
            <a:srgbClr val="000000"/>
          </a:solidFill>
          <a:round/>
          <a:headEnd/>
          <a:tailEnd/>
        </a:ln>
      </xdr:spPr>
    </xdr:sp>
    <xdr:clientData/>
  </xdr:twoCellAnchor>
  <xdr:twoCellAnchor>
    <xdr:from>
      <xdr:col>6</xdr:col>
      <xdr:colOff>47625</xdr:colOff>
      <xdr:row>95</xdr:row>
      <xdr:rowOff>152400</xdr:rowOff>
    </xdr:from>
    <xdr:to>
      <xdr:col>6</xdr:col>
      <xdr:colOff>419100</xdr:colOff>
      <xdr:row>95</xdr:row>
      <xdr:rowOff>152400</xdr:rowOff>
    </xdr:to>
    <xdr:sp macro="" textlink="">
      <xdr:nvSpPr>
        <xdr:cNvPr id="17" name="Line 27">
          <a:extLst>
            <a:ext uri="{FF2B5EF4-FFF2-40B4-BE49-F238E27FC236}">
              <a16:creationId xmlns:a16="http://schemas.microsoft.com/office/drawing/2014/main" id="{00000000-0008-0000-0800-00001B000000}"/>
            </a:ext>
          </a:extLst>
        </xdr:cNvPr>
        <xdr:cNvSpPr>
          <a:spLocks noChangeShapeType="1"/>
        </xdr:cNvSpPr>
      </xdr:nvSpPr>
      <xdr:spPr bwMode="auto">
        <a:xfrm>
          <a:off x="4215765" y="16626840"/>
          <a:ext cx="371475" cy="0"/>
        </a:xfrm>
        <a:prstGeom prst="line">
          <a:avLst/>
        </a:prstGeom>
        <a:noFill/>
        <a:ln w="9525">
          <a:solidFill>
            <a:srgbClr val="000000"/>
          </a:solidFill>
          <a:round/>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142875</xdr:colOff>
      <xdr:row>0</xdr:row>
      <xdr:rowOff>0</xdr:rowOff>
    </xdr:from>
    <xdr:to>
      <xdr:col>7</xdr:col>
      <xdr:colOff>0</xdr:colOff>
      <xdr:row>0</xdr:row>
      <xdr:rowOff>0</xdr:rowOff>
    </xdr:to>
    <xdr:sp macro="" textlink="">
      <xdr:nvSpPr>
        <xdr:cNvPr id="2" name="Line 1">
          <a:extLst>
            <a:ext uri="{FF2B5EF4-FFF2-40B4-BE49-F238E27FC236}">
              <a16:creationId xmlns:a16="http://schemas.microsoft.com/office/drawing/2014/main" id="{00000000-0008-0000-0A00-000002000000}"/>
            </a:ext>
          </a:extLst>
        </xdr:cNvPr>
        <xdr:cNvSpPr>
          <a:spLocks noChangeShapeType="1"/>
        </xdr:cNvSpPr>
      </xdr:nvSpPr>
      <xdr:spPr bwMode="auto">
        <a:xfrm>
          <a:off x="4387215" y="0"/>
          <a:ext cx="367665" cy="0"/>
        </a:xfrm>
        <a:prstGeom prst="line">
          <a:avLst/>
        </a:prstGeom>
        <a:noFill/>
        <a:ln w="9525">
          <a:solidFill>
            <a:srgbClr val="000000"/>
          </a:solidFill>
          <a:round/>
          <a:headEnd/>
          <a:tailEnd/>
        </a:ln>
      </xdr:spPr>
    </xdr:sp>
    <xdr:clientData/>
  </xdr:twoCellAnchor>
  <xdr:twoCellAnchor>
    <xdr:from>
      <xdr:col>6</xdr:col>
      <xdr:colOff>180975</xdr:colOff>
      <xdr:row>0</xdr:row>
      <xdr:rowOff>0</xdr:rowOff>
    </xdr:from>
    <xdr:to>
      <xdr:col>7</xdr:col>
      <xdr:colOff>0</xdr:colOff>
      <xdr:row>0</xdr:row>
      <xdr:rowOff>0</xdr:rowOff>
    </xdr:to>
    <xdr:sp macro="" textlink="">
      <xdr:nvSpPr>
        <xdr:cNvPr id="3" name="Line 2">
          <a:extLst>
            <a:ext uri="{FF2B5EF4-FFF2-40B4-BE49-F238E27FC236}">
              <a16:creationId xmlns:a16="http://schemas.microsoft.com/office/drawing/2014/main" id="{00000000-0008-0000-0A00-000003000000}"/>
            </a:ext>
          </a:extLst>
        </xdr:cNvPr>
        <xdr:cNvSpPr>
          <a:spLocks noChangeShapeType="1"/>
        </xdr:cNvSpPr>
      </xdr:nvSpPr>
      <xdr:spPr bwMode="auto">
        <a:xfrm>
          <a:off x="4425315" y="0"/>
          <a:ext cx="329565" cy="0"/>
        </a:xfrm>
        <a:prstGeom prst="line">
          <a:avLst/>
        </a:prstGeom>
        <a:noFill/>
        <a:ln w="9525">
          <a:solidFill>
            <a:srgbClr val="000000"/>
          </a:solidFill>
          <a:round/>
          <a:headEnd/>
          <a:tailEnd/>
        </a:ln>
      </xdr:spPr>
    </xdr:sp>
    <xdr:clientData/>
  </xdr:twoCellAnchor>
  <xdr:twoCellAnchor>
    <xdr:from>
      <xdr:col>6</xdr:col>
      <xdr:colOff>161925</xdr:colOff>
      <xdr:row>0</xdr:row>
      <xdr:rowOff>0</xdr:rowOff>
    </xdr:from>
    <xdr:to>
      <xdr:col>6</xdr:col>
      <xdr:colOff>457200</xdr:colOff>
      <xdr:row>0</xdr:row>
      <xdr:rowOff>0</xdr:rowOff>
    </xdr:to>
    <xdr:sp macro="" textlink="">
      <xdr:nvSpPr>
        <xdr:cNvPr id="4" name="Line 3">
          <a:extLst>
            <a:ext uri="{FF2B5EF4-FFF2-40B4-BE49-F238E27FC236}">
              <a16:creationId xmlns:a16="http://schemas.microsoft.com/office/drawing/2014/main" id="{00000000-0008-0000-0A00-000004000000}"/>
            </a:ext>
          </a:extLst>
        </xdr:cNvPr>
        <xdr:cNvSpPr>
          <a:spLocks noChangeShapeType="1"/>
        </xdr:cNvSpPr>
      </xdr:nvSpPr>
      <xdr:spPr bwMode="auto">
        <a:xfrm>
          <a:off x="4406265" y="0"/>
          <a:ext cx="295275" cy="0"/>
        </a:xfrm>
        <a:prstGeom prst="line">
          <a:avLst/>
        </a:prstGeom>
        <a:noFill/>
        <a:ln w="9525">
          <a:solidFill>
            <a:srgbClr val="000000"/>
          </a:solidFill>
          <a:round/>
          <a:headEnd/>
          <a:tailEnd/>
        </a:ln>
      </xdr:spPr>
    </xdr:sp>
    <xdr:clientData/>
  </xdr:twoCellAnchor>
  <xdr:twoCellAnchor>
    <xdr:from>
      <xdr:col>6</xdr:col>
      <xdr:colOff>142875</xdr:colOff>
      <xdr:row>0</xdr:row>
      <xdr:rowOff>0</xdr:rowOff>
    </xdr:from>
    <xdr:to>
      <xdr:col>7</xdr:col>
      <xdr:colOff>0</xdr:colOff>
      <xdr:row>0</xdr:row>
      <xdr:rowOff>0</xdr:rowOff>
    </xdr:to>
    <xdr:sp macro="" textlink="">
      <xdr:nvSpPr>
        <xdr:cNvPr id="5" name="Line 4">
          <a:extLst>
            <a:ext uri="{FF2B5EF4-FFF2-40B4-BE49-F238E27FC236}">
              <a16:creationId xmlns:a16="http://schemas.microsoft.com/office/drawing/2014/main" id="{00000000-0008-0000-0A00-000005000000}"/>
            </a:ext>
          </a:extLst>
        </xdr:cNvPr>
        <xdr:cNvSpPr>
          <a:spLocks noChangeShapeType="1"/>
        </xdr:cNvSpPr>
      </xdr:nvSpPr>
      <xdr:spPr bwMode="auto">
        <a:xfrm>
          <a:off x="4387215" y="0"/>
          <a:ext cx="367665" cy="0"/>
        </a:xfrm>
        <a:prstGeom prst="line">
          <a:avLst/>
        </a:prstGeom>
        <a:noFill/>
        <a:ln w="9525">
          <a:solidFill>
            <a:srgbClr val="000000"/>
          </a:solidFill>
          <a:round/>
          <a:headEnd/>
          <a:tailEnd/>
        </a:ln>
      </xdr:spPr>
    </xdr:sp>
    <xdr:clientData/>
  </xdr:twoCellAnchor>
  <xdr:twoCellAnchor>
    <xdr:from>
      <xdr:col>6</xdr:col>
      <xdr:colOff>114300</xdr:colOff>
      <xdr:row>0</xdr:row>
      <xdr:rowOff>0</xdr:rowOff>
    </xdr:from>
    <xdr:to>
      <xdr:col>6</xdr:col>
      <xdr:colOff>457200</xdr:colOff>
      <xdr:row>0</xdr:row>
      <xdr:rowOff>0</xdr:rowOff>
    </xdr:to>
    <xdr:sp macro="" textlink="">
      <xdr:nvSpPr>
        <xdr:cNvPr id="6" name="Line 5">
          <a:extLst>
            <a:ext uri="{FF2B5EF4-FFF2-40B4-BE49-F238E27FC236}">
              <a16:creationId xmlns:a16="http://schemas.microsoft.com/office/drawing/2014/main" id="{00000000-0008-0000-0A00-000006000000}"/>
            </a:ext>
          </a:extLst>
        </xdr:cNvPr>
        <xdr:cNvSpPr>
          <a:spLocks noChangeShapeType="1"/>
        </xdr:cNvSpPr>
      </xdr:nvSpPr>
      <xdr:spPr bwMode="auto">
        <a:xfrm>
          <a:off x="4358640" y="0"/>
          <a:ext cx="342900" cy="0"/>
        </a:xfrm>
        <a:prstGeom prst="line">
          <a:avLst/>
        </a:prstGeom>
        <a:noFill/>
        <a:ln w="9525">
          <a:solidFill>
            <a:srgbClr val="000000"/>
          </a:solidFill>
          <a:round/>
          <a:headEnd/>
          <a:tailEnd/>
        </a:ln>
      </xdr:spPr>
    </xdr:sp>
    <xdr:clientData/>
  </xdr:twoCellAnchor>
  <xdr:twoCellAnchor>
    <xdr:from>
      <xdr:col>6</xdr:col>
      <xdr:colOff>114300</xdr:colOff>
      <xdr:row>0</xdr:row>
      <xdr:rowOff>0</xdr:rowOff>
    </xdr:from>
    <xdr:to>
      <xdr:col>7</xdr:col>
      <xdr:colOff>0</xdr:colOff>
      <xdr:row>0</xdr:row>
      <xdr:rowOff>0</xdr:rowOff>
    </xdr:to>
    <xdr:sp macro="" textlink="">
      <xdr:nvSpPr>
        <xdr:cNvPr id="7" name="Line 6">
          <a:extLst>
            <a:ext uri="{FF2B5EF4-FFF2-40B4-BE49-F238E27FC236}">
              <a16:creationId xmlns:a16="http://schemas.microsoft.com/office/drawing/2014/main" id="{00000000-0008-0000-0A00-000007000000}"/>
            </a:ext>
          </a:extLst>
        </xdr:cNvPr>
        <xdr:cNvSpPr>
          <a:spLocks noChangeShapeType="1"/>
        </xdr:cNvSpPr>
      </xdr:nvSpPr>
      <xdr:spPr bwMode="auto">
        <a:xfrm>
          <a:off x="4358640" y="0"/>
          <a:ext cx="396240" cy="0"/>
        </a:xfrm>
        <a:prstGeom prst="line">
          <a:avLst/>
        </a:prstGeom>
        <a:noFill/>
        <a:ln w="9525">
          <a:solidFill>
            <a:srgbClr val="000000"/>
          </a:solidFill>
          <a:round/>
          <a:headEnd/>
          <a:tailEnd/>
        </a:ln>
      </xdr:spPr>
    </xdr:sp>
    <xdr:clientData/>
  </xdr:twoCellAnchor>
  <xdr:twoCellAnchor>
    <xdr:from>
      <xdr:col>6</xdr:col>
      <xdr:colOff>142875</xdr:colOff>
      <xdr:row>0</xdr:row>
      <xdr:rowOff>0</xdr:rowOff>
    </xdr:from>
    <xdr:to>
      <xdr:col>6</xdr:col>
      <xdr:colOff>447675</xdr:colOff>
      <xdr:row>0</xdr:row>
      <xdr:rowOff>0</xdr:rowOff>
    </xdr:to>
    <xdr:sp macro="" textlink="">
      <xdr:nvSpPr>
        <xdr:cNvPr id="8" name="Line 7">
          <a:extLst>
            <a:ext uri="{FF2B5EF4-FFF2-40B4-BE49-F238E27FC236}">
              <a16:creationId xmlns:a16="http://schemas.microsoft.com/office/drawing/2014/main" id="{00000000-0008-0000-0A00-000008000000}"/>
            </a:ext>
          </a:extLst>
        </xdr:cNvPr>
        <xdr:cNvSpPr>
          <a:spLocks noChangeShapeType="1"/>
        </xdr:cNvSpPr>
      </xdr:nvSpPr>
      <xdr:spPr bwMode="auto">
        <a:xfrm>
          <a:off x="4387215" y="0"/>
          <a:ext cx="304800" cy="0"/>
        </a:xfrm>
        <a:prstGeom prst="line">
          <a:avLst/>
        </a:prstGeom>
        <a:noFill/>
        <a:ln w="9525">
          <a:solidFill>
            <a:srgbClr val="000000"/>
          </a:solidFill>
          <a:round/>
          <a:headEnd/>
          <a:tailEnd/>
        </a:ln>
      </xdr:spPr>
    </xdr:sp>
    <xdr:clientData/>
  </xdr:twoCellAnchor>
  <xdr:twoCellAnchor>
    <xdr:from>
      <xdr:col>6</xdr:col>
      <xdr:colOff>180975</xdr:colOff>
      <xdr:row>0</xdr:row>
      <xdr:rowOff>0</xdr:rowOff>
    </xdr:from>
    <xdr:to>
      <xdr:col>7</xdr:col>
      <xdr:colOff>0</xdr:colOff>
      <xdr:row>0</xdr:row>
      <xdr:rowOff>0</xdr:rowOff>
    </xdr:to>
    <xdr:sp macro="" textlink="">
      <xdr:nvSpPr>
        <xdr:cNvPr id="9" name="Line 8">
          <a:extLst>
            <a:ext uri="{FF2B5EF4-FFF2-40B4-BE49-F238E27FC236}">
              <a16:creationId xmlns:a16="http://schemas.microsoft.com/office/drawing/2014/main" id="{00000000-0008-0000-0A00-000009000000}"/>
            </a:ext>
          </a:extLst>
        </xdr:cNvPr>
        <xdr:cNvSpPr>
          <a:spLocks noChangeShapeType="1"/>
        </xdr:cNvSpPr>
      </xdr:nvSpPr>
      <xdr:spPr bwMode="auto">
        <a:xfrm>
          <a:off x="4425315" y="0"/>
          <a:ext cx="329565" cy="0"/>
        </a:xfrm>
        <a:prstGeom prst="line">
          <a:avLst/>
        </a:prstGeom>
        <a:noFill/>
        <a:ln w="9525">
          <a:solidFill>
            <a:srgbClr val="000000"/>
          </a:solidFill>
          <a:round/>
          <a:headEnd/>
          <a:tailEnd/>
        </a:ln>
      </xdr:spPr>
    </xdr:sp>
    <xdr:clientData/>
  </xdr:twoCellAnchor>
  <xdr:twoCellAnchor>
    <xdr:from>
      <xdr:col>6</xdr:col>
      <xdr:colOff>161925</xdr:colOff>
      <xdr:row>0</xdr:row>
      <xdr:rowOff>0</xdr:rowOff>
    </xdr:from>
    <xdr:to>
      <xdr:col>6</xdr:col>
      <xdr:colOff>457200</xdr:colOff>
      <xdr:row>0</xdr:row>
      <xdr:rowOff>0</xdr:rowOff>
    </xdr:to>
    <xdr:sp macro="" textlink="">
      <xdr:nvSpPr>
        <xdr:cNvPr id="10" name="Line 9">
          <a:extLst>
            <a:ext uri="{FF2B5EF4-FFF2-40B4-BE49-F238E27FC236}">
              <a16:creationId xmlns:a16="http://schemas.microsoft.com/office/drawing/2014/main" id="{00000000-0008-0000-0A00-00000A000000}"/>
            </a:ext>
          </a:extLst>
        </xdr:cNvPr>
        <xdr:cNvSpPr>
          <a:spLocks noChangeShapeType="1"/>
        </xdr:cNvSpPr>
      </xdr:nvSpPr>
      <xdr:spPr bwMode="auto">
        <a:xfrm>
          <a:off x="4406265" y="0"/>
          <a:ext cx="295275" cy="0"/>
        </a:xfrm>
        <a:prstGeom prst="line">
          <a:avLst/>
        </a:prstGeom>
        <a:noFill/>
        <a:ln w="9525">
          <a:solidFill>
            <a:srgbClr val="000000"/>
          </a:solidFill>
          <a:round/>
          <a:headEnd/>
          <a:tailEnd/>
        </a:ln>
      </xdr:spPr>
    </xdr:sp>
    <xdr:clientData/>
  </xdr:twoCellAnchor>
  <xdr:twoCellAnchor>
    <xdr:from>
      <xdr:col>6</xdr:col>
      <xdr:colOff>142875</xdr:colOff>
      <xdr:row>0</xdr:row>
      <xdr:rowOff>0</xdr:rowOff>
    </xdr:from>
    <xdr:to>
      <xdr:col>6</xdr:col>
      <xdr:colOff>447675</xdr:colOff>
      <xdr:row>0</xdr:row>
      <xdr:rowOff>0</xdr:rowOff>
    </xdr:to>
    <xdr:sp macro="" textlink="">
      <xdr:nvSpPr>
        <xdr:cNvPr id="11" name="Line 10">
          <a:extLst>
            <a:ext uri="{FF2B5EF4-FFF2-40B4-BE49-F238E27FC236}">
              <a16:creationId xmlns:a16="http://schemas.microsoft.com/office/drawing/2014/main" id="{00000000-0008-0000-0A00-00000B000000}"/>
            </a:ext>
          </a:extLst>
        </xdr:cNvPr>
        <xdr:cNvSpPr>
          <a:spLocks noChangeShapeType="1"/>
        </xdr:cNvSpPr>
      </xdr:nvSpPr>
      <xdr:spPr bwMode="auto">
        <a:xfrm>
          <a:off x="4387215" y="0"/>
          <a:ext cx="304800" cy="0"/>
        </a:xfrm>
        <a:prstGeom prst="line">
          <a:avLst/>
        </a:prstGeom>
        <a:noFill/>
        <a:ln w="9525">
          <a:solidFill>
            <a:srgbClr val="000000"/>
          </a:solidFill>
          <a:round/>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152400</xdr:colOff>
      <xdr:row>0</xdr:row>
      <xdr:rowOff>0</xdr:rowOff>
    </xdr:from>
    <xdr:to>
      <xdr:col>6</xdr:col>
      <xdr:colOff>476250</xdr:colOff>
      <xdr:row>0</xdr:row>
      <xdr:rowOff>0</xdr:rowOff>
    </xdr:to>
    <xdr:sp macro="" textlink="">
      <xdr:nvSpPr>
        <xdr:cNvPr id="2" name="Line 8">
          <a:extLst>
            <a:ext uri="{FF2B5EF4-FFF2-40B4-BE49-F238E27FC236}">
              <a16:creationId xmlns:a16="http://schemas.microsoft.com/office/drawing/2014/main" id="{00000000-0008-0000-0B00-000086340000}"/>
            </a:ext>
          </a:extLst>
        </xdr:cNvPr>
        <xdr:cNvSpPr>
          <a:spLocks noChangeShapeType="1"/>
        </xdr:cNvSpPr>
      </xdr:nvSpPr>
      <xdr:spPr bwMode="auto">
        <a:xfrm>
          <a:off x="4175760" y="0"/>
          <a:ext cx="323850" cy="0"/>
        </a:xfrm>
        <a:prstGeom prst="line">
          <a:avLst/>
        </a:prstGeom>
        <a:noFill/>
        <a:ln w="9525">
          <a:solidFill>
            <a:srgbClr val="000000"/>
          </a:solidFill>
          <a:round/>
          <a:headEnd/>
          <a:tailEnd/>
        </a:ln>
      </xdr:spPr>
    </xdr:sp>
    <xdr:clientData/>
  </xdr:twoCellAnchor>
  <xdr:twoCellAnchor>
    <xdr:from>
      <xdr:col>6</xdr:col>
      <xdr:colOff>142875</xdr:colOff>
      <xdr:row>0</xdr:row>
      <xdr:rowOff>0</xdr:rowOff>
    </xdr:from>
    <xdr:to>
      <xdr:col>6</xdr:col>
      <xdr:colOff>466725</xdr:colOff>
      <xdr:row>0</xdr:row>
      <xdr:rowOff>0</xdr:rowOff>
    </xdr:to>
    <xdr:sp macro="" textlink="">
      <xdr:nvSpPr>
        <xdr:cNvPr id="3" name="Line 9">
          <a:extLst>
            <a:ext uri="{FF2B5EF4-FFF2-40B4-BE49-F238E27FC236}">
              <a16:creationId xmlns:a16="http://schemas.microsoft.com/office/drawing/2014/main" id="{00000000-0008-0000-0B00-000087340000}"/>
            </a:ext>
          </a:extLst>
        </xdr:cNvPr>
        <xdr:cNvSpPr>
          <a:spLocks noChangeShapeType="1"/>
        </xdr:cNvSpPr>
      </xdr:nvSpPr>
      <xdr:spPr bwMode="auto">
        <a:xfrm>
          <a:off x="4166235" y="0"/>
          <a:ext cx="323850" cy="0"/>
        </a:xfrm>
        <a:prstGeom prst="line">
          <a:avLst/>
        </a:prstGeom>
        <a:noFill/>
        <a:ln w="9525">
          <a:solidFill>
            <a:srgbClr val="000000"/>
          </a:solidFill>
          <a:round/>
          <a:headEnd/>
          <a:tailEnd/>
        </a:ln>
      </xdr:spPr>
    </xdr:sp>
    <xdr:clientData/>
  </xdr:twoCellAnchor>
  <xdr:twoCellAnchor>
    <xdr:from>
      <xdr:col>6</xdr:col>
      <xdr:colOff>133350</xdr:colOff>
      <xdr:row>0</xdr:row>
      <xdr:rowOff>0</xdr:rowOff>
    </xdr:from>
    <xdr:to>
      <xdr:col>6</xdr:col>
      <xdr:colOff>476250</xdr:colOff>
      <xdr:row>0</xdr:row>
      <xdr:rowOff>0</xdr:rowOff>
    </xdr:to>
    <xdr:sp macro="" textlink="">
      <xdr:nvSpPr>
        <xdr:cNvPr id="4" name="Line 11">
          <a:extLst>
            <a:ext uri="{FF2B5EF4-FFF2-40B4-BE49-F238E27FC236}">
              <a16:creationId xmlns:a16="http://schemas.microsoft.com/office/drawing/2014/main" id="{00000000-0008-0000-0B00-000088340000}"/>
            </a:ext>
          </a:extLst>
        </xdr:cNvPr>
        <xdr:cNvSpPr>
          <a:spLocks noChangeShapeType="1"/>
        </xdr:cNvSpPr>
      </xdr:nvSpPr>
      <xdr:spPr bwMode="auto">
        <a:xfrm>
          <a:off x="4156710" y="0"/>
          <a:ext cx="342900" cy="0"/>
        </a:xfrm>
        <a:prstGeom prst="line">
          <a:avLst/>
        </a:prstGeom>
        <a:noFill/>
        <a:ln w="9525">
          <a:solidFill>
            <a:srgbClr val="000000"/>
          </a:solidFill>
          <a:round/>
          <a:headEnd/>
          <a:tailEnd/>
        </a:ln>
      </xdr:spPr>
    </xdr:sp>
    <xdr:clientData/>
  </xdr:twoCellAnchor>
  <xdr:twoCellAnchor>
    <xdr:from>
      <xdr:col>6</xdr:col>
      <xdr:colOff>123825</xdr:colOff>
      <xdr:row>0</xdr:row>
      <xdr:rowOff>0</xdr:rowOff>
    </xdr:from>
    <xdr:to>
      <xdr:col>6</xdr:col>
      <xdr:colOff>466725</xdr:colOff>
      <xdr:row>0</xdr:row>
      <xdr:rowOff>0</xdr:rowOff>
    </xdr:to>
    <xdr:sp macro="" textlink="">
      <xdr:nvSpPr>
        <xdr:cNvPr id="5" name="Line 12">
          <a:extLst>
            <a:ext uri="{FF2B5EF4-FFF2-40B4-BE49-F238E27FC236}">
              <a16:creationId xmlns:a16="http://schemas.microsoft.com/office/drawing/2014/main" id="{00000000-0008-0000-0B00-000089340000}"/>
            </a:ext>
          </a:extLst>
        </xdr:cNvPr>
        <xdr:cNvSpPr>
          <a:spLocks noChangeShapeType="1"/>
        </xdr:cNvSpPr>
      </xdr:nvSpPr>
      <xdr:spPr bwMode="auto">
        <a:xfrm>
          <a:off x="4147185" y="0"/>
          <a:ext cx="342900" cy="0"/>
        </a:xfrm>
        <a:prstGeom prst="line">
          <a:avLst/>
        </a:prstGeom>
        <a:noFill/>
        <a:ln w="9525">
          <a:solidFill>
            <a:srgbClr val="000000"/>
          </a:solidFill>
          <a:round/>
          <a:headEnd/>
          <a:tailEnd/>
        </a:ln>
      </xdr:spPr>
    </xdr:sp>
    <xdr:clientData/>
  </xdr:twoCellAnchor>
  <xdr:twoCellAnchor>
    <xdr:from>
      <xdr:col>6</xdr:col>
      <xdr:colOff>114300</xdr:colOff>
      <xdr:row>0</xdr:row>
      <xdr:rowOff>0</xdr:rowOff>
    </xdr:from>
    <xdr:to>
      <xdr:col>6</xdr:col>
      <xdr:colOff>457200</xdr:colOff>
      <xdr:row>0</xdr:row>
      <xdr:rowOff>0</xdr:rowOff>
    </xdr:to>
    <xdr:sp macro="" textlink="">
      <xdr:nvSpPr>
        <xdr:cNvPr id="6" name="Line 13">
          <a:extLst>
            <a:ext uri="{FF2B5EF4-FFF2-40B4-BE49-F238E27FC236}">
              <a16:creationId xmlns:a16="http://schemas.microsoft.com/office/drawing/2014/main" id="{00000000-0008-0000-0B00-00008A340000}"/>
            </a:ext>
          </a:extLst>
        </xdr:cNvPr>
        <xdr:cNvSpPr>
          <a:spLocks noChangeShapeType="1"/>
        </xdr:cNvSpPr>
      </xdr:nvSpPr>
      <xdr:spPr bwMode="auto">
        <a:xfrm>
          <a:off x="4137660" y="0"/>
          <a:ext cx="342900" cy="0"/>
        </a:xfrm>
        <a:prstGeom prst="line">
          <a:avLst/>
        </a:prstGeom>
        <a:noFill/>
        <a:ln w="9525">
          <a:solidFill>
            <a:srgbClr val="000000"/>
          </a:solidFill>
          <a:round/>
          <a:headEnd/>
          <a:tailEnd/>
        </a:ln>
      </xdr:spPr>
    </xdr:sp>
    <xdr:clientData/>
  </xdr:twoCellAnchor>
  <xdr:twoCellAnchor>
    <xdr:from>
      <xdr:col>6</xdr:col>
      <xdr:colOff>114300</xdr:colOff>
      <xdr:row>0</xdr:row>
      <xdr:rowOff>0</xdr:rowOff>
    </xdr:from>
    <xdr:to>
      <xdr:col>6</xdr:col>
      <xdr:colOff>457200</xdr:colOff>
      <xdr:row>0</xdr:row>
      <xdr:rowOff>0</xdr:rowOff>
    </xdr:to>
    <xdr:sp macro="" textlink="">
      <xdr:nvSpPr>
        <xdr:cNvPr id="7" name="Line 14">
          <a:extLst>
            <a:ext uri="{FF2B5EF4-FFF2-40B4-BE49-F238E27FC236}">
              <a16:creationId xmlns:a16="http://schemas.microsoft.com/office/drawing/2014/main" id="{00000000-0008-0000-0B00-00008B340000}"/>
            </a:ext>
          </a:extLst>
        </xdr:cNvPr>
        <xdr:cNvSpPr>
          <a:spLocks noChangeShapeType="1"/>
        </xdr:cNvSpPr>
      </xdr:nvSpPr>
      <xdr:spPr bwMode="auto">
        <a:xfrm>
          <a:off x="4137660" y="0"/>
          <a:ext cx="342900" cy="0"/>
        </a:xfrm>
        <a:prstGeom prst="line">
          <a:avLst/>
        </a:prstGeom>
        <a:noFill/>
        <a:ln w="9525">
          <a:solidFill>
            <a:srgbClr val="000000"/>
          </a:solidFill>
          <a:round/>
          <a:headEnd/>
          <a:tailEnd/>
        </a:ln>
      </xdr:spPr>
    </xdr:sp>
    <xdr:clientData/>
  </xdr:twoCellAnchor>
  <xdr:twoCellAnchor>
    <xdr:from>
      <xdr:col>6</xdr:col>
      <xdr:colOff>95250</xdr:colOff>
      <xdr:row>0</xdr:row>
      <xdr:rowOff>0</xdr:rowOff>
    </xdr:from>
    <xdr:to>
      <xdr:col>6</xdr:col>
      <xdr:colOff>438150</xdr:colOff>
      <xdr:row>0</xdr:row>
      <xdr:rowOff>0</xdr:rowOff>
    </xdr:to>
    <xdr:sp macro="" textlink="">
      <xdr:nvSpPr>
        <xdr:cNvPr id="8" name="Line 15">
          <a:extLst>
            <a:ext uri="{FF2B5EF4-FFF2-40B4-BE49-F238E27FC236}">
              <a16:creationId xmlns:a16="http://schemas.microsoft.com/office/drawing/2014/main" id="{00000000-0008-0000-0B00-00008C340000}"/>
            </a:ext>
          </a:extLst>
        </xdr:cNvPr>
        <xdr:cNvSpPr>
          <a:spLocks noChangeShapeType="1"/>
        </xdr:cNvSpPr>
      </xdr:nvSpPr>
      <xdr:spPr bwMode="auto">
        <a:xfrm>
          <a:off x="4118610" y="0"/>
          <a:ext cx="342900" cy="0"/>
        </a:xfrm>
        <a:prstGeom prst="line">
          <a:avLst/>
        </a:prstGeom>
        <a:noFill/>
        <a:ln w="9525">
          <a:solidFill>
            <a:srgbClr val="000000"/>
          </a:solidFill>
          <a:round/>
          <a:headEnd/>
          <a:tailEnd/>
        </a:ln>
      </xdr:spPr>
    </xdr:sp>
    <xdr:clientData/>
  </xdr:twoCellAnchor>
  <xdr:twoCellAnchor>
    <xdr:from>
      <xdr:col>6</xdr:col>
      <xdr:colOff>114300</xdr:colOff>
      <xdr:row>12</xdr:row>
      <xdr:rowOff>9525</xdr:rowOff>
    </xdr:from>
    <xdr:to>
      <xdr:col>7</xdr:col>
      <xdr:colOff>0</xdr:colOff>
      <xdr:row>12</xdr:row>
      <xdr:rowOff>9525</xdr:rowOff>
    </xdr:to>
    <xdr:sp macro="" textlink="">
      <xdr:nvSpPr>
        <xdr:cNvPr id="9" name="Line 17">
          <a:extLst>
            <a:ext uri="{FF2B5EF4-FFF2-40B4-BE49-F238E27FC236}">
              <a16:creationId xmlns:a16="http://schemas.microsoft.com/office/drawing/2014/main" id="{00000000-0008-0000-0B00-00008D340000}"/>
            </a:ext>
          </a:extLst>
        </xdr:cNvPr>
        <xdr:cNvSpPr>
          <a:spLocks noChangeShapeType="1"/>
        </xdr:cNvSpPr>
      </xdr:nvSpPr>
      <xdr:spPr bwMode="auto">
        <a:xfrm>
          <a:off x="4137660" y="2219325"/>
          <a:ext cx="381000" cy="0"/>
        </a:xfrm>
        <a:prstGeom prst="line">
          <a:avLst/>
        </a:prstGeom>
        <a:noFill/>
        <a:ln w="9525">
          <a:solidFill>
            <a:srgbClr val="000000"/>
          </a:solidFill>
          <a:round/>
          <a:headEnd/>
          <a:tailEnd/>
        </a:ln>
      </xdr:spPr>
    </xdr:sp>
    <xdr:clientData/>
  </xdr:twoCellAnchor>
  <xdr:twoCellAnchor>
    <xdr:from>
      <xdr:col>6</xdr:col>
      <xdr:colOff>123825</xdr:colOff>
      <xdr:row>22</xdr:row>
      <xdr:rowOff>9525</xdr:rowOff>
    </xdr:from>
    <xdr:to>
      <xdr:col>7</xdr:col>
      <xdr:colOff>9525</xdr:colOff>
      <xdr:row>22</xdr:row>
      <xdr:rowOff>9525</xdr:rowOff>
    </xdr:to>
    <xdr:sp macro="" textlink="">
      <xdr:nvSpPr>
        <xdr:cNvPr id="10" name="Line 18">
          <a:extLst>
            <a:ext uri="{FF2B5EF4-FFF2-40B4-BE49-F238E27FC236}">
              <a16:creationId xmlns:a16="http://schemas.microsoft.com/office/drawing/2014/main" id="{00000000-0008-0000-0B00-00008E340000}"/>
            </a:ext>
          </a:extLst>
        </xdr:cNvPr>
        <xdr:cNvSpPr>
          <a:spLocks noChangeShapeType="1"/>
        </xdr:cNvSpPr>
      </xdr:nvSpPr>
      <xdr:spPr bwMode="auto">
        <a:xfrm>
          <a:off x="4147185" y="3903345"/>
          <a:ext cx="381000" cy="0"/>
        </a:xfrm>
        <a:prstGeom prst="line">
          <a:avLst/>
        </a:prstGeom>
        <a:noFill/>
        <a:ln w="9525">
          <a:solidFill>
            <a:srgbClr val="000000"/>
          </a:solidFill>
          <a:round/>
          <a:headEnd/>
          <a:tailEnd/>
        </a:ln>
      </xdr:spPr>
    </xdr:sp>
    <xdr:clientData/>
  </xdr:twoCellAnchor>
  <xdr:twoCellAnchor>
    <xdr:from>
      <xdr:col>6</xdr:col>
      <xdr:colOff>123825</xdr:colOff>
      <xdr:row>28</xdr:row>
      <xdr:rowOff>152400</xdr:rowOff>
    </xdr:from>
    <xdr:to>
      <xdr:col>7</xdr:col>
      <xdr:colOff>9525</xdr:colOff>
      <xdr:row>28</xdr:row>
      <xdr:rowOff>152400</xdr:rowOff>
    </xdr:to>
    <xdr:sp macro="" textlink="">
      <xdr:nvSpPr>
        <xdr:cNvPr id="11" name="Line 19">
          <a:extLst>
            <a:ext uri="{FF2B5EF4-FFF2-40B4-BE49-F238E27FC236}">
              <a16:creationId xmlns:a16="http://schemas.microsoft.com/office/drawing/2014/main" id="{00000000-0008-0000-0B00-00008F340000}"/>
            </a:ext>
          </a:extLst>
        </xdr:cNvPr>
        <xdr:cNvSpPr>
          <a:spLocks noChangeShapeType="1"/>
        </xdr:cNvSpPr>
      </xdr:nvSpPr>
      <xdr:spPr bwMode="auto">
        <a:xfrm>
          <a:off x="4147185" y="5052060"/>
          <a:ext cx="381000" cy="0"/>
        </a:xfrm>
        <a:prstGeom prst="line">
          <a:avLst/>
        </a:prstGeom>
        <a:noFill/>
        <a:ln w="9525">
          <a:solidFill>
            <a:srgbClr val="000000"/>
          </a:solidFill>
          <a:round/>
          <a:headEnd/>
          <a:tailEnd/>
        </a:ln>
      </xdr:spPr>
    </xdr:sp>
    <xdr:clientData/>
  </xdr:twoCellAnchor>
  <xdr:twoCellAnchor>
    <xdr:from>
      <xdr:col>6</xdr:col>
      <xdr:colOff>133350</xdr:colOff>
      <xdr:row>36</xdr:row>
      <xdr:rowOff>152400</xdr:rowOff>
    </xdr:from>
    <xdr:to>
      <xdr:col>7</xdr:col>
      <xdr:colOff>19050</xdr:colOff>
      <xdr:row>36</xdr:row>
      <xdr:rowOff>152400</xdr:rowOff>
    </xdr:to>
    <xdr:sp macro="" textlink="">
      <xdr:nvSpPr>
        <xdr:cNvPr id="12" name="Line 20">
          <a:extLst>
            <a:ext uri="{FF2B5EF4-FFF2-40B4-BE49-F238E27FC236}">
              <a16:creationId xmlns:a16="http://schemas.microsoft.com/office/drawing/2014/main" id="{00000000-0008-0000-0B00-000090340000}"/>
            </a:ext>
          </a:extLst>
        </xdr:cNvPr>
        <xdr:cNvSpPr>
          <a:spLocks noChangeShapeType="1"/>
        </xdr:cNvSpPr>
      </xdr:nvSpPr>
      <xdr:spPr bwMode="auto">
        <a:xfrm>
          <a:off x="4156710" y="6393180"/>
          <a:ext cx="381000" cy="0"/>
        </a:xfrm>
        <a:prstGeom prst="line">
          <a:avLst/>
        </a:prstGeom>
        <a:noFill/>
        <a:ln w="9525">
          <a:solidFill>
            <a:srgbClr val="000000"/>
          </a:solidFill>
          <a:round/>
          <a:headEnd/>
          <a:tailEnd/>
        </a:ln>
      </xdr:spPr>
    </xdr:sp>
    <xdr:clientData/>
  </xdr:twoCellAnchor>
  <xdr:twoCellAnchor>
    <xdr:from>
      <xdr:col>6</xdr:col>
      <xdr:colOff>133350</xdr:colOff>
      <xdr:row>43</xdr:row>
      <xdr:rowOff>19050</xdr:rowOff>
    </xdr:from>
    <xdr:to>
      <xdr:col>7</xdr:col>
      <xdr:colOff>19050</xdr:colOff>
      <xdr:row>43</xdr:row>
      <xdr:rowOff>19050</xdr:rowOff>
    </xdr:to>
    <xdr:sp macro="" textlink="">
      <xdr:nvSpPr>
        <xdr:cNvPr id="13" name="Line 21">
          <a:extLst>
            <a:ext uri="{FF2B5EF4-FFF2-40B4-BE49-F238E27FC236}">
              <a16:creationId xmlns:a16="http://schemas.microsoft.com/office/drawing/2014/main" id="{00000000-0008-0000-0B00-000091340000}"/>
            </a:ext>
          </a:extLst>
        </xdr:cNvPr>
        <xdr:cNvSpPr>
          <a:spLocks noChangeShapeType="1"/>
        </xdr:cNvSpPr>
      </xdr:nvSpPr>
      <xdr:spPr bwMode="auto">
        <a:xfrm>
          <a:off x="4156710" y="7433310"/>
          <a:ext cx="381000" cy="0"/>
        </a:xfrm>
        <a:prstGeom prst="line">
          <a:avLst/>
        </a:prstGeom>
        <a:noFill/>
        <a:ln w="9525">
          <a:solidFill>
            <a:srgbClr val="000000"/>
          </a:solidFill>
          <a:round/>
          <a:headEnd/>
          <a:tailEnd/>
        </a:ln>
      </xdr:spPr>
    </xdr:sp>
    <xdr:clientData/>
  </xdr:twoCellAnchor>
  <xdr:twoCellAnchor>
    <xdr:from>
      <xdr:col>6</xdr:col>
      <xdr:colOff>123825</xdr:colOff>
      <xdr:row>49</xdr:row>
      <xdr:rowOff>0</xdr:rowOff>
    </xdr:from>
    <xdr:to>
      <xdr:col>7</xdr:col>
      <xdr:colOff>9525</xdr:colOff>
      <xdr:row>49</xdr:row>
      <xdr:rowOff>0</xdr:rowOff>
    </xdr:to>
    <xdr:sp macro="" textlink="">
      <xdr:nvSpPr>
        <xdr:cNvPr id="14" name="Line 22">
          <a:extLst>
            <a:ext uri="{FF2B5EF4-FFF2-40B4-BE49-F238E27FC236}">
              <a16:creationId xmlns:a16="http://schemas.microsoft.com/office/drawing/2014/main" id="{00000000-0008-0000-0B00-000092340000}"/>
            </a:ext>
          </a:extLst>
        </xdr:cNvPr>
        <xdr:cNvSpPr>
          <a:spLocks noChangeShapeType="1"/>
        </xdr:cNvSpPr>
      </xdr:nvSpPr>
      <xdr:spPr bwMode="auto">
        <a:xfrm>
          <a:off x="4147185" y="8420100"/>
          <a:ext cx="381000" cy="0"/>
        </a:xfrm>
        <a:prstGeom prst="line">
          <a:avLst/>
        </a:prstGeom>
        <a:noFill/>
        <a:ln w="9525">
          <a:solidFill>
            <a:srgbClr val="000000"/>
          </a:solidFill>
          <a:round/>
          <a:headEnd/>
          <a:tailEnd/>
        </a:ln>
      </xdr:spPr>
    </xdr:sp>
    <xdr:clientData/>
  </xdr:twoCellAnchor>
  <xdr:twoCellAnchor>
    <xdr:from>
      <xdr:col>6</xdr:col>
      <xdr:colOff>104775</xdr:colOff>
      <xdr:row>53</xdr:row>
      <xdr:rowOff>0</xdr:rowOff>
    </xdr:from>
    <xdr:to>
      <xdr:col>6</xdr:col>
      <xdr:colOff>476250</xdr:colOff>
      <xdr:row>53</xdr:row>
      <xdr:rowOff>0</xdr:rowOff>
    </xdr:to>
    <xdr:sp macro="" textlink="">
      <xdr:nvSpPr>
        <xdr:cNvPr id="15" name="Line 23">
          <a:extLst>
            <a:ext uri="{FF2B5EF4-FFF2-40B4-BE49-F238E27FC236}">
              <a16:creationId xmlns:a16="http://schemas.microsoft.com/office/drawing/2014/main" id="{00000000-0008-0000-0B00-000093340000}"/>
            </a:ext>
          </a:extLst>
        </xdr:cNvPr>
        <xdr:cNvSpPr>
          <a:spLocks noChangeShapeType="1"/>
        </xdr:cNvSpPr>
      </xdr:nvSpPr>
      <xdr:spPr bwMode="auto">
        <a:xfrm>
          <a:off x="4128135" y="9090660"/>
          <a:ext cx="371475" cy="0"/>
        </a:xfrm>
        <a:prstGeom prst="line">
          <a:avLst/>
        </a:prstGeom>
        <a:noFill/>
        <a:ln w="9525">
          <a:solidFill>
            <a:srgbClr val="000000"/>
          </a:solidFill>
          <a:round/>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142875</xdr:colOff>
      <xdr:row>10</xdr:row>
      <xdr:rowOff>0</xdr:rowOff>
    </xdr:from>
    <xdr:to>
      <xdr:col>8</xdr:col>
      <xdr:colOff>9525</xdr:colOff>
      <xdr:row>10</xdr:row>
      <xdr:rowOff>0</xdr:rowOff>
    </xdr:to>
    <xdr:sp macro="" textlink="">
      <xdr:nvSpPr>
        <xdr:cNvPr id="2" name="Line 1">
          <a:extLst>
            <a:ext uri="{FF2B5EF4-FFF2-40B4-BE49-F238E27FC236}">
              <a16:creationId xmlns:a16="http://schemas.microsoft.com/office/drawing/2014/main" id="{00000000-0008-0000-0C00-0000607E0000}"/>
            </a:ext>
          </a:extLst>
        </xdr:cNvPr>
        <xdr:cNvSpPr>
          <a:spLocks noChangeShapeType="1"/>
        </xdr:cNvSpPr>
      </xdr:nvSpPr>
      <xdr:spPr bwMode="auto">
        <a:xfrm>
          <a:off x="4768215" y="1973580"/>
          <a:ext cx="422910" cy="0"/>
        </a:xfrm>
        <a:prstGeom prst="line">
          <a:avLst/>
        </a:prstGeom>
        <a:noFill/>
        <a:ln w="9525">
          <a:solidFill>
            <a:srgbClr val="000000"/>
          </a:solidFill>
          <a:round/>
          <a:headEnd/>
          <a:tailEnd/>
        </a:ln>
      </xdr:spPr>
    </xdr:sp>
    <xdr:clientData/>
  </xdr:twoCellAnchor>
  <xdr:twoCellAnchor>
    <xdr:from>
      <xdr:col>7</xdr:col>
      <xdr:colOff>133350</xdr:colOff>
      <xdr:row>14</xdr:row>
      <xdr:rowOff>0</xdr:rowOff>
    </xdr:from>
    <xdr:to>
      <xdr:col>8</xdr:col>
      <xdr:colOff>0</xdr:colOff>
      <xdr:row>14</xdr:row>
      <xdr:rowOff>0</xdr:rowOff>
    </xdr:to>
    <xdr:sp macro="" textlink="">
      <xdr:nvSpPr>
        <xdr:cNvPr id="3" name="Line 2">
          <a:extLst>
            <a:ext uri="{FF2B5EF4-FFF2-40B4-BE49-F238E27FC236}">
              <a16:creationId xmlns:a16="http://schemas.microsoft.com/office/drawing/2014/main" id="{00000000-0008-0000-0C00-0000617E0000}"/>
            </a:ext>
          </a:extLst>
        </xdr:cNvPr>
        <xdr:cNvSpPr>
          <a:spLocks noChangeShapeType="1"/>
        </xdr:cNvSpPr>
      </xdr:nvSpPr>
      <xdr:spPr bwMode="auto">
        <a:xfrm>
          <a:off x="4758690" y="2644140"/>
          <a:ext cx="422910" cy="0"/>
        </a:xfrm>
        <a:prstGeom prst="line">
          <a:avLst/>
        </a:prstGeom>
        <a:noFill/>
        <a:ln w="9525">
          <a:solidFill>
            <a:srgbClr val="000000"/>
          </a:solidFill>
          <a:round/>
          <a:headEnd/>
          <a:tailEnd/>
        </a:ln>
      </xdr:spPr>
    </xdr:sp>
    <xdr:clientData/>
  </xdr:twoCellAnchor>
  <xdr:twoCellAnchor>
    <xdr:from>
      <xdr:col>7</xdr:col>
      <xdr:colOff>123825</xdr:colOff>
      <xdr:row>20</xdr:row>
      <xdr:rowOff>0</xdr:rowOff>
    </xdr:from>
    <xdr:to>
      <xdr:col>7</xdr:col>
      <xdr:colOff>476250</xdr:colOff>
      <xdr:row>20</xdr:row>
      <xdr:rowOff>0</xdr:rowOff>
    </xdr:to>
    <xdr:sp macro="" textlink="">
      <xdr:nvSpPr>
        <xdr:cNvPr id="4" name="Line 3">
          <a:extLst>
            <a:ext uri="{FF2B5EF4-FFF2-40B4-BE49-F238E27FC236}">
              <a16:creationId xmlns:a16="http://schemas.microsoft.com/office/drawing/2014/main" id="{00000000-0008-0000-0C00-0000627E0000}"/>
            </a:ext>
          </a:extLst>
        </xdr:cNvPr>
        <xdr:cNvSpPr>
          <a:spLocks noChangeShapeType="1"/>
        </xdr:cNvSpPr>
      </xdr:nvSpPr>
      <xdr:spPr bwMode="auto">
        <a:xfrm>
          <a:off x="4749165" y="3558540"/>
          <a:ext cx="352425" cy="0"/>
        </a:xfrm>
        <a:prstGeom prst="line">
          <a:avLst/>
        </a:prstGeom>
        <a:noFill/>
        <a:ln w="9525">
          <a:solidFill>
            <a:srgbClr val="000000"/>
          </a:solidFill>
          <a:round/>
          <a:headEnd/>
          <a:tailEnd/>
        </a:ln>
      </xdr:spPr>
    </xdr:sp>
    <xdr:clientData/>
  </xdr:twoCellAnchor>
  <xdr:twoCellAnchor>
    <xdr:from>
      <xdr:col>7</xdr:col>
      <xdr:colOff>133350</xdr:colOff>
      <xdr:row>29</xdr:row>
      <xdr:rowOff>0</xdr:rowOff>
    </xdr:from>
    <xdr:to>
      <xdr:col>8</xdr:col>
      <xdr:colOff>0</xdr:colOff>
      <xdr:row>29</xdr:row>
      <xdr:rowOff>0</xdr:rowOff>
    </xdr:to>
    <xdr:sp macro="" textlink="">
      <xdr:nvSpPr>
        <xdr:cNvPr id="5" name="Line 4">
          <a:extLst>
            <a:ext uri="{FF2B5EF4-FFF2-40B4-BE49-F238E27FC236}">
              <a16:creationId xmlns:a16="http://schemas.microsoft.com/office/drawing/2014/main" id="{00000000-0008-0000-0C00-0000637E0000}"/>
            </a:ext>
          </a:extLst>
        </xdr:cNvPr>
        <xdr:cNvSpPr>
          <a:spLocks noChangeShapeType="1"/>
        </xdr:cNvSpPr>
      </xdr:nvSpPr>
      <xdr:spPr bwMode="auto">
        <a:xfrm>
          <a:off x="4758690" y="4930140"/>
          <a:ext cx="422910" cy="0"/>
        </a:xfrm>
        <a:prstGeom prst="line">
          <a:avLst/>
        </a:prstGeom>
        <a:noFill/>
        <a:ln w="9525">
          <a:solidFill>
            <a:srgbClr val="000000"/>
          </a:solidFill>
          <a:round/>
          <a:headEnd/>
          <a:tailEnd/>
        </a:ln>
      </xdr:spPr>
    </xdr:sp>
    <xdr:clientData/>
  </xdr:twoCellAnchor>
  <xdr:twoCellAnchor>
    <xdr:from>
      <xdr:col>7</xdr:col>
      <xdr:colOff>133350</xdr:colOff>
      <xdr:row>43</xdr:row>
      <xdr:rowOff>0</xdr:rowOff>
    </xdr:from>
    <xdr:to>
      <xdr:col>8</xdr:col>
      <xdr:colOff>0</xdr:colOff>
      <xdr:row>43</xdr:row>
      <xdr:rowOff>0</xdr:rowOff>
    </xdr:to>
    <xdr:sp macro="" textlink="">
      <xdr:nvSpPr>
        <xdr:cNvPr id="6" name="Line 5">
          <a:extLst>
            <a:ext uri="{FF2B5EF4-FFF2-40B4-BE49-F238E27FC236}">
              <a16:creationId xmlns:a16="http://schemas.microsoft.com/office/drawing/2014/main" id="{00000000-0008-0000-0C00-0000647E0000}"/>
            </a:ext>
          </a:extLst>
        </xdr:cNvPr>
        <xdr:cNvSpPr>
          <a:spLocks noChangeShapeType="1"/>
        </xdr:cNvSpPr>
      </xdr:nvSpPr>
      <xdr:spPr bwMode="auto">
        <a:xfrm>
          <a:off x="4758690" y="7124700"/>
          <a:ext cx="422910" cy="0"/>
        </a:xfrm>
        <a:prstGeom prst="line">
          <a:avLst/>
        </a:prstGeom>
        <a:noFill/>
        <a:ln w="9525">
          <a:solidFill>
            <a:srgbClr val="000000"/>
          </a:solidFill>
          <a:round/>
          <a:headEnd/>
          <a:tailEnd/>
        </a:ln>
      </xdr:spPr>
    </xdr:sp>
    <xdr:clientData/>
  </xdr:twoCellAnchor>
  <xdr:twoCellAnchor>
    <xdr:from>
      <xdr:col>7</xdr:col>
      <xdr:colOff>114300</xdr:colOff>
      <xdr:row>49</xdr:row>
      <xdr:rowOff>0</xdr:rowOff>
    </xdr:from>
    <xdr:to>
      <xdr:col>7</xdr:col>
      <xdr:colOff>466725</xdr:colOff>
      <xdr:row>49</xdr:row>
      <xdr:rowOff>0</xdr:rowOff>
    </xdr:to>
    <xdr:sp macro="" textlink="">
      <xdr:nvSpPr>
        <xdr:cNvPr id="7" name="Line 6">
          <a:extLst>
            <a:ext uri="{FF2B5EF4-FFF2-40B4-BE49-F238E27FC236}">
              <a16:creationId xmlns:a16="http://schemas.microsoft.com/office/drawing/2014/main" id="{00000000-0008-0000-0C00-0000657E0000}"/>
            </a:ext>
          </a:extLst>
        </xdr:cNvPr>
        <xdr:cNvSpPr>
          <a:spLocks noChangeShapeType="1"/>
        </xdr:cNvSpPr>
      </xdr:nvSpPr>
      <xdr:spPr bwMode="auto">
        <a:xfrm>
          <a:off x="4739640" y="8039100"/>
          <a:ext cx="352425" cy="0"/>
        </a:xfrm>
        <a:prstGeom prst="line">
          <a:avLst/>
        </a:prstGeom>
        <a:noFill/>
        <a:ln w="9525">
          <a:solidFill>
            <a:srgbClr val="000000"/>
          </a:solidFill>
          <a:round/>
          <a:headEnd/>
          <a:tailEnd/>
        </a:ln>
      </xdr:spPr>
    </xdr:sp>
    <xdr:clientData/>
  </xdr:twoCellAnchor>
  <xdr:twoCellAnchor>
    <xdr:from>
      <xdr:col>7</xdr:col>
      <xdr:colOff>95250</xdr:colOff>
      <xdr:row>38</xdr:row>
      <xdr:rowOff>0</xdr:rowOff>
    </xdr:from>
    <xdr:to>
      <xdr:col>7</xdr:col>
      <xdr:colOff>447675</xdr:colOff>
      <xdr:row>38</xdr:row>
      <xdr:rowOff>0</xdr:rowOff>
    </xdr:to>
    <xdr:sp macro="" textlink="">
      <xdr:nvSpPr>
        <xdr:cNvPr id="8" name="Line 7">
          <a:extLst>
            <a:ext uri="{FF2B5EF4-FFF2-40B4-BE49-F238E27FC236}">
              <a16:creationId xmlns:a16="http://schemas.microsoft.com/office/drawing/2014/main" id="{00000000-0008-0000-0C00-0000667E0000}"/>
            </a:ext>
          </a:extLst>
        </xdr:cNvPr>
        <xdr:cNvSpPr>
          <a:spLocks noChangeShapeType="1"/>
        </xdr:cNvSpPr>
      </xdr:nvSpPr>
      <xdr:spPr bwMode="auto">
        <a:xfrm>
          <a:off x="4720590" y="6362700"/>
          <a:ext cx="352425" cy="0"/>
        </a:xfrm>
        <a:prstGeom prst="line">
          <a:avLst/>
        </a:prstGeom>
        <a:noFill/>
        <a:ln w="9525">
          <a:solidFill>
            <a:srgbClr val="000000"/>
          </a:solidFill>
          <a:round/>
          <a:headEnd/>
          <a:tailEnd/>
        </a:ln>
      </xdr:spPr>
    </xdr:sp>
    <xdr:clientData/>
  </xdr:twoCellAnchor>
  <xdr:twoCellAnchor>
    <xdr:from>
      <xdr:col>7</xdr:col>
      <xdr:colOff>161925</xdr:colOff>
      <xdr:row>89</xdr:row>
      <xdr:rowOff>142875</xdr:rowOff>
    </xdr:from>
    <xdr:to>
      <xdr:col>8</xdr:col>
      <xdr:colOff>9525</xdr:colOff>
      <xdr:row>89</xdr:row>
      <xdr:rowOff>142875</xdr:rowOff>
    </xdr:to>
    <xdr:sp macro="" textlink="">
      <xdr:nvSpPr>
        <xdr:cNvPr id="9" name="Line 8">
          <a:extLst>
            <a:ext uri="{FF2B5EF4-FFF2-40B4-BE49-F238E27FC236}">
              <a16:creationId xmlns:a16="http://schemas.microsoft.com/office/drawing/2014/main" id="{00000000-0008-0000-0C00-0000677E0000}"/>
            </a:ext>
          </a:extLst>
        </xdr:cNvPr>
        <xdr:cNvSpPr>
          <a:spLocks noChangeShapeType="1"/>
        </xdr:cNvSpPr>
      </xdr:nvSpPr>
      <xdr:spPr bwMode="auto">
        <a:xfrm>
          <a:off x="4787265" y="14384655"/>
          <a:ext cx="403860" cy="0"/>
        </a:xfrm>
        <a:prstGeom prst="line">
          <a:avLst/>
        </a:prstGeom>
        <a:noFill/>
        <a:ln w="9525">
          <a:solidFill>
            <a:srgbClr val="000000"/>
          </a:solidFill>
          <a:round/>
          <a:headEnd/>
          <a:tailEnd/>
        </a:ln>
      </xdr:spPr>
    </xdr:sp>
    <xdr:clientData/>
  </xdr:twoCellAnchor>
  <xdr:twoCellAnchor>
    <xdr:from>
      <xdr:col>7</xdr:col>
      <xdr:colOff>133350</xdr:colOff>
      <xdr:row>81</xdr:row>
      <xdr:rowOff>0</xdr:rowOff>
    </xdr:from>
    <xdr:to>
      <xdr:col>7</xdr:col>
      <xdr:colOff>466725</xdr:colOff>
      <xdr:row>81</xdr:row>
      <xdr:rowOff>0</xdr:rowOff>
    </xdr:to>
    <xdr:sp macro="" textlink="">
      <xdr:nvSpPr>
        <xdr:cNvPr id="10" name="Line 9">
          <a:extLst>
            <a:ext uri="{FF2B5EF4-FFF2-40B4-BE49-F238E27FC236}">
              <a16:creationId xmlns:a16="http://schemas.microsoft.com/office/drawing/2014/main" id="{00000000-0008-0000-0C00-0000687E0000}"/>
            </a:ext>
          </a:extLst>
        </xdr:cNvPr>
        <xdr:cNvSpPr>
          <a:spLocks noChangeShapeType="1"/>
        </xdr:cNvSpPr>
      </xdr:nvSpPr>
      <xdr:spPr bwMode="auto">
        <a:xfrm>
          <a:off x="4758690" y="13007340"/>
          <a:ext cx="333375" cy="0"/>
        </a:xfrm>
        <a:prstGeom prst="line">
          <a:avLst/>
        </a:prstGeom>
        <a:noFill/>
        <a:ln w="9525">
          <a:solidFill>
            <a:srgbClr val="000000"/>
          </a:solidFill>
          <a:round/>
          <a:headEnd/>
          <a:tailEnd/>
        </a:ln>
      </xdr:spPr>
    </xdr:sp>
    <xdr:clientData/>
  </xdr:twoCellAnchor>
  <xdr:twoCellAnchor>
    <xdr:from>
      <xdr:col>7</xdr:col>
      <xdr:colOff>133350</xdr:colOff>
      <xdr:row>75</xdr:row>
      <xdr:rowOff>142875</xdr:rowOff>
    </xdr:from>
    <xdr:to>
      <xdr:col>7</xdr:col>
      <xdr:colOff>466725</xdr:colOff>
      <xdr:row>75</xdr:row>
      <xdr:rowOff>142875</xdr:rowOff>
    </xdr:to>
    <xdr:sp macro="" textlink="">
      <xdr:nvSpPr>
        <xdr:cNvPr id="11" name="Line 10">
          <a:extLst>
            <a:ext uri="{FF2B5EF4-FFF2-40B4-BE49-F238E27FC236}">
              <a16:creationId xmlns:a16="http://schemas.microsoft.com/office/drawing/2014/main" id="{00000000-0008-0000-0C00-0000697E0000}"/>
            </a:ext>
          </a:extLst>
        </xdr:cNvPr>
        <xdr:cNvSpPr>
          <a:spLocks noChangeShapeType="1"/>
        </xdr:cNvSpPr>
      </xdr:nvSpPr>
      <xdr:spPr bwMode="auto">
        <a:xfrm>
          <a:off x="4758690" y="12235815"/>
          <a:ext cx="333375" cy="0"/>
        </a:xfrm>
        <a:prstGeom prst="line">
          <a:avLst/>
        </a:prstGeom>
        <a:noFill/>
        <a:ln w="9525">
          <a:solidFill>
            <a:srgbClr val="000000"/>
          </a:solidFill>
          <a:round/>
          <a:headEnd/>
          <a:tailEnd/>
        </a:ln>
      </xdr:spPr>
    </xdr:sp>
    <xdr:clientData/>
  </xdr:twoCellAnchor>
  <xdr:twoCellAnchor>
    <xdr:from>
      <xdr:col>7</xdr:col>
      <xdr:colOff>133350</xdr:colOff>
      <xdr:row>66</xdr:row>
      <xdr:rowOff>133350</xdr:rowOff>
    </xdr:from>
    <xdr:to>
      <xdr:col>7</xdr:col>
      <xdr:colOff>466725</xdr:colOff>
      <xdr:row>66</xdr:row>
      <xdr:rowOff>133350</xdr:rowOff>
    </xdr:to>
    <xdr:sp macro="" textlink="">
      <xdr:nvSpPr>
        <xdr:cNvPr id="12" name="Line 11">
          <a:extLst>
            <a:ext uri="{FF2B5EF4-FFF2-40B4-BE49-F238E27FC236}">
              <a16:creationId xmlns:a16="http://schemas.microsoft.com/office/drawing/2014/main" id="{00000000-0008-0000-0C00-00006A7E0000}"/>
            </a:ext>
          </a:extLst>
        </xdr:cNvPr>
        <xdr:cNvSpPr>
          <a:spLocks noChangeShapeType="1"/>
        </xdr:cNvSpPr>
      </xdr:nvSpPr>
      <xdr:spPr bwMode="auto">
        <a:xfrm>
          <a:off x="4758690" y="10839450"/>
          <a:ext cx="333375" cy="0"/>
        </a:xfrm>
        <a:prstGeom prst="line">
          <a:avLst/>
        </a:prstGeom>
        <a:noFill/>
        <a:ln w="9525">
          <a:solidFill>
            <a:srgbClr val="000000"/>
          </a:solidFill>
          <a:round/>
          <a:headEnd/>
          <a:tailEnd/>
        </a:ln>
      </xdr:spPr>
    </xdr:sp>
    <xdr:clientData/>
  </xdr:twoCellAnchor>
  <xdr:twoCellAnchor>
    <xdr:from>
      <xdr:col>7</xdr:col>
      <xdr:colOff>142875</xdr:colOff>
      <xdr:row>113</xdr:row>
      <xdr:rowOff>0</xdr:rowOff>
    </xdr:from>
    <xdr:to>
      <xdr:col>8</xdr:col>
      <xdr:colOff>9525</xdr:colOff>
      <xdr:row>113</xdr:row>
      <xdr:rowOff>0</xdr:rowOff>
    </xdr:to>
    <xdr:sp macro="" textlink="">
      <xdr:nvSpPr>
        <xdr:cNvPr id="13" name="Line 278">
          <a:extLst>
            <a:ext uri="{FF2B5EF4-FFF2-40B4-BE49-F238E27FC236}">
              <a16:creationId xmlns:a16="http://schemas.microsoft.com/office/drawing/2014/main" id="{00000000-0008-0000-0C00-00006B7E0000}"/>
            </a:ext>
          </a:extLst>
        </xdr:cNvPr>
        <xdr:cNvSpPr>
          <a:spLocks noChangeShapeType="1"/>
        </xdr:cNvSpPr>
      </xdr:nvSpPr>
      <xdr:spPr bwMode="auto">
        <a:xfrm>
          <a:off x="4768215" y="18173700"/>
          <a:ext cx="422910" cy="0"/>
        </a:xfrm>
        <a:prstGeom prst="line">
          <a:avLst/>
        </a:prstGeom>
        <a:noFill/>
        <a:ln w="9525">
          <a:solidFill>
            <a:srgbClr val="000000"/>
          </a:solidFill>
          <a:round/>
          <a:headEnd/>
          <a:tailEnd/>
        </a:ln>
      </xdr:spPr>
    </xdr:sp>
    <xdr:clientData/>
  </xdr:twoCellAnchor>
  <xdr:twoCellAnchor>
    <xdr:from>
      <xdr:col>7</xdr:col>
      <xdr:colOff>133350</xdr:colOff>
      <xdr:row>117</xdr:row>
      <xdr:rowOff>0</xdr:rowOff>
    </xdr:from>
    <xdr:to>
      <xdr:col>8</xdr:col>
      <xdr:colOff>0</xdr:colOff>
      <xdr:row>117</xdr:row>
      <xdr:rowOff>0</xdr:rowOff>
    </xdr:to>
    <xdr:sp macro="" textlink="">
      <xdr:nvSpPr>
        <xdr:cNvPr id="14" name="Line 279">
          <a:extLst>
            <a:ext uri="{FF2B5EF4-FFF2-40B4-BE49-F238E27FC236}">
              <a16:creationId xmlns:a16="http://schemas.microsoft.com/office/drawing/2014/main" id="{00000000-0008-0000-0C00-00006C7E0000}"/>
            </a:ext>
          </a:extLst>
        </xdr:cNvPr>
        <xdr:cNvSpPr>
          <a:spLocks noChangeShapeType="1"/>
        </xdr:cNvSpPr>
      </xdr:nvSpPr>
      <xdr:spPr bwMode="auto">
        <a:xfrm>
          <a:off x="4758690" y="18783300"/>
          <a:ext cx="422910" cy="0"/>
        </a:xfrm>
        <a:prstGeom prst="line">
          <a:avLst/>
        </a:prstGeom>
        <a:noFill/>
        <a:ln w="9525">
          <a:solidFill>
            <a:srgbClr val="000000"/>
          </a:solidFill>
          <a:round/>
          <a:headEnd/>
          <a:tailEnd/>
        </a:ln>
      </xdr:spPr>
    </xdr:sp>
    <xdr:clientData/>
  </xdr:twoCellAnchor>
  <xdr:twoCellAnchor>
    <xdr:from>
      <xdr:col>7</xdr:col>
      <xdr:colOff>123825</xdr:colOff>
      <xdr:row>123</xdr:row>
      <xdr:rowOff>0</xdr:rowOff>
    </xdr:from>
    <xdr:to>
      <xdr:col>7</xdr:col>
      <xdr:colOff>476250</xdr:colOff>
      <xdr:row>123</xdr:row>
      <xdr:rowOff>0</xdr:rowOff>
    </xdr:to>
    <xdr:sp macro="" textlink="">
      <xdr:nvSpPr>
        <xdr:cNvPr id="15" name="Line 280">
          <a:extLst>
            <a:ext uri="{FF2B5EF4-FFF2-40B4-BE49-F238E27FC236}">
              <a16:creationId xmlns:a16="http://schemas.microsoft.com/office/drawing/2014/main" id="{00000000-0008-0000-0C00-00006D7E0000}"/>
            </a:ext>
          </a:extLst>
        </xdr:cNvPr>
        <xdr:cNvSpPr>
          <a:spLocks noChangeShapeType="1"/>
        </xdr:cNvSpPr>
      </xdr:nvSpPr>
      <xdr:spPr bwMode="auto">
        <a:xfrm>
          <a:off x="4749165" y="19697700"/>
          <a:ext cx="352425" cy="0"/>
        </a:xfrm>
        <a:prstGeom prst="line">
          <a:avLst/>
        </a:prstGeom>
        <a:noFill/>
        <a:ln w="9525">
          <a:solidFill>
            <a:srgbClr val="000000"/>
          </a:solidFill>
          <a:round/>
          <a:headEnd/>
          <a:tailEnd/>
        </a:ln>
      </xdr:spPr>
    </xdr:sp>
    <xdr:clientData/>
  </xdr:twoCellAnchor>
  <xdr:twoCellAnchor>
    <xdr:from>
      <xdr:col>7</xdr:col>
      <xdr:colOff>133350</xdr:colOff>
      <xdr:row>132</xdr:row>
      <xdr:rowOff>0</xdr:rowOff>
    </xdr:from>
    <xdr:to>
      <xdr:col>8</xdr:col>
      <xdr:colOff>0</xdr:colOff>
      <xdr:row>132</xdr:row>
      <xdr:rowOff>0</xdr:rowOff>
    </xdr:to>
    <xdr:sp macro="" textlink="">
      <xdr:nvSpPr>
        <xdr:cNvPr id="16" name="Line 281">
          <a:extLst>
            <a:ext uri="{FF2B5EF4-FFF2-40B4-BE49-F238E27FC236}">
              <a16:creationId xmlns:a16="http://schemas.microsoft.com/office/drawing/2014/main" id="{00000000-0008-0000-0C00-00006E7E0000}"/>
            </a:ext>
          </a:extLst>
        </xdr:cNvPr>
        <xdr:cNvSpPr>
          <a:spLocks noChangeShapeType="1"/>
        </xdr:cNvSpPr>
      </xdr:nvSpPr>
      <xdr:spPr bwMode="auto">
        <a:xfrm>
          <a:off x="4758690" y="21069300"/>
          <a:ext cx="422910" cy="0"/>
        </a:xfrm>
        <a:prstGeom prst="line">
          <a:avLst/>
        </a:prstGeom>
        <a:noFill/>
        <a:ln w="9525">
          <a:solidFill>
            <a:srgbClr val="000000"/>
          </a:solidFill>
          <a:round/>
          <a:headEnd/>
          <a:tailEnd/>
        </a:ln>
      </xdr:spPr>
    </xdr:sp>
    <xdr:clientData/>
  </xdr:twoCellAnchor>
  <xdr:twoCellAnchor>
    <xdr:from>
      <xdr:col>7</xdr:col>
      <xdr:colOff>133350</xdr:colOff>
      <xdr:row>145</xdr:row>
      <xdr:rowOff>0</xdr:rowOff>
    </xdr:from>
    <xdr:to>
      <xdr:col>8</xdr:col>
      <xdr:colOff>0</xdr:colOff>
      <xdr:row>145</xdr:row>
      <xdr:rowOff>0</xdr:rowOff>
    </xdr:to>
    <xdr:sp macro="" textlink="">
      <xdr:nvSpPr>
        <xdr:cNvPr id="17" name="Line 282">
          <a:extLst>
            <a:ext uri="{FF2B5EF4-FFF2-40B4-BE49-F238E27FC236}">
              <a16:creationId xmlns:a16="http://schemas.microsoft.com/office/drawing/2014/main" id="{00000000-0008-0000-0C00-00006F7E0000}"/>
            </a:ext>
          </a:extLst>
        </xdr:cNvPr>
        <xdr:cNvSpPr>
          <a:spLocks noChangeShapeType="1"/>
        </xdr:cNvSpPr>
      </xdr:nvSpPr>
      <xdr:spPr bwMode="auto">
        <a:xfrm>
          <a:off x="4758690" y="23050500"/>
          <a:ext cx="422910" cy="0"/>
        </a:xfrm>
        <a:prstGeom prst="line">
          <a:avLst/>
        </a:prstGeom>
        <a:noFill/>
        <a:ln w="9525">
          <a:solidFill>
            <a:srgbClr val="000000"/>
          </a:solidFill>
          <a:round/>
          <a:headEnd/>
          <a:tailEnd/>
        </a:ln>
      </xdr:spPr>
    </xdr:sp>
    <xdr:clientData/>
  </xdr:twoCellAnchor>
  <xdr:twoCellAnchor>
    <xdr:from>
      <xdr:col>7</xdr:col>
      <xdr:colOff>114300</xdr:colOff>
      <xdr:row>151</xdr:row>
      <xdr:rowOff>0</xdr:rowOff>
    </xdr:from>
    <xdr:to>
      <xdr:col>7</xdr:col>
      <xdr:colOff>466725</xdr:colOff>
      <xdr:row>151</xdr:row>
      <xdr:rowOff>0</xdr:rowOff>
    </xdr:to>
    <xdr:sp macro="" textlink="">
      <xdr:nvSpPr>
        <xdr:cNvPr id="18" name="Line 283">
          <a:extLst>
            <a:ext uri="{FF2B5EF4-FFF2-40B4-BE49-F238E27FC236}">
              <a16:creationId xmlns:a16="http://schemas.microsoft.com/office/drawing/2014/main" id="{00000000-0008-0000-0C00-0000707E0000}"/>
            </a:ext>
          </a:extLst>
        </xdr:cNvPr>
        <xdr:cNvSpPr>
          <a:spLocks noChangeShapeType="1"/>
        </xdr:cNvSpPr>
      </xdr:nvSpPr>
      <xdr:spPr bwMode="auto">
        <a:xfrm>
          <a:off x="4739640" y="23964900"/>
          <a:ext cx="352425" cy="0"/>
        </a:xfrm>
        <a:prstGeom prst="line">
          <a:avLst/>
        </a:prstGeom>
        <a:noFill/>
        <a:ln w="9525">
          <a:solidFill>
            <a:srgbClr val="000000"/>
          </a:solidFill>
          <a:round/>
          <a:headEnd/>
          <a:tailEnd/>
        </a:ln>
      </xdr:spPr>
    </xdr:sp>
    <xdr:clientData/>
  </xdr:twoCellAnchor>
  <xdr:twoCellAnchor>
    <xdr:from>
      <xdr:col>7</xdr:col>
      <xdr:colOff>95250</xdr:colOff>
      <xdr:row>140</xdr:row>
      <xdr:rowOff>0</xdr:rowOff>
    </xdr:from>
    <xdr:to>
      <xdr:col>7</xdr:col>
      <xdr:colOff>447675</xdr:colOff>
      <xdr:row>140</xdr:row>
      <xdr:rowOff>0</xdr:rowOff>
    </xdr:to>
    <xdr:sp macro="" textlink="">
      <xdr:nvSpPr>
        <xdr:cNvPr id="19" name="Line 284">
          <a:extLst>
            <a:ext uri="{FF2B5EF4-FFF2-40B4-BE49-F238E27FC236}">
              <a16:creationId xmlns:a16="http://schemas.microsoft.com/office/drawing/2014/main" id="{00000000-0008-0000-0C00-0000717E0000}"/>
            </a:ext>
          </a:extLst>
        </xdr:cNvPr>
        <xdr:cNvSpPr>
          <a:spLocks noChangeShapeType="1"/>
        </xdr:cNvSpPr>
      </xdr:nvSpPr>
      <xdr:spPr bwMode="auto">
        <a:xfrm>
          <a:off x="4720590" y="22288500"/>
          <a:ext cx="352425" cy="0"/>
        </a:xfrm>
        <a:prstGeom prst="line">
          <a:avLst/>
        </a:prstGeom>
        <a:noFill/>
        <a:ln w="9525">
          <a:solidFill>
            <a:srgbClr val="000000"/>
          </a:solidFill>
          <a:round/>
          <a:headEnd/>
          <a:tailEnd/>
        </a:ln>
      </xdr:spPr>
    </xdr:sp>
    <xdr:clientData/>
  </xdr:twoCellAnchor>
  <xdr:twoCellAnchor>
    <xdr:from>
      <xdr:col>7</xdr:col>
      <xdr:colOff>161925</xdr:colOff>
      <xdr:row>191</xdr:row>
      <xdr:rowOff>142875</xdr:rowOff>
    </xdr:from>
    <xdr:to>
      <xdr:col>8</xdr:col>
      <xdr:colOff>9525</xdr:colOff>
      <xdr:row>191</xdr:row>
      <xdr:rowOff>142875</xdr:rowOff>
    </xdr:to>
    <xdr:sp macro="" textlink="">
      <xdr:nvSpPr>
        <xdr:cNvPr id="20" name="Line 285">
          <a:extLst>
            <a:ext uri="{FF2B5EF4-FFF2-40B4-BE49-F238E27FC236}">
              <a16:creationId xmlns:a16="http://schemas.microsoft.com/office/drawing/2014/main" id="{00000000-0008-0000-0C00-0000727E0000}"/>
            </a:ext>
          </a:extLst>
        </xdr:cNvPr>
        <xdr:cNvSpPr>
          <a:spLocks noChangeShapeType="1"/>
        </xdr:cNvSpPr>
      </xdr:nvSpPr>
      <xdr:spPr bwMode="auto">
        <a:xfrm>
          <a:off x="4787265" y="30279975"/>
          <a:ext cx="403860" cy="0"/>
        </a:xfrm>
        <a:prstGeom prst="line">
          <a:avLst/>
        </a:prstGeom>
        <a:noFill/>
        <a:ln w="9525">
          <a:solidFill>
            <a:srgbClr val="000000"/>
          </a:solidFill>
          <a:round/>
          <a:headEnd/>
          <a:tailEnd/>
        </a:ln>
      </xdr:spPr>
    </xdr:sp>
    <xdr:clientData/>
  </xdr:twoCellAnchor>
  <xdr:twoCellAnchor>
    <xdr:from>
      <xdr:col>7</xdr:col>
      <xdr:colOff>133350</xdr:colOff>
      <xdr:row>183</xdr:row>
      <xdr:rowOff>0</xdr:rowOff>
    </xdr:from>
    <xdr:to>
      <xdr:col>7</xdr:col>
      <xdr:colOff>466725</xdr:colOff>
      <xdr:row>183</xdr:row>
      <xdr:rowOff>0</xdr:rowOff>
    </xdr:to>
    <xdr:sp macro="" textlink="">
      <xdr:nvSpPr>
        <xdr:cNvPr id="21" name="Line 286">
          <a:extLst>
            <a:ext uri="{FF2B5EF4-FFF2-40B4-BE49-F238E27FC236}">
              <a16:creationId xmlns:a16="http://schemas.microsoft.com/office/drawing/2014/main" id="{00000000-0008-0000-0C00-0000737E0000}"/>
            </a:ext>
          </a:extLst>
        </xdr:cNvPr>
        <xdr:cNvSpPr>
          <a:spLocks noChangeShapeType="1"/>
        </xdr:cNvSpPr>
      </xdr:nvSpPr>
      <xdr:spPr bwMode="auto">
        <a:xfrm>
          <a:off x="4758690" y="28917900"/>
          <a:ext cx="333375" cy="0"/>
        </a:xfrm>
        <a:prstGeom prst="line">
          <a:avLst/>
        </a:prstGeom>
        <a:noFill/>
        <a:ln w="9525">
          <a:solidFill>
            <a:srgbClr val="000000"/>
          </a:solidFill>
          <a:round/>
          <a:headEnd/>
          <a:tailEnd/>
        </a:ln>
      </xdr:spPr>
    </xdr:sp>
    <xdr:clientData/>
  </xdr:twoCellAnchor>
  <xdr:twoCellAnchor>
    <xdr:from>
      <xdr:col>7</xdr:col>
      <xdr:colOff>133350</xdr:colOff>
      <xdr:row>177</xdr:row>
      <xdr:rowOff>142875</xdr:rowOff>
    </xdr:from>
    <xdr:to>
      <xdr:col>7</xdr:col>
      <xdr:colOff>466725</xdr:colOff>
      <xdr:row>177</xdr:row>
      <xdr:rowOff>142875</xdr:rowOff>
    </xdr:to>
    <xdr:sp macro="" textlink="">
      <xdr:nvSpPr>
        <xdr:cNvPr id="22" name="Line 287">
          <a:extLst>
            <a:ext uri="{FF2B5EF4-FFF2-40B4-BE49-F238E27FC236}">
              <a16:creationId xmlns:a16="http://schemas.microsoft.com/office/drawing/2014/main" id="{00000000-0008-0000-0C00-0000747E0000}"/>
            </a:ext>
          </a:extLst>
        </xdr:cNvPr>
        <xdr:cNvSpPr>
          <a:spLocks noChangeShapeType="1"/>
        </xdr:cNvSpPr>
      </xdr:nvSpPr>
      <xdr:spPr bwMode="auto">
        <a:xfrm>
          <a:off x="4758690" y="28146375"/>
          <a:ext cx="333375" cy="0"/>
        </a:xfrm>
        <a:prstGeom prst="line">
          <a:avLst/>
        </a:prstGeom>
        <a:noFill/>
        <a:ln w="9525">
          <a:solidFill>
            <a:srgbClr val="000000"/>
          </a:solidFill>
          <a:round/>
          <a:headEnd/>
          <a:tailEnd/>
        </a:ln>
      </xdr:spPr>
    </xdr:sp>
    <xdr:clientData/>
  </xdr:twoCellAnchor>
  <xdr:twoCellAnchor>
    <xdr:from>
      <xdr:col>7</xdr:col>
      <xdr:colOff>133350</xdr:colOff>
      <xdr:row>168</xdr:row>
      <xdr:rowOff>133350</xdr:rowOff>
    </xdr:from>
    <xdr:to>
      <xdr:col>7</xdr:col>
      <xdr:colOff>466725</xdr:colOff>
      <xdr:row>168</xdr:row>
      <xdr:rowOff>133350</xdr:rowOff>
    </xdr:to>
    <xdr:sp macro="" textlink="">
      <xdr:nvSpPr>
        <xdr:cNvPr id="23" name="Line 288">
          <a:extLst>
            <a:ext uri="{FF2B5EF4-FFF2-40B4-BE49-F238E27FC236}">
              <a16:creationId xmlns:a16="http://schemas.microsoft.com/office/drawing/2014/main" id="{00000000-0008-0000-0C00-0000757E0000}"/>
            </a:ext>
          </a:extLst>
        </xdr:cNvPr>
        <xdr:cNvSpPr>
          <a:spLocks noChangeShapeType="1"/>
        </xdr:cNvSpPr>
      </xdr:nvSpPr>
      <xdr:spPr bwMode="auto">
        <a:xfrm>
          <a:off x="4758690" y="26765250"/>
          <a:ext cx="333375" cy="0"/>
        </a:xfrm>
        <a:prstGeom prst="line">
          <a:avLst/>
        </a:prstGeom>
        <a:noFill/>
        <a:ln w="9525">
          <a:solidFill>
            <a:srgbClr val="000000"/>
          </a:solidFill>
          <a:round/>
          <a:headEnd/>
          <a:tailEnd/>
        </a:ln>
      </xdr:spPr>
    </xdr:sp>
    <xdr:clientData/>
  </xdr:twoCellAnchor>
  <xdr:twoCellAnchor>
    <xdr:from>
      <xdr:col>7</xdr:col>
      <xdr:colOff>142875</xdr:colOff>
      <xdr:row>216</xdr:row>
      <xdr:rowOff>0</xdr:rowOff>
    </xdr:from>
    <xdr:to>
      <xdr:col>8</xdr:col>
      <xdr:colOff>9525</xdr:colOff>
      <xdr:row>216</xdr:row>
      <xdr:rowOff>0</xdr:rowOff>
    </xdr:to>
    <xdr:sp macro="" textlink="">
      <xdr:nvSpPr>
        <xdr:cNvPr id="24" name="Line 278">
          <a:extLst>
            <a:ext uri="{FF2B5EF4-FFF2-40B4-BE49-F238E27FC236}">
              <a16:creationId xmlns:a16="http://schemas.microsoft.com/office/drawing/2014/main" id="{00000000-0008-0000-0C00-000018000000}"/>
            </a:ext>
          </a:extLst>
        </xdr:cNvPr>
        <xdr:cNvSpPr>
          <a:spLocks noChangeShapeType="1"/>
        </xdr:cNvSpPr>
      </xdr:nvSpPr>
      <xdr:spPr bwMode="auto">
        <a:xfrm>
          <a:off x="4768215" y="34221420"/>
          <a:ext cx="422910" cy="0"/>
        </a:xfrm>
        <a:prstGeom prst="line">
          <a:avLst/>
        </a:prstGeom>
        <a:noFill/>
        <a:ln w="9525">
          <a:solidFill>
            <a:srgbClr val="000000"/>
          </a:solidFill>
          <a:round/>
          <a:headEnd/>
          <a:tailEnd/>
        </a:ln>
      </xdr:spPr>
    </xdr:sp>
    <xdr:clientData/>
  </xdr:twoCellAnchor>
  <xdr:twoCellAnchor>
    <xdr:from>
      <xdr:col>7</xdr:col>
      <xdr:colOff>133350</xdr:colOff>
      <xdr:row>220</xdr:row>
      <xdr:rowOff>0</xdr:rowOff>
    </xdr:from>
    <xdr:to>
      <xdr:col>8</xdr:col>
      <xdr:colOff>0</xdr:colOff>
      <xdr:row>220</xdr:row>
      <xdr:rowOff>0</xdr:rowOff>
    </xdr:to>
    <xdr:sp macro="" textlink="">
      <xdr:nvSpPr>
        <xdr:cNvPr id="25" name="Line 279">
          <a:extLst>
            <a:ext uri="{FF2B5EF4-FFF2-40B4-BE49-F238E27FC236}">
              <a16:creationId xmlns:a16="http://schemas.microsoft.com/office/drawing/2014/main" id="{00000000-0008-0000-0C00-000019000000}"/>
            </a:ext>
          </a:extLst>
        </xdr:cNvPr>
        <xdr:cNvSpPr>
          <a:spLocks noChangeShapeType="1"/>
        </xdr:cNvSpPr>
      </xdr:nvSpPr>
      <xdr:spPr bwMode="auto">
        <a:xfrm>
          <a:off x="4758690" y="34831020"/>
          <a:ext cx="422910" cy="0"/>
        </a:xfrm>
        <a:prstGeom prst="line">
          <a:avLst/>
        </a:prstGeom>
        <a:noFill/>
        <a:ln w="9525">
          <a:solidFill>
            <a:srgbClr val="000000"/>
          </a:solidFill>
          <a:round/>
          <a:headEnd/>
          <a:tailEnd/>
        </a:ln>
      </xdr:spPr>
    </xdr:sp>
    <xdr:clientData/>
  </xdr:twoCellAnchor>
  <xdr:twoCellAnchor>
    <xdr:from>
      <xdr:col>7</xdr:col>
      <xdr:colOff>123825</xdr:colOff>
      <xdr:row>226</xdr:row>
      <xdr:rowOff>0</xdr:rowOff>
    </xdr:from>
    <xdr:to>
      <xdr:col>7</xdr:col>
      <xdr:colOff>476250</xdr:colOff>
      <xdr:row>226</xdr:row>
      <xdr:rowOff>0</xdr:rowOff>
    </xdr:to>
    <xdr:sp macro="" textlink="">
      <xdr:nvSpPr>
        <xdr:cNvPr id="26" name="Line 280">
          <a:extLst>
            <a:ext uri="{FF2B5EF4-FFF2-40B4-BE49-F238E27FC236}">
              <a16:creationId xmlns:a16="http://schemas.microsoft.com/office/drawing/2014/main" id="{00000000-0008-0000-0C00-00001A000000}"/>
            </a:ext>
          </a:extLst>
        </xdr:cNvPr>
        <xdr:cNvSpPr>
          <a:spLocks noChangeShapeType="1"/>
        </xdr:cNvSpPr>
      </xdr:nvSpPr>
      <xdr:spPr bwMode="auto">
        <a:xfrm>
          <a:off x="4749165" y="35745420"/>
          <a:ext cx="352425" cy="0"/>
        </a:xfrm>
        <a:prstGeom prst="line">
          <a:avLst/>
        </a:prstGeom>
        <a:noFill/>
        <a:ln w="9525">
          <a:solidFill>
            <a:srgbClr val="000000"/>
          </a:solidFill>
          <a:round/>
          <a:headEnd/>
          <a:tailEnd/>
        </a:ln>
      </xdr:spPr>
    </xdr:sp>
    <xdr:clientData/>
  </xdr:twoCellAnchor>
  <xdr:twoCellAnchor>
    <xdr:from>
      <xdr:col>7</xdr:col>
      <xdr:colOff>133350</xdr:colOff>
      <xdr:row>235</xdr:row>
      <xdr:rowOff>0</xdr:rowOff>
    </xdr:from>
    <xdr:to>
      <xdr:col>8</xdr:col>
      <xdr:colOff>0</xdr:colOff>
      <xdr:row>235</xdr:row>
      <xdr:rowOff>0</xdr:rowOff>
    </xdr:to>
    <xdr:sp macro="" textlink="">
      <xdr:nvSpPr>
        <xdr:cNvPr id="27" name="Line 281">
          <a:extLst>
            <a:ext uri="{FF2B5EF4-FFF2-40B4-BE49-F238E27FC236}">
              <a16:creationId xmlns:a16="http://schemas.microsoft.com/office/drawing/2014/main" id="{00000000-0008-0000-0C00-00001B000000}"/>
            </a:ext>
          </a:extLst>
        </xdr:cNvPr>
        <xdr:cNvSpPr>
          <a:spLocks noChangeShapeType="1"/>
        </xdr:cNvSpPr>
      </xdr:nvSpPr>
      <xdr:spPr bwMode="auto">
        <a:xfrm>
          <a:off x="4758690" y="37117020"/>
          <a:ext cx="422910" cy="0"/>
        </a:xfrm>
        <a:prstGeom prst="line">
          <a:avLst/>
        </a:prstGeom>
        <a:noFill/>
        <a:ln w="9525">
          <a:solidFill>
            <a:srgbClr val="000000"/>
          </a:solidFill>
          <a:round/>
          <a:headEnd/>
          <a:tailEnd/>
        </a:ln>
      </xdr:spPr>
    </xdr:sp>
    <xdr:clientData/>
  </xdr:twoCellAnchor>
  <xdr:twoCellAnchor>
    <xdr:from>
      <xdr:col>7</xdr:col>
      <xdr:colOff>133350</xdr:colOff>
      <xdr:row>248</xdr:row>
      <xdr:rowOff>0</xdr:rowOff>
    </xdr:from>
    <xdr:to>
      <xdr:col>8</xdr:col>
      <xdr:colOff>0</xdr:colOff>
      <xdr:row>248</xdr:row>
      <xdr:rowOff>0</xdr:rowOff>
    </xdr:to>
    <xdr:sp macro="" textlink="">
      <xdr:nvSpPr>
        <xdr:cNvPr id="28" name="Line 282">
          <a:extLst>
            <a:ext uri="{FF2B5EF4-FFF2-40B4-BE49-F238E27FC236}">
              <a16:creationId xmlns:a16="http://schemas.microsoft.com/office/drawing/2014/main" id="{00000000-0008-0000-0C00-00001C000000}"/>
            </a:ext>
          </a:extLst>
        </xdr:cNvPr>
        <xdr:cNvSpPr>
          <a:spLocks noChangeShapeType="1"/>
        </xdr:cNvSpPr>
      </xdr:nvSpPr>
      <xdr:spPr bwMode="auto">
        <a:xfrm>
          <a:off x="4758690" y="39098220"/>
          <a:ext cx="422910" cy="0"/>
        </a:xfrm>
        <a:prstGeom prst="line">
          <a:avLst/>
        </a:prstGeom>
        <a:noFill/>
        <a:ln w="9525">
          <a:solidFill>
            <a:srgbClr val="000000"/>
          </a:solidFill>
          <a:round/>
          <a:headEnd/>
          <a:tailEnd/>
        </a:ln>
      </xdr:spPr>
    </xdr:sp>
    <xdr:clientData/>
  </xdr:twoCellAnchor>
  <xdr:twoCellAnchor>
    <xdr:from>
      <xdr:col>7</xdr:col>
      <xdr:colOff>114300</xdr:colOff>
      <xdr:row>254</xdr:row>
      <xdr:rowOff>0</xdr:rowOff>
    </xdr:from>
    <xdr:to>
      <xdr:col>7</xdr:col>
      <xdr:colOff>466725</xdr:colOff>
      <xdr:row>254</xdr:row>
      <xdr:rowOff>0</xdr:rowOff>
    </xdr:to>
    <xdr:sp macro="" textlink="">
      <xdr:nvSpPr>
        <xdr:cNvPr id="29" name="Line 283">
          <a:extLst>
            <a:ext uri="{FF2B5EF4-FFF2-40B4-BE49-F238E27FC236}">
              <a16:creationId xmlns:a16="http://schemas.microsoft.com/office/drawing/2014/main" id="{00000000-0008-0000-0C00-00001D000000}"/>
            </a:ext>
          </a:extLst>
        </xdr:cNvPr>
        <xdr:cNvSpPr>
          <a:spLocks noChangeShapeType="1"/>
        </xdr:cNvSpPr>
      </xdr:nvSpPr>
      <xdr:spPr bwMode="auto">
        <a:xfrm>
          <a:off x="4739640" y="40012620"/>
          <a:ext cx="352425" cy="0"/>
        </a:xfrm>
        <a:prstGeom prst="line">
          <a:avLst/>
        </a:prstGeom>
        <a:noFill/>
        <a:ln w="9525">
          <a:solidFill>
            <a:srgbClr val="000000"/>
          </a:solidFill>
          <a:round/>
          <a:headEnd/>
          <a:tailEnd/>
        </a:ln>
      </xdr:spPr>
    </xdr:sp>
    <xdr:clientData/>
  </xdr:twoCellAnchor>
  <xdr:twoCellAnchor>
    <xdr:from>
      <xdr:col>7</xdr:col>
      <xdr:colOff>95250</xdr:colOff>
      <xdr:row>243</xdr:row>
      <xdr:rowOff>0</xdr:rowOff>
    </xdr:from>
    <xdr:to>
      <xdr:col>7</xdr:col>
      <xdr:colOff>447675</xdr:colOff>
      <xdr:row>243</xdr:row>
      <xdr:rowOff>0</xdr:rowOff>
    </xdr:to>
    <xdr:sp macro="" textlink="">
      <xdr:nvSpPr>
        <xdr:cNvPr id="30" name="Line 284">
          <a:extLst>
            <a:ext uri="{FF2B5EF4-FFF2-40B4-BE49-F238E27FC236}">
              <a16:creationId xmlns:a16="http://schemas.microsoft.com/office/drawing/2014/main" id="{00000000-0008-0000-0C00-00001E000000}"/>
            </a:ext>
          </a:extLst>
        </xdr:cNvPr>
        <xdr:cNvSpPr>
          <a:spLocks noChangeShapeType="1"/>
        </xdr:cNvSpPr>
      </xdr:nvSpPr>
      <xdr:spPr bwMode="auto">
        <a:xfrm>
          <a:off x="4720590" y="38336220"/>
          <a:ext cx="352425" cy="0"/>
        </a:xfrm>
        <a:prstGeom prst="line">
          <a:avLst/>
        </a:prstGeom>
        <a:noFill/>
        <a:ln w="9525">
          <a:solidFill>
            <a:srgbClr val="000000"/>
          </a:solidFill>
          <a:round/>
          <a:headEnd/>
          <a:tailEnd/>
        </a:ln>
      </xdr:spPr>
    </xdr:sp>
    <xdr:clientData/>
  </xdr:twoCellAnchor>
  <xdr:twoCellAnchor>
    <xdr:from>
      <xdr:col>7</xdr:col>
      <xdr:colOff>161925</xdr:colOff>
      <xdr:row>294</xdr:row>
      <xdr:rowOff>142875</xdr:rowOff>
    </xdr:from>
    <xdr:to>
      <xdr:col>8</xdr:col>
      <xdr:colOff>9525</xdr:colOff>
      <xdr:row>294</xdr:row>
      <xdr:rowOff>142875</xdr:rowOff>
    </xdr:to>
    <xdr:sp macro="" textlink="">
      <xdr:nvSpPr>
        <xdr:cNvPr id="31" name="Line 285">
          <a:extLst>
            <a:ext uri="{FF2B5EF4-FFF2-40B4-BE49-F238E27FC236}">
              <a16:creationId xmlns:a16="http://schemas.microsoft.com/office/drawing/2014/main" id="{00000000-0008-0000-0C00-00001F000000}"/>
            </a:ext>
          </a:extLst>
        </xdr:cNvPr>
        <xdr:cNvSpPr>
          <a:spLocks noChangeShapeType="1"/>
        </xdr:cNvSpPr>
      </xdr:nvSpPr>
      <xdr:spPr bwMode="auto">
        <a:xfrm>
          <a:off x="4787265" y="46327695"/>
          <a:ext cx="403860" cy="0"/>
        </a:xfrm>
        <a:prstGeom prst="line">
          <a:avLst/>
        </a:prstGeom>
        <a:noFill/>
        <a:ln w="9525">
          <a:solidFill>
            <a:srgbClr val="000000"/>
          </a:solidFill>
          <a:round/>
          <a:headEnd/>
          <a:tailEnd/>
        </a:ln>
      </xdr:spPr>
    </xdr:sp>
    <xdr:clientData/>
  </xdr:twoCellAnchor>
  <xdr:twoCellAnchor>
    <xdr:from>
      <xdr:col>7</xdr:col>
      <xdr:colOff>133350</xdr:colOff>
      <xdr:row>286</xdr:row>
      <xdr:rowOff>0</xdr:rowOff>
    </xdr:from>
    <xdr:to>
      <xdr:col>7</xdr:col>
      <xdr:colOff>466725</xdr:colOff>
      <xdr:row>286</xdr:row>
      <xdr:rowOff>0</xdr:rowOff>
    </xdr:to>
    <xdr:sp macro="" textlink="">
      <xdr:nvSpPr>
        <xdr:cNvPr id="32" name="Line 286">
          <a:extLst>
            <a:ext uri="{FF2B5EF4-FFF2-40B4-BE49-F238E27FC236}">
              <a16:creationId xmlns:a16="http://schemas.microsoft.com/office/drawing/2014/main" id="{00000000-0008-0000-0C00-000020000000}"/>
            </a:ext>
          </a:extLst>
        </xdr:cNvPr>
        <xdr:cNvSpPr>
          <a:spLocks noChangeShapeType="1"/>
        </xdr:cNvSpPr>
      </xdr:nvSpPr>
      <xdr:spPr bwMode="auto">
        <a:xfrm>
          <a:off x="4758690" y="44965620"/>
          <a:ext cx="333375" cy="0"/>
        </a:xfrm>
        <a:prstGeom prst="line">
          <a:avLst/>
        </a:prstGeom>
        <a:noFill/>
        <a:ln w="9525">
          <a:solidFill>
            <a:srgbClr val="000000"/>
          </a:solidFill>
          <a:round/>
          <a:headEnd/>
          <a:tailEnd/>
        </a:ln>
      </xdr:spPr>
    </xdr:sp>
    <xdr:clientData/>
  </xdr:twoCellAnchor>
  <xdr:twoCellAnchor>
    <xdr:from>
      <xdr:col>7</xdr:col>
      <xdr:colOff>133350</xdr:colOff>
      <xdr:row>280</xdr:row>
      <xdr:rowOff>142875</xdr:rowOff>
    </xdr:from>
    <xdr:to>
      <xdr:col>7</xdr:col>
      <xdr:colOff>466725</xdr:colOff>
      <xdr:row>280</xdr:row>
      <xdr:rowOff>142875</xdr:rowOff>
    </xdr:to>
    <xdr:sp macro="" textlink="">
      <xdr:nvSpPr>
        <xdr:cNvPr id="33" name="Line 287">
          <a:extLst>
            <a:ext uri="{FF2B5EF4-FFF2-40B4-BE49-F238E27FC236}">
              <a16:creationId xmlns:a16="http://schemas.microsoft.com/office/drawing/2014/main" id="{00000000-0008-0000-0C00-000021000000}"/>
            </a:ext>
          </a:extLst>
        </xdr:cNvPr>
        <xdr:cNvSpPr>
          <a:spLocks noChangeShapeType="1"/>
        </xdr:cNvSpPr>
      </xdr:nvSpPr>
      <xdr:spPr bwMode="auto">
        <a:xfrm>
          <a:off x="4758690" y="44194095"/>
          <a:ext cx="333375" cy="0"/>
        </a:xfrm>
        <a:prstGeom prst="line">
          <a:avLst/>
        </a:prstGeom>
        <a:noFill/>
        <a:ln w="9525">
          <a:solidFill>
            <a:srgbClr val="000000"/>
          </a:solidFill>
          <a:round/>
          <a:headEnd/>
          <a:tailEnd/>
        </a:ln>
      </xdr:spPr>
    </xdr:sp>
    <xdr:clientData/>
  </xdr:twoCellAnchor>
  <xdr:twoCellAnchor>
    <xdr:from>
      <xdr:col>7</xdr:col>
      <xdr:colOff>133350</xdr:colOff>
      <xdr:row>271</xdr:row>
      <xdr:rowOff>133350</xdr:rowOff>
    </xdr:from>
    <xdr:to>
      <xdr:col>7</xdr:col>
      <xdr:colOff>466725</xdr:colOff>
      <xdr:row>271</xdr:row>
      <xdr:rowOff>133350</xdr:rowOff>
    </xdr:to>
    <xdr:sp macro="" textlink="">
      <xdr:nvSpPr>
        <xdr:cNvPr id="34" name="Line 288">
          <a:extLst>
            <a:ext uri="{FF2B5EF4-FFF2-40B4-BE49-F238E27FC236}">
              <a16:creationId xmlns:a16="http://schemas.microsoft.com/office/drawing/2014/main" id="{00000000-0008-0000-0C00-000022000000}"/>
            </a:ext>
          </a:extLst>
        </xdr:cNvPr>
        <xdr:cNvSpPr>
          <a:spLocks noChangeShapeType="1"/>
        </xdr:cNvSpPr>
      </xdr:nvSpPr>
      <xdr:spPr bwMode="auto">
        <a:xfrm>
          <a:off x="4758690" y="42812970"/>
          <a:ext cx="333375" cy="0"/>
        </a:xfrm>
        <a:prstGeom prst="line">
          <a:avLst/>
        </a:prstGeom>
        <a:noFill/>
        <a:ln w="9525">
          <a:solidFill>
            <a:srgbClr val="000000"/>
          </a:solidFill>
          <a:round/>
          <a:headEnd/>
          <a:tailEnd/>
        </a:ln>
      </xdr:spPr>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114300</xdr:colOff>
      <xdr:row>14</xdr:row>
      <xdr:rowOff>0</xdr:rowOff>
    </xdr:from>
    <xdr:to>
      <xdr:col>6</xdr:col>
      <xdr:colOff>466725</xdr:colOff>
      <xdr:row>14</xdr:row>
      <xdr:rowOff>0</xdr:rowOff>
    </xdr:to>
    <xdr:sp macro="" textlink="">
      <xdr:nvSpPr>
        <xdr:cNvPr id="2" name="Line 1">
          <a:extLst>
            <a:ext uri="{FF2B5EF4-FFF2-40B4-BE49-F238E27FC236}">
              <a16:creationId xmlns:a16="http://schemas.microsoft.com/office/drawing/2014/main" id="{00000000-0008-0000-0E00-000034740000}"/>
            </a:ext>
          </a:extLst>
        </xdr:cNvPr>
        <xdr:cNvSpPr>
          <a:spLocks noChangeShapeType="1"/>
        </xdr:cNvSpPr>
      </xdr:nvSpPr>
      <xdr:spPr bwMode="auto">
        <a:xfrm>
          <a:off x="3962400" y="2575560"/>
          <a:ext cx="352425" cy="0"/>
        </a:xfrm>
        <a:prstGeom prst="line">
          <a:avLst/>
        </a:prstGeom>
        <a:noFill/>
        <a:ln w="9525">
          <a:solidFill>
            <a:srgbClr val="000000"/>
          </a:solidFill>
          <a:round/>
          <a:headEnd/>
          <a:tailEnd/>
        </a:ln>
      </xdr:spPr>
    </xdr:sp>
    <xdr:clientData/>
  </xdr:twoCellAnchor>
  <xdr:twoCellAnchor>
    <xdr:from>
      <xdr:col>6</xdr:col>
      <xdr:colOff>161925</xdr:colOff>
      <xdr:row>43</xdr:row>
      <xdr:rowOff>0</xdr:rowOff>
    </xdr:from>
    <xdr:to>
      <xdr:col>6</xdr:col>
      <xdr:colOff>476250</xdr:colOff>
      <xdr:row>43</xdr:row>
      <xdr:rowOff>0</xdr:rowOff>
    </xdr:to>
    <xdr:sp macro="" textlink="">
      <xdr:nvSpPr>
        <xdr:cNvPr id="3" name="Line 2">
          <a:extLst>
            <a:ext uri="{FF2B5EF4-FFF2-40B4-BE49-F238E27FC236}">
              <a16:creationId xmlns:a16="http://schemas.microsoft.com/office/drawing/2014/main" id="{00000000-0008-0000-0E00-000035740000}"/>
            </a:ext>
          </a:extLst>
        </xdr:cNvPr>
        <xdr:cNvSpPr>
          <a:spLocks noChangeShapeType="1"/>
        </xdr:cNvSpPr>
      </xdr:nvSpPr>
      <xdr:spPr bwMode="auto">
        <a:xfrm>
          <a:off x="4010025" y="7208520"/>
          <a:ext cx="314325" cy="0"/>
        </a:xfrm>
        <a:prstGeom prst="line">
          <a:avLst/>
        </a:prstGeom>
        <a:noFill/>
        <a:ln w="9525">
          <a:solidFill>
            <a:srgbClr val="000000"/>
          </a:solidFill>
          <a:round/>
          <a:headEnd/>
          <a:tailEnd/>
        </a:ln>
      </xdr:spPr>
    </xdr:sp>
    <xdr:clientData/>
  </xdr:twoCellAnchor>
  <xdr:twoCellAnchor>
    <xdr:from>
      <xdr:col>6</xdr:col>
      <xdr:colOff>161925</xdr:colOff>
      <xdr:row>48</xdr:row>
      <xdr:rowOff>152400</xdr:rowOff>
    </xdr:from>
    <xdr:to>
      <xdr:col>6</xdr:col>
      <xdr:colOff>476250</xdr:colOff>
      <xdr:row>48</xdr:row>
      <xdr:rowOff>152400</xdr:rowOff>
    </xdr:to>
    <xdr:sp macro="" textlink="">
      <xdr:nvSpPr>
        <xdr:cNvPr id="4" name="Line 3">
          <a:extLst>
            <a:ext uri="{FF2B5EF4-FFF2-40B4-BE49-F238E27FC236}">
              <a16:creationId xmlns:a16="http://schemas.microsoft.com/office/drawing/2014/main" id="{00000000-0008-0000-0E00-000036740000}"/>
            </a:ext>
          </a:extLst>
        </xdr:cNvPr>
        <xdr:cNvSpPr>
          <a:spLocks noChangeShapeType="1"/>
        </xdr:cNvSpPr>
      </xdr:nvSpPr>
      <xdr:spPr bwMode="auto">
        <a:xfrm>
          <a:off x="4010025" y="8199120"/>
          <a:ext cx="314325" cy="0"/>
        </a:xfrm>
        <a:prstGeom prst="line">
          <a:avLst/>
        </a:prstGeom>
        <a:noFill/>
        <a:ln w="9525">
          <a:solidFill>
            <a:srgbClr val="000000"/>
          </a:solidFill>
          <a:round/>
          <a:headEnd/>
          <a:tailEnd/>
        </a:ln>
      </xdr:spPr>
    </xdr:sp>
    <xdr:clientData/>
  </xdr:twoCellAnchor>
  <xdr:twoCellAnchor>
    <xdr:from>
      <xdr:col>6</xdr:col>
      <xdr:colOff>152400</xdr:colOff>
      <xdr:row>54</xdr:row>
      <xdr:rowOff>9525</xdr:rowOff>
    </xdr:from>
    <xdr:to>
      <xdr:col>6</xdr:col>
      <xdr:colOff>466725</xdr:colOff>
      <xdr:row>54</xdr:row>
      <xdr:rowOff>9525</xdr:rowOff>
    </xdr:to>
    <xdr:sp macro="" textlink="">
      <xdr:nvSpPr>
        <xdr:cNvPr id="5" name="Line 4">
          <a:extLst>
            <a:ext uri="{FF2B5EF4-FFF2-40B4-BE49-F238E27FC236}">
              <a16:creationId xmlns:a16="http://schemas.microsoft.com/office/drawing/2014/main" id="{00000000-0008-0000-0E00-000037740000}"/>
            </a:ext>
          </a:extLst>
        </xdr:cNvPr>
        <xdr:cNvSpPr>
          <a:spLocks noChangeShapeType="1"/>
        </xdr:cNvSpPr>
      </xdr:nvSpPr>
      <xdr:spPr bwMode="auto">
        <a:xfrm>
          <a:off x="4000500" y="9062085"/>
          <a:ext cx="314325" cy="0"/>
        </a:xfrm>
        <a:prstGeom prst="line">
          <a:avLst/>
        </a:prstGeom>
        <a:noFill/>
        <a:ln w="9525">
          <a:solidFill>
            <a:srgbClr val="000000"/>
          </a:solidFill>
          <a:round/>
          <a:headEnd/>
          <a:tailEnd/>
        </a:ln>
      </xdr:spPr>
    </xdr:sp>
    <xdr:clientData/>
  </xdr:twoCellAnchor>
  <xdr:twoCellAnchor>
    <xdr:from>
      <xdr:col>6</xdr:col>
      <xdr:colOff>142875</xdr:colOff>
      <xdr:row>82</xdr:row>
      <xdr:rowOff>152400</xdr:rowOff>
    </xdr:from>
    <xdr:to>
      <xdr:col>6</xdr:col>
      <xdr:colOff>476250</xdr:colOff>
      <xdr:row>82</xdr:row>
      <xdr:rowOff>152400</xdr:rowOff>
    </xdr:to>
    <xdr:sp macro="" textlink="">
      <xdr:nvSpPr>
        <xdr:cNvPr id="6" name="Line 11">
          <a:extLst>
            <a:ext uri="{FF2B5EF4-FFF2-40B4-BE49-F238E27FC236}">
              <a16:creationId xmlns:a16="http://schemas.microsoft.com/office/drawing/2014/main" id="{00000000-0008-0000-0E00-000038740000}"/>
            </a:ext>
          </a:extLst>
        </xdr:cNvPr>
        <xdr:cNvSpPr>
          <a:spLocks noChangeShapeType="1"/>
        </xdr:cNvSpPr>
      </xdr:nvSpPr>
      <xdr:spPr bwMode="auto">
        <a:xfrm>
          <a:off x="3990975" y="14020800"/>
          <a:ext cx="333375" cy="0"/>
        </a:xfrm>
        <a:prstGeom prst="line">
          <a:avLst/>
        </a:prstGeom>
        <a:noFill/>
        <a:ln w="9525">
          <a:solidFill>
            <a:srgbClr val="000000"/>
          </a:solidFill>
          <a:round/>
          <a:headEnd/>
          <a:tailEnd/>
        </a:ln>
      </xdr:spPr>
    </xdr:sp>
    <xdr:clientData/>
  </xdr:twoCellAnchor>
  <xdr:twoCellAnchor>
    <xdr:from>
      <xdr:col>6</xdr:col>
      <xdr:colOff>152400</xdr:colOff>
      <xdr:row>87</xdr:row>
      <xdr:rowOff>19050</xdr:rowOff>
    </xdr:from>
    <xdr:to>
      <xdr:col>7</xdr:col>
      <xdr:colOff>0</xdr:colOff>
      <xdr:row>87</xdr:row>
      <xdr:rowOff>19050</xdr:rowOff>
    </xdr:to>
    <xdr:sp macro="" textlink="">
      <xdr:nvSpPr>
        <xdr:cNvPr id="7" name="Line 12">
          <a:extLst>
            <a:ext uri="{FF2B5EF4-FFF2-40B4-BE49-F238E27FC236}">
              <a16:creationId xmlns:a16="http://schemas.microsoft.com/office/drawing/2014/main" id="{00000000-0008-0000-0E00-000039740000}"/>
            </a:ext>
          </a:extLst>
        </xdr:cNvPr>
        <xdr:cNvSpPr>
          <a:spLocks noChangeShapeType="1"/>
        </xdr:cNvSpPr>
      </xdr:nvSpPr>
      <xdr:spPr bwMode="auto">
        <a:xfrm>
          <a:off x="4000500" y="14725650"/>
          <a:ext cx="342900" cy="0"/>
        </a:xfrm>
        <a:prstGeom prst="line">
          <a:avLst/>
        </a:prstGeom>
        <a:noFill/>
        <a:ln w="9525">
          <a:solidFill>
            <a:srgbClr val="000000"/>
          </a:solidFill>
          <a:round/>
          <a:headEnd/>
          <a:tailEnd/>
        </a:ln>
      </xdr:spPr>
    </xdr:sp>
    <xdr:clientData/>
  </xdr:twoCellAnchor>
  <xdr:twoCellAnchor>
    <xdr:from>
      <xdr:col>6</xdr:col>
      <xdr:colOff>152400</xdr:colOff>
      <xdr:row>91</xdr:row>
      <xdr:rowOff>19050</xdr:rowOff>
    </xdr:from>
    <xdr:to>
      <xdr:col>7</xdr:col>
      <xdr:colOff>0</xdr:colOff>
      <xdr:row>91</xdr:row>
      <xdr:rowOff>19050</xdr:rowOff>
    </xdr:to>
    <xdr:sp macro="" textlink="">
      <xdr:nvSpPr>
        <xdr:cNvPr id="8" name="Line 13">
          <a:extLst>
            <a:ext uri="{FF2B5EF4-FFF2-40B4-BE49-F238E27FC236}">
              <a16:creationId xmlns:a16="http://schemas.microsoft.com/office/drawing/2014/main" id="{00000000-0008-0000-0E00-00003A740000}"/>
            </a:ext>
          </a:extLst>
        </xdr:cNvPr>
        <xdr:cNvSpPr>
          <a:spLocks noChangeShapeType="1"/>
        </xdr:cNvSpPr>
      </xdr:nvSpPr>
      <xdr:spPr bwMode="auto">
        <a:xfrm>
          <a:off x="4000500" y="15396210"/>
          <a:ext cx="342900" cy="0"/>
        </a:xfrm>
        <a:prstGeom prst="line">
          <a:avLst/>
        </a:prstGeom>
        <a:noFill/>
        <a:ln w="9525">
          <a:solidFill>
            <a:srgbClr val="000000"/>
          </a:solidFill>
          <a:round/>
          <a:headEnd/>
          <a:tailEnd/>
        </a:ln>
      </xdr:spPr>
    </xdr:sp>
    <xdr:clientData/>
  </xdr:twoCellAnchor>
  <xdr:twoCellAnchor>
    <xdr:from>
      <xdr:col>6</xdr:col>
      <xdr:colOff>152400</xdr:colOff>
      <xdr:row>96</xdr:row>
      <xdr:rowOff>152400</xdr:rowOff>
    </xdr:from>
    <xdr:to>
      <xdr:col>7</xdr:col>
      <xdr:colOff>0</xdr:colOff>
      <xdr:row>96</xdr:row>
      <xdr:rowOff>152400</xdr:rowOff>
    </xdr:to>
    <xdr:sp macro="" textlink="">
      <xdr:nvSpPr>
        <xdr:cNvPr id="9" name="Line 14">
          <a:extLst>
            <a:ext uri="{FF2B5EF4-FFF2-40B4-BE49-F238E27FC236}">
              <a16:creationId xmlns:a16="http://schemas.microsoft.com/office/drawing/2014/main" id="{00000000-0008-0000-0E00-00003B740000}"/>
            </a:ext>
          </a:extLst>
        </xdr:cNvPr>
        <xdr:cNvSpPr>
          <a:spLocks noChangeShapeType="1"/>
        </xdr:cNvSpPr>
      </xdr:nvSpPr>
      <xdr:spPr bwMode="auto">
        <a:xfrm>
          <a:off x="4000500" y="16367760"/>
          <a:ext cx="342900" cy="0"/>
        </a:xfrm>
        <a:prstGeom prst="line">
          <a:avLst/>
        </a:prstGeom>
        <a:noFill/>
        <a:ln w="9525">
          <a:solidFill>
            <a:srgbClr val="000000"/>
          </a:solidFill>
          <a:round/>
          <a:headEnd/>
          <a:tailEnd/>
        </a:ln>
      </xdr:spPr>
    </xdr:sp>
    <xdr:clientData/>
  </xdr:twoCellAnchor>
  <xdr:twoCellAnchor>
    <xdr:from>
      <xdr:col>6</xdr:col>
      <xdr:colOff>152400</xdr:colOff>
      <xdr:row>104</xdr:row>
      <xdr:rowOff>0</xdr:rowOff>
    </xdr:from>
    <xdr:to>
      <xdr:col>7</xdr:col>
      <xdr:colOff>0</xdr:colOff>
      <xdr:row>104</xdr:row>
      <xdr:rowOff>0</xdr:rowOff>
    </xdr:to>
    <xdr:sp macro="" textlink="">
      <xdr:nvSpPr>
        <xdr:cNvPr id="10" name="Line 15">
          <a:extLst>
            <a:ext uri="{FF2B5EF4-FFF2-40B4-BE49-F238E27FC236}">
              <a16:creationId xmlns:a16="http://schemas.microsoft.com/office/drawing/2014/main" id="{00000000-0008-0000-0E00-00003C740000}"/>
            </a:ext>
          </a:extLst>
        </xdr:cNvPr>
        <xdr:cNvSpPr>
          <a:spLocks noChangeShapeType="1"/>
        </xdr:cNvSpPr>
      </xdr:nvSpPr>
      <xdr:spPr bwMode="auto">
        <a:xfrm>
          <a:off x="4000500" y="17556480"/>
          <a:ext cx="342900" cy="0"/>
        </a:xfrm>
        <a:prstGeom prst="line">
          <a:avLst/>
        </a:prstGeom>
        <a:noFill/>
        <a:ln w="9525">
          <a:solidFill>
            <a:srgbClr val="000000"/>
          </a:solidFill>
          <a:round/>
          <a:headEnd/>
          <a:tailEnd/>
        </a:ln>
      </xdr:spPr>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19050</xdr:colOff>
          <xdr:row>40</xdr:row>
          <xdr:rowOff>190500</xdr:rowOff>
        </xdr:from>
        <xdr:to>
          <xdr:col>5</xdr:col>
          <xdr:colOff>38100</xdr:colOff>
          <xdr:row>42</xdr:row>
          <xdr:rowOff>28575</xdr:rowOff>
        </xdr:to>
        <xdr:sp macro="" textlink="">
          <xdr:nvSpPr>
            <xdr:cNvPr id="7169" name="Button 1" hidden="1">
              <a:extLst>
                <a:ext uri="{63B3BB69-23CF-44E3-9099-C40C66FF867C}">
                  <a14:compatExt spid="_x0000_s7169"/>
                </a:ext>
                <a:ext uri="{FF2B5EF4-FFF2-40B4-BE49-F238E27FC236}">
                  <a16:creationId xmlns:a16="http://schemas.microsoft.com/office/drawing/2014/main" id="{00000000-0008-0000-2200-0000011C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For Truck analysis only</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19050</xdr:colOff>
          <xdr:row>40</xdr:row>
          <xdr:rowOff>190500</xdr:rowOff>
        </xdr:from>
        <xdr:to>
          <xdr:col>5</xdr:col>
          <xdr:colOff>38100</xdr:colOff>
          <xdr:row>42</xdr:row>
          <xdr:rowOff>28575</xdr:rowOff>
        </xdr:to>
        <xdr:sp macro="" textlink="">
          <xdr:nvSpPr>
            <xdr:cNvPr id="7170" name="Button 2" hidden="1">
              <a:extLst>
                <a:ext uri="{63B3BB69-23CF-44E3-9099-C40C66FF867C}">
                  <a14:compatExt spid="_x0000_s7170"/>
                </a:ext>
                <a:ext uri="{FF2B5EF4-FFF2-40B4-BE49-F238E27FC236}">
                  <a16:creationId xmlns:a16="http://schemas.microsoft.com/office/drawing/2014/main" id="{00000000-0008-0000-2200-0000021C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For Truck analysis only</a:t>
              </a:r>
            </a:p>
          </xdr:txBody>
        </xdr:sp>
        <xdr:clientData fPrintsWithSheet="0"/>
      </xdr:twoCellAnchor>
    </mc:Choice>
    <mc:Fallback/>
  </mc:AlternateContent>
</xdr:wsDr>
</file>

<file path=xl/drawings/drawing8.xml><?xml version="1.0" encoding="utf-8"?>
<xdr:wsDr xmlns:xdr="http://schemas.openxmlformats.org/drawingml/2006/spreadsheetDrawing" xmlns:a="http://schemas.openxmlformats.org/drawingml/2006/main">
  <xdr:twoCellAnchor>
    <xdr:from>
      <xdr:col>8</xdr:col>
      <xdr:colOff>257175</xdr:colOff>
      <xdr:row>59</xdr:row>
      <xdr:rowOff>200025</xdr:rowOff>
    </xdr:from>
    <xdr:to>
      <xdr:col>9</xdr:col>
      <xdr:colOff>104775</xdr:colOff>
      <xdr:row>59</xdr:row>
      <xdr:rowOff>200025</xdr:rowOff>
    </xdr:to>
    <xdr:sp macro="" textlink="">
      <xdr:nvSpPr>
        <xdr:cNvPr id="2" name="Line 3">
          <a:extLst>
            <a:ext uri="{FF2B5EF4-FFF2-40B4-BE49-F238E27FC236}">
              <a16:creationId xmlns:a16="http://schemas.microsoft.com/office/drawing/2014/main" id="{00000000-0008-0000-1300-0000311C0000}"/>
            </a:ext>
          </a:extLst>
        </xdr:cNvPr>
        <xdr:cNvSpPr>
          <a:spLocks noChangeShapeType="1"/>
        </xdr:cNvSpPr>
      </xdr:nvSpPr>
      <xdr:spPr bwMode="auto">
        <a:xfrm>
          <a:off x="4471035" y="11812905"/>
          <a:ext cx="632460" cy="0"/>
        </a:xfrm>
        <a:prstGeom prst="line">
          <a:avLst/>
        </a:prstGeom>
        <a:noFill/>
        <a:ln w="9525">
          <a:solidFill>
            <a:srgbClr val="000000"/>
          </a:solidFill>
          <a:round/>
          <a:headEnd/>
          <a:tailEnd/>
        </a:ln>
      </xdr:spPr>
    </xdr:sp>
    <xdr:clientData/>
  </xdr:twoCellAnchor>
  <xdr:twoCellAnchor>
    <xdr:from>
      <xdr:col>8</xdr:col>
      <xdr:colOff>238125</xdr:colOff>
      <xdr:row>66</xdr:row>
      <xdr:rowOff>190500</xdr:rowOff>
    </xdr:from>
    <xdr:to>
      <xdr:col>9</xdr:col>
      <xdr:colOff>123825</xdr:colOff>
      <xdr:row>66</xdr:row>
      <xdr:rowOff>190500</xdr:rowOff>
    </xdr:to>
    <xdr:sp macro="" textlink="">
      <xdr:nvSpPr>
        <xdr:cNvPr id="3" name="Line 4">
          <a:extLst>
            <a:ext uri="{FF2B5EF4-FFF2-40B4-BE49-F238E27FC236}">
              <a16:creationId xmlns:a16="http://schemas.microsoft.com/office/drawing/2014/main" id="{00000000-0008-0000-1300-0000321C0000}"/>
            </a:ext>
          </a:extLst>
        </xdr:cNvPr>
        <xdr:cNvSpPr>
          <a:spLocks noChangeShapeType="1"/>
        </xdr:cNvSpPr>
      </xdr:nvSpPr>
      <xdr:spPr bwMode="auto">
        <a:xfrm>
          <a:off x="4451985" y="13098780"/>
          <a:ext cx="670560" cy="0"/>
        </a:xfrm>
        <a:prstGeom prst="line">
          <a:avLst/>
        </a:prstGeom>
        <a:noFill/>
        <a:ln w="9525">
          <a:solidFill>
            <a:srgbClr val="000000"/>
          </a:solidFill>
          <a:round/>
          <a:headEnd/>
          <a:tailEnd/>
        </a:ln>
      </xdr:spPr>
    </xdr:sp>
    <xdr:clientData/>
  </xdr:twoCellAnchor>
  <xdr:twoCellAnchor>
    <xdr:from>
      <xdr:col>4</xdr:col>
      <xdr:colOff>104775</xdr:colOff>
      <xdr:row>83</xdr:row>
      <xdr:rowOff>9525</xdr:rowOff>
    </xdr:from>
    <xdr:to>
      <xdr:col>4</xdr:col>
      <xdr:colOff>457200</xdr:colOff>
      <xdr:row>83</xdr:row>
      <xdr:rowOff>9525</xdr:rowOff>
    </xdr:to>
    <xdr:sp macro="" textlink="">
      <xdr:nvSpPr>
        <xdr:cNvPr id="4" name="Line 5">
          <a:extLst>
            <a:ext uri="{FF2B5EF4-FFF2-40B4-BE49-F238E27FC236}">
              <a16:creationId xmlns:a16="http://schemas.microsoft.com/office/drawing/2014/main" id="{00000000-0008-0000-1300-0000331C0000}"/>
            </a:ext>
          </a:extLst>
        </xdr:cNvPr>
        <xdr:cNvSpPr>
          <a:spLocks noChangeShapeType="1"/>
        </xdr:cNvSpPr>
      </xdr:nvSpPr>
      <xdr:spPr bwMode="auto">
        <a:xfrm>
          <a:off x="3122295" y="16293465"/>
          <a:ext cx="352425" cy="0"/>
        </a:xfrm>
        <a:prstGeom prst="line">
          <a:avLst/>
        </a:prstGeom>
        <a:noFill/>
        <a:ln w="9525">
          <a:solidFill>
            <a:srgbClr val="000000"/>
          </a:solidFill>
          <a:round/>
          <a:headEnd/>
          <a:tailEnd/>
        </a:ln>
      </xdr:spPr>
    </xdr:sp>
    <xdr:clientData/>
  </xdr:twoCellAnchor>
  <xdr:twoCellAnchor>
    <xdr:from>
      <xdr:col>8</xdr:col>
      <xdr:colOff>257175</xdr:colOff>
      <xdr:row>98</xdr:row>
      <xdr:rowOff>9525</xdr:rowOff>
    </xdr:from>
    <xdr:to>
      <xdr:col>9</xdr:col>
      <xdr:colOff>200025</xdr:colOff>
      <xdr:row>98</xdr:row>
      <xdr:rowOff>9525</xdr:rowOff>
    </xdr:to>
    <xdr:sp macro="" textlink="">
      <xdr:nvSpPr>
        <xdr:cNvPr id="5" name="Line 6">
          <a:extLst>
            <a:ext uri="{FF2B5EF4-FFF2-40B4-BE49-F238E27FC236}">
              <a16:creationId xmlns:a16="http://schemas.microsoft.com/office/drawing/2014/main" id="{00000000-0008-0000-1300-0000341C0000}"/>
            </a:ext>
          </a:extLst>
        </xdr:cNvPr>
        <xdr:cNvSpPr>
          <a:spLocks noChangeShapeType="1"/>
        </xdr:cNvSpPr>
      </xdr:nvSpPr>
      <xdr:spPr bwMode="auto">
        <a:xfrm>
          <a:off x="4471035" y="19158585"/>
          <a:ext cx="727710" cy="0"/>
        </a:xfrm>
        <a:prstGeom prst="line">
          <a:avLst/>
        </a:prstGeom>
        <a:noFill/>
        <a:ln w="9525">
          <a:solidFill>
            <a:srgbClr val="000000"/>
          </a:solidFill>
          <a:round/>
          <a:headEnd/>
          <a:tailEnd/>
        </a:ln>
      </xdr:spPr>
    </xdr:sp>
    <xdr:clientData/>
  </xdr:twoCellAnchor>
  <xdr:twoCellAnchor>
    <xdr:from>
      <xdr:col>3</xdr:col>
      <xdr:colOff>95250</xdr:colOff>
      <xdr:row>82</xdr:row>
      <xdr:rowOff>190500</xdr:rowOff>
    </xdr:from>
    <xdr:to>
      <xdr:col>3</xdr:col>
      <xdr:colOff>619125</xdr:colOff>
      <xdr:row>82</xdr:row>
      <xdr:rowOff>190500</xdr:rowOff>
    </xdr:to>
    <xdr:sp macro="" textlink="">
      <xdr:nvSpPr>
        <xdr:cNvPr id="6" name="Line 8">
          <a:extLst>
            <a:ext uri="{FF2B5EF4-FFF2-40B4-BE49-F238E27FC236}">
              <a16:creationId xmlns:a16="http://schemas.microsoft.com/office/drawing/2014/main" id="{00000000-0008-0000-1300-0000351C0000}"/>
            </a:ext>
          </a:extLst>
        </xdr:cNvPr>
        <xdr:cNvSpPr>
          <a:spLocks noChangeShapeType="1"/>
        </xdr:cNvSpPr>
      </xdr:nvSpPr>
      <xdr:spPr bwMode="auto">
        <a:xfrm>
          <a:off x="2457450" y="16276320"/>
          <a:ext cx="523875" cy="0"/>
        </a:xfrm>
        <a:prstGeom prst="line">
          <a:avLst/>
        </a:prstGeom>
        <a:noFill/>
        <a:ln w="9525">
          <a:solidFill>
            <a:srgbClr val="000000"/>
          </a:solidFill>
          <a:round/>
          <a:headEnd/>
          <a:tailEnd/>
        </a:ln>
      </xdr:spPr>
    </xdr:sp>
    <xdr:clientData/>
  </xdr:twoCellAnchor>
  <xdr:twoCellAnchor>
    <xdr:from>
      <xdr:col>8</xdr:col>
      <xdr:colOff>238125</xdr:colOff>
      <xdr:row>73</xdr:row>
      <xdr:rowOff>190500</xdr:rowOff>
    </xdr:from>
    <xdr:to>
      <xdr:col>9</xdr:col>
      <xdr:colOff>123825</xdr:colOff>
      <xdr:row>73</xdr:row>
      <xdr:rowOff>190500</xdr:rowOff>
    </xdr:to>
    <xdr:sp macro="" textlink="">
      <xdr:nvSpPr>
        <xdr:cNvPr id="7" name="Line 9">
          <a:extLst>
            <a:ext uri="{FF2B5EF4-FFF2-40B4-BE49-F238E27FC236}">
              <a16:creationId xmlns:a16="http://schemas.microsoft.com/office/drawing/2014/main" id="{00000000-0008-0000-1300-0000361C0000}"/>
            </a:ext>
          </a:extLst>
        </xdr:cNvPr>
        <xdr:cNvSpPr>
          <a:spLocks noChangeShapeType="1"/>
        </xdr:cNvSpPr>
      </xdr:nvSpPr>
      <xdr:spPr bwMode="auto">
        <a:xfrm>
          <a:off x="4451985" y="14531340"/>
          <a:ext cx="670560" cy="0"/>
        </a:xfrm>
        <a:prstGeom prst="line">
          <a:avLst/>
        </a:prstGeom>
        <a:noFill/>
        <a:ln w="9525">
          <a:solidFill>
            <a:srgbClr val="000000"/>
          </a:solidFill>
          <a:round/>
          <a:headEnd/>
          <a:tailEnd/>
        </a:ln>
      </xdr:spPr>
    </xdr:sp>
    <xdr:clientData/>
  </xdr:twoCellAnchor>
  <xdr:twoCellAnchor>
    <xdr:from>
      <xdr:col>8</xdr:col>
      <xdr:colOff>238125</xdr:colOff>
      <xdr:row>73</xdr:row>
      <xdr:rowOff>190500</xdr:rowOff>
    </xdr:from>
    <xdr:to>
      <xdr:col>9</xdr:col>
      <xdr:colOff>123825</xdr:colOff>
      <xdr:row>73</xdr:row>
      <xdr:rowOff>190500</xdr:rowOff>
    </xdr:to>
    <xdr:sp macro="" textlink="">
      <xdr:nvSpPr>
        <xdr:cNvPr id="8" name="Line 15">
          <a:extLst>
            <a:ext uri="{FF2B5EF4-FFF2-40B4-BE49-F238E27FC236}">
              <a16:creationId xmlns:a16="http://schemas.microsoft.com/office/drawing/2014/main" id="{00000000-0008-0000-1300-0000371C0000}"/>
            </a:ext>
          </a:extLst>
        </xdr:cNvPr>
        <xdr:cNvSpPr>
          <a:spLocks noChangeShapeType="1"/>
        </xdr:cNvSpPr>
      </xdr:nvSpPr>
      <xdr:spPr bwMode="auto">
        <a:xfrm>
          <a:off x="4451985" y="14531340"/>
          <a:ext cx="670560" cy="0"/>
        </a:xfrm>
        <a:prstGeom prst="line">
          <a:avLst/>
        </a:prstGeom>
        <a:noFill/>
        <a:ln w="9525">
          <a:solidFill>
            <a:srgbClr val="000000"/>
          </a:solidFill>
          <a:round/>
          <a:headEnd/>
          <a:tailEnd/>
        </a:ln>
      </xdr:spPr>
    </xdr:sp>
    <xdr:clientData/>
  </xdr:twoCellAnchor>
  <xdr:twoCellAnchor>
    <xdr:from>
      <xdr:col>8</xdr:col>
      <xdr:colOff>247650</xdr:colOff>
      <xdr:row>83</xdr:row>
      <xdr:rowOff>9525</xdr:rowOff>
    </xdr:from>
    <xdr:to>
      <xdr:col>8</xdr:col>
      <xdr:colOff>714375</xdr:colOff>
      <xdr:row>83</xdr:row>
      <xdr:rowOff>9525</xdr:rowOff>
    </xdr:to>
    <xdr:sp macro="" textlink="">
      <xdr:nvSpPr>
        <xdr:cNvPr id="9" name="Line 16">
          <a:extLst>
            <a:ext uri="{FF2B5EF4-FFF2-40B4-BE49-F238E27FC236}">
              <a16:creationId xmlns:a16="http://schemas.microsoft.com/office/drawing/2014/main" id="{00000000-0008-0000-1300-0000381C0000}"/>
            </a:ext>
          </a:extLst>
        </xdr:cNvPr>
        <xdr:cNvSpPr>
          <a:spLocks noChangeShapeType="1"/>
        </xdr:cNvSpPr>
      </xdr:nvSpPr>
      <xdr:spPr bwMode="auto">
        <a:xfrm>
          <a:off x="4461510" y="16293465"/>
          <a:ext cx="466725" cy="0"/>
        </a:xfrm>
        <a:prstGeom prst="line">
          <a:avLst/>
        </a:prstGeom>
        <a:noFill/>
        <a:ln w="9525">
          <a:solidFill>
            <a:srgbClr val="000000"/>
          </a:solidFill>
          <a:round/>
          <a:headEnd/>
          <a:tailEnd/>
        </a:ln>
      </xdr:spPr>
    </xdr:sp>
    <xdr:clientData/>
  </xdr:twoCellAnchor>
</xdr:wsDr>
</file>

<file path=xl/drawings/drawing9.xml><?xml version="1.0" encoding="utf-8"?>
<xdr:wsDr xmlns:xdr="http://schemas.openxmlformats.org/drawingml/2006/spreadsheetDrawing" xmlns:a="http://schemas.openxmlformats.org/drawingml/2006/main">
  <xdr:twoCellAnchor>
    <xdr:from>
      <xdr:col>7</xdr:col>
      <xdr:colOff>314325</xdr:colOff>
      <xdr:row>13</xdr:row>
      <xdr:rowOff>152400</xdr:rowOff>
    </xdr:from>
    <xdr:to>
      <xdr:col>8</xdr:col>
      <xdr:colOff>28575</xdr:colOff>
      <xdr:row>13</xdr:row>
      <xdr:rowOff>152400</xdr:rowOff>
    </xdr:to>
    <xdr:sp macro="" textlink="">
      <xdr:nvSpPr>
        <xdr:cNvPr id="2" name="Line 1">
          <a:extLst>
            <a:ext uri="{FF2B5EF4-FFF2-40B4-BE49-F238E27FC236}">
              <a16:creationId xmlns:a16="http://schemas.microsoft.com/office/drawing/2014/main" id="{00000000-0008-0000-1600-000015240000}"/>
            </a:ext>
          </a:extLst>
        </xdr:cNvPr>
        <xdr:cNvSpPr>
          <a:spLocks noChangeShapeType="1"/>
        </xdr:cNvSpPr>
      </xdr:nvSpPr>
      <xdr:spPr bwMode="auto">
        <a:xfrm>
          <a:off x="4726305" y="2247900"/>
          <a:ext cx="430530" cy="0"/>
        </a:xfrm>
        <a:prstGeom prst="line">
          <a:avLst/>
        </a:prstGeom>
        <a:noFill/>
        <a:ln w="9525">
          <a:solidFill>
            <a:srgbClr val="000000"/>
          </a:solidFill>
          <a:round/>
          <a:headEnd/>
          <a:tailEnd/>
        </a:ln>
      </xdr:spPr>
    </xdr:sp>
    <xdr:clientData/>
  </xdr:twoCellAnchor>
  <xdr:twoCellAnchor>
    <xdr:from>
      <xdr:col>7</xdr:col>
      <xdr:colOff>295275</xdr:colOff>
      <xdr:row>18</xdr:row>
      <xdr:rowOff>152400</xdr:rowOff>
    </xdr:from>
    <xdr:to>
      <xdr:col>8</xdr:col>
      <xdr:colOff>9525</xdr:colOff>
      <xdr:row>18</xdr:row>
      <xdr:rowOff>152400</xdr:rowOff>
    </xdr:to>
    <xdr:sp macro="" textlink="">
      <xdr:nvSpPr>
        <xdr:cNvPr id="3" name="Line 2">
          <a:extLst>
            <a:ext uri="{FF2B5EF4-FFF2-40B4-BE49-F238E27FC236}">
              <a16:creationId xmlns:a16="http://schemas.microsoft.com/office/drawing/2014/main" id="{00000000-0008-0000-1600-000016240000}"/>
            </a:ext>
          </a:extLst>
        </xdr:cNvPr>
        <xdr:cNvSpPr>
          <a:spLocks noChangeShapeType="1"/>
        </xdr:cNvSpPr>
      </xdr:nvSpPr>
      <xdr:spPr bwMode="auto">
        <a:xfrm>
          <a:off x="4707255" y="3086100"/>
          <a:ext cx="430530" cy="0"/>
        </a:xfrm>
        <a:prstGeom prst="line">
          <a:avLst/>
        </a:prstGeom>
        <a:noFill/>
        <a:ln w="9525">
          <a:solidFill>
            <a:srgbClr val="000000"/>
          </a:solidFill>
          <a:round/>
          <a:headEnd/>
          <a:tailEnd/>
        </a:ln>
      </xdr:spPr>
    </xdr:sp>
    <xdr:clientData/>
  </xdr:twoCellAnchor>
  <xdr:twoCellAnchor>
    <xdr:from>
      <xdr:col>7</xdr:col>
      <xdr:colOff>276225</xdr:colOff>
      <xdr:row>35</xdr:row>
      <xdr:rowOff>0</xdr:rowOff>
    </xdr:from>
    <xdr:to>
      <xdr:col>7</xdr:col>
      <xdr:colOff>685800</xdr:colOff>
      <xdr:row>35</xdr:row>
      <xdr:rowOff>0</xdr:rowOff>
    </xdr:to>
    <xdr:sp macro="" textlink="">
      <xdr:nvSpPr>
        <xdr:cNvPr id="4" name="Line 3">
          <a:extLst>
            <a:ext uri="{FF2B5EF4-FFF2-40B4-BE49-F238E27FC236}">
              <a16:creationId xmlns:a16="http://schemas.microsoft.com/office/drawing/2014/main" id="{00000000-0008-0000-1600-000017240000}"/>
            </a:ext>
          </a:extLst>
        </xdr:cNvPr>
        <xdr:cNvSpPr>
          <a:spLocks noChangeShapeType="1"/>
        </xdr:cNvSpPr>
      </xdr:nvSpPr>
      <xdr:spPr bwMode="auto">
        <a:xfrm>
          <a:off x="4688205" y="5783580"/>
          <a:ext cx="409575" cy="0"/>
        </a:xfrm>
        <a:prstGeom prst="line">
          <a:avLst/>
        </a:prstGeom>
        <a:noFill/>
        <a:ln w="9525">
          <a:solidFill>
            <a:srgbClr val="000000"/>
          </a:solidFill>
          <a:round/>
          <a:headEnd/>
          <a:tailEnd/>
        </a:ln>
      </xdr:spPr>
    </xdr:sp>
    <xdr:clientData/>
  </xdr:twoCellAnchor>
  <xdr:twoCellAnchor>
    <xdr:from>
      <xdr:col>7</xdr:col>
      <xdr:colOff>257175</xdr:colOff>
      <xdr:row>40</xdr:row>
      <xdr:rowOff>0</xdr:rowOff>
    </xdr:from>
    <xdr:to>
      <xdr:col>7</xdr:col>
      <xdr:colOff>666750</xdr:colOff>
      <xdr:row>40</xdr:row>
      <xdr:rowOff>0</xdr:rowOff>
    </xdr:to>
    <xdr:sp macro="" textlink="">
      <xdr:nvSpPr>
        <xdr:cNvPr id="5" name="Line 4">
          <a:extLst>
            <a:ext uri="{FF2B5EF4-FFF2-40B4-BE49-F238E27FC236}">
              <a16:creationId xmlns:a16="http://schemas.microsoft.com/office/drawing/2014/main" id="{00000000-0008-0000-1600-000018240000}"/>
            </a:ext>
          </a:extLst>
        </xdr:cNvPr>
        <xdr:cNvSpPr>
          <a:spLocks noChangeShapeType="1"/>
        </xdr:cNvSpPr>
      </xdr:nvSpPr>
      <xdr:spPr bwMode="auto">
        <a:xfrm>
          <a:off x="4669155" y="6621780"/>
          <a:ext cx="409575" cy="0"/>
        </a:xfrm>
        <a:prstGeom prst="line">
          <a:avLst/>
        </a:prstGeom>
        <a:no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t1\d\RWSS-2001&amp;2002\DESIGN%20ESTIMATE-Batch-IV\CHECKED%20BY%20SA\MRMG\Design%20estimate-Damare-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t2\d\FINIDA\System-1-final\OHT-8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IDRS\Dropbox\ITECO\Okhaldhunga\Okhaldhunga\VOL-_III_(Cost%20Estimate)\OHT-8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5%20small%20towns\boq\Gorkha%20boq\Dhanusha_District\SAMPLE%20Cost%20Estimate_KB%20Road\MONKWEST.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Estimate%2034+120%20t0%2040+037.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Indra\Users\dell\AppData\Roaming\Microsoft\Excel\From%20Mahato%20sir\Project%20Ongoing\Sewerage\UEIP-II\Biratnagar%20Municipality\STUIP_Biratnagar%20on%20Cm\Design\Northern%20System\SD%20Northern%20System%20T.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Indra\Users\dell\AppData\Roaming\Microsoft\Excel\From%20Mahato%20sir\Project%20Ongoing\Sewerage\UEIP-II\Biratnagar%20Municipality\STUIP_Biratnagar%20on%20Cm\Design\Northern%20System\SD%20Northern%20System%20T3-old.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I:\Users\morang\Desktop\AK-Estimate-2072-7-1\Bhagbati%206,7\Design-Allekhola\Estimate.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Rojina\Co-finance%20Chitwan\Parsa\BCMDO\Rate%20Analysis%20062-63\2062%20Civil\Rate%20Ana062-63%20(edited).xls" TargetMode="External"/></Relationships>
</file>

<file path=xl/externalLinks/_rels/externalLink10.xml.rels><?xml version="1.0" encoding="UTF-8" standalone="yes"?>
<Relationships xmlns="http://schemas.openxmlformats.org/package/2006/relationships"><Relationship Id="rId2" Type="http://schemas.microsoft.com/office/2019/04/relationships/externalLinkLongPath" Target="file:///\\Indra\Users\dell\AppData\Roaming\Microsoft\Excel\From%20Mahato%20sir\Project%20Ongoing\Sewerage\UEIP-II\Biratnagar%20Municipality\STUIP_Biratnagar%20on%20Cm\Design\Draft%20Final\DF%20Northern%20System\Sewerage\SD%20Northern%20System%20T2.xls?ACE5EEDA" TargetMode="External"/><Relationship Id="rId1" Type="http://schemas.openxmlformats.org/officeDocument/2006/relationships/externalLinkPath" Target="file:///\\ACE5EEDA\SD%20Northern%20System%20T2.xls" TargetMode="External"/></Relationships>
</file>

<file path=xl/externalLinks/_rels/externalLink11.xml.rels><?xml version="1.0" encoding="UTF-8" standalone="yes"?>
<Relationships xmlns="http://schemas.openxmlformats.org/package/2006/relationships"><Relationship Id="rId2" Type="http://schemas.microsoft.com/office/2019/04/relationships/externalLinkLongPath" Target="file:///\\Indra\Users\dell\AppData\Roaming\Microsoft\Excel\From%20Mahato%20sir\Project%20Ongoing\Sewerage\UEIP-II\Biratnagar%20Municipality\STUIP_Biratnagar%20on%20Cm\Design\Draft%20Final\DF%20Northern%20System\Sewerage\SD%20Northern%20System%20T4-OLD.xls?ACE5EEDA" TargetMode="External"/><Relationship Id="rId1" Type="http://schemas.openxmlformats.org/officeDocument/2006/relationships/externalLinkPath" Target="file:///\\ACE5EEDA\SD%20Northern%20System%20T4-OLD.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68-69Work\Estimate-068-69\Khodpe%206566%20printed\Estimatekhodpe.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f%20drive\Yojana-aayog\069-70\69-70Annual-program\western\New%20Karyakram\SASP_Quarter\All%20Files%20Data\rate%20analysis.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Indra\Users\dell\AppData\Roaming\Microsoft\Excel\From%20Mahato%20sir\Users\office\AppData\Local\Temp\Ramsubaran\Biratnagar%20Office\FINAL%20RATE%20ANALYSIS%202064.065\District%20Rate%20,%20Morang%202065.66\RATE_ANA64__65%20Mora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f%20drive\Yojana-aayog\069-70\69-70Annual-program\western\New%20Karyakram\SASP_Quarter\All%20Files%20Data\DAMA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Dilasaini-Rudreswor%20WSP\Design.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Admin\Estimates-Baitadi\Revised%20Haat\Developping\Design.xls"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Slab%20Culvert%20Estimation%20Finalized.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Copy%20of%20Rate%20&amp;%20Cost%20Estimate%20Ramechhap%20Road%20Aug%2012%20up%20to%2025km.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GAURAB\Kups%20review\WINDOWS\Desktop\Resrvoir%20Calculation.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I:\Users\ashit\Desktop\UEIP%20II\From%20chudamuni%20sir\Estimate_BOQ_Full%20Rehab%20-%20northern%20(BAL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D:\Users\nirjal\Dropbox\ITECO\Gorkha%20final%20estim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Indra\Users\dell\AppData\Roaming\Microsoft\Excel\From%20Mahato%20sir\UEIP%20II\From%20chudamuni%20sir\Estimate_BOQ_Full%20Rehab%20-%20northern%20(BAL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Division%20works\Estimates\GURUNG\REPORTS\4TH-WSP\FORMAT-2\TABLES.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I:\GURUNG\REPORTS\4TH-WSP\FORMAT-2\TABLES.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GURUNG\REPORTS\4TH-WSP\FORMAT-2\TABLES.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I:\Users\rajesh\Desktop\RURAL%20PROJECTS\MALIKA-ARJUN\FINAL\Estimate-Malika-Arjun-sc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3%20KBKarki\Integrated%20Plan%20&amp;%20Progress-23%20June\DWSS%20Plan%20&amp;%20Progress\Exported%20Files\Tanahu.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CM%20Ghimire\STIUEIP\Biratnagar\Engineer's%20Estimate\Enginner's%20Estimate%20for%20Road%20Storm%20Drains\Asphalt%20Concrete%20Surface_Rd%20only\FROM%20BHOLA%2016%20DECEMBER%202012\Estimate_BOQ_Full%20Rehab%20-%20southern.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A:\GURUNG\REPORTS\4TH-WSP\FORMAT-2\TABLES.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I:\OFFICE\Nagarpalika\SHANKHARAPUR%20NAGARPALIKA\yojana\079080\Rate%20Analysis\Road-rate-analysis-079-80-shankharapur-as-per-dor-norms-nnnn.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Wa3\e\Birendranagar%20BOQ%20Comp\BOQ%20Cost%20Total%20Birendranagar%20Jan%2012%202004.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D:\f%20drive\Yojana-aayog\069-70\69-70Annual-program\western\New%20Karyakram\SASP_Quarter\All%20Files%20Data\Desig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I:\Users\ashit\Desktop\BCMDO\Rate%20Analysis%20062-63\2062%20Civil\Rate%20Ana062-63%20(edited).xls" TargetMode="External"/></Relationships>
</file>

<file path=xl/externalLinks/_rels/externalLink35.xml.rels><?xml version="1.0" encoding="UTF-8" standalone="yes"?>
<Relationships xmlns="http://schemas.openxmlformats.org/package/2006/relationships"><Relationship Id="rId2" Type="http://schemas.microsoft.com/office/2019/04/relationships/externalLinkLongPath" Target="file:///I:\Users\ashit\Desktop\BDA\Projects\Current%20Projects\UEIP%20-%20Dhulikhel%20Municipality\Shops%20&amp;%20Cafe\Cost%20Estimates\Dhulikhel%20Toilet%20Block\kriti%20folder\design,estimation%20calculation\My%20folder\MRADOH%20PRACTICE\Rate%20Ana063-64-final(english).xls?D7430498" TargetMode="External"/><Relationship Id="rId1" Type="http://schemas.openxmlformats.org/officeDocument/2006/relationships/externalLinkPath" Target="file:///\\D7430498\Rate%20Ana063-64-final(english).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Wrd-4\e\rajen\Work\Rate%20Analysis\Sirsiya.xls" TargetMode="External"/></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Revised%20estimation%20of%20Gumu%20Khola.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Indra\Users\dell\AppData\Roaming\Microsoft\Excel\From%20Mahato%20sir\UEIP%20II\Southern%20System\Draft\Estimate_BOQ_Full%20Rehab%20-%20southern.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Wrd-4\e\rajen\Work\Rate%20Analysis\Working%20Folder\HID.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Wa3\e\Birendranagar%20BOQ%20Comp\BOQ%20Cost%20Total%20Birendranagar%20May%2031%202004.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3%20KBKarki\Integrated%20Plan%20&amp;%20Progress-23%20June\DWSS%20Plan%20&amp;%20Progress\Plan%20&amp;%20Progress.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Indra\Users\dell\AppData\Roaming\Microsoft\Excel\From%20Mahato%20sir\Documents%20and%20Settings\pramananda\Desktop\Boq%20final\Revised\Estimate\FINALRate%20067-68\Analysis067_068\Civil%20rate%20Analysis%20067-68%20Kathmandu.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1-Baitadi%20Final%205th%20May\Volume%20III-%20Cost%20Estimate%20revised%2069-70%20Final\29th%20june%20Baitadi%20Cost_estimates\Electromechanical%20cost\Nepal\Old%20documents%20etc\BDS%20BIDDING%20DOCUMENTS\BDS1_2\BDS01_r_oct.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I:\Users\ashit\Desktop\CM%20Ghimire\STIUEIP\Biratnagar\Engineer's%20Estimate\Enginner's%20Estimate%20for%20Road%20Storm%20Drains\Asphalt%20Concrete%20Surface_Rd%20only\Rate%20analysis%20Transmission%20-%20Copy.xls" TargetMode="External"/></Relationships>
</file>

<file path=xl/externalLinks/_rels/externalLink45.xml.rels><?xml version="1.0" encoding="UTF-8" standalone="yes"?>
<Relationships xmlns="http://schemas.openxmlformats.org/package/2006/relationships"><Relationship Id="rId1" Type="http://schemas.microsoft.com/office/2006/relationships/xlExternalLinkPath/xlPathMissing" Target="Distribution%20Network%20Design_Duhabhi-final.xlsx"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Gate1\d\RWSS-2001&amp;2002\Cost%20Estimation\RWS-CS-Summary.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Indra\Users\dell\AppData\Roaming\Microsoft\Excel\From%20Mahato%20sir\BCMDO\Rate%20Analysis%20062-63\2062%20Civil\Rate%20Ana062-63%20(edited).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Indra\Users\dell\AppData\Roaming\Microsoft\Excel\From%20Mahato%20sir\MY%20DOCUMENT\Template\(RATE_ANL1)RATE_ANL."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H:\Small%20Town%20Final\@Kawasoti\Final%20Report\Estimate%20Appendix%20Revised\BOQ\Revised%20Estimate%20July%2026.xls" TargetMode="External"/></Relationships>
</file>

<file path=xl/externalLinks/_rels/externalLink50.xml.rels><?xml version="1.0" encoding="UTF-8" standalone="yes"?>
<Relationships xmlns="http://schemas.openxmlformats.org/package/2006/relationships"><Relationship Id="rId1" Type="http://schemas.microsoft.com/office/2006/relationships/xlExternalLinkPath/xlPathMissing" Target="rate%20analysis-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E:\DWSS%20project%204\Estimate.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D:\Annual%20prog\Copy%20of%20PLAN%20&amp;%20PROGRESS%20@%20WSSDO%2048-4-804%20,%2068-69new\Exported%20Files\Lamjung48&#8212;4&#8212;804.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Indra\Users\dell\AppData\Roaming\Microsoft\Excel\From%20Mahato%20sir\Detail%20Estimate-12%20October%202014%20final.xlsx"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H:\Timilsina%20hari\Works_districts\Sindhupalchok\Copy%20of%20BOQ_Sunawal%20with%20Rate%20and%20Amount.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I:\Users\ashit\Desktop\mahesh%20document\SAN_FINAL_RATE_ANALYSIS_063.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Users\morang\Desktop\AK-Estimate-2072-7-1\Bhagbati%206,7\Design-Allekhola\Design.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D:\Users\morang\Desktop\AK-Estimate-2072-7-1\Bhagbati%206,7\Design-Allekhola\FITTINGS.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Cm\SHARE\T2\SD%20Northern%20System%20T2%20New-Rojina.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I:\Users\Rajesh\Dropbox\salyan_final\scheme_2\Estimate_Salyan2.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D:\PROJECTS\COFINANCE\PROJECTS\KHANI%20KHOLA\Khani%20Khola%20Estimate.xlsx"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D:\PROJECTS\COFINANCE\PROJECTS\Plush%20%20DPR%20Final%20reports%20072_73\4.%20Khalanga-Jajarkot\F.%20Estimate\Cost%20Estimate.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I:\Users\Rajesh\Dropbox\salyan_final\Scheme_3%20(Bame)\Estimate_Salyan_Scheme-3.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I:\Users\Rajesh\Dropbox\Sarada%20WSP%20&amp;%20Bame%20WSP\Kauchhe\Solar_Pump_Design_Kauchhe.xlsx"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I:\OFFICE\Nagarpalika\SHANKHARAPUR%20NAGARPALIKA\yojana\078079\BID%20078.79\khanepaani\DhungeKhola_WSP\ESTIMATE\Rate%20Analysis%20dhungekhola%20%20thekka.xlsx"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I:\OFFICE\Nagarpalika\SHANKHARAPUR%20NAGARPALIKA\yojana\079080\ward%20no.%208\Bidding\MANICHUD%20WSP\tender%20079-80\part%201\Rate%20Analysis%20manichood%20Khanepani%20079-80%20part%201%201st%20running%20bill%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Information"/>
      <sheetName val="Board-Approval"/>
      <sheetName val="TAC-sheet"/>
      <sheetName val="board sheet"/>
      <sheetName val="Cover"/>
      <sheetName val="DATA INPUT"/>
      <sheetName val="Water Demand"/>
      <sheetName val="RVT Size"/>
      <sheetName val="Hyd Design"/>
      <sheetName val="1-Summary Proposal"/>
      <sheetName val="2-Per Capita and Contribution"/>
      <sheetName val="3 to 8 Software Cost Proposal"/>
      <sheetName val="9-31 Scheme Summary"/>
      <sheetName val="10-32 Hardware Cost Proposal"/>
      <sheetName val="11-33 Hardware Cost Proposal 1"/>
      <sheetName val="12-34 WS Summary"/>
      <sheetName val="13-35 Inst-lat Summary"/>
      <sheetName val="14-36 S Protect Cost Summary"/>
      <sheetName val="Truck-Trans"/>
      <sheetName val="15-37 Transport"/>
      <sheetName val="16-38 Porterage"/>
      <sheetName val="17-39 Local Mat"/>
      <sheetName val="Norms"/>
      <sheetName val="18-40 Tools"/>
      <sheetName val="19-41 Cost - Local + Lab"/>
      <sheetName val="20-42 Others"/>
      <sheetName val="21-43 Pipes"/>
      <sheetName val="22 to 26-44 Fittings"/>
      <sheetName val="Inst-Lat"/>
      <sheetName val="Catch"/>
      <sheetName val="pvt-tap"/>
      <sheetName val="Qty Estimate intake"/>
      <sheetName val="Material BD intake"/>
      <sheetName val="Material BD blocks"/>
      <sheetName val="AUTO RF MTHD"/>
      <sheetName val="Abney"/>
      <sheetName val="Link-File"/>
      <sheetName val="ERR Calculation"/>
      <sheetName val="od-id"/>
      <sheetName val="New s-curve"/>
      <sheetName val="update Rate"/>
      <sheetName val="BR"/>
      <sheetName val="Rate Analysis"/>
      <sheetName val="FRT 1"/>
      <sheetName val="Data-Table"/>
      <sheetName val="Tran Rate (2)"/>
      <sheetName val="Dmand 1"/>
      <sheetName val="District Rates"/>
      <sheetName val="Pipe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Table"/>
      <sheetName val="Quantity"/>
      <sheetName val="Sheet3"/>
      <sheetName val="Salient"/>
      <sheetName val="Summary"/>
      <sheetName val="UC"/>
      <sheetName val="Mesh_Fencing"/>
      <sheetName val="BRBD-A"/>
      <sheetName val="INT"/>
      <sheetName val="Fitt_INT1"/>
      <sheetName val="INT_Stream"/>
      <sheetName val="Fitt_INTST"/>
      <sheetName val="Fitt_CC"/>
      <sheetName val="QNT-CC"/>
      <sheetName val="Suspended Crossing"/>
      <sheetName val="Analysis"/>
      <sheetName val="fe-tank"/>
      <sheetName val="RVT_50"/>
      <sheetName val="Fitt_50"/>
      <sheetName val="Fitt_RT2"/>
      <sheetName val="VLV-CHMB"/>
      <sheetName val="VC_Fittings"/>
      <sheetName val="Pipe Sum"/>
      <sheetName val="Pipe_Sch-1"/>
      <sheetName val="Pipe_Sch-2"/>
      <sheetName val="PLwork"/>
      <sheetName val="PSP"/>
      <sheetName val="HH"/>
      <sheetName val="CHL"/>
      <sheetName val="Tools1"/>
      <sheetName val="Entry for Rates"/>
      <sheetName val="Transportation "/>
      <sheetName val="Sheet1"/>
      <sheetName val="T.C. for sand"/>
      <sheetName val="Rate Analysis"/>
      <sheetName val="MR"/>
      <sheetName val="Rate-1"/>
      <sheetName val="Rates"/>
      <sheetName val="PD_Design"/>
      <sheetName val="PipeDesign"/>
      <sheetName val="DR"/>
      <sheetName val="MHS12"/>
      <sheetName val="pumph12"/>
      <sheetName val="Septictank"/>
      <sheetName val="Soakpit12"/>
      <sheetName val="Water tank"/>
      <sheetName val="update Rate"/>
      <sheetName val="Update Descrip"/>
      <sheetName val="Dmand 2"/>
      <sheetName val="RCT"/>
      <sheetName val="SedTank"/>
      <sheetName val="CostSummary"/>
      <sheetName val="Water Demand"/>
      <sheetName val="od-id"/>
      <sheetName val="FRT 1"/>
    </sheetNames>
    <sheetDataSet>
      <sheetData sheetId="0" refreshError="1">
        <row r="3">
          <cell r="D3">
            <v>8</v>
          </cell>
        </row>
        <row r="4">
          <cell r="D4">
            <v>2</v>
          </cell>
        </row>
        <row r="6">
          <cell r="D6">
            <v>2.75</v>
          </cell>
        </row>
        <row r="7">
          <cell r="D7">
            <v>5.2</v>
          </cell>
        </row>
        <row r="8">
          <cell r="D8">
            <v>3.55</v>
          </cell>
        </row>
        <row r="10">
          <cell r="D10">
            <v>0.45</v>
          </cell>
        </row>
        <row r="11">
          <cell r="D11">
            <v>0.45</v>
          </cell>
        </row>
        <row r="14">
          <cell r="D14">
            <v>0.45</v>
          </cell>
        </row>
        <row r="15">
          <cell r="D15">
            <v>0.65</v>
          </cell>
        </row>
        <row r="16">
          <cell r="D16">
            <v>0.45</v>
          </cell>
        </row>
        <row r="17">
          <cell r="D17">
            <v>0.65</v>
          </cell>
        </row>
        <row r="18">
          <cell r="D18">
            <v>0.6</v>
          </cell>
        </row>
        <row r="19">
          <cell r="D19">
            <v>0.45</v>
          </cell>
        </row>
        <row r="24">
          <cell r="D24">
            <v>0.45</v>
          </cell>
        </row>
        <row r="25">
          <cell r="D25">
            <v>0.47499999999999998</v>
          </cell>
        </row>
        <row r="26">
          <cell r="D26">
            <v>0.25</v>
          </cell>
        </row>
        <row r="27">
          <cell r="D27">
            <v>0.4</v>
          </cell>
        </row>
      </sheetData>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27">
          <cell r="D27">
            <v>0</v>
          </cell>
        </row>
      </sheetData>
      <sheetData sheetId="33">
        <row r="27">
          <cell r="D27">
            <v>0</v>
          </cell>
        </row>
      </sheetData>
      <sheetData sheetId="34">
        <row r="27">
          <cell r="D27">
            <v>0</v>
          </cell>
        </row>
      </sheetData>
      <sheetData sheetId="35">
        <row r="27">
          <cell r="D27">
            <v>0</v>
          </cell>
        </row>
      </sheetData>
      <sheetData sheetId="36">
        <row r="27">
          <cell r="D27">
            <v>0</v>
          </cell>
        </row>
      </sheetData>
      <sheetData sheetId="37">
        <row r="27">
          <cell r="D27">
            <v>0</v>
          </cell>
        </row>
      </sheetData>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refreshError="1"/>
      <sheetData sheetId="53" refreshError="1"/>
      <sheetData sheetId="5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Table"/>
      <sheetName val="Quantity"/>
      <sheetName val="Sheet3"/>
    </sheetNames>
    <sheetDataSet>
      <sheetData sheetId="0" refreshError="1">
        <row r="3">
          <cell r="D3">
            <v>8</v>
          </cell>
        </row>
        <row r="26">
          <cell r="D26">
            <v>0.25</v>
          </cell>
        </row>
        <row r="27">
          <cell r="D27">
            <v>0.4</v>
          </cell>
        </row>
      </sheetData>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rate-cvl"/>
    </sheetNames>
    <sheetDataSet>
      <sheetData sheetId="0"/>
      <sheetData sheetId="1" refreshError="1"/>
      <sheetData sheetId="2" refreshError="1"/>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riage &gt;50m"/>
      <sheetName val="Summary of Rates-A"/>
      <sheetName val="Clxn &amp; Tran."/>
      <sheetName val="DR"/>
      <sheetName val="Details Cost"/>
      <sheetName val="Summary cost"/>
      <sheetName val="BOQ"/>
      <sheetName val="Analysis"/>
      <sheetName val="Summary "/>
      <sheetName val="Abstract"/>
      <sheetName val="Tree Cutting"/>
      <sheetName val="Site Clerance"/>
      <sheetName val="EW Road"/>
      <sheetName val="EW Structure"/>
      <sheetName val="Drystone RW"/>
      <sheetName val="Gabion RW"/>
      <sheetName val="Geotextile Work"/>
      <sheetName val="Sheet1"/>
      <sheetName val="SUMM_RATE"/>
      <sheetName val="PipeList"/>
    </sheetNames>
    <sheetDataSet>
      <sheetData sheetId="0" refreshError="1"/>
      <sheetData sheetId="1" refreshError="1"/>
      <sheetData sheetId="2" refreshError="1"/>
      <sheetData sheetId="3" refreshError="1">
        <row r="12">
          <cell r="D12">
            <v>275</v>
          </cell>
        </row>
        <row r="13">
          <cell r="D13">
            <v>325</v>
          </cell>
        </row>
        <row r="19">
          <cell r="D19">
            <v>16.666666666666668</v>
          </cell>
        </row>
        <row r="23">
          <cell r="D23">
            <v>1044.42</v>
          </cell>
        </row>
        <row r="24">
          <cell r="D24">
            <v>1833.3333333333333</v>
          </cell>
        </row>
        <row r="28">
          <cell r="D28">
            <v>1139.0075000000002</v>
          </cell>
        </row>
        <row r="31">
          <cell r="D31">
            <v>14784.16</v>
          </cell>
        </row>
        <row r="33">
          <cell r="D33">
            <v>62833.557522123898</v>
          </cell>
        </row>
        <row r="34">
          <cell r="D34">
            <v>60532.672566371686</v>
          </cell>
        </row>
        <row r="35">
          <cell r="D35">
            <v>63337.982300884963</v>
          </cell>
        </row>
        <row r="36">
          <cell r="D36">
            <v>79.384000000000015</v>
          </cell>
        </row>
        <row r="38">
          <cell r="D38">
            <v>77.983999999999995</v>
          </cell>
        </row>
        <row r="39">
          <cell r="D39">
            <v>1462.0583999999999</v>
          </cell>
        </row>
        <row r="40">
          <cell r="D40">
            <v>98.79</v>
          </cell>
        </row>
        <row r="41">
          <cell r="D41">
            <v>5804.5</v>
          </cell>
        </row>
        <row r="42">
          <cell r="D42">
            <v>11601.5</v>
          </cell>
        </row>
        <row r="44">
          <cell r="D44">
            <v>1980</v>
          </cell>
        </row>
        <row r="45">
          <cell r="D45">
            <v>2696</v>
          </cell>
        </row>
        <row r="47">
          <cell r="D47">
            <v>225</v>
          </cell>
        </row>
        <row r="51">
          <cell r="D51">
            <v>67.5</v>
          </cell>
        </row>
        <row r="55">
          <cell r="D55">
            <v>43.92</v>
          </cell>
        </row>
        <row r="56">
          <cell r="D56">
            <v>52.75</v>
          </cell>
        </row>
        <row r="57">
          <cell r="D57">
            <v>74.150000000000006</v>
          </cell>
        </row>
        <row r="58">
          <cell r="D58">
            <v>100.59</v>
          </cell>
        </row>
        <row r="60">
          <cell r="D60">
            <v>500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FTWEL"/>
      <sheetName val="PD_Design"/>
      <sheetName val="Nodal Flow Cal"/>
      <sheetName val="Nodal Flow Cal1"/>
      <sheetName val="Pop Density"/>
      <sheetName val="Syphon_Dhobi"/>
      <sheetName val="CD_Design"/>
      <sheetName val="Invt Lev"/>
      <sheetName val="Finish Level"/>
    </sheetNames>
    <sheetDataSet>
      <sheetData sheetId="0" refreshError="1"/>
      <sheetData sheetId="1"/>
      <sheetData sheetId="2" refreshError="1"/>
      <sheetData sheetId="3" refreshError="1"/>
      <sheetData sheetId="4">
        <row r="8">
          <cell r="H8">
            <v>250</v>
          </cell>
        </row>
        <row r="9">
          <cell r="H9">
            <v>300</v>
          </cell>
        </row>
        <row r="10">
          <cell r="H10">
            <v>300</v>
          </cell>
        </row>
        <row r="14">
          <cell r="H14">
            <v>200</v>
          </cell>
        </row>
        <row r="16">
          <cell r="H16">
            <v>300</v>
          </cell>
        </row>
        <row r="18">
          <cell r="H18">
            <v>300</v>
          </cell>
        </row>
        <row r="19">
          <cell r="H19">
            <v>300</v>
          </cell>
        </row>
        <row r="20">
          <cell r="H20">
            <v>250</v>
          </cell>
        </row>
      </sheetData>
      <sheetData sheetId="5" refreshError="1"/>
      <sheetData sheetId="6" refreshError="1"/>
      <sheetData sheetId="7" refreshError="1"/>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FTWEL"/>
      <sheetName val="PD_Design"/>
      <sheetName val="Nodal Flow Cal"/>
      <sheetName val="Nodal Flow Cal1"/>
      <sheetName val="Pop Density"/>
      <sheetName val="Syphon_Dhobi"/>
      <sheetName val="CD_Design"/>
      <sheetName val="Invt Lev"/>
      <sheetName val="Finish Level"/>
    </sheetNames>
    <sheetDataSet>
      <sheetData sheetId="0"/>
      <sheetData sheetId="1"/>
      <sheetData sheetId="2"/>
      <sheetData sheetId="3"/>
      <sheetData sheetId="4"/>
      <sheetData sheetId="5"/>
      <sheetData sheetId="6"/>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SP-3"/>
      <sheetName val="CostSummary"/>
      <sheetName val="BLANK QNTT Sheet"/>
      <sheetName val="Trainings"/>
      <sheetName val="SLTS Budget Summary"/>
      <sheetName val="Intake Repairs"/>
      <sheetName val="Panera"/>
      <sheetName val="repairs of structures"/>
      <sheetName val="RT Repair"/>
      <sheetName val="SprInt1"/>
      <sheetName val="SprInt2"/>
      <sheetName val="Compound"/>
      <sheetName val="Pump House"/>
      <sheetName val="Sumpwell"/>
      <sheetName val="Electrical"/>
      <sheetName val="StrInt1"/>
      <sheetName val="StrInt2"/>
      <sheetName val="StrInt3"/>
      <sheetName val="Masonry CC,DC,IC,BPT"/>
      <sheetName val="SedTank"/>
      <sheetName val="ConCh"/>
      <sheetName val="FER-SED"/>
      <sheetName val="MRT"/>
      <sheetName val="FRT"/>
      <sheetName val="RCT"/>
      <sheetName val="BarSchedule"/>
      <sheetName val="Sheets"/>
      <sheetName val="Fence"/>
      <sheetName val="RCC VC"/>
      <sheetName val="Rcc CC,DC,IC,BPC"/>
      <sheetName val="PBPC"/>
      <sheetName val="VCs"/>
      <sheetName val="Cabl-Cross"/>
      <sheetName val="UnderCros"/>
      <sheetName val="Piprot"/>
      <sheetName val="Miscel"/>
      <sheetName val="PSP1"/>
      <sheetName val="HouseConection"/>
      <sheetName val="Operator House"/>
      <sheetName val="PSP2"/>
      <sheetName val="MRT-1"/>
      <sheetName val="PSP-4B"/>
      <sheetName val="PSP V"/>
      <sheetName val="VIP1"/>
      <sheetName val="VIP2"/>
      <sheetName val="VIP3"/>
      <sheetName val="DP Lat"/>
      <sheetName val="RtAn"/>
      <sheetName val="MatCol"/>
      <sheetName val="CCDCIC"/>
      <sheetName val="SteelForm"/>
      <sheetName val="Rcc DC,IC,BPC"/>
      <sheetName val="RCCRT1"/>
      <sheetName val="Bar1"/>
      <sheetName val="FRT 1"/>
      <sheetName val="MRT1"/>
      <sheetName val="RMT100"/>
      <sheetName val="RMT150"/>
      <sheetName val="Cabl-Des"/>
      <sheetName val="CabCros"/>
      <sheetName val="DRates"/>
      <sheetName val="ElectroMech"/>
      <sheetName val="Trainings work"/>
      <sheetName val="House connection"/>
      <sheetName val="Pipe supporter"/>
      <sheetName val="For filter media"/>
      <sheetName val="Rtna2"/>
      <sheetName val="Sump well"/>
      <sheetName val="Guard and pump house"/>
      <sheetName val="pipe cost"/>
      <sheetName val="Summary of Cost_TS"/>
      <sheetName val="BOQ Treatment plant"/>
      <sheetName val="Casing pipe"/>
      <sheetName val="Laying&amp;Jointing DL "/>
      <sheetName val="Procurement of pipe"/>
      <sheetName val="Summary of cost"/>
      <sheetName val="Silent feature "/>
      <sheetName val="Electrome"/>
      <sheetName val="ElectroMech (final)"/>
      <sheetName val="Hattidhunga pump"/>
      <sheetName val="Pumphouse"/>
      <sheetName val="Pump Capacity"/>
      <sheetName val="Sel of pump"/>
      <sheetName val="SUMM Final "/>
      <sheetName val="Salint-Feartures."/>
      <sheetName val="Appro."/>
      <sheetName val="Pipe"/>
      <sheetName val="HRF"/>
      <sheetName val="Sheet1"/>
      <sheetName val="Valve"/>
      <sheetName val="MRT (1)"/>
      <sheetName val="PSP III"/>
      <sheetName val="Estimate"/>
      <sheetName val="DisInfecChambr"/>
      <sheetName val="Operator House (2)"/>
      <sheetName val="SedTank-RCC8LPS"/>
      <sheetName val="LowWeirIntk1"/>
      <sheetName val="Cabl-Des (2)"/>
      <sheetName val="Fence (2)"/>
      <sheetName val="SUMM Final"/>
      <sheetName val="SW"/>
      <sheetName val="S Feature65_66"/>
      <sheetName val="Summary65_66"/>
      <sheetName val="Fitting"/>
      <sheetName val="Fitting (2)"/>
      <sheetName val="T&amp;P"/>
      <sheetName val="pipeline"/>
      <sheetName val="Electromechanical"/>
      <sheetName val="Eletro-mech"/>
      <sheetName val="PSP1SM"/>
      <sheetName val="PSPII"/>
      <sheetName val="MRT (1cum)"/>
      <sheetName val="MRT (2cum)"/>
      <sheetName val="Mason CC"/>
      <sheetName val="BPC)"/>
      <sheetName val="Toilet"/>
      <sheetName val="HDP Rate"/>
      <sheetName val="Agreement"/>
      <sheetName val="Workcomp"/>
      <sheetName val="Bill 67_68"/>
      <sheetName val="OfficeBldg-B (2)"/>
      <sheetName val="StrIntk4"/>
      <sheetName val="OfficeBldg-B1"/>
      <sheetName val="SSF"/>
      <sheetName val="Pump House-B"/>
      <sheetName val="Operator House-B"/>
      <sheetName val="Site Dev"/>
      <sheetName val="OfficeBldg-A"/>
      <sheetName val="Salient feature (2)"/>
      <sheetName val="Sump well (Tansen)"/>
      <sheetName val="Purcurement of pipe DL"/>
      <sheetName val="LnJ DL Sch2"/>
      <sheetName val="LnJ DL Sch4"/>
      <sheetName val="LnJ DL Sch5"/>
      <sheetName val="Summary DL"/>
      <sheetName val="Salient feature"/>
      <sheetName val="Junction Well"/>
      <sheetName val="data"/>
      <sheetName val="Casing Well"/>
      <sheetName val="FENC"/>
      <sheetName val="Pipeline works"/>
      <sheetName val="Protection block"/>
      <sheetName val="Pipe transportation"/>
      <sheetName val="Gabion Protection"/>
      <sheetName val="Latrine"/>
      <sheetName val="agrmt-2072-73"/>
      <sheetName val="1st bill"/>
      <sheetName val="BAR+GATE"/>
      <sheetName val="Sheet2"/>
      <sheetName val="Entry for Rates"/>
      <sheetName val="Rate-1"/>
      <sheetName val="MR"/>
      <sheetName val="sum cost_All"/>
      <sheetName val="Source"/>
      <sheetName val="Scheme(maidan)"/>
      <sheetName val="Electro-mech"/>
      <sheetName val="hmg-cc"/>
      <sheetName val="Weel-Protec"/>
      <sheetName val="Rates"/>
      <sheetName val="gi pipe weld"/>
      <sheetName val="stream intake"/>
      <sheetName val="int"/>
      <sheetName val="AIR-VLV"/>
      <sheetName val="pip-line Shasralinga (8)"/>
      <sheetName val="pip-line Raigaun Saurad (7)"/>
      <sheetName val="pip-line Finnikot (6)"/>
      <sheetName val="pip-line Chauuripaad (5)"/>
      <sheetName val="pip-line Maurada(4)"/>
      <sheetName val="pip-line Gagarmati(3)"/>
      <sheetName val="Pipeline CHIDIYAR"/>
      <sheetName val="pip-line"/>
      <sheetName val="Pipe Raigaun Shasralinga(8)"/>
      <sheetName val="Pipe Raigaun Sarad(7)"/>
      <sheetName val="Pipe Finnikot(6)"/>
      <sheetName val="Pipe Chaauripaad(5)"/>
      <sheetName val="Pipe Maurada (4)"/>
      <sheetName val="Pipe Gagarmati (3)"/>
      <sheetName val="pipe CHIDIYAR"/>
      <sheetName val="STR-CRS2"/>
      <sheetName val="DC_3 Ch"/>
      <sheetName val="FITINGS"/>
      <sheetName val="CC-DC"/>
      <sheetName val="vc-bpt"/>
      <sheetName val="Scheme1"/>
      <sheetName val="14 m3"/>
      <sheetName val="10 m3"/>
      <sheetName val="FittingsSummary (2)"/>
      <sheetName val="tools"/>
      <sheetName val="fe-Rt quant"/>
      <sheetName val="Module1"/>
      <sheetName val="9m3 rvt"/>
      <sheetName val="Analysis"/>
      <sheetName val="fittings"/>
      <sheetName val="Pipeline anildhar"/>
      <sheetName val="pipe anildhar"/>
      <sheetName val="10 m3 rvt"/>
      <sheetName val="T &amp; P"/>
      <sheetName val="update Rate"/>
      <sheetName val="Basic"/>
      <sheetName val="Laying edited"/>
      <sheetName val="OfficeBldg-B"/>
      <sheetName val="Sheet3"/>
      <sheetName val="Int Repair"/>
      <sheetName val="Supply"/>
      <sheetName val="Boaring"/>
      <sheetName val="Platf"/>
      <sheetName val="RCC intake"/>
      <sheetName val="RCCcc"/>
      <sheetName val="RCC DC"/>
      <sheetName val="RCCRT130"/>
      <sheetName val="PSB"/>
      <sheetName val="material Break Down"/>
      <sheetName val="RCC bohora "/>
      <sheetName val="Trans. to site"/>
      <sheetName val="LMC"/>
      <sheetName val="R. at site"/>
      <sheetName val="R. Ana."/>
      <sheetName val="Qty"/>
      <sheetName val="Panel B H"/>
      <sheetName val="Intake"/>
      <sheetName val="protection"/>
      <sheetName val="costing"/>
      <sheetName val="Com"/>
      <sheetName val="100"/>
      <sheetName val="sanitation"/>
      <sheetName val="Pipro "/>
      <sheetName val="Total summary"/>
      <sheetName val="Rate ana OHT"/>
      <sheetName val="Boring &amp; Elect"/>
      <sheetName val="Pump H."/>
      <sheetName val="C OHT 225"/>
      <sheetName val="C OHT 100"/>
      <sheetName val="SDT"/>
      <sheetName val="School toilet"/>
      <sheetName val="OQOB"/>
      <sheetName val="QC16 fcrvt"/>
      <sheetName val="O Q"/>
      <sheetName val="Truck"/>
      <sheetName val="Tra"/>
      <sheetName val="Material"/>
      <sheetName val="Rate Analysis"/>
      <sheetName val="Guard Cum Office Bldg"/>
      <sheetName val="OHT-225"/>
      <sheetName val="Compound Wall"/>
      <sheetName val="District mat Rate"/>
      <sheetName val="PipeList"/>
      <sheetName val="Dmand 2"/>
      <sheetName val="FitData"/>
      <sheetName val="PipeLineWork"/>
      <sheetName val="PFdata"/>
      <sheetName val="DesignCriteria"/>
      <sheetName val="PD-TMPLT"/>
      <sheetName val="Sumpwell1"/>
      <sheetName val="PSP 5"/>
      <sheetName val="Summary cost"/>
      <sheetName val="Salient FEATURES"/>
      <sheetName val="salient feature of kholpakhod"/>
      <sheetName val="sailent fea.bhadradhara"/>
      <sheetName val="salient Malikathanta"/>
      <sheetName val="Salient of Raralihi"/>
      <sheetName val="Features"/>
      <sheetName val="PipeDesign"/>
      <sheetName val="Completion"/>
      <sheetName val="IPC Final"/>
      <sheetName val="Qty Mea. Sheet"/>
      <sheetName val="Abstract of cost for community"/>
      <sheetName val="Eartwork Calculation"/>
      <sheetName val="Eartwork Calculation (2)"/>
      <sheetName val="lEVEL SHEET"/>
      <sheetName val="Boq"/>
      <sheetName val="MAIN BUILD"/>
      <sheetName val="Ground Floor (2)"/>
      <sheetName val="Ground Floor (3)"/>
      <sheetName val="Ground Floor"/>
      <sheetName val="First Floor"/>
      <sheetName val="Second floor"/>
      <sheetName val="SUMM"/>
      <sheetName val="Check Sheet"/>
      <sheetName val="Drains &amp; Int roads"/>
      <sheetName val="Septic tank and soak pit"/>
      <sheetName val="SUMM_RATE"/>
      <sheetName val="RATA_ANA"/>
      <sheetName val="BOQ_ELEC"/>
      <sheetName val="BASIC_UR"/>
      <sheetName val="BOQ_WS&amp;S"/>
      <sheetName val="BOQ_CIVIL"/>
      <sheetName val="rate ana"/>
      <sheetName val="Manual Haul Rate"/>
      <sheetName val="Cover Page"/>
      <sheetName val="Sailent Feature"/>
      <sheetName val="summaryof cost"/>
      <sheetName val="Final Scheme cost"/>
      <sheetName val="Pipe weight"/>
      <sheetName val="District Rate"/>
      <sheetName val="Item"/>
      <sheetName val="Summary"/>
      <sheetName val="abstract1"/>
      <sheetName val="rvt1-20cum"/>
      <sheetName val="RVT4cum"/>
      <sheetName val="RVT20cum"/>
      <sheetName val="guard house"/>
      <sheetName val="RVT RCC 100"/>
      <sheetName val="Public Tapstand"/>
      <sheetName val="Anchor Block"/>
      <sheetName val="BPT"/>
      <sheetName val="Pipe Procurement"/>
      <sheetName val="pipe procurement and layingwork"/>
      <sheetName val="PS II"/>
      <sheetName val="Break Down"/>
      <sheetName val="household connection"/>
      <sheetName val="pipe fittings"/>
      <sheetName val="Electric Pumping"/>
      <sheetName val="electrical works"/>
      <sheetName val="valve chamber"/>
      <sheetName val="fencing with gate"/>
      <sheetName val="7 m3"/>
      <sheetName val="fcrt 16"/>
      <sheetName val="training"/>
      <sheetName val="Pipe anchorage"/>
      <sheetName val="barbed wire fencing"/>
      <sheetName val="stream cross"/>
      <sheetName val="Electricity"/>
      <sheetName val="Summary of QUANTITY"/>
      <sheetName val="Transportation Cost"/>
      <sheetName val="Breakdown"/>
      <sheetName val="Survey "/>
      <sheetName val="Breakdown Sanitation"/>
      <sheetName val="Pipe Support Block"/>
      <sheetName val="Sumpwell Maintenance"/>
      <sheetName val="PST"/>
      <sheetName val="RCC RT 50 m3 "/>
      <sheetName val="Chaukidar Quarter"/>
      <sheetName val="Fencing"/>
      <sheetName val="Compound Wall  Sch_1"/>
      <sheetName val="Compound Wall to be edited in  "/>
      <sheetName val="grill gate"/>
      <sheetName val="Qty_Estimate"/>
      <sheetName val="septic tank"/>
      <sheetName val=" summary of rate"/>
      <sheetName val="compound wall detail"/>
      <sheetName val="fencing for scheme no 1"/>
      <sheetName val="RtAn (2)"/>
      <sheetName val="RtAn (1)"/>
      <sheetName val="Mat.Col"/>
      <sheetName val="excavator rate"/>
      <sheetName val="1_Abstract of cost "/>
      <sheetName val="Compound Wall for Agreement"/>
      <sheetName val="Agreement Final"/>
      <sheetName val="1st runnig bill "/>
      <sheetName val="MB for ssf 1st running"/>
      <sheetName val="1st run VAT Calc"/>
      <sheetName val="1st runnig bill  (2)"/>
      <sheetName val="MB for ssf 1st running (2)"/>
      <sheetName val="1st run VAT Calc (2)"/>
      <sheetName val="MB 2 RCC Tank 50"/>
      <sheetName val="2nd run VAT Calc for reference"/>
      <sheetName val="2nd runnig bill For reference"/>
      <sheetName val="Qty_Estimate (2)"/>
      <sheetName val="hint for gi pillar"/>
      <sheetName val="3_Small Rate analysis"/>
      <sheetName val="Transport"/>
      <sheetName val="vidhan dai SSF"/>
      <sheetName val="Logic"/>
      <sheetName val="agrrement 2"/>
      <sheetName val="ProfileData"/>
      <sheetName val="Dmand 1"/>
      <sheetName val="Pumphouse1"/>
      <sheetName val="BOQ_B"/>
      <sheetName val="BOQ_strwise"/>
      <sheetName val="cover"/>
      <sheetName val="sum cost"/>
      <sheetName val="Abstract"/>
      <sheetName val="Psp"/>
      <sheetName val="fe-tank"/>
      <sheetName val="CC,DC"/>
      <sheetName val="X-ings"/>
      <sheetName val="sanitation status"/>
      <sheetName val="PD-CW-Sample"/>
      <sheetName val="GroundProfile"/>
      <sheetName val="person involved in survey"/>
      <sheetName val="Rate-2"/>
      <sheetName val="Analysis new"/>
      <sheetName val="truck ana"/>
      <sheetName val=" CC,DC,IC,BPT"/>
      <sheetName val="S Corssing"/>
      <sheetName val="G Crossing"/>
      <sheetName val="BLANK QNTT Sheet "/>
      <sheetName val="CostSum."/>
      <sheetName val="SSch1"/>
      <sheetName val="SSch2"/>
      <sheetName val="SSch3"/>
      <sheetName val="SSch4"/>
      <sheetName val="SSch5"/>
      <sheetName val="DamInt"/>
      <sheetName val="CC,DC,BPT,"/>
      <sheetName val="IC"/>
      <sheetName val="DC"/>
      <sheetName val="VC"/>
      <sheetName val="GullyCro"/>
      <sheetName val="Support Pillar"/>
      <sheetName val="Pro.pip&amp;fit"/>
      <sheetName val="Trans"/>
      <sheetName val="Trans Porter"/>
      <sheetName val="RaAn"/>
      <sheetName val="MatCot"/>
      <sheetName val="PSP Repair"/>
      <sheetName val="Detail"/>
      <sheetName val="ABS"/>
      <sheetName val="miss"/>
      <sheetName val="SepticT"/>
      <sheetName val="Soakpit"/>
      <sheetName val="waterT"/>
      <sheetName val="Pump"/>
      <sheetName val="manhole"/>
      <sheetName val="Sitedev."/>
      <sheetName val="Shedule"/>
      <sheetName val="Basic rates"/>
      <sheetName val="Upto Plinth Level_Cafeteria"/>
      <sheetName val="hall"/>
      <sheetName val="Community Contribution"/>
      <sheetName val="General Item"/>
      <sheetName val="Financial Analysis &amp; Afford"/>
      <sheetName val="Maintenance Cost"/>
      <sheetName val="Infiltration Gallery"/>
      <sheetName val="Well construction"/>
      <sheetName val="Office_Bld_cost"/>
      <sheetName val="Office_Bld_qty"/>
      <sheetName val="GG and Wiremesh Fencing"/>
      <sheetName val="RCC"/>
      <sheetName val="RCC-RVT"/>
      <sheetName val="10m3"/>
      <sheetName val="100m3"/>
      <sheetName val="150m3"/>
      <sheetName val="200m3"/>
      <sheetName val="Break Pressure Chamber"/>
      <sheetName val="Stream Crossing"/>
      <sheetName val="Suspended Cross"/>
      <sheetName val="Public Tap"/>
      <sheetName val="RSF"/>
      <sheetName val="Disinfection_chamb"/>
      <sheetName val="pipeline_Protect"/>
      <sheetName val="Tools &amp; Plants-2"/>
      <sheetName val="Tools &amp; Plants-1"/>
      <sheetName val="Cons Rate"/>
      <sheetName val="Unit Rates"/>
      <sheetName val="Materials rate"/>
      <sheetName val="Mtr Rate"/>
      <sheetName val="Standards"/>
      <sheetName val="An-1"/>
      <sheetName val="Pipes"/>
      <sheetName val="Rate analy"/>
      <sheetName val="Pump &amp; Panel"/>
      <sheetName val="DTW Fittings (2)"/>
      <sheetName val="DTW Fittings"/>
      <sheetName val=" CC,IC"/>
      <sheetName val=" CC,IC,BPT"/>
      <sheetName val="SLTS "/>
      <sheetName val="PSPRepair"/>
      <sheetName val="Lay&amp;Join"/>
      <sheetName val="StrInt1 (2)"/>
      <sheetName val="Dmand 3"/>
      <sheetName val="Dmand 4"/>
      <sheetName val="Dmand 5"/>
      <sheetName val="Dmand 6"/>
      <sheetName val="Dmand 7"/>
      <sheetName val="Dmand 8"/>
      <sheetName val="Report."/>
      <sheetName val=" Cost"/>
      <sheetName val="Intake's brkdn"/>
      <sheetName val="qrygravel"/>
      <sheetName val="Gravel trap's brkdn."/>
      <sheetName val="Aqueduct"/>
      <sheetName val="Aqdt.'s brkdn."/>
      <sheetName val="Canal, sluce gate &amp; check wall"/>
      <sheetName val="c,s,check wall's brkdn."/>
      <sheetName val="Trail race"/>
      <sheetName val="Trail's brkdn."/>
      <sheetName val="Tranporation details"/>
      <sheetName val="Trns. rate details"/>
      <sheetName val="RA-bldg"/>
      <sheetName val="R-Analysis DoLIDAR"/>
      <sheetName val="Transporation"/>
      <sheetName val="RH Design"/>
      <sheetName val="Summary67_68"/>
      <sheetName val="Bill Muni"/>
      <sheetName val="WorkMuni"/>
      <sheetName val="Municipality"/>
      <sheetName val="Bill B"/>
      <sheetName val="SprInt2 (2)"/>
      <sheetName val="Cabl-Cross (2)"/>
      <sheetName val="Bill sch2"/>
      <sheetName val="Work comp sch2"/>
      <sheetName val="Agreement sch2 kujagaad"/>
      <sheetName val="Agreement sch3,bakot"/>
      <sheetName val="Bill sch3"/>
      <sheetName val="Work comp 3"/>
      <sheetName val="S Feature70_71"/>
      <sheetName val="Summary70_71"/>
      <sheetName val="fitt buy"/>
      <sheetName val=" Repair work"/>
      <sheetName val="Truck Analysis"/>
      <sheetName val="Materials-Rate "/>
      <sheetName val="Transport "/>
      <sheetName val="Dist Rates"/>
      <sheetName val="Filling"/>
      <sheetName val="EW,L&amp;J,Dist."/>
      <sheetName val="Pipe Rate &amp;Cost"/>
      <sheetName val="Borehole-Plateform"/>
      <sheetName val="C-wall "/>
      <sheetName val="Operators Quarter"/>
      <sheetName val="Toilet+Bath"/>
      <sheetName val="Septic Tank small"/>
      <sheetName val="OHT 450 cum"/>
      <sheetName val="OHT 225 Details "/>
      <sheetName val="VC-Large"/>
      <sheetName val="VC-small"/>
      <sheetName val="AVC"/>
      <sheetName val="Surface valve box"/>
      <sheetName val="GI valve Box"/>
      <sheetName val="Bar shedule-R"/>
      <sheetName val="OHT 100m3"/>
      <sheetName val="Septic Tank-big"/>
      <sheetName val="Treatment Plant"/>
      <sheetName val="Generator shed"/>
      <sheetName val="Psp type 3"/>
      <sheetName val="Humepipe"/>
      <sheetName val="Culvert"/>
      <sheetName val="Crossing"/>
      <sheetName val="Approach road"/>
      <sheetName val="Chlorination Unit "/>
      <sheetName val="Electromechanical-4"/>
      <sheetName val="Electrification-4"/>
      <sheetName val="Fitt.AK"/>
      <sheetName val="tran"/>
      <sheetName val="Sanit-1"/>
      <sheetName val="Pipe Estimate"/>
      <sheetName val="EW,L&amp;J,Trans"/>
      <sheetName val="PE-100"/>
      <sheetName val="Sanit-2"/>
      <sheetName val="Affordability cost"/>
      <sheetName val="Bar shedule-ori"/>
      <sheetName val="support-Protection"/>
      <sheetName val="Abs_tank"/>
      <sheetName val="PSPs"/>
      <sheetName val="Abstract Cost"/>
      <sheetName val="ateCodes_x0000_TimeCodes_x0000_OverrideShor"/>
      <sheetName val="Estimate Summary"/>
      <sheetName val="SCREEN"/>
      <sheetName val="Ta403"/>
      <sheetName val="Chainmesh fencing"/>
    </sheetNames>
    <sheetDataSet>
      <sheetData sheetId="0">
        <row r="1">
          <cell r="B1">
            <v>13</v>
          </cell>
        </row>
      </sheetData>
      <sheetData sheetId="1">
        <row r="1">
          <cell r="B1">
            <v>13</v>
          </cell>
        </row>
      </sheetData>
      <sheetData sheetId="2">
        <row r="1">
          <cell r="B1">
            <v>13</v>
          </cell>
        </row>
      </sheetData>
      <sheetData sheetId="3">
        <row r="1">
          <cell r="B1">
            <v>13</v>
          </cell>
        </row>
      </sheetData>
      <sheetData sheetId="4" refreshError="1"/>
      <sheetData sheetId="5" refreshError="1"/>
      <sheetData sheetId="6">
        <row r="1">
          <cell r="B1">
            <v>13</v>
          </cell>
        </row>
      </sheetData>
      <sheetData sheetId="7">
        <row r="1">
          <cell r="B1">
            <v>13</v>
          </cell>
        </row>
      </sheetData>
      <sheetData sheetId="8">
        <row r="1">
          <cell r="B1">
            <v>13</v>
          </cell>
        </row>
      </sheetData>
      <sheetData sheetId="9">
        <row r="1">
          <cell r="B1">
            <v>13</v>
          </cell>
        </row>
      </sheetData>
      <sheetData sheetId="10">
        <row r="1">
          <cell r="B1">
            <v>13</v>
          </cell>
        </row>
      </sheetData>
      <sheetData sheetId="11">
        <row r="1">
          <cell r="B1">
            <v>13</v>
          </cell>
        </row>
      </sheetData>
      <sheetData sheetId="12">
        <row r="1">
          <cell r="B1">
            <v>13</v>
          </cell>
        </row>
      </sheetData>
      <sheetData sheetId="13">
        <row r="1">
          <cell r="B1">
            <v>13</v>
          </cell>
        </row>
      </sheetData>
      <sheetData sheetId="14">
        <row r="1">
          <cell r="B1">
            <v>13</v>
          </cell>
        </row>
      </sheetData>
      <sheetData sheetId="15">
        <row r="1">
          <cell r="B1">
            <v>13</v>
          </cell>
        </row>
      </sheetData>
      <sheetData sheetId="16">
        <row r="1">
          <cell r="B1">
            <v>13</v>
          </cell>
        </row>
      </sheetData>
      <sheetData sheetId="17">
        <row r="1">
          <cell r="B1">
            <v>13</v>
          </cell>
        </row>
      </sheetData>
      <sheetData sheetId="18">
        <row r="1">
          <cell r="B1">
            <v>13</v>
          </cell>
        </row>
      </sheetData>
      <sheetData sheetId="19">
        <row r="1">
          <cell r="B1">
            <v>13</v>
          </cell>
        </row>
      </sheetData>
      <sheetData sheetId="20" refreshError="1"/>
      <sheetData sheetId="21">
        <row r="1">
          <cell r="B1">
            <v>15</v>
          </cell>
        </row>
      </sheetData>
      <sheetData sheetId="22" refreshError="1"/>
      <sheetData sheetId="23" refreshError="1">
        <row r="1">
          <cell r="B1">
            <v>13</v>
          </cell>
        </row>
        <row r="87">
          <cell r="K87">
            <v>172874.82028129447</v>
          </cell>
        </row>
        <row r="169">
          <cell r="K169">
            <v>80090.325608524057</v>
          </cell>
        </row>
        <row r="251">
          <cell r="K251">
            <v>119542.3171296511</v>
          </cell>
        </row>
        <row r="333">
          <cell r="K333">
            <v>177200.17749855685</v>
          </cell>
        </row>
      </sheetData>
      <sheetData sheetId="24" refreshError="1">
        <row r="1">
          <cell r="B1">
            <v>13</v>
          </cell>
        </row>
        <row r="98">
          <cell r="K98">
            <v>555520.14478992065</v>
          </cell>
        </row>
        <row r="286">
          <cell r="K286">
            <v>238779.83241328868</v>
          </cell>
        </row>
      </sheetData>
      <sheetData sheetId="25" refreshError="1"/>
      <sheetData sheetId="26">
        <row r="1">
          <cell r="B1">
            <v>13</v>
          </cell>
        </row>
      </sheetData>
      <sheetData sheetId="27">
        <row r="1">
          <cell r="B1">
            <v>13</v>
          </cell>
        </row>
      </sheetData>
      <sheetData sheetId="28">
        <row r="1">
          <cell r="B1">
            <v>13</v>
          </cell>
        </row>
      </sheetData>
      <sheetData sheetId="29">
        <row r="1">
          <cell r="B1">
            <v>13</v>
          </cell>
        </row>
      </sheetData>
      <sheetData sheetId="30">
        <row r="1">
          <cell r="B1">
            <v>13</v>
          </cell>
        </row>
      </sheetData>
      <sheetData sheetId="31">
        <row r="1">
          <cell r="B1">
            <v>13</v>
          </cell>
        </row>
      </sheetData>
      <sheetData sheetId="32">
        <row r="1">
          <cell r="B1">
            <v>13</v>
          </cell>
        </row>
      </sheetData>
      <sheetData sheetId="33">
        <row r="1">
          <cell r="B1">
            <v>13</v>
          </cell>
        </row>
      </sheetData>
      <sheetData sheetId="34">
        <row r="1">
          <cell r="B1">
            <v>13</v>
          </cell>
        </row>
      </sheetData>
      <sheetData sheetId="35">
        <row r="1">
          <cell r="B1">
            <v>13</v>
          </cell>
        </row>
      </sheetData>
      <sheetData sheetId="36">
        <row r="1">
          <cell r="B1">
            <v>13</v>
          </cell>
        </row>
      </sheetData>
      <sheetData sheetId="37">
        <row r="1">
          <cell r="B1">
            <v>13</v>
          </cell>
        </row>
      </sheetData>
      <sheetData sheetId="38"/>
      <sheetData sheetId="39"/>
      <sheetData sheetId="40">
        <row r="1">
          <cell r="B1">
            <v>13</v>
          </cell>
        </row>
      </sheetData>
      <sheetData sheetId="41">
        <row r="1">
          <cell r="B1">
            <v>13</v>
          </cell>
        </row>
      </sheetData>
      <sheetData sheetId="42">
        <row r="1">
          <cell r="B1">
            <v>13</v>
          </cell>
        </row>
      </sheetData>
      <sheetData sheetId="43">
        <row r="1">
          <cell r="B1">
            <v>13</v>
          </cell>
        </row>
      </sheetData>
      <sheetData sheetId="44">
        <row r="1">
          <cell r="B1">
            <v>13</v>
          </cell>
        </row>
      </sheetData>
      <sheetData sheetId="45">
        <row r="1">
          <cell r="B1">
            <v>13</v>
          </cell>
        </row>
      </sheetData>
      <sheetData sheetId="46">
        <row r="1">
          <cell r="B1">
            <v>13</v>
          </cell>
        </row>
      </sheetData>
      <sheetData sheetId="47">
        <row r="1">
          <cell r="B1">
            <v>13</v>
          </cell>
        </row>
      </sheetData>
      <sheetData sheetId="48" refreshError="1">
        <row r="6">
          <cell r="D6">
            <v>1.91</v>
          </cell>
        </row>
        <row r="7">
          <cell r="D7">
            <v>0.4</v>
          </cell>
        </row>
        <row r="21">
          <cell r="K21">
            <v>5460</v>
          </cell>
        </row>
        <row r="28">
          <cell r="U28">
            <v>65416.6</v>
          </cell>
        </row>
        <row r="32">
          <cell r="K32">
            <v>22610</v>
          </cell>
        </row>
        <row r="36">
          <cell r="U36">
            <v>93.936363636363637</v>
          </cell>
        </row>
        <row r="37">
          <cell r="K37">
            <v>22610</v>
          </cell>
          <cell r="U37">
            <v>93.936363636363637</v>
          </cell>
        </row>
        <row r="39">
          <cell r="U39">
            <v>6283.4181818181814</v>
          </cell>
        </row>
        <row r="40">
          <cell r="U40">
            <v>430.70363636363635</v>
          </cell>
        </row>
        <row r="45">
          <cell r="K45">
            <v>33.54</v>
          </cell>
        </row>
        <row r="49">
          <cell r="K49">
            <v>72.540000000000006</v>
          </cell>
        </row>
        <row r="59">
          <cell r="K59">
            <v>160.15</v>
          </cell>
        </row>
        <row r="62">
          <cell r="U62">
            <v>31500</v>
          </cell>
        </row>
        <row r="63">
          <cell r="K63">
            <v>138.81</v>
          </cell>
          <cell r="U63">
            <v>24500</v>
          </cell>
        </row>
        <row r="64">
          <cell r="U64">
            <v>174</v>
          </cell>
        </row>
        <row r="67">
          <cell r="K67">
            <v>32309.599999999999</v>
          </cell>
        </row>
        <row r="78">
          <cell r="K78">
            <v>838</v>
          </cell>
        </row>
        <row r="83">
          <cell r="K83">
            <v>412</v>
          </cell>
        </row>
        <row r="88">
          <cell r="K88">
            <v>1152.7</v>
          </cell>
        </row>
        <row r="94">
          <cell r="K94">
            <v>1018</v>
          </cell>
        </row>
        <row r="100">
          <cell r="K100">
            <v>1558</v>
          </cell>
        </row>
        <row r="106">
          <cell r="K106">
            <v>2143</v>
          </cell>
        </row>
      </sheetData>
      <sheetData sheetId="49">
        <row r="1">
          <cell r="B1">
            <v>13</v>
          </cell>
        </row>
      </sheetData>
      <sheetData sheetId="50">
        <row r="1">
          <cell r="B1">
            <v>13</v>
          </cell>
        </row>
      </sheetData>
      <sheetData sheetId="51"/>
      <sheetData sheetId="52">
        <row r="1">
          <cell r="B1">
            <v>13</v>
          </cell>
        </row>
      </sheetData>
      <sheetData sheetId="53">
        <row r="1">
          <cell r="B1">
            <v>13</v>
          </cell>
        </row>
      </sheetData>
      <sheetData sheetId="54">
        <row r="1">
          <cell r="B1">
            <v>13</v>
          </cell>
        </row>
      </sheetData>
      <sheetData sheetId="55">
        <row r="1">
          <cell r="B1">
            <v>13</v>
          </cell>
        </row>
      </sheetData>
      <sheetData sheetId="56">
        <row r="1">
          <cell r="B1">
            <v>13</v>
          </cell>
        </row>
      </sheetData>
      <sheetData sheetId="57">
        <row r="1">
          <cell r="B1">
            <v>13</v>
          </cell>
        </row>
      </sheetData>
      <sheetData sheetId="58">
        <row r="1">
          <cell r="B1">
            <v>13</v>
          </cell>
        </row>
      </sheetData>
      <sheetData sheetId="59">
        <row r="1">
          <cell r="B1">
            <v>13</v>
          </cell>
        </row>
      </sheetData>
      <sheetData sheetId="60" refreshError="1">
        <row r="1">
          <cell r="B1">
            <v>13</v>
          </cell>
        </row>
        <row r="15">
          <cell r="H15">
            <v>90</v>
          </cell>
        </row>
        <row r="16">
          <cell r="H16">
            <v>90</v>
          </cell>
        </row>
        <row r="17">
          <cell r="H17">
            <v>150</v>
          </cell>
        </row>
        <row r="21">
          <cell r="J21">
            <v>44.4</v>
          </cell>
        </row>
        <row r="22">
          <cell r="J22">
            <v>21.4</v>
          </cell>
        </row>
        <row r="23">
          <cell r="J23">
            <v>178.4</v>
          </cell>
        </row>
        <row r="24">
          <cell r="J24">
            <v>201.4</v>
          </cell>
        </row>
        <row r="29">
          <cell r="J29">
            <v>32.4</v>
          </cell>
        </row>
        <row r="30">
          <cell r="J30">
            <v>32.9</v>
          </cell>
        </row>
        <row r="36">
          <cell r="J36">
            <v>33.130000000000003</v>
          </cell>
        </row>
        <row r="37">
          <cell r="J37">
            <v>33.4</v>
          </cell>
        </row>
        <row r="44">
          <cell r="H44">
            <v>14000</v>
          </cell>
        </row>
        <row r="46">
          <cell r="J46">
            <v>47.4</v>
          </cell>
        </row>
        <row r="47">
          <cell r="H47">
            <v>100</v>
          </cell>
        </row>
      </sheetData>
      <sheetData sheetId="61">
        <row r="1">
          <cell r="B1">
            <v>13</v>
          </cell>
        </row>
      </sheetData>
      <sheetData sheetId="62">
        <row r="1">
          <cell r="B1">
            <v>13</v>
          </cell>
        </row>
      </sheetData>
      <sheetData sheetId="63">
        <row r="1">
          <cell r="B1">
            <v>13</v>
          </cell>
        </row>
      </sheetData>
      <sheetData sheetId="64">
        <row r="1">
          <cell r="B1">
            <v>13</v>
          </cell>
        </row>
      </sheetData>
      <sheetData sheetId="65">
        <row r="1">
          <cell r="B1">
            <v>13</v>
          </cell>
        </row>
      </sheetData>
      <sheetData sheetId="66">
        <row r="1">
          <cell r="B1">
            <v>13</v>
          </cell>
        </row>
      </sheetData>
      <sheetData sheetId="67">
        <row r="1">
          <cell r="B1">
            <v>13</v>
          </cell>
        </row>
      </sheetData>
      <sheetData sheetId="68">
        <row r="1">
          <cell r="B1">
            <v>13</v>
          </cell>
        </row>
      </sheetData>
      <sheetData sheetId="69">
        <row r="1">
          <cell r="B1">
            <v>13</v>
          </cell>
        </row>
      </sheetData>
      <sheetData sheetId="70">
        <row r="1">
          <cell r="B1">
            <v>13</v>
          </cell>
        </row>
      </sheetData>
      <sheetData sheetId="71">
        <row r="1">
          <cell r="B1">
            <v>13</v>
          </cell>
        </row>
      </sheetData>
      <sheetData sheetId="72">
        <row r="1">
          <cell r="B1">
            <v>13</v>
          </cell>
        </row>
      </sheetData>
      <sheetData sheetId="73">
        <row r="1">
          <cell r="B1">
            <v>13</v>
          </cell>
        </row>
      </sheetData>
      <sheetData sheetId="74">
        <row r="1">
          <cell r="B1">
            <v>13</v>
          </cell>
        </row>
      </sheetData>
      <sheetData sheetId="75">
        <row r="1">
          <cell r="B1">
            <v>13</v>
          </cell>
        </row>
      </sheetData>
      <sheetData sheetId="76">
        <row r="1">
          <cell r="B1">
            <v>13</v>
          </cell>
        </row>
      </sheetData>
      <sheetData sheetId="77">
        <row r="1">
          <cell r="B1">
            <v>13</v>
          </cell>
        </row>
      </sheetData>
      <sheetData sheetId="78">
        <row r="1">
          <cell r="B1">
            <v>13</v>
          </cell>
        </row>
      </sheetData>
      <sheetData sheetId="79"/>
      <sheetData sheetId="80"/>
      <sheetData sheetId="81"/>
      <sheetData sheetId="82"/>
      <sheetData sheetId="83" refreshError="1"/>
      <sheetData sheetId="84" refreshError="1"/>
      <sheetData sheetId="85" refreshError="1"/>
      <sheetData sheetId="86" refreshError="1"/>
      <sheetData sheetId="87" refreshError="1"/>
      <sheetData sheetId="88">
        <row r="1">
          <cell r="B1">
            <v>13</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ow r="1">
          <cell r="B1">
            <v>13</v>
          </cell>
        </row>
      </sheetData>
      <sheetData sheetId="98"/>
      <sheetData sheetId="99" refreshError="1"/>
      <sheetData sheetId="100">
        <row r="1">
          <cell r="B1">
            <v>13</v>
          </cell>
        </row>
      </sheetData>
      <sheetData sheetId="101">
        <row r="3">
          <cell r="K3">
            <v>1</v>
          </cell>
        </row>
      </sheetData>
      <sheetData sheetId="102">
        <row r="1">
          <cell r="B1">
            <v>13</v>
          </cell>
        </row>
      </sheetData>
      <sheetData sheetId="103">
        <row r="1">
          <cell r="A1" t="str">
            <v>QUANTITY &amp; COST  ESTIMATE</v>
          </cell>
        </row>
      </sheetData>
      <sheetData sheetId="104">
        <row r="1">
          <cell r="B1">
            <v>13</v>
          </cell>
        </row>
      </sheetData>
      <sheetData sheetId="105">
        <row r="1">
          <cell r="B1">
            <v>13</v>
          </cell>
        </row>
      </sheetData>
      <sheetData sheetId="106"/>
      <sheetData sheetId="107">
        <row r="1">
          <cell r="B1">
            <v>13</v>
          </cell>
        </row>
      </sheetData>
      <sheetData sheetId="108"/>
      <sheetData sheetId="109"/>
      <sheetData sheetId="110"/>
      <sheetData sheetId="111"/>
      <sheetData sheetId="112"/>
      <sheetData sheetId="113"/>
      <sheetData sheetId="114"/>
      <sheetData sheetId="115"/>
      <sheetData sheetId="116"/>
      <sheetData sheetId="117"/>
      <sheetData sheetId="118">
        <row r="3">
          <cell r="K3">
            <v>1</v>
          </cell>
        </row>
      </sheetData>
      <sheetData sheetId="119"/>
      <sheetData sheetId="120"/>
      <sheetData sheetId="121"/>
      <sheetData sheetId="122"/>
      <sheetData sheetId="123"/>
      <sheetData sheetId="124">
        <row r="4">
          <cell r="F4">
            <v>71.760000000000005</v>
          </cell>
        </row>
      </sheetData>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refreshError="1"/>
      <sheetData sheetId="138"/>
      <sheetData sheetId="139"/>
      <sheetData sheetId="140"/>
      <sheetData sheetId="141"/>
      <sheetData sheetId="142"/>
      <sheetData sheetId="143"/>
      <sheetData sheetId="144"/>
      <sheetData sheetId="145"/>
      <sheetData sheetId="146"/>
      <sheetData sheetId="147"/>
      <sheetData sheetId="148"/>
      <sheetData sheetId="149"/>
      <sheetData sheetId="150">
        <row r="1">
          <cell r="A1" t="str">
            <v>QUANTITY &amp; COST  ESTIMATE</v>
          </cell>
        </row>
      </sheetData>
      <sheetData sheetId="151"/>
      <sheetData sheetId="152">
        <row r="1">
          <cell r="B1">
            <v>13</v>
          </cell>
        </row>
      </sheetData>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row r="27">
          <cell r="K27">
            <v>630</v>
          </cell>
        </row>
      </sheetData>
      <sheetData sheetId="215"/>
      <sheetData sheetId="216"/>
      <sheetData sheetId="217">
        <row r="5">
          <cell r="A5" t="str">
            <v>1.1.0</v>
          </cell>
        </row>
      </sheetData>
      <sheetData sheetId="218"/>
      <sheetData sheetId="219"/>
      <sheetData sheetId="220"/>
      <sheetData sheetId="221"/>
      <sheetData sheetId="222"/>
      <sheetData sheetId="223"/>
      <sheetData sheetId="224"/>
      <sheetData sheetId="225"/>
      <sheetData sheetId="226"/>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ow r="1">
          <cell r="B1">
            <v>13</v>
          </cell>
        </row>
      </sheetData>
      <sheetData sheetId="238">
        <row r="1">
          <cell r="B1">
            <v>13</v>
          </cell>
        </row>
      </sheetData>
      <sheetData sheetId="239">
        <row r="1">
          <cell r="B1">
            <v>13</v>
          </cell>
        </row>
      </sheetData>
      <sheetData sheetId="240">
        <row r="1">
          <cell r="B1">
            <v>13</v>
          </cell>
        </row>
      </sheetData>
      <sheetData sheetId="241">
        <row r="1">
          <cell r="B1">
            <v>13</v>
          </cell>
        </row>
      </sheetData>
      <sheetData sheetId="242">
        <row r="1">
          <cell r="B1">
            <v>13</v>
          </cell>
        </row>
      </sheetData>
      <sheetData sheetId="243">
        <row r="1">
          <cell r="B1">
            <v>13</v>
          </cell>
        </row>
      </sheetData>
      <sheetData sheetId="244" refreshError="1"/>
      <sheetData sheetId="245" refreshError="1"/>
      <sheetData sheetId="246" refreshError="1"/>
      <sheetData sheetId="247" refreshError="1"/>
      <sheetData sheetId="248">
        <row r="1">
          <cell r="B1">
            <v>13</v>
          </cell>
        </row>
      </sheetData>
      <sheetData sheetId="249" refreshError="1"/>
      <sheetData sheetId="250" refreshError="1"/>
      <sheetData sheetId="251" refreshError="1"/>
      <sheetData sheetId="252"/>
      <sheetData sheetId="253"/>
      <sheetData sheetId="254"/>
      <sheetData sheetId="255"/>
      <sheetData sheetId="256"/>
      <sheetData sheetId="257">
        <row r="4">
          <cell r="F4">
            <v>71.760000000000005</v>
          </cell>
        </row>
      </sheetData>
      <sheetData sheetId="258"/>
      <sheetData sheetId="259"/>
      <sheetData sheetId="260" refreshError="1"/>
      <sheetData sheetId="261">
        <row r="1">
          <cell r="B1">
            <v>13</v>
          </cell>
        </row>
      </sheetData>
      <sheetData sheetId="262"/>
      <sheetData sheetId="263"/>
      <sheetData sheetId="264"/>
      <sheetData sheetId="265"/>
      <sheetData sheetId="266"/>
      <sheetData sheetId="267"/>
      <sheetData sheetId="268"/>
      <sheetData sheetId="269">
        <row r="16">
          <cell r="D16" t="str">
            <v>IINT2</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ow r="5">
          <cell r="A5" t="str">
            <v>1.1.0</v>
          </cell>
        </row>
      </sheetData>
      <sheetData sheetId="281" refreshError="1"/>
      <sheetData sheetId="282" refreshError="1"/>
      <sheetData sheetId="283" refreshError="1"/>
      <sheetData sheetId="284" refreshError="1"/>
      <sheetData sheetId="285" refreshError="1"/>
      <sheetData sheetId="286"/>
      <sheetData sheetId="287"/>
      <sheetData sheetId="288"/>
      <sheetData sheetId="289"/>
      <sheetData sheetId="290"/>
      <sheetData sheetId="291">
        <row r="9">
          <cell r="J9">
            <v>10</v>
          </cell>
        </row>
      </sheetData>
      <sheetData sheetId="292">
        <row r="1">
          <cell r="B1">
            <v>13</v>
          </cell>
        </row>
      </sheetData>
      <sheetData sheetId="293"/>
      <sheetData sheetId="294"/>
      <sheetData sheetId="295"/>
      <sheetData sheetId="296"/>
      <sheetData sheetId="297"/>
      <sheetData sheetId="298">
        <row r="31">
          <cell r="K31">
            <v>17508</v>
          </cell>
        </row>
      </sheetData>
      <sheetData sheetId="299"/>
      <sheetData sheetId="300"/>
      <sheetData sheetId="301"/>
      <sheetData sheetId="302"/>
      <sheetData sheetId="303">
        <row r="27">
          <cell r="K27">
            <v>630</v>
          </cell>
        </row>
      </sheetData>
      <sheetData sheetId="304"/>
      <sheetData sheetId="305">
        <row r="27">
          <cell r="K27">
            <v>630</v>
          </cell>
        </row>
      </sheetData>
      <sheetData sheetId="306">
        <row r="5">
          <cell r="A5" t="str">
            <v>1.1.0</v>
          </cell>
        </row>
      </sheetData>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row r="11">
          <cell r="A11" t="str">
            <v>S.N.</v>
          </cell>
        </row>
      </sheetData>
      <sheetData sheetId="323"/>
      <sheetData sheetId="324"/>
      <sheetData sheetId="325"/>
      <sheetData sheetId="326"/>
      <sheetData sheetId="327">
        <row r="16">
          <cell r="D16" t="str">
            <v>IINT2</v>
          </cell>
        </row>
      </sheetData>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ow r="31">
          <cell r="K31">
            <v>17508</v>
          </cell>
        </row>
      </sheetData>
      <sheetData sheetId="357"/>
      <sheetData sheetId="358">
        <row r="5">
          <cell r="A5" t="str">
            <v>1.1.0</v>
          </cell>
        </row>
      </sheetData>
      <sheetData sheetId="359"/>
      <sheetData sheetId="360"/>
      <sheetData sheetId="361">
        <row r="27">
          <cell r="K27">
            <v>630</v>
          </cell>
        </row>
      </sheetData>
      <sheetData sheetId="362"/>
      <sheetData sheetId="363"/>
      <sheetData sheetId="364"/>
      <sheetData sheetId="365"/>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sheetData sheetId="381"/>
      <sheetData sheetId="382"/>
      <sheetData sheetId="383"/>
      <sheetData sheetId="384"/>
      <sheetData sheetId="385"/>
      <sheetData sheetId="386"/>
      <sheetData sheetId="387">
        <row r="31">
          <cell r="K31">
            <v>17508</v>
          </cell>
        </row>
      </sheetData>
      <sheetData sheetId="388">
        <row r="31">
          <cell r="K31">
            <v>17508</v>
          </cell>
        </row>
      </sheetData>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sheetData sheetId="452"/>
      <sheetData sheetId="453"/>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sheetData sheetId="467"/>
      <sheetData sheetId="468"/>
      <sheetData sheetId="469" refreshError="1"/>
      <sheetData sheetId="470"/>
      <sheetData sheetId="471"/>
      <sheetData sheetId="472"/>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refreshError="1"/>
      <sheetData sheetId="543" refreshError="1"/>
      <sheetData sheetId="544" refreshError="1"/>
      <sheetData sheetId="545" refreshError="1"/>
      <sheetData sheetId="546" refreshError="1"/>
      <sheetData sheetId="547" refreshError="1"/>
      <sheetData sheetId="548" refreshError="1"/>
      <sheetData sheetId="54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date Rate"/>
      <sheetName val="Update Descrip"/>
      <sheetName val="Table of Content"/>
      <sheetName val="Update Descrip (Final)"/>
    </sheetNames>
    <sheetDataSet>
      <sheetData sheetId="0">
        <row r="6">
          <cell r="E6">
            <v>245</v>
          </cell>
        </row>
        <row r="92">
          <cell r="E92">
            <v>231.57</v>
          </cell>
        </row>
      </sheetData>
      <sheetData sheetId="1"/>
      <sheetData sheetId="2"/>
      <sheetData sheetId="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FTWEL"/>
      <sheetName val="PD_Design (new)"/>
      <sheetName val="PD_Design"/>
      <sheetName val="Nodal Flow Cal"/>
      <sheetName val="Nodal Flow Cal1"/>
      <sheetName val="Pop Density"/>
      <sheetName val="Syphon_Dhobi"/>
      <sheetName val="CD_Design"/>
      <sheetName val="Finish Level-T2"/>
    </sheetNames>
    <sheetDataSet>
      <sheetData sheetId="0"/>
      <sheetData sheetId="1"/>
      <sheetData sheetId="2"/>
      <sheetData sheetId="3"/>
      <sheetData sheetId="4"/>
      <sheetData sheetId="5">
        <row r="6">
          <cell r="H6">
            <v>119.1</v>
          </cell>
        </row>
        <row r="7">
          <cell r="H7">
            <v>121.42</v>
          </cell>
        </row>
        <row r="11">
          <cell r="H11">
            <v>101.32</v>
          </cell>
        </row>
        <row r="16">
          <cell r="H16">
            <v>203.23</v>
          </cell>
        </row>
        <row r="17">
          <cell r="H17">
            <v>137.66</v>
          </cell>
        </row>
      </sheetData>
      <sheetData sheetId="6"/>
      <sheetData sheetId="7"/>
      <sheetData sheetId="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FTWEL"/>
      <sheetName val="PD_Design-Old"/>
      <sheetName val="PD_Design"/>
      <sheetName val="Nodal Flow Cal"/>
      <sheetName val="Pop Density"/>
      <sheetName val="Syphon_Dhobi"/>
      <sheetName val="CD_Design"/>
      <sheetName val="Invt Lev"/>
      <sheetName val="Finish Level"/>
    </sheetNames>
    <sheetDataSet>
      <sheetData sheetId="0" refreshError="1"/>
      <sheetData sheetId="1"/>
      <sheetData sheetId="2" refreshError="1"/>
      <sheetData sheetId="3"/>
      <sheetData sheetId="4">
        <row r="4">
          <cell r="H4">
            <v>200</v>
          </cell>
        </row>
        <row r="5">
          <cell r="H5">
            <v>200</v>
          </cell>
        </row>
        <row r="8">
          <cell r="H8">
            <v>250</v>
          </cell>
        </row>
        <row r="9">
          <cell r="H9">
            <v>300</v>
          </cell>
        </row>
        <row r="10">
          <cell r="H10">
            <v>300</v>
          </cell>
        </row>
        <row r="11">
          <cell r="H11">
            <v>300</v>
          </cell>
        </row>
        <row r="12">
          <cell r="H12">
            <v>300</v>
          </cell>
        </row>
        <row r="13">
          <cell r="H13">
            <v>200</v>
          </cell>
        </row>
        <row r="14">
          <cell r="H14">
            <v>200</v>
          </cell>
        </row>
        <row r="15">
          <cell r="H15">
            <v>300</v>
          </cell>
        </row>
        <row r="16">
          <cell r="H16">
            <v>300</v>
          </cell>
        </row>
        <row r="17">
          <cell r="H17">
            <v>300</v>
          </cell>
        </row>
        <row r="18">
          <cell r="H18">
            <v>300</v>
          </cell>
        </row>
        <row r="19">
          <cell r="H19">
            <v>300</v>
          </cell>
        </row>
        <row r="20">
          <cell r="H20">
            <v>250</v>
          </cell>
        </row>
      </sheetData>
      <sheetData sheetId="5" refreshError="1"/>
      <sheetData sheetId="6" refreshError="1"/>
      <sheetData sheetId="7" refreshError="1"/>
      <sheetData sheetId="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W"/>
      <sheetName val="Esti 65_66 pump"/>
      <sheetName val="CostSummary"/>
      <sheetName val="Features"/>
      <sheetName val="Summary1"/>
      <sheetName val="Pipe line"/>
      <sheetName val="Pipe cost"/>
      <sheetName val="Fittings"/>
      <sheetName val="Tools"/>
      <sheetName val="SLTS"/>
      <sheetName val="Trainings"/>
      <sheetName val="Panera"/>
      <sheetName val="SprInt1"/>
      <sheetName val="SprInt2"/>
      <sheetName val="catchment"/>
      <sheetName val="StrInt1"/>
      <sheetName val="StrInt2"/>
      <sheetName val="StrInt3"/>
      <sheetName val="CCDCIC"/>
      <sheetName val="SedTank"/>
      <sheetName val="Eletro-mech (2)"/>
      <sheetName val="ConCh"/>
      <sheetName val="Pump support"/>
      <sheetName val="FER-SED"/>
      <sheetName val="FRT"/>
      <sheetName val="RCT"/>
      <sheetName val="PumpHouse"/>
      <sheetName val="BarSchedule"/>
      <sheetName val="Fence"/>
      <sheetName val="RCC VC"/>
      <sheetName val="Rcc DC,IC,BPC"/>
      <sheetName val="PBPC"/>
      <sheetName val="VCs"/>
      <sheetName val="Cabl-Des"/>
      <sheetName val="CabCros"/>
      <sheetName val="UnderCros"/>
      <sheetName val="Piprot"/>
      <sheetName val="Miscel"/>
      <sheetName val="Toilet"/>
      <sheetName val="MRT1"/>
      <sheetName val="PSP III"/>
      <sheetName val="PSP1"/>
      <sheetName val="PSP2"/>
      <sheetName val="VIP1"/>
      <sheetName val="VIP2"/>
      <sheetName val="VIP3"/>
      <sheetName val="DP Lat"/>
      <sheetName val="MRT"/>
      <sheetName val="Sheets"/>
      <sheetName val="HDP rate"/>
      <sheetName val="RtAn"/>
      <sheetName val="MatCol"/>
      <sheetName val="DRates"/>
      <sheetName val="Miscella"/>
      <sheetName val="Billpipeline"/>
      <sheetName val="work comp"/>
      <sheetName val="Eletro-mech"/>
      <sheetName val="BillSch1 (2)"/>
      <sheetName val="Agreement1"/>
      <sheetName val="work compsche1"/>
      <sheetName val="BillSch1"/>
      <sheetName val="work compsch4"/>
      <sheetName val="Agreement4(67_68)"/>
      <sheetName val="Agreement 2(67_68) "/>
      <sheetName val="BillSch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5">
          <cell r="B5">
            <v>5.45</v>
          </cell>
        </row>
      </sheetData>
      <sheetData sheetId="20"/>
      <sheetData sheetId="21"/>
      <sheetData sheetId="22"/>
      <sheetData sheetId="23"/>
      <sheetData sheetId="24">
        <row r="87">
          <cell r="K87">
            <v>68574.948396035266</v>
          </cell>
        </row>
      </sheetData>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ow r="9">
          <cell r="J9">
            <v>25</v>
          </cell>
        </row>
      </sheetData>
      <sheetData sheetId="49"/>
      <sheetData sheetId="50">
        <row r="1">
          <cell r="B1">
            <v>13</v>
          </cell>
        </row>
      </sheetData>
      <sheetData sheetId="51">
        <row r="31">
          <cell r="K31">
            <v>72.198125000000005</v>
          </cell>
        </row>
      </sheetData>
      <sheetData sheetId="52"/>
      <sheetData sheetId="53"/>
      <sheetData sheetId="54"/>
      <sheetData sheetId="55"/>
      <sheetData sheetId="56"/>
      <sheetData sheetId="57"/>
      <sheetData sheetId="58"/>
      <sheetData sheetId="59"/>
      <sheetData sheetId="60"/>
      <sheetData sheetId="61"/>
      <sheetData sheetId="62"/>
      <sheetData sheetId="63"/>
      <sheetData sheetId="6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Summary"/>
      <sheetName val="Trainings"/>
      <sheetName val="SprInt1"/>
      <sheetName val="SprInt2"/>
      <sheetName val="StrInt1"/>
      <sheetName val="StrInt2"/>
      <sheetName val="thadokhola"/>
      <sheetName val="Panera"/>
      <sheetName val="CCDCIC"/>
      <sheetName val="Sheet1"/>
      <sheetName val="FER-SED"/>
      <sheetName val="SedTank"/>
      <sheetName val="village con. baj"/>
      <sheetName val="village con. kunchal"/>
      <sheetName val="SteelForm"/>
      <sheetName val="RCC VC"/>
      <sheetName val="Rcc DC,IC,BPC"/>
      <sheetName val="PBPC"/>
      <sheetName val="VCs"/>
      <sheetName val="kunchal comparative"/>
      <sheetName val="Qt form baj"/>
      <sheetName val="kunchal qtform"/>
      <sheetName val="comp bajra"/>
      <sheetName val="agge bajra"/>
      <sheetName val="kunchal agge"/>
      <sheetName val="Kunchhal"/>
      <sheetName val="RCCRT1"/>
      <sheetName val="Bar1"/>
      <sheetName val="Sheets"/>
      <sheetName val="FRT 1"/>
      <sheetName val="MRT1"/>
      <sheetName val="RMT100"/>
      <sheetName val="RMT150"/>
      <sheetName val="Fence"/>
      <sheetName val="Cabl-Des"/>
      <sheetName val="CabCros"/>
      <sheetName val="UnderCros"/>
      <sheetName val="Piprot"/>
      <sheetName val="Miscel"/>
      <sheetName val="PSP1"/>
      <sheetName val="PSP2"/>
      <sheetName val="VIP1"/>
      <sheetName val="VIP2"/>
      <sheetName val="VIP3"/>
      <sheetName val="DP Lat"/>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update Rate"/>
      <sheetName val="Other analysis"/>
      <sheetName val="Update Descrip"/>
      <sheetName val="Table of Content"/>
      <sheetName val="MatCol"/>
      <sheetName val="DRates"/>
      <sheetName val="RtAn"/>
      <sheetName val="Sheets"/>
      <sheetName val="T &amp; P"/>
      <sheetName val="od-id"/>
    </sheetNames>
    <sheetDataSet>
      <sheetData sheetId="0" refreshError="1"/>
      <sheetData sheetId="1" refreshError="1">
        <row r="6">
          <cell r="E6">
            <v>250</v>
          </cell>
        </row>
        <row r="40">
          <cell r="E40">
            <v>13000</v>
          </cell>
        </row>
        <row r="41">
          <cell r="E41">
            <v>1237.4000000000001</v>
          </cell>
        </row>
        <row r="42">
          <cell r="E42">
            <v>236.72</v>
          </cell>
        </row>
        <row r="44">
          <cell r="E44">
            <v>77533.33</v>
          </cell>
        </row>
        <row r="46">
          <cell r="E46">
            <v>88.6</v>
          </cell>
        </row>
        <row r="47">
          <cell r="E47">
            <v>197.26</v>
          </cell>
        </row>
        <row r="50">
          <cell r="E50">
            <v>37075.5</v>
          </cell>
        </row>
        <row r="52">
          <cell r="E52">
            <v>17655</v>
          </cell>
        </row>
        <row r="54">
          <cell r="E54">
            <v>706.12</v>
          </cell>
        </row>
        <row r="55">
          <cell r="E55">
            <v>65</v>
          </cell>
        </row>
        <row r="57">
          <cell r="E57">
            <v>2.5</v>
          </cell>
        </row>
        <row r="58">
          <cell r="E58">
            <v>10.4</v>
          </cell>
        </row>
        <row r="59">
          <cell r="E59">
            <v>13</v>
          </cell>
        </row>
        <row r="60">
          <cell r="E60">
            <v>7</v>
          </cell>
        </row>
        <row r="61">
          <cell r="E61">
            <v>20</v>
          </cell>
        </row>
        <row r="62">
          <cell r="E62">
            <v>41</v>
          </cell>
        </row>
        <row r="63">
          <cell r="E63">
            <v>60</v>
          </cell>
        </row>
        <row r="67">
          <cell r="E67">
            <v>301.27999999999997</v>
          </cell>
        </row>
        <row r="74">
          <cell r="E74">
            <v>484.2</v>
          </cell>
        </row>
        <row r="80">
          <cell r="E80">
            <v>570.28</v>
          </cell>
        </row>
        <row r="82">
          <cell r="E82">
            <v>60</v>
          </cell>
        </row>
        <row r="86">
          <cell r="E86" t="str">
            <v>b/ kf; %}g</v>
          </cell>
        </row>
        <row r="87">
          <cell r="E87">
            <v>333.56</v>
          </cell>
        </row>
        <row r="163">
          <cell r="E163">
            <v>9.7100000000000009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DP &amp; GI Pipe (2)"/>
      <sheetName val="FER-5"/>
      <sheetName val="Summary of cost"/>
      <sheetName val="FRT-6M3"/>
      <sheetName val="Fittings"/>
      <sheetName val="HDP &amp; GI Pipe"/>
      <sheetName val="Barbed"/>
      <sheetName val="Valve Ch."/>
      <sheetName val="DRates"/>
      <sheetName val="Daman"/>
      <sheetName val="MatCol"/>
      <sheetName val="RtAn"/>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heckList"/>
      <sheetName val="Dmand 7"/>
      <sheetName val="Dmand 6"/>
      <sheetName val="Dmand 5"/>
      <sheetName val="Dmand 4"/>
      <sheetName val="Dmand 3"/>
      <sheetName val="Dmand 2"/>
      <sheetName val="Dmand 1"/>
      <sheetName val="ProfileData"/>
      <sheetName val="PipeDesign"/>
      <sheetName val="PD-TMPLT"/>
      <sheetName val="PipeDesign (2)"/>
      <sheetName val="Plot"/>
      <sheetName val="FlowDiagram"/>
      <sheetName val="Profile"/>
      <sheetName val="PipeList"/>
      <sheetName val="PipeLineWork"/>
      <sheetName val="PFdata"/>
      <sheetName val="Features"/>
      <sheetName val="FitData"/>
      <sheetName val="Fittings"/>
      <sheetName val="T&amp;P"/>
      <sheetName val="Summary"/>
      <sheetName val="DrawingControls"/>
    </sheetNames>
    <sheetDataSet>
      <sheetData sheetId="0"/>
      <sheetData sheetId="1">
        <row r="22">
          <cell r="E22" t="str">
            <v>WSSDO, Baitadi</v>
          </cell>
        </row>
      </sheetData>
      <sheetData sheetId="2"/>
      <sheetData sheetId="3"/>
      <sheetData sheetId="4"/>
      <sheetData sheetId="5"/>
      <sheetData sheetId="6"/>
      <sheetData sheetId="7"/>
      <sheetData sheetId="8"/>
      <sheetData sheetId="9"/>
      <sheetData sheetId="10">
        <row r="10">
          <cell r="B10" t="str">
            <v>TRANSMISSION  LINE</v>
          </cell>
        </row>
        <row r="34">
          <cell r="B34" t="str">
            <v>TRANSMISSION  LINE</v>
          </cell>
          <cell r="D34">
            <v>0</v>
          </cell>
          <cell r="M34" t="str">
            <v>OD</v>
          </cell>
          <cell r="T34" t="str">
            <v>SOIL</v>
          </cell>
        </row>
        <row r="35">
          <cell r="A35">
            <v>1</v>
          </cell>
          <cell r="B35" t="str">
            <v>INT2</v>
          </cell>
          <cell r="C35" t="str">
            <v>p1</v>
          </cell>
          <cell r="F35">
            <v>1300</v>
          </cell>
          <cell r="G35">
            <v>1294</v>
          </cell>
          <cell r="H35">
            <v>1300</v>
          </cell>
          <cell r="I35">
            <v>1300</v>
          </cell>
          <cell r="J35">
            <v>6</v>
          </cell>
          <cell r="K35">
            <v>6</v>
          </cell>
          <cell r="L35">
            <v>6</v>
          </cell>
          <cell r="M35">
            <v>32</v>
          </cell>
          <cell r="N35">
            <v>6</v>
          </cell>
          <cell r="O35">
            <v>26.9</v>
          </cell>
          <cell r="P35">
            <v>0</v>
          </cell>
          <cell r="Q35">
            <v>6</v>
          </cell>
          <cell r="R35">
            <v>0</v>
          </cell>
          <cell r="S35">
            <v>1300</v>
          </cell>
          <cell r="W35" t="str">
            <v>326</v>
          </cell>
          <cell r="X35">
            <v>0.02</v>
          </cell>
          <cell r="Y35" t="e">
            <v>#DIV/0!</v>
          </cell>
          <cell r="Z35">
            <v>0.12</v>
          </cell>
          <cell r="AA35">
            <v>0</v>
          </cell>
        </row>
        <row r="37">
          <cell r="B37" t="str">
            <v>DISTRIBUTION  LINE</v>
          </cell>
          <cell r="D37">
            <v>1366</v>
          </cell>
          <cell r="M37" t="str">
            <v>OD</v>
          </cell>
          <cell r="T37" t="str">
            <v>SOIL</v>
          </cell>
        </row>
        <row r="38">
          <cell r="A38">
            <v>2</v>
          </cell>
          <cell r="B38" t="str">
            <v>INT2</v>
          </cell>
          <cell r="C38" t="str">
            <v>p1</v>
          </cell>
          <cell r="D38">
            <v>360</v>
          </cell>
          <cell r="E38">
            <v>0.5</v>
          </cell>
          <cell r="F38">
            <v>1300</v>
          </cell>
          <cell r="G38">
            <v>1294</v>
          </cell>
          <cell r="H38">
            <v>1300</v>
          </cell>
          <cell r="I38">
            <v>1300</v>
          </cell>
          <cell r="J38">
            <v>6</v>
          </cell>
          <cell r="K38">
            <v>6</v>
          </cell>
          <cell r="L38">
            <v>6</v>
          </cell>
          <cell r="M38">
            <v>50</v>
          </cell>
          <cell r="N38">
            <v>6</v>
          </cell>
          <cell r="O38">
            <v>42.2</v>
          </cell>
          <cell r="P38">
            <v>1.841</v>
          </cell>
          <cell r="Q38">
            <v>4.1589999999999998</v>
          </cell>
          <cell r="R38">
            <v>0.35733902897713232</v>
          </cell>
          <cell r="S38">
            <v>1298.1590000000001</v>
          </cell>
          <cell r="T38" t="str">
            <v>GBM</v>
          </cell>
          <cell r="W38" t="str">
            <v>506</v>
          </cell>
          <cell r="X38">
            <v>3.0143639911412543E-2</v>
          </cell>
          <cell r="Y38">
            <v>0.99985405752228251</v>
          </cell>
          <cell r="Z38">
            <v>0.1</v>
          </cell>
          <cell r="AA38">
            <v>11511.226734988537</v>
          </cell>
        </row>
        <row r="39">
          <cell r="A39">
            <v>3</v>
          </cell>
          <cell r="B39" t="str">
            <v>p1</v>
          </cell>
          <cell r="C39" t="str">
            <v>p2</v>
          </cell>
          <cell r="D39">
            <v>6</v>
          </cell>
          <cell r="E39">
            <v>0.4</v>
          </cell>
          <cell r="F39">
            <v>1294</v>
          </cell>
          <cell r="G39">
            <v>1294</v>
          </cell>
          <cell r="H39">
            <v>1300</v>
          </cell>
          <cell r="I39">
            <v>1298.1590000000001</v>
          </cell>
          <cell r="J39">
            <v>0</v>
          </cell>
          <cell r="K39">
            <v>6</v>
          </cell>
          <cell r="L39">
            <v>4.1590000000001055</v>
          </cell>
          <cell r="M39">
            <v>1.5</v>
          </cell>
          <cell r="N39" t="str">
            <v>MC</v>
          </cell>
          <cell r="O39">
            <v>38.1</v>
          </cell>
          <cell r="P39">
            <v>3.6999999999999998E-2</v>
          </cell>
          <cell r="Q39">
            <v>4.1220000000001056</v>
          </cell>
          <cell r="R39">
            <v>0.35070777212261495</v>
          </cell>
          <cell r="S39">
            <v>1298.1220000000001</v>
          </cell>
          <cell r="T39" t="str">
            <v>GBM</v>
          </cell>
          <cell r="V39" t="str">
            <v>CROSS</v>
          </cell>
          <cell r="W39" t="str">
            <v>1.5MC</v>
          </cell>
          <cell r="X39">
            <v>3.4508708494711528E-2</v>
          </cell>
          <cell r="Y39">
            <v>1.0000255697023794</v>
          </cell>
          <cell r="Z39">
            <v>1</v>
          </cell>
          <cell r="AA39">
            <v>10199.974135779868</v>
          </cell>
        </row>
        <row r="40">
          <cell r="A40">
            <v>4</v>
          </cell>
          <cell r="B40" t="str">
            <v>p2</v>
          </cell>
          <cell r="C40" t="str">
            <v>p3</v>
          </cell>
          <cell r="D40">
            <v>230</v>
          </cell>
          <cell r="E40">
            <v>0.4</v>
          </cell>
          <cell r="F40">
            <v>1294</v>
          </cell>
          <cell r="G40">
            <v>1290</v>
          </cell>
          <cell r="H40">
            <v>1300</v>
          </cell>
          <cell r="I40">
            <v>1298.1220000000001</v>
          </cell>
          <cell r="J40">
            <v>4</v>
          </cell>
          <cell r="K40">
            <v>10</v>
          </cell>
          <cell r="L40">
            <v>8.1220000000000709</v>
          </cell>
          <cell r="M40">
            <v>40</v>
          </cell>
          <cell r="N40">
            <v>6</v>
          </cell>
          <cell r="O40">
            <v>33.700000000000003</v>
          </cell>
          <cell r="P40">
            <v>2.3239999999999998</v>
          </cell>
          <cell r="Q40">
            <v>5.7980000000000711</v>
          </cell>
          <cell r="R40">
            <v>0.44826573192588554</v>
          </cell>
          <cell r="S40">
            <v>1295.798</v>
          </cell>
          <cell r="T40" t="str">
            <v>GBM</v>
          </cell>
          <cell r="W40" t="str">
            <v>406</v>
          </cell>
          <cell r="X40">
            <v>3.0230900558784586E-2</v>
          </cell>
          <cell r="Y40">
            <v>0.99992083386021735</v>
          </cell>
          <cell r="Z40">
            <v>0.1</v>
          </cell>
          <cell r="AA40">
            <v>11531.721500688811</v>
          </cell>
        </row>
        <row r="41">
          <cell r="A41">
            <v>5</v>
          </cell>
          <cell r="B41" t="str">
            <v>p3</v>
          </cell>
          <cell r="C41" t="str">
            <v>Tap1</v>
          </cell>
          <cell r="D41">
            <v>130</v>
          </cell>
          <cell r="E41">
            <v>0.4</v>
          </cell>
          <cell r="F41">
            <v>1290</v>
          </cell>
          <cell r="G41">
            <v>1275</v>
          </cell>
          <cell r="H41">
            <v>1300</v>
          </cell>
          <cell r="I41">
            <v>1295.798</v>
          </cell>
          <cell r="J41">
            <v>15</v>
          </cell>
          <cell r="K41">
            <v>25</v>
          </cell>
          <cell r="L41">
            <v>20.798000000000002</v>
          </cell>
          <cell r="M41">
            <v>32</v>
          </cell>
          <cell r="N41">
            <v>6</v>
          </cell>
          <cell r="O41">
            <v>26.9</v>
          </cell>
          <cell r="P41">
            <v>3.8490000000000002</v>
          </cell>
          <cell r="Q41">
            <v>16.949000000000002</v>
          </cell>
          <cell r="R41">
            <v>0.70354321953940546</v>
          </cell>
          <cell r="S41">
            <v>1291.9490000000001</v>
          </cell>
          <cell r="T41" t="str">
            <v>GBM</v>
          </cell>
          <cell r="W41" t="str">
            <v>326</v>
          </cell>
          <cell r="X41">
            <v>2.8703685541613316E-2</v>
          </cell>
          <cell r="Y41">
            <v>0.99907070350800242</v>
          </cell>
          <cell r="Z41">
            <v>0.1</v>
          </cell>
          <cell r="AA41">
            <v>14446.80351573283</v>
          </cell>
        </row>
        <row r="42">
          <cell r="A42">
            <v>6</v>
          </cell>
          <cell r="B42" t="str">
            <v>Tap1</v>
          </cell>
          <cell r="C42" t="str">
            <v>Tap2</v>
          </cell>
          <cell r="D42">
            <v>270</v>
          </cell>
          <cell r="E42">
            <v>0.2</v>
          </cell>
          <cell r="F42">
            <v>1275</v>
          </cell>
          <cell r="G42">
            <v>1245</v>
          </cell>
          <cell r="H42">
            <v>1300</v>
          </cell>
          <cell r="I42">
            <v>1291.9490000000001</v>
          </cell>
          <cell r="J42">
            <v>30</v>
          </cell>
          <cell r="K42">
            <v>55</v>
          </cell>
          <cell r="L42">
            <v>46.949000000000069</v>
          </cell>
          <cell r="M42">
            <v>25</v>
          </cell>
          <cell r="N42">
            <v>10</v>
          </cell>
          <cell r="O42">
            <v>18.899999999999999</v>
          </cell>
          <cell r="P42">
            <v>12.798999999999999</v>
          </cell>
          <cell r="Q42">
            <v>34.15000000000007</v>
          </cell>
          <cell r="R42">
            <v>0.71259330518589792</v>
          </cell>
          <cell r="S42">
            <v>1279.1500000000001</v>
          </cell>
          <cell r="T42" t="str">
            <v>GBM</v>
          </cell>
          <cell r="W42" t="str">
            <v>2510</v>
          </cell>
          <cell r="X42">
            <v>3.1469123395860638E-2</v>
          </cell>
          <cell r="Y42">
            <v>0.99993134305078357</v>
          </cell>
          <cell r="Z42">
            <v>0.1</v>
          </cell>
          <cell r="AA42">
            <v>10280.926311460662</v>
          </cell>
        </row>
        <row r="43">
          <cell r="A43">
            <v>7</v>
          </cell>
          <cell r="B43" t="str">
            <v>Tap2</v>
          </cell>
          <cell r="C43" t="str">
            <v>Tap 3</v>
          </cell>
          <cell r="D43">
            <v>100</v>
          </cell>
          <cell r="E43">
            <v>0.1</v>
          </cell>
          <cell r="F43">
            <v>1245</v>
          </cell>
          <cell r="G43">
            <v>1230</v>
          </cell>
          <cell r="H43">
            <v>1300</v>
          </cell>
          <cell r="I43">
            <v>1279.1500000000001</v>
          </cell>
          <cell r="J43">
            <v>15</v>
          </cell>
          <cell r="K43">
            <v>70</v>
          </cell>
          <cell r="L43">
            <v>49.150000000000091</v>
          </cell>
          <cell r="M43">
            <v>16</v>
          </cell>
          <cell r="N43">
            <v>10</v>
          </cell>
          <cell r="O43">
            <v>11.6</v>
          </cell>
          <cell r="P43">
            <v>14.510999999999999</v>
          </cell>
          <cell r="Q43">
            <v>34.639000000000095</v>
          </cell>
          <cell r="R43">
            <v>0.94584369257377576</v>
          </cell>
          <cell r="S43">
            <v>1264.6390000000001</v>
          </cell>
          <cell r="T43" t="str">
            <v>GBM</v>
          </cell>
          <cell r="W43" t="str">
            <v>1610</v>
          </cell>
          <cell r="X43">
            <v>3.3559988995374754E-2</v>
          </cell>
          <cell r="Y43">
            <v>0.99965805576564937</v>
          </cell>
          <cell r="Z43">
            <v>0.1</v>
          </cell>
          <cell r="AA43">
            <v>8375.4097968364877</v>
          </cell>
        </row>
        <row r="45">
          <cell r="A45">
            <v>8</v>
          </cell>
          <cell r="B45" t="str">
            <v>Tap1</v>
          </cell>
          <cell r="C45" t="str">
            <v>P01</v>
          </cell>
          <cell r="D45">
            <v>150</v>
          </cell>
          <cell r="E45">
            <v>0.1</v>
          </cell>
          <cell r="F45">
            <v>1275</v>
          </cell>
          <cell r="G45">
            <v>1260</v>
          </cell>
          <cell r="H45">
            <v>1300</v>
          </cell>
          <cell r="I45">
            <v>1291.9490000000001</v>
          </cell>
          <cell r="J45">
            <v>15</v>
          </cell>
          <cell r="K45">
            <v>40</v>
          </cell>
          <cell r="L45">
            <v>31.949000000000069</v>
          </cell>
          <cell r="M45">
            <v>20</v>
          </cell>
          <cell r="N45">
            <v>10</v>
          </cell>
          <cell r="O45">
            <v>14.9</v>
          </cell>
          <cell r="P45">
            <v>6.5910000000000002</v>
          </cell>
          <cell r="Q45">
            <v>25.358000000000068</v>
          </cell>
          <cell r="R45">
            <v>0.57327475011363127</v>
          </cell>
          <cell r="S45">
            <v>1285.3580000000002</v>
          </cell>
          <cell r="T45" t="str">
            <v>GBM</v>
          </cell>
          <cell r="W45" t="str">
            <v>2010</v>
          </cell>
          <cell r="X45">
            <v>3.5530707389303556E-2</v>
          </cell>
          <cell r="Y45">
            <v>1.0001401798865339</v>
          </cell>
          <cell r="Z45">
            <v>0.1</v>
          </cell>
          <cell r="AA45">
            <v>6520.4532646512262</v>
          </cell>
        </row>
        <row r="46">
          <cell r="A46">
            <v>9</v>
          </cell>
          <cell r="B46" t="str">
            <v>P01</v>
          </cell>
          <cell r="C46" t="str">
            <v>Tap5</v>
          </cell>
          <cell r="D46">
            <v>100</v>
          </cell>
          <cell r="E46">
            <v>0.1</v>
          </cell>
          <cell r="F46">
            <v>1260</v>
          </cell>
          <cell r="G46">
            <v>1255</v>
          </cell>
          <cell r="H46">
            <v>1300</v>
          </cell>
          <cell r="I46">
            <v>1285.3580000000002</v>
          </cell>
          <cell r="J46">
            <v>5</v>
          </cell>
          <cell r="K46">
            <v>45</v>
          </cell>
          <cell r="L46">
            <v>30.358000000000175</v>
          </cell>
          <cell r="M46">
            <v>20</v>
          </cell>
          <cell r="N46">
            <v>10</v>
          </cell>
          <cell r="O46">
            <v>14.9</v>
          </cell>
          <cell r="P46">
            <v>4.3940000000000001</v>
          </cell>
          <cell r="Q46">
            <v>25.964000000000176</v>
          </cell>
          <cell r="R46">
            <v>0.57327475011363127</v>
          </cell>
          <cell r="S46">
            <v>1280.9640000000002</v>
          </cell>
          <cell r="T46" t="str">
            <v>GBM</v>
          </cell>
          <cell r="W46" t="str">
            <v>2010</v>
          </cell>
          <cell r="X46">
            <v>3.5530707389303556E-2</v>
          </cell>
          <cell r="Y46">
            <v>1.0001401798865339</v>
          </cell>
          <cell r="Z46">
            <v>0.1</v>
          </cell>
          <cell r="AA46">
            <v>6520.4532646512262</v>
          </cell>
        </row>
        <row r="48">
          <cell r="A48">
            <v>10</v>
          </cell>
          <cell r="B48" t="str">
            <v>P1</v>
          </cell>
          <cell r="C48" t="str">
            <v>Tap4</v>
          </cell>
          <cell r="D48">
            <v>20</v>
          </cell>
          <cell r="E48">
            <v>0.1</v>
          </cell>
          <cell r="F48">
            <v>1294</v>
          </cell>
          <cell r="G48">
            <v>1293</v>
          </cell>
          <cell r="H48">
            <v>1300</v>
          </cell>
          <cell r="I48">
            <v>1298.1590000000001</v>
          </cell>
          <cell r="J48">
            <v>1</v>
          </cell>
          <cell r="K48">
            <v>7</v>
          </cell>
          <cell r="L48">
            <v>5.1590000000001055</v>
          </cell>
          <cell r="M48">
            <v>20</v>
          </cell>
          <cell r="N48">
            <v>10</v>
          </cell>
          <cell r="O48">
            <v>14.9</v>
          </cell>
          <cell r="P48">
            <v>0.879</v>
          </cell>
          <cell r="Q48">
            <v>4.2800000000001059</v>
          </cell>
          <cell r="R48">
            <v>0.57327475011363127</v>
          </cell>
          <cell r="S48">
            <v>1297.2800000000002</v>
          </cell>
          <cell r="T48" t="str">
            <v>GBM</v>
          </cell>
          <cell r="W48" t="str">
            <v>2010</v>
          </cell>
          <cell r="X48">
            <v>3.5530707389303556E-2</v>
          </cell>
          <cell r="Y48">
            <v>1.0001401798865339</v>
          </cell>
          <cell r="Z48">
            <v>0.1</v>
          </cell>
          <cell r="AA48">
            <v>6520.4532646512262</v>
          </cell>
        </row>
        <row r="50">
          <cell r="D50">
            <v>1340</v>
          </cell>
          <cell r="G50" t="str">
            <v>SCHEME NO:</v>
          </cell>
          <cell r="H50">
            <v>3</v>
          </cell>
          <cell r="I50" t="str">
            <v>Chuchailek</v>
          </cell>
        </row>
        <row r="51">
          <cell r="B51" t="str">
            <v>TRANSMISSION  LINE</v>
          </cell>
          <cell r="D51">
            <v>630</v>
          </cell>
          <cell r="M51" t="str">
            <v>OD</v>
          </cell>
          <cell r="T51" t="str">
            <v>SOIL</v>
          </cell>
        </row>
        <row r="52">
          <cell r="A52">
            <v>1</v>
          </cell>
          <cell r="B52" t="str">
            <v>INT3</v>
          </cell>
          <cell r="C52" t="str">
            <v>p1</v>
          </cell>
          <cell r="D52">
            <v>350</v>
          </cell>
          <cell r="E52">
            <v>7.0000000000000007E-2</v>
          </cell>
          <cell r="F52">
            <v>1610</v>
          </cell>
          <cell r="G52">
            <v>1600</v>
          </cell>
          <cell r="H52">
            <v>1610</v>
          </cell>
          <cell r="I52">
            <v>1610</v>
          </cell>
          <cell r="J52">
            <v>10</v>
          </cell>
          <cell r="K52">
            <v>10</v>
          </cell>
          <cell r="L52">
            <v>10</v>
          </cell>
          <cell r="M52">
            <v>32</v>
          </cell>
          <cell r="N52">
            <v>6</v>
          </cell>
          <cell r="O52">
            <v>26.9</v>
          </cell>
          <cell r="P52">
            <v>0.51200000000000001</v>
          </cell>
          <cell r="Q52">
            <v>9.4879999999999995</v>
          </cell>
          <cell r="R52">
            <v>0.12312006341939596</v>
          </cell>
          <cell r="S52">
            <v>1609.4880000000001</v>
          </cell>
          <cell r="T52" t="str">
            <v>GBM</v>
          </cell>
          <cell r="W52" t="str">
            <v>326</v>
          </cell>
          <cell r="X52">
            <v>4.6263705393973627E-2</v>
          </cell>
          <cell r="Y52">
            <v>0.99997828121422117</v>
          </cell>
          <cell r="Z52">
            <v>0.12</v>
          </cell>
          <cell r="AA52">
            <v>2528.1906152532451</v>
          </cell>
        </row>
        <row r="53">
          <cell r="A53">
            <v>2</v>
          </cell>
          <cell r="B53" t="str">
            <v>p1</v>
          </cell>
          <cell r="C53" t="str">
            <v>p2</v>
          </cell>
          <cell r="D53">
            <v>30</v>
          </cell>
          <cell r="E53">
            <v>7.0000000000000007E-2</v>
          </cell>
          <cell r="F53">
            <v>1600</v>
          </cell>
          <cell r="G53">
            <v>1600</v>
          </cell>
          <cell r="H53">
            <v>1610</v>
          </cell>
          <cell r="I53">
            <v>1609.4880000000001</v>
          </cell>
          <cell r="J53">
            <v>0</v>
          </cell>
          <cell r="K53">
            <v>10</v>
          </cell>
          <cell r="L53">
            <v>9.4880000000000564</v>
          </cell>
          <cell r="M53">
            <v>1</v>
          </cell>
          <cell r="N53" t="str">
            <v>MC</v>
          </cell>
          <cell r="O53">
            <v>25.4</v>
          </cell>
          <cell r="P53">
            <v>6.0999999999999999E-2</v>
          </cell>
          <cell r="Q53">
            <v>9.4270000000000564</v>
          </cell>
          <cell r="R53">
            <v>0.13809118527327965</v>
          </cell>
          <cell r="S53">
            <v>1609.4270000000001</v>
          </cell>
          <cell r="T53" t="str">
            <v>GBM</v>
          </cell>
          <cell r="U53" t="str">
            <v>R</v>
          </cell>
          <cell r="W53" t="str">
            <v>1MC</v>
          </cell>
          <cell r="X53">
            <v>4.8663646421640762E-2</v>
          </cell>
          <cell r="Y53">
            <v>0.99975174151544199</v>
          </cell>
          <cell r="Z53">
            <v>1.1000000000000001</v>
          </cell>
          <cell r="AA53">
            <v>2677.4932106422161</v>
          </cell>
        </row>
        <row r="54">
          <cell r="A54">
            <v>3</v>
          </cell>
          <cell r="B54" t="str">
            <v>p2</v>
          </cell>
          <cell r="C54" t="str">
            <v>p3</v>
          </cell>
          <cell r="D54">
            <v>100</v>
          </cell>
          <cell r="E54">
            <v>7.0000000000000007E-2</v>
          </cell>
          <cell r="F54">
            <v>1600</v>
          </cell>
          <cell r="G54">
            <v>1598</v>
          </cell>
          <cell r="H54">
            <v>1610</v>
          </cell>
          <cell r="I54">
            <v>1609.4270000000001</v>
          </cell>
          <cell r="J54">
            <v>2</v>
          </cell>
          <cell r="K54">
            <v>12</v>
          </cell>
          <cell r="L54">
            <v>11.427000000000135</v>
          </cell>
          <cell r="M54">
            <v>32</v>
          </cell>
          <cell r="N54">
            <v>6</v>
          </cell>
          <cell r="O54">
            <v>26.9</v>
          </cell>
          <cell r="P54">
            <v>0.14599999999999999</v>
          </cell>
          <cell r="Q54">
            <v>11.281000000000134</v>
          </cell>
          <cell r="R54">
            <v>0.12312006341939596</v>
          </cell>
          <cell r="S54">
            <v>1609.2810000000002</v>
          </cell>
          <cell r="T54" t="str">
            <v>GBM</v>
          </cell>
          <cell r="U54" t="str">
            <v>L</v>
          </cell>
          <cell r="W54" t="str">
            <v>326</v>
          </cell>
          <cell r="X54">
            <v>4.6328588804487661E-2</v>
          </cell>
          <cell r="Y54">
            <v>1.0008069267111681</v>
          </cell>
          <cell r="Z54">
            <v>0.12</v>
          </cell>
          <cell r="AA54">
            <v>2528.1906152532451</v>
          </cell>
        </row>
        <row r="55">
          <cell r="A55">
            <v>4</v>
          </cell>
          <cell r="B55" t="str">
            <v>p3</v>
          </cell>
          <cell r="C55" t="str">
            <v>RT3-1</v>
          </cell>
          <cell r="D55">
            <v>150</v>
          </cell>
          <cell r="E55">
            <v>7.0000000000000007E-2</v>
          </cell>
          <cell r="F55">
            <v>1598</v>
          </cell>
          <cell r="G55">
            <v>1595</v>
          </cell>
          <cell r="H55">
            <v>1610</v>
          </cell>
          <cell r="I55">
            <v>1609.2810000000002</v>
          </cell>
          <cell r="J55">
            <v>3</v>
          </cell>
          <cell r="K55">
            <v>15</v>
          </cell>
          <cell r="L55">
            <v>14.281000000000176</v>
          </cell>
          <cell r="M55">
            <v>32</v>
          </cell>
          <cell r="N55">
            <v>6</v>
          </cell>
          <cell r="O55">
            <v>26.9</v>
          </cell>
          <cell r="P55">
            <v>0.219</v>
          </cell>
          <cell r="Q55">
            <v>14.062000000000177</v>
          </cell>
          <cell r="R55">
            <v>0.12312006341939596</v>
          </cell>
          <cell r="S55">
            <v>1609.0620000000001</v>
          </cell>
          <cell r="T55" t="str">
            <v>GBM</v>
          </cell>
          <cell r="W55" t="str">
            <v>326</v>
          </cell>
          <cell r="X55">
            <v>4.6263743623744136E-2</v>
          </cell>
          <cell r="Y55">
            <v>0.99997876960343912</v>
          </cell>
          <cell r="Z55">
            <v>0.12</v>
          </cell>
          <cell r="AA55">
            <v>2528.1906152532451</v>
          </cell>
        </row>
        <row r="58">
          <cell r="A58">
            <v>5</v>
          </cell>
          <cell r="B58" t="str">
            <v>RT3-1</v>
          </cell>
          <cell r="C58" t="str">
            <v>Tap1</v>
          </cell>
          <cell r="D58">
            <v>30</v>
          </cell>
          <cell r="E58">
            <v>0.1</v>
          </cell>
          <cell r="F58">
            <v>1595</v>
          </cell>
          <cell r="G58">
            <v>1580</v>
          </cell>
          <cell r="H58">
            <v>1595</v>
          </cell>
          <cell r="I58">
            <v>1595</v>
          </cell>
          <cell r="J58">
            <v>15</v>
          </cell>
          <cell r="K58">
            <v>15</v>
          </cell>
          <cell r="L58">
            <v>15</v>
          </cell>
          <cell r="M58">
            <v>20</v>
          </cell>
          <cell r="N58">
            <v>10</v>
          </cell>
          <cell r="O58">
            <v>14.9</v>
          </cell>
          <cell r="P58">
            <v>1.3180000000000001</v>
          </cell>
          <cell r="Q58">
            <v>13.682</v>
          </cell>
          <cell r="R58">
            <v>0.57327475011363127</v>
          </cell>
          <cell r="S58">
            <v>1593.682</v>
          </cell>
          <cell r="T58" t="str">
            <v>GBM</v>
          </cell>
          <cell r="U58" t="str">
            <v>L</v>
          </cell>
          <cell r="W58" t="str">
            <v>2010</v>
          </cell>
          <cell r="X58">
            <v>3.5521363165356264E-2</v>
          </cell>
          <cell r="Y58">
            <v>0.99998888481952097</v>
          </cell>
          <cell r="Z58">
            <v>0.1</v>
          </cell>
          <cell r="AA58">
            <v>6520.4532646512262</v>
          </cell>
        </row>
        <row r="60">
          <cell r="A60">
            <v>6</v>
          </cell>
          <cell r="B60" t="str">
            <v>RT3-1</v>
          </cell>
          <cell r="C60" t="str">
            <v>Tap2</v>
          </cell>
          <cell r="D60">
            <v>400</v>
          </cell>
          <cell r="E60">
            <v>0.2</v>
          </cell>
          <cell r="F60">
            <v>1595</v>
          </cell>
          <cell r="G60">
            <v>1588</v>
          </cell>
          <cell r="H60">
            <v>1595</v>
          </cell>
          <cell r="I60">
            <v>1595</v>
          </cell>
          <cell r="J60">
            <v>7</v>
          </cell>
          <cell r="K60">
            <v>7</v>
          </cell>
          <cell r="L60">
            <v>7</v>
          </cell>
          <cell r="M60">
            <v>40</v>
          </cell>
          <cell r="N60">
            <v>6</v>
          </cell>
          <cell r="O60">
            <v>33.700000000000003</v>
          </cell>
          <cell r="P60">
            <v>1.2110000000000001</v>
          </cell>
          <cell r="Q60">
            <v>5.7889999999999997</v>
          </cell>
          <cell r="R60">
            <v>0.22413286596294277</v>
          </cell>
          <cell r="S60">
            <v>1593.789</v>
          </cell>
          <cell r="T60" t="str">
            <v>GBM</v>
          </cell>
          <cell r="W60" t="str">
            <v>406</v>
          </cell>
          <cell r="X60">
            <v>3.6234005177766662E-2</v>
          </cell>
          <cell r="Y60">
            <v>0.99964643718109192</v>
          </cell>
          <cell r="Z60">
            <v>0.1</v>
          </cell>
          <cell r="AA60">
            <v>5765.8607503444055</v>
          </cell>
        </row>
        <row r="61">
          <cell r="A61">
            <v>7</v>
          </cell>
          <cell r="B61" t="str">
            <v>Tap2</v>
          </cell>
          <cell r="C61" t="str">
            <v>Tap3</v>
          </cell>
          <cell r="D61">
            <v>280</v>
          </cell>
          <cell r="E61">
            <v>0.1</v>
          </cell>
          <cell r="F61">
            <v>1588</v>
          </cell>
          <cell r="G61">
            <v>1581</v>
          </cell>
          <cell r="H61">
            <v>1595</v>
          </cell>
          <cell r="I61">
            <v>1593.789</v>
          </cell>
          <cell r="J61">
            <v>7</v>
          </cell>
          <cell r="K61">
            <v>14</v>
          </cell>
          <cell r="L61">
            <v>12.788999999999987</v>
          </cell>
          <cell r="M61">
            <v>32</v>
          </cell>
          <cell r="N61">
            <v>6</v>
          </cell>
          <cell r="O61">
            <v>26.9</v>
          </cell>
          <cell r="P61">
            <v>0.749</v>
          </cell>
          <cell r="Q61">
            <v>12.039999999999987</v>
          </cell>
          <cell r="R61">
            <v>0.17588580488485137</v>
          </cell>
          <cell r="S61">
            <v>1593.04</v>
          </cell>
          <cell r="T61" t="str">
            <v>GBM</v>
          </cell>
          <cell r="U61" t="str">
            <v>R</v>
          </cell>
          <cell r="W61" t="str">
            <v>326</v>
          </cell>
          <cell r="X61">
            <v>4.1487012509955075E-2</v>
          </cell>
          <cell r="Y61">
            <v>0.99983809411592517</v>
          </cell>
          <cell r="Z61">
            <v>0.1</v>
          </cell>
          <cell r="AA61">
            <v>3611.7008789332076</v>
          </cell>
        </row>
        <row r="63">
          <cell r="D63">
            <v>1570</v>
          </cell>
          <cell r="G63" t="str">
            <v>SCHEME NO:</v>
          </cell>
          <cell r="H63">
            <v>4</v>
          </cell>
          <cell r="I63" t="str">
            <v>Mangroda</v>
          </cell>
        </row>
        <row r="64">
          <cell r="B64" t="str">
            <v>TRANSMISSION  LINE</v>
          </cell>
          <cell r="D64">
            <v>1000</v>
          </cell>
          <cell r="M64" t="str">
            <v>OD</v>
          </cell>
          <cell r="T64" t="str">
            <v>SOIL</v>
          </cell>
        </row>
        <row r="65">
          <cell r="A65">
            <v>1</v>
          </cell>
          <cell r="B65" t="str">
            <v>INT4-1</v>
          </cell>
          <cell r="C65" t="str">
            <v>S01</v>
          </cell>
          <cell r="D65">
            <v>250</v>
          </cell>
          <cell r="E65">
            <v>0.3</v>
          </cell>
          <cell r="F65">
            <v>842</v>
          </cell>
          <cell r="G65">
            <v>800</v>
          </cell>
          <cell r="H65">
            <v>842</v>
          </cell>
          <cell r="I65">
            <v>842</v>
          </cell>
          <cell r="J65">
            <v>42</v>
          </cell>
          <cell r="K65">
            <v>42</v>
          </cell>
          <cell r="L65">
            <v>42</v>
          </cell>
          <cell r="M65">
            <v>32</v>
          </cell>
          <cell r="N65">
            <v>6</v>
          </cell>
          <cell r="O65">
            <v>26.9</v>
          </cell>
          <cell r="P65">
            <v>4.4850000000000003</v>
          </cell>
          <cell r="Q65">
            <v>37.515000000000001</v>
          </cell>
          <cell r="R65">
            <v>0.52765741465455407</v>
          </cell>
          <cell r="S65">
            <v>837.51499999999999</v>
          </cell>
          <cell r="T65" t="str">
            <v>GBM</v>
          </cell>
          <cell r="W65" t="str">
            <v>326</v>
          </cell>
          <cell r="X65">
            <v>3.0913735664049185E-2</v>
          </cell>
          <cell r="Y65">
            <v>0.99945115938596452</v>
          </cell>
          <cell r="Z65">
            <v>0.12</v>
          </cell>
          <cell r="AA65">
            <v>10835.102636799622</v>
          </cell>
        </row>
        <row r="66">
          <cell r="A66">
            <v>2</v>
          </cell>
          <cell r="B66" t="str">
            <v>S01</v>
          </cell>
          <cell r="C66" t="str">
            <v>S02</v>
          </cell>
          <cell r="D66">
            <v>150</v>
          </cell>
          <cell r="E66">
            <v>0.3</v>
          </cell>
          <cell r="F66">
            <v>800</v>
          </cell>
          <cell r="G66">
            <v>782</v>
          </cell>
          <cell r="H66">
            <v>842</v>
          </cell>
          <cell r="I66">
            <v>837.51499999999999</v>
          </cell>
          <cell r="J66">
            <v>18</v>
          </cell>
          <cell r="K66">
            <v>60</v>
          </cell>
          <cell r="L66">
            <v>55.514999999999986</v>
          </cell>
          <cell r="M66">
            <v>32</v>
          </cell>
          <cell r="N66">
            <v>6</v>
          </cell>
          <cell r="O66">
            <v>26.9</v>
          </cell>
          <cell r="P66">
            <v>2.6909999999999998</v>
          </cell>
          <cell r="Q66">
            <v>52.823999999999984</v>
          </cell>
          <cell r="R66">
            <v>0.52765741465455407</v>
          </cell>
          <cell r="S66">
            <v>834.82399999999996</v>
          </cell>
          <cell r="T66" t="str">
            <v>GBM</v>
          </cell>
          <cell r="W66" t="str">
            <v>326</v>
          </cell>
          <cell r="X66">
            <v>3.0913735664049185E-2</v>
          </cell>
          <cell r="Y66">
            <v>0.99945115938596452</v>
          </cell>
          <cell r="Z66">
            <v>0.12</v>
          </cell>
          <cell r="AA66">
            <v>10835.102636799622</v>
          </cell>
        </row>
        <row r="67">
          <cell r="A67">
            <v>3</v>
          </cell>
          <cell r="B67" t="str">
            <v>S02</v>
          </cell>
          <cell r="C67" t="str">
            <v>INT4-2</v>
          </cell>
          <cell r="D67">
            <v>250</v>
          </cell>
          <cell r="E67">
            <v>0.3</v>
          </cell>
          <cell r="F67">
            <v>782</v>
          </cell>
          <cell r="G67">
            <v>742</v>
          </cell>
          <cell r="H67">
            <v>842</v>
          </cell>
          <cell r="I67">
            <v>834.82399999999996</v>
          </cell>
          <cell r="J67">
            <v>40</v>
          </cell>
          <cell r="K67">
            <v>100</v>
          </cell>
          <cell r="L67">
            <v>92.823999999999955</v>
          </cell>
          <cell r="M67">
            <v>32</v>
          </cell>
          <cell r="N67">
            <v>10</v>
          </cell>
          <cell r="O67">
            <v>24.1</v>
          </cell>
          <cell r="P67">
            <v>7.59</v>
          </cell>
          <cell r="Q67">
            <v>85.233999999999952</v>
          </cell>
          <cell r="R67">
            <v>0.65738913210547645</v>
          </cell>
          <cell r="S67">
            <v>827.23399999999992</v>
          </cell>
          <cell r="T67" t="str">
            <v>GBM</v>
          </cell>
          <cell r="W67" t="str">
            <v>3210</v>
          </cell>
          <cell r="X67">
            <v>3.0199856394135711E-2</v>
          </cell>
          <cell r="Y67">
            <v>0.99977126763842505</v>
          </cell>
          <cell r="Z67">
            <v>0.12</v>
          </cell>
          <cell r="AA67">
            <v>12093.952735680903</v>
          </cell>
        </row>
        <row r="68">
          <cell r="A68">
            <v>4</v>
          </cell>
          <cell r="B68" t="str">
            <v>INT4-2</v>
          </cell>
          <cell r="C68" t="str">
            <v>RT4-1</v>
          </cell>
          <cell r="D68">
            <v>350</v>
          </cell>
          <cell r="E68">
            <v>0.4</v>
          </cell>
          <cell r="F68">
            <v>742</v>
          </cell>
          <cell r="G68">
            <v>730</v>
          </cell>
          <cell r="H68">
            <v>742</v>
          </cell>
          <cell r="I68">
            <v>742</v>
          </cell>
          <cell r="J68">
            <v>12</v>
          </cell>
          <cell r="K68">
            <v>12</v>
          </cell>
          <cell r="L68">
            <v>12</v>
          </cell>
          <cell r="M68">
            <v>50</v>
          </cell>
          <cell r="N68">
            <v>4</v>
          </cell>
          <cell r="O68">
            <v>44.7</v>
          </cell>
          <cell r="P68">
            <v>0.92400000000000004</v>
          </cell>
          <cell r="Q68">
            <v>11.076000000000001</v>
          </cell>
          <cell r="R68">
            <v>0.25478877782828052</v>
          </cell>
          <cell r="S68">
            <v>741.07600000000002</v>
          </cell>
          <cell r="T68" t="str">
            <v>GBM</v>
          </cell>
          <cell r="W68" t="str">
            <v>504</v>
          </cell>
          <cell r="X68">
            <v>3.2421959420553398E-2</v>
          </cell>
          <cell r="Y68">
            <v>0.9996055387670818</v>
          </cell>
          <cell r="Z68">
            <v>0.12</v>
          </cell>
          <cell r="AA68">
            <v>8693.9376862016325</v>
          </cell>
        </row>
        <row r="70">
          <cell r="B70" t="str">
            <v>DISTRIBUTION  LINE</v>
          </cell>
          <cell r="D70">
            <v>570</v>
          </cell>
          <cell r="M70" t="str">
            <v>OD</v>
          </cell>
          <cell r="T70" t="str">
            <v>SOIL</v>
          </cell>
        </row>
        <row r="71">
          <cell r="A71">
            <v>5</v>
          </cell>
          <cell r="B71" t="str">
            <v>RT4-1</v>
          </cell>
          <cell r="C71" t="str">
            <v>p1</v>
          </cell>
          <cell r="D71">
            <v>20</v>
          </cell>
          <cell r="E71">
            <v>0.8</v>
          </cell>
          <cell r="F71">
            <v>730</v>
          </cell>
          <cell r="G71">
            <v>725</v>
          </cell>
          <cell r="H71">
            <v>730</v>
          </cell>
          <cell r="I71">
            <v>730</v>
          </cell>
          <cell r="J71">
            <v>5</v>
          </cell>
          <cell r="K71">
            <v>5</v>
          </cell>
          <cell r="L71">
            <v>5</v>
          </cell>
          <cell r="M71">
            <v>50</v>
          </cell>
          <cell r="N71">
            <v>4</v>
          </cell>
          <cell r="O71">
            <v>44.7</v>
          </cell>
          <cell r="P71">
            <v>0.17699999999999999</v>
          </cell>
          <cell r="Q71">
            <v>4.8230000000000004</v>
          </cell>
          <cell r="R71">
            <v>0.50957755565656104</v>
          </cell>
          <cell r="S71">
            <v>729.82299999999998</v>
          </cell>
          <cell r="T71" t="str">
            <v>GBM</v>
          </cell>
          <cell r="W71" t="str">
            <v>504</v>
          </cell>
          <cell r="X71">
            <v>2.7230800967844502E-2</v>
          </cell>
          <cell r="Y71">
            <v>0.9997019633918649</v>
          </cell>
          <cell r="Z71">
            <v>0.1</v>
          </cell>
          <cell r="AA71">
            <v>17387.875372403265</v>
          </cell>
        </row>
        <row r="72">
          <cell r="A72">
            <v>6</v>
          </cell>
          <cell r="B72" t="str">
            <v>p1</v>
          </cell>
          <cell r="C72" t="str">
            <v>Tap2</v>
          </cell>
          <cell r="D72">
            <v>150</v>
          </cell>
          <cell r="E72">
            <v>0.7</v>
          </cell>
          <cell r="F72">
            <v>725</v>
          </cell>
          <cell r="G72">
            <v>675</v>
          </cell>
          <cell r="H72">
            <v>730</v>
          </cell>
          <cell r="I72">
            <v>729.82299999999998</v>
          </cell>
          <cell r="J72">
            <v>50</v>
          </cell>
          <cell r="K72">
            <v>55</v>
          </cell>
          <cell r="L72">
            <v>54.822999999999979</v>
          </cell>
          <cell r="M72">
            <v>32</v>
          </cell>
          <cell r="N72">
            <v>6</v>
          </cell>
          <cell r="O72">
            <v>26.9</v>
          </cell>
          <cell r="P72">
            <v>11.996</v>
          </cell>
          <cell r="Q72">
            <v>42.826999999999977</v>
          </cell>
          <cell r="R72">
            <v>1.2312006341939594</v>
          </cell>
          <cell r="S72">
            <v>717.827</v>
          </cell>
          <cell r="T72" t="str">
            <v>GBM</v>
          </cell>
          <cell r="W72" t="str">
            <v>326</v>
          </cell>
          <cell r="X72">
            <v>2.5312877685040865E-2</v>
          </cell>
          <cell r="Y72">
            <v>0.99914007407402639</v>
          </cell>
          <cell r="Z72">
            <v>0.1</v>
          </cell>
          <cell r="AA72">
            <v>25281.906152532443</v>
          </cell>
        </row>
        <row r="73">
          <cell r="A73">
            <v>7</v>
          </cell>
          <cell r="B73" t="str">
            <v>Tap2</v>
          </cell>
          <cell r="C73" t="str">
            <v>Tap3</v>
          </cell>
          <cell r="D73">
            <v>50</v>
          </cell>
          <cell r="E73">
            <v>0.5</v>
          </cell>
          <cell r="F73">
            <v>675</v>
          </cell>
          <cell r="G73">
            <v>665</v>
          </cell>
          <cell r="H73">
            <v>730</v>
          </cell>
          <cell r="I73">
            <v>717.827</v>
          </cell>
          <cell r="J73">
            <v>10</v>
          </cell>
          <cell r="K73">
            <v>65</v>
          </cell>
          <cell r="L73">
            <v>52.826999999999998</v>
          </cell>
          <cell r="M73">
            <v>25</v>
          </cell>
          <cell r="N73">
            <v>10</v>
          </cell>
          <cell r="O73">
            <v>18.899999999999999</v>
          </cell>
          <cell r="P73">
            <v>12.053000000000001</v>
          </cell>
          <cell r="Q73">
            <v>40.774000000000001</v>
          </cell>
          <cell r="R73">
            <v>1.7814832629647448</v>
          </cell>
          <cell r="S73">
            <v>705.774</v>
          </cell>
          <cell r="T73" t="str">
            <v>GBM</v>
          </cell>
          <cell r="W73" t="str">
            <v>2510</v>
          </cell>
          <cell r="X73">
            <v>2.5606088262204386E-2</v>
          </cell>
          <cell r="Y73">
            <v>0.9994925596446087</v>
          </cell>
          <cell r="Z73">
            <v>0.1</v>
          </cell>
          <cell r="AA73">
            <v>25702.31577865166</v>
          </cell>
        </row>
        <row r="74">
          <cell r="A74">
            <v>8</v>
          </cell>
          <cell r="B74" t="str">
            <v>Tap3</v>
          </cell>
          <cell r="C74" t="str">
            <v>Tap4</v>
          </cell>
          <cell r="D74">
            <v>40</v>
          </cell>
          <cell r="E74">
            <v>0.4</v>
          </cell>
          <cell r="F74">
            <v>665</v>
          </cell>
          <cell r="G74">
            <v>654</v>
          </cell>
          <cell r="H74">
            <v>730</v>
          </cell>
          <cell r="I74">
            <v>705.774</v>
          </cell>
          <cell r="J74">
            <v>11</v>
          </cell>
          <cell r="K74">
            <v>76</v>
          </cell>
          <cell r="L74">
            <v>51.774000000000001</v>
          </cell>
          <cell r="M74">
            <v>20</v>
          </cell>
          <cell r="N74">
            <v>10</v>
          </cell>
          <cell r="O74">
            <v>14.9</v>
          </cell>
          <cell r="P74">
            <v>20.468</v>
          </cell>
          <cell r="Q74">
            <v>31.306000000000001</v>
          </cell>
          <cell r="R74">
            <v>2.2930990004545251</v>
          </cell>
          <cell r="S74">
            <v>685.30600000000004</v>
          </cell>
          <cell r="T74" t="str">
            <v>GBM</v>
          </cell>
          <cell r="W74" t="str">
            <v>2010</v>
          </cell>
          <cell r="X74">
            <v>2.5861823984015334E-2</v>
          </cell>
          <cell r="Y74">
            <v>0.99963662869308401</v>
          </cell>
          <cell r="Z74">
            <v>0.1</v>
          </cell>
          <cell r="AA74">
            <v>26081.813058604905</v>
          </cell>
        </row>
        <row r="75">
          <cell r="A75">
            <v>9</v>
          </cell>
          <cell r="B75" t="str">
            <v>Tap4</v>
          </cell>
          <cell r="C75" t="str">
            <v>Tap5</v>
          </cell>
          <cell r="D75">
            <v>30</v>
          </cell>
          <cell r="E75">
            <v>0.1</v>
          </cell>
          <cell r="F75">
            <v>654</v>
          </cell>
          <cell r="G75">
            <v>651</v>
          </cell>
          <cell r="H75">
            <v>730</v>
          </cell>
          <cell r="I75">
            <v>685.30600000000004</v>
          </cell>
          <cell r="J75">
            <v>3</v>
          </cell>
          <cell r="K75">
            <v>79</v>
          </cell>
          <cell r="L75">
            <v>34.30600000000004</v>
          </cell>
          <cell r="M75">
            <v>16</v>
          </cell>
          <cell r="N75">
            <v>10</v>
          </cell>
          <cell r="O75">
            <v>11.6</v>
          </cell>
          <cell r="P75">
            <v>4.3529999999999998</v>
          </cell>
          <cell r="Q75">
            <v>29.953000000000038</v>
          </cell>
          <cell r="R75">
            <v>0.94584369257377576</v>
          </cell>
          <cell r="S75">
            <v>680.95300000000009</v>
          </cell>
          <cell r="T75" t="str">
            <v>GBM</v>
          </cell>
          <cell r="W75" t="str">
            <v>1610</v>
          </cell>
          <cell r="X75">
            <v>3.3559988995374754E-2</v>
          </cell>
          <cell r="Y75">
            <v>0.99965805576564937</v>
          </cell>
          <cell r="Z75">
            <v>0.1</v>
          </cell>
          <cell r="AA75">
            <v>8375.4097968364877</v>
          </cell>
        </row>
        <row r="77">
          <cell r="A77">
            <v>10</v>
          </cell>
          <cell r="B77" t="str">
            <v>p1</v>
          </cell>
          <cell r="C77" t="str">
            <v>Tap1</v>
          </cell>
          <cell r="D77">
            <v>25</v>
          </cell>
          <cell r="E77">
            <v>0.1</v>
          </cell>
          <cell r="F77">
            <v>725</v>
          </cell>
          <cell r="G77">
            <v>710</v>
          </cell>
          <cell r="H77">
            <v>730</v>
          </cell>
          <cell r="I77">
            <v>729.82299999999998</v>
          </cell>
          <cell r="J77">
            <v>15</v>
          </cell>
          <cell r="K77">
            <v>20</v>
          </cell>
          <cell r="L77">
            <v>19.822999999999979</v>
          </cell>
          <cell r="M77">
            <v>16</v>
          </cell>
          <cell r="N77">
            <v>10</v>
          </cell>
          <cell r="O77">
            <v>11.6</v>
          </cell>
          <cell r="P77">
            <v>3.6280000000000001</v>
          </cell>
          <cell r="Q77">
            <v>16.194999999999979</v>
          </cell>
          <cell r="R77">
            <v>0.94584369257377576</v>
          </cell>
          <cell r="S77">
            <v>726.19499999999994</v>
          </cell>
          <cell r="T77" t="str">
            <v>GBM</v>
          </cell>
          <cell r="U77" t="str">
            <v>L</v>
          </cell>
          <cell r="W77" t="str">
            <v>1610</v>
          </cell>
          <cell r="X77">
            <v>3.3559710829759608E-2</v>
          </cell>
          <cell r="Y77">
            <v>0.99965333563892111</v>
          </cell>
          <cell r="Z77">
            <v>0.1</v>
          </cell>
          <cell r="AA77">
            <v>8375.4097968364877</v>
          </cell>
        </row>
        <row r="79">
          <cell r="A79">
            <v>11</v>
          </cell>
          <cell r="B79" t="str">
            <v>Tap2</v>
          </cell>
          <cell r="C79" t="str">
            <v>Tap8</v>
          </cell>
          <cell r="D79">
            <v>180</v>
          </cell>
          <cell r="E79">
            <v>0.1</v>
          </cell>
          <cell r="F79">
            <v>675</v>
          </cell>
          <cell r="G79">
            <v>635</v>
          </cell>
          <cell r="H79">
            <v>730</v>
          </cell>
          <cell r="I79">
            <v>717.827</v>
          </cell>
          <cell r="J79">
            <v>40</v>
          </cell>
          <cell r="K79">
            <v>95</v>
          </cell>
          <cell r="L79">
            <v>82.826999999999998</v>
          </cell>
          <cell r="M79">
            <v>16</v>
          </cell>
          <cell r="N79">
            <v>10</v>
          </cell>
          <cell r="O79">
            <v>11.6</v>
          </cell>
          <cell r="P79">
            <v>25.181000000000001</v>
          </cell>
          <cell r="Q79">
            <v>57.646000000000001</v>
          </cell>
          <cell r="R79">
            <v>0.94584369257377576</v>
          </cell>
          <cell r="S79">
            <v>692.64599999999996</v>
          </cell>
          <cell r="T79" t="str">
            <v>GBM</v>
          </cell>
          <cell r="U79" t="str">
            <v>R</v>
          </cell>
          <cell r="W79" t="str">
            <v>1610</v>
          </cell>
          <cell r="X79">
            <v>3.235349047789364E-2</v>
          </cell>
          <cell r="Y79">
            <v>0.99946731894813967</v>
          </cell>
          <cell r="AA79">
            <v>8375.4097968364877</v>
          </cell>
        </row>
        <row r="81">
          <cell r="A81">
            <v>12</v>
          </cell>
          <cell r="B81" t="str">
            <v>Tap4</v>
          </cell>
          <cell r="C81" t="str">
            <v>Tap6</v>
          </cell>
          <cell r="D81">
            <v>45</v>
          </cell>
          <cell r="E81">
            <v>0.2</v>
          </cell>
          <cell r="F81">
            <v>654</v>
          </cell>
          <cell r="G81">
            <v>651</v>
          </cell>
          <cell r="H81">
            <v>730</v>
          </cell>
          <cell r="I81">
            <v>685.30600000000004</v>
          </cell>
          <cell r="J81">
            <v>3</v>
          </cell>
          <cell r="K81">
            <v>79</v>
          </cell>
          <cell r="L81">
            <v>34.30600000000004</v>
          </cell>
          <cell r="M81">
            <v>20</v>
          </cell>
          <cell r="N81">
            <v>10</v>
          </cell>
          <cell r="O81">
            <v>14.9</v>
          </cell>
          <cell r="P81">
            <v>6.6639999999999997</v>
          </cell>
          <cell r="Q81">
            <v>27.642000000000039</v>
          </cell>
          <cell r="R81">
            <v>1.1465495002272625</v>
          </cell>
          <cell r="S81">
            <v>678.64200000000005</v>
          </cell>
          <cell r="T81" t="str">
            <v>GBM</v>
          </cell>
          <cell r="U81" t="str">
            <v>R</v>
          </cell>
          <cell r="W81" t="str">
            <v>2010</v>
          </cell>
          <cell r="X81">
            <v>2.9939634695034356E-2</v>
          </cell>
          <cell r="Y81">
            <v>0.99947815958406194</v>
          </cell>
          <cell r="Z81">
            <v>0.1</v>
          </cell>
          <cell r="AA81">
            <v>13040.906529302452</v>
          </cell>
        </row>
        <row r="82">
          <cell r="A82">
            <v>13</v>
          </cell>
          <cell r="B82" t="str">
            <v>Tap6</v>
          </cell>
          <cell r="C82" t="str">
            <v>Tap7</v>
          </cell>
          <cell r="D82">
            <v>30</v>
          </cell>
          <cell r="E82">
            <v>0.1</v>
          </cell>
          <cell r="F82">
            <v>651</v>
          </cell>
          <cell r="G82">
            <v>650</v>
          </cell>
          <cell r="H82">
            <v>730</v>
          </cell>
          <cell r="I82">
            <v>678.64200000000005</v>
          </cell>
          <cell r="J82">
            <v>1</v>
          </cell>
          <cell r="K82">
            <v>80</v>
          </cell>
          <cell r="L82">
            <v>28.642000000000053</v>
          </cell>
          <cell r="M82">
            <v>20</v>
          </cell>
          <cell r="N82">
            <v>10</v>
          </cell>
          <cell r="O82">
            <v>14.9</v>
          </cell>
          <cell r="P82">
            <v>1.3180000000000001</v>
          </cell>
          <cell r="Q82">
            <v>27.324000000000051</v>
          </cell>
          <cell r="R82">
            <v>0.57327475011363127</v>
          </cell>
          <cell r="S82">
            <v>677.32400000000007</v>
          </cell>
          <cell r="T82" t="str">
            <v>GBM</v>
          </cell>
          <cell r="W82" t="str">
            <v>2010</v>
          </cell>
          <cell r="X82">
            <v>3.5524282795390237E-2</v>
          </cell>
          <cell r="Y82">
            <v>1.0000361592853213</v>
          </cell>
          <cell r="Z82">
            <v>0.1</v>
          </cell>
          <cell r="AA82">
            <v>6520.4532646512262</v>
          </cell>
        </row>
        <row r="84">
          <cell r="D84">
            <v>1276</v>
          </cell>
          <cell r="G84" t="str">
            <v>SCHEME NO:</v>
          </cell>
          <cell r="H84">
            <v>5</v>
          </cell>
          <cell r="I84" t="str">
            <v>Jojjali</v>
          </cell>
        </row>
        <row r="85">
          <cell r="B85" t="str">
            <v>TRANSMISSION  LINE</v>
          </cell>
          <cell r="D85">
            <v>350</v>
          </cell>
          <cell r="M85" t="str">
            <v>OD</v>
          </cell>
          <cell r="T85" t="str">
            <v>SOIL</v>
          </cell>
        </row>
        <row r="86">
          <cell r="A86">
            <v>1</v>
          </cell>
          <cell r="B86" t="str">
            <v>INT5</v>
          </cell>
          <cell r="C86" t="str">
            <v>p1</v>
          </cell>
          <cell r="D86">
            <v>150</v>
          </cell>
          <cell r="E86">
            <v>0.1</v>
          </cell>
          <cell r="F86">
            <v>762</v>
          </cell>
          <cell r="G86">
            <v>758</v>
          </cell>
          <cell r="H86">
            <v>762</v>
          </cell>
          <cell r="I86">
            <v>762</v>
          </cell>
          <cell r="J86">
            <v>4</v>
          </cell>
          <cell r="K86">
            <v>4</v>
          </cell>
          <cell r="L86">
            <v>4</v>
          </cell>
          <cell r="M86">
            <v>32</v>
          </cell>
          <cell r="N86">
            <v>6</v>
          </cell>
          <cell r="O86">
            <v>26.9</v>
          </cell>
          <cell r="P86">
            <v>0.40200000000000002</v>
          </cell>
          <cell r="Q86">
            <v>3.5979999999999999</v>
          </cell>
          <cell r="R86">
            <v>0.17588580488485137</v>
          </cell>
          <cell r="S86">
            <v>761.59799999999996</v>
          </cell>
          <cell r="T86" t="str">
            <v>GBM</v>
          </cell>
          <cell r="W86" t="str">
            <v>326</v>
          </cell>
          <cell r="X86">
            <v>4.1537967227889119E-2</v>
          </cell>
          <cell r="Y86">
            <v>0.99954698121854335</v>
          </cell>
          <cell r="Z86">
            <v>0.12</v>
          </cell>
          <cell r="AA86">
            <v>3611.7008789332076</v>
          </cell>
        </row>
        <row r="87">
          <cell r="A87">
            <v>2</v>
          </cell>
          <cell r="B87" t="str">
            <v>p1</v>
          </cell>
          <cell r="C87" t="str">
            <v>RT5-1</v>
          </cell>
          <cell r="D87">
            <v>200</v>
          </cell>
          <cell r="E87">
            <v>0.1</v>
          </cell>
          <cell r="F87">
            <v>758</v>
          </cell>
          <cell r="G87">
            <v>749</v>
          </cell>
          <cell r="H87">
            <v>762</v>
          </cell>
          <cell r="I87">
            <v>761.59799999999996</v>
          </cell>
          <cell r="J87">
            <v>9</v>
          </cell>
          <cell r="K87">
            <v>13</v>
          </cell>
          <cell r="L87">
            <v>12.597999999999956</v>
          </cell>
          <cell r="M87">
            <v>32</v>
          </cell>
          <cell r="N87">
            <v>6</v>
          </cell>
          <cell r="O87">
            <v>26.9</v>
          </cell>
          <cell r="P87">
            <v>0.53500000000000003</v>
          </cell>
          <cell r="Q87">
            <v>12.062999999999956</v>
          </cell>
          <cell r="R87">
            <v>0.17588580488485137</v>
          </cell>
          <cell r="S87">
            <v>761.06299999999999</v>
          </cell>
          <cell r="T87" t="str">
            <v>GBM</v>
          </cell>
          <cell r="W87" t="str">
            <v>326</v>
          </cell>
          <cell r="X87">
            <v>4.1499182696863923E-2</v>
          </cell>
          <cell r="Y87">
            <v>0.99900040340739382</v>
          </cell>
          <cell r="Z87">
            <v>0.12</v>
          </cell>
          <cell r="AA87">
            <v>3611.7008789332076</v>
          </cell>
        </row>
        <row r="89">
          <cell r="B89" t="str">
            <v>DISTRIBUTION  LINE</v>
          </cell>
          <cell r="D89">
            <v>926</v>
          </cell>
          <cell r="M89" t="str">
            <v>OD</v>
          </cell>
          <cell r="T89" t="str">
            <v>SOIL</v>
          </cell>
        </row>
        <row r="90">
          <cell r="A90">
            <v>3</v>
          </cell>
          <cell r="B90" t="str">
            <v>RT5-1</v>
          </cell>
          <cell r="C90" t="str">
            <v>Tap1</v>
          </cell>
          <cell r="D90">
            <v>200</v>
          </cell>
          <cell r="E90">
            <v>0.5</v>
          </cell>
          <cell r="F90">
            <v>749</v>
          </cell>
          <cell r="G90">
            <v>740</v>
          </cell>
          <cell r="H90">
            <v>749</v>
          </cell>
          <cell r="I90">
            <v>749</v>
          </cell>
          <cell r="J90">
            <v>9</v>
          </cell>
          <cell r="K90">
            <v>9</v>
          </cell>
          <cell r="L90">
            <v>9</v>
          </cell>
          <cell r="M90">
            <v>50</v>
          </cell>
          <cell r="N90">
            <v>4</v>
          </cell>
          <cell r="O90">
            <v>44.7</v>
          </cell>
          <cell r="P90">
            <v>0.77800000000000002</v>
          </cell>
          <cell r="Q90">
            <v>8.2219999999999995</v>
          </cell>
          <cell r="R90">
            <v>0.31848597228535069</v>
          </cell>
          <cell r="S90">
            <v>748.22199999999998</v>
          </cell>
          <cell r="T90" t="str">
            <v>GBM</v>
          </cell>
          <cell r="W90" t="str">
            <v>504</v>
          </cell>
          <cell r="X90">
            <v>3.0563735961144228E-2</v>
          </cell>
          <cell r="Y90">
            <v>0.99986587397305993</v>
          </cell>
          <cell r="Z90">
            <v>0.1</v>
          </cell>
          <cell r="AA90">
            <v>10867.422107752041</v>
          </cell>
        </row>
        <row r="91">
          <cell r="A91">
            <v>4</v>
          </cell>
          <cell r="B91" t="str">
            <v>Tap1</v>
          </cell>
          <cell r="C91" t="str">
            <v>Tap2</v>
          </cell>
          <cell r="D91">
            <v>60</v>
          </cell>
          <cell r="E91">
            <v>0.4</v>
          </cell>
          <cell r="F91">
            <v>740</v>
          </cell>
          <cell r="G91">
            <v>739</v>
          </cell>
          <cell r="H91">
            <v>749</v>
          </cell>
          <cell r="I91">
            <v>748.22199999999998</v>
          </cell>
          <cell r="J91">
            <v>1</v>
          </cell>
          <cell r="K91">
            <v>10</v>
          </cell>
          <cell r="L91">
            <v>9.22199999999998</v>
          </cell>
          <cell r="M91">
            <v>40</v>
          </cell>
          <cell r="N91">
            <v>6</v>
          </cell>
          <cell r="O91">
            <v>33.700000000000003</v>
          </cell>
          <cell r="P91">
            <v>0.60599999999999998</v>
          </cell>
          <cell r="Q91">
            <v>8.6159999999999801</v>
          </cell>
          <cell r="R91">
            <v>0.44826573192588554</v>
          </cell>
          <cell r="S91">
            <v>747.61599999999999</v>
          </cell>
          <cell r="T91" t="str">
            <v>GBM</v>
          </cell>
          <cell r="W91" t="str">
            <v>406</v>
          </cell>
          <cell r="X91">
            <v>3.0221317074634071E-2</v>
          </cell>
          <cell r="Y91">
            <v>0.99973983249104292</v>
          </cell>
          <cell r="Z91">
            <v>0.1</v>
          </cell>
          <cell r="AA91">
            <v>11531.721500688811</v>
          </cell>
        </row>
        <row r="92">
          <cell r="A92">
            <v>5</v>
          </cell>
          <cell r="B92" t="str">
            <v>Tap2</v>
          </cell>
          <cell r="C92" t="str">
            <v>p3</v>
          </cell>
          <cell r="D92">
            <v>120</v>
          </cell>
          <cell r="E92">
            <v>0.3</v>
          </cell>
          <cell r="F92">
            <v>739</v>
          </cell>
          <cell r="G92">
            <v>720</v>
          </cell>
          <cell r="H92">
            <v>749</v>
          </cell>
          <cell r="I92">
            <v>747.61599999999999</v>
          </cell>
          <cell r="J92">
            <v>19</v>
          </cell>
          <cell r="K92">
            <v>29</v>
          </cell>
          <cell r="L92">
            <v>27.615999999999985</v>
          </cell>
          <cell r="M92">
            <v>32</v>
          </cell>
          <cell r="N92">
            <v>6</v>
          </cell>
          <cell r="O92">
            <v>26.9</v>
          </cell>
          <cell r="P92">
            <v>2.1440000000000001</v>
          </cell>
          <cell r="Q92">
            <v>25.471999999999987</v>
          </cell>
          <cell r="R92">
            <v>0.52765741465455407</v>
          </cell>
          <cell r="S92">
            <v>745.47199999999998</v>
          </cell>
          <cell r="T92" t="str">
            <v>GBM</v>
          </cell>
          <cell r="W92" t="str">
            <v>326</v>
          </cell>
          <cell r="X92">
            <v>3.0794861341956491E-2</v>
          </cell>
          <cell r="Y92">
            <v>0.99939965664957631</v>
          </cell>
          <cell r="Z92">
            <v>0.1</v>
          </cell>
          <cell r="AA92">
            <v>10835.102636799622</v>
          </cell>
        </row>
        <row r="93">
          <cell r="A93">
            <v>6</v>
          </cell>
          <cell r="B93" t="str">
            <v>p3</v>
          </cell>
          <cell r="C93" t="str">
            <v>p31</v>
          </cell>
          <cell r="D93">
            <v>40</v>
          </cell>
          <cell r="E93">
            <v>0.3</v>
          </cell>
          <cell r="F93">
            <v>720</v>
          </cell>
          <cell r="G93">
            <v>702</v>
          </cell>
          <cell r="H93">
            <v>749</v>
          </cell>
          <cell r="I93">
            <v>745.47199999999998</v>
          </cell>
          <cell r="J93">
            <v>18</v>
          </cell>
          <cell r="K93">
            <v>47</v>
          </cell>
          <cell r="L93">
            <v>43.47199999999998</v>
          </cell>
          <cell r="M93">
            <v>25</v>
          </cell>
          <cell r="N93">
            <v>10</v>
          </cell>
          <cell r="O93">
            <v>18.899999999999999</v>
          </cell>
          <cell r="P93">
            <v>3.8730000000000002</v>
          </cell>
          <cell r="Q93">
            <v>39.598999999999982</v>
          </cell>
          <cell r="R93">
            <v>1.0688899577788469</v>
          </cell>
          <cell r="S93">
            <v>741.59899999999993</v>
          </cell>
          <cell r="T93" t="str">
            <v>GBM</v>
          </cell>
          <cell r="U93" t="str">
            <v>R</v>
          </cell>
          <cell r="W93" t="str">
            <v>2510</v>
          </cell>
          <cell r="X93">
            <v>2.8570114052846575E-2</v>
          </cell>
          <cell r="Y93">
            <v>0.99937959972963319</v>
          </cell>
          <cell r="Z93">
            <v>0.1</v>
          </cell>
          <cell r="AA93">
            <v>15421.389467190995</v>
          </cell>
        </row>
        <row r="95">
          <cell r="A95">
            <v>8</v>
          </cell>
          <cell r="B95" t="str">
            <v>p32</v>
          </cell>
          <cell r="C95" t="str">
            <v>Tap3</v>
          </cell>
          <cell r="D95">
            <v>200</v>
          </cell>
          <cell r="E95">
            <v>0.3</v>
          </cell>
          <cell r="F95">
            <v>702</v>
          </cell>
          <cell r="G95">
            <v>705</v>
          </cell>
          <cell r="H95">
            <v>749</v>
          </cell>
          <cell r="I95">
            <v>741.43399999999997</v>
          </cell>
          <cell r="J95">
            <v>-3</v>
          </cell>
          <cell r="K95">
            <v>47</v>
          </cell>
          <cell r="L95">
            <v>36.433999999999969</v>
          </cell>
          <cell r="M95">
            <v>25</v>
          </cell>
          <cell r="N95">
            <v>10</v>
          </cell>
          <cell r="O95">
            <v>18.899999999999999</v>
          </cell>
          <cell r="P95">
            <v>19.382000000000001</v>
          </cell>
          <cell r="Q95">
            <v>17.051999999999968</v>
          </cell>
          <cell r="R95">
            <v>1.0688899577788469</v>
          </cell>
          <cell r="S95">
            <v>722.05200000000002</v>
          </cell>
          <cell r="T95" t="str">
            <v>GBM</v>
          </cell>
          <cell r="W95" t="str">
            <v>2510</v>
          </cell>
          <cell r="X95">
            <v>2.859301781965333E-2</v>
          </cell>
          <cell r="Y95">
            <v>0.99983134301476284</v>
          </cell>
          <cell r="Z95">
            <v>0.1</v>
          </cell>
          <cell r="AA95">
            <v>15421.389467190995</v>
          </cell>
        </row>
        <row r="96">
          <cell r="A96">
            <v>9</v>
          </cell>
          <cell r="B96" t="str">
            <v>Tap3</v>
          </cell>
          <cell r="C96" t="str">
            <v>p4</v>
          </cell>
          <cell r="D96">
            <v>110</v>
          </cell>
          <cell r="E96">
            <v>0.2</v>
          </cell>
          <cell r="F96">
            <v>705</v>
          </cell>
          <cell r="G96">
            <v>695</v>
          </cell>
          <cell r="H96">
            <v>749</v>
          </cell>
          <cell r="I96">
            <v>722.05200000000002</v>
          </cell>
          <cell r="J96">
            <v>10</v>
          </cell>
          <cell r="K96">
            <v>54</v>
          </cell>
          <cell r="L96">
            <v>27.052000000000021</v>
          </cell>
          <cell r="M96">
            <v>20</v>
          </cell>
          <cell r="N96">
            <v>10</v>
          </cell>
          <cell r="O96">
            <v>14.9</v>
          </cell>
          <cell r="P96">
            <v>16.306999999999999</v>
          </cell>
          <cell r="Q96">
            <v>10.745000000000022</v>
          </cell>
          <cell r="R96">
            <v>1.1465495002272625</v>
          </cell>
          <cell r="S96">
            <v>705.745</v>
          </cell>
          <cell r="T96" t="str">
            <v>GBM</v>
          </cell>
          <cell r="W96" t="str">
            <v>2010</v>
          </cell>
          <cell r="X96">
            <v>2.9970725366341523E-2</v>
          </cell>
          <cell r="Y96">
            <v>1.0000640685094275</v>
          </cell>
          <cell r="Z96">
            <v>0.1</v>
          </cell>
          <cell r="AA96">
            <v>13040.906529302452</v>
          </cell>
        </row>
        <row r="97">
          <cell r="A97">
            <v>10</v>
          </cell>
          <cell r="B97" t="str">
            <v>p4</v>
          </cell>
          <cell r="C97" t="str">
            <v>Tap4</v>
          </cell>
          <cell r="D97">
            <v>70</v>
          </cell>
          <cell r="E97">
            <v>0.2</v>
          </cell>
          <cell r="F97">
            <v>695</v>
          </cell>
          <cell r="G97">
            <v>671</v>
          </cell>
          <cell r="H97">
            <v>749</v>
          </cell>
          <cell r="I97">
            <v>705.745</v>
          </cell>
          <cell r="J97">
            <v>24</v>
          </cell>
          <cell r="K97">
            <v>78</v>
          </cell>
          <cell r="L97">
            <v>34.745000000000005</v>
          </cell>
          <cell r="M97">
            <v>20</v>
          </cell>
          <cell r="N97">
            <v>10</v>
          </cell>
          <cell r="O97">
            <v>14.9</v>
          </cell>
          <cell r="P97">
            <v>10.377000000000001</v>
          </cell>
          <cell r="Q97">
            <v>24.368000000000002</v>
          </cell>
          <cell r="R97">
            <v>1.1465495002272625</v>
          </cell>
          <cell r="S97">
            <v>695.36800000000005</v>
          </cell>
          <cell r="T97" t="str">
            <v>GBM</v>
          </cell>
          <cell r="W97" t="str">
            <v>2010</v>
          </cell>
          <cell r="X97">
            <v>2.9970741065798535E-2</v>
          </cell>
          <cell r="Y97">
            <v>1.0000643642991027</v>
          </cell>
          <cell r="Z97">
            <v>0.1</v>
          </cell>
          <cell r="AA97">
            <v>13040.906529302452</v>
          </cell>
        </row>
        <row r="98">
          <cell r="A98">
            <v>11</v>
          </cell>
          <cell r="B98" t="str">
            <v>Tap4</v>
          </cell>
          <cell r="C98" t="str">
            <v>Tap5</v>
          </cell>
          <cell r="D98">
            <v>120</v>
          </cell>
          <cell r="E98">
            <v>0.1</v>
          </cell>
          <cell r="F98">
            <v>671</v>
          </cell>
          <cell r="G98">
            <v>670</v>
          </cell>
          <cell r="H98">
            <v>749</v>
          </cell>
          <cell r="I98">
            <v>695.36800000000005</v>
          </cell>
          <cell r="J98">
            <v>1</v>
          </cell>
          <cell r="K98">
            <v>79</v>
          </cell>
          <cell r="L98">
            <v>25.368000000000052</v>
          </cell>
          <cell r="M98">
            <v>20</v>
          </cell>
          <cell r="N98">
            <v>10</v>
          </cell>
          <cell r="O98">
            <v>14.9</v>
          </cell>
          <cell r="P98">
            <v>5.2729999999999997</v>
          </cell>
          <cell r="Q98">
            <v>20.095000000000052</v>
          </cell>
          <cell r="R98">
            <v>0.57327475011363127</v>
          </cell>
          <cell r="S98">
            <v>690.09500000000003</v>
          </cell>
          <cell r="T98" t="str">
            <v>GBM</v>
          </cell>
          <cell r="W98" t="str">
            <v>2010</v>
          </cell>
          <cell r="X98">
            <v>3.5530707389303556E-2</v>
          </cell>
          <cell r="Y98">
            <v>1.0001401798865339</v>
          </cell>
          <cell r="Z98">
            <v>0.1</v>
          </cell>
          <cell r="AA98">
            <v>6520.4532646512262</v>
          </cell>
        </row>
        <row r="100">
          <cell r="D100">
            <v>2266</v>
          </cell>
          <cell r="G100" t="str">
            <v>SCHEME NO:</v>
          </cell>
          <cell r="H100">
            <v>6</v>
          </cell>
          <cell r="I100" t="str">
            <v>Panchshera-Mahadev bagar</v>
          </cell>
        </row>
        <row r="101">
          <cell r="B101" t="str">
            <v>TRANSMISSION  LINE</v>
          </cell>
          <cell r="D101">
            <v>590</v>
          </cell>
          <cell r="M101" t="str">
            <v>OD</v>
          </cell>
          <cell r="T101" t="str">
            <v>SOIL</v>
          </cell>
        </row>
        <row r="102">
          <cell r="A102">
            <v>1</v>
          </cell>
          <cell r="B102" t="str">
            <v>INT6</v>
          </cell>
          <cell r="C102" t="str">
            <v>p01</v>
          </cell>
          <cell r="D102">
            <v>60</v>
          </cell>
          <cell r="E102">
            <v>0.35</v>
          </cell>
          <cell r="F102">
            <v>650</v>
          </cell>
          <cell r="G102">
            <v>643</v>
          </cell>
          <cell r="H102">
            <v>650</v>
          </cell>
          <cell r="I102">
            <v>650</v>
          </cell>
          <cell r="J102">
            <v>7</v>
          </cell>
          <cell r="K102">
            <v>7</v>
          </cell>
          <cell r="L102">
            <v>7</v>
          </cell>
          <cell r="M102">
            <v>2</v>
          </cell>
          <cell r="N102" t="str">
            <v>LC</v>
          </cell>
          <cell r="O102">
            <v>50.8</v>
          </cell>
          <cell r="P102">
            <v>7.2999999999999995E-2</v>
          </cell>
          <cell r="Q102">
            <v>6.9269999999999996</v>
          </cell>
          <cell r="R102">
            <v>0.17261398159159957</v>
          </cell>
          <cell r="S102">
            <v>649.92700000000002</v>
          </cell>
          <cell r="T102" t="str">
            <v>GBM</v>
          </cell>
          <cell r="W102" t="str">
            <v>2LC</v>
          </cell>
          <cell r="X102">
            <v>3.7075098885963005E-2</v>
          </cell>
          <cell r="Y102">
            <v>0.99987635035463673</v>
          </cell>
          <cell r="Z102">
            <v>1.1000000000000001</v>
          </cell>
          <cell r="AA102">
            <v>6693.7330266055405</v>
          </cell>
        </row>
        <row r="103">
          <cell r="A103">
            <v>2</v>
          </cell>
          <cell r="B103" t="str">
            <v>p01</v>
          </cell>
          <cell r="C103" t="str">
            <v>p02</v>
          </cell>
          <cell r="D103">
            <v>495</v>
          </cell>
          <cell r="E103">
            <v>0.35</v>
          </cell>
          <cell r="F103">
            <v>643</v>
          </cell>
          <cell r="G103">
            <v>632</v>
          </cell>
          <cell r="H103">
            <v>650</v>
          </cell>
          <cell r="I103">
            <v>649.92700000000002</v>
          </cell>
          <cell r="J103">
            <v>11</v>
          </cell>
          <cell r="K103">
            <v>18</v>
          </cell>
          <cell r="L103">
            <v>17.927000000000021</v>
          </cell>
          <cell r="M103">
            <v>2</v>
          </cell>
          <cell r="N103" t="str">
            <v>LC</v>
          </cell>
          <cell r="O103">
            <v>50.8</v>
          </cell>
          <cell r="P103">
            <v>0.60299999999999998</v>
          </cell>
          <cell r="Q103">
            <v>17.324000000000019</v>
          </cell>
          <cell r="R103">
            <v>0.17261398159159957</v>
          </cell>
          <cell r="S103">
            <v>649.32400000000007</v>
          </cell>
          <cell r="T103" t="str">
            <v>GBM</v>
          </cell>
          <cell r="U103" t="str">
            <v>L</v>
          </cell>
          <cell r="W103" t="str">
            <v>2LC</v>
          </cell>
          <cell r="X103">
            <v>3.7075098735166706E-2</v>
          </cell>
          <cell r="Y103">
            <v>0.99987634805969972</v>
          </cell>
          <cell r="Z103">
            <v>1.1000000000000001</v>
          </cell>
          <cell r="AA103">
            <v>6693.7330266055405</v>
          </cell>
        </row>
        <row r="104">
          <cell r="A104">
            <v>3</v>
          </cell>
          <cell r="B104" t="str">
            <v>p02</v>
          </cell>
          <cell r="C104" t="str">
            <v>RT6-1</v>
          </cell>
          <cell r="D104">
            <v>35</v>
          </cell>
          <cell r="E104">
            <v>0.35</v>
          </cell>
          <cell r="F104">
            <v>632</v>
          </cell>
          <cell r="G104">
            <v>645</v>
          </cell>
          <cell r="H104">
            <v>650</v>
          </cell>
          <cell r="I104">
            <v>649.32400000000007</v>
          </cell>
          <cell r="J104">
            <v>-13</v>
          </cell>
          <cell r="K104">
            <v>18</v>
          </cell>
          <cell r="L104">
            <v>4.3240000000000691</v>
          </cell>
          <cell r="M104">
            <v>2</v>
          </cell>
          <cell r="N104" t="str">
            <v>LC</v>
          </cell>
          <cell r="O104">
            <v>50.8</v>
          </cell>
          <cell r="P104">
            <v>4.2999999999999997E-2</v>
          </cell>
          <cell r="Q104">
            <v>4.281000000000069</v>
          </cell>
          <cell r="R104">
            <v>0.17261398159159957</v>
          </cell>
          <cell r="S104">
            <v>649.28100000000006</v>
          </cell>
          <cell r="T104" t="str">
            <v>GBM</v>
          </cell>
          <cell r="W104" t="str">
            <v>2LC</v>
          </cell>
          <cell r="X104">
            <v>3.7075098735166706E-2</v>
          </cell>
          <cell r="Y104">
            <v>0.99987634805969972</v>
          </cell>
          <cell r="Z104">
            <v>1.1000000000000001</v>
          </cell>
          <cell r="AA104">
            <v>6693.7330266055405</v>
          </cell>
        </row>
        <row r="106">
          <cell r="B106" t="str">
            <v>DISTRIBUTION  LINE</v>
          </cell>
          <cell r="D106">
            <v>1676</v>
          </cell>
          <cell r="M106" t="str">
            <v>OD</v>
          </cell>
          <cell r="T106" t="str">
            <v>SOIL</v>
          </cell>
        </row>
        <row r="107">
          <cell r="A107">
            <v>4</v>
          </cell>
          <cell r="B107" t="str">
            <v>RT6-1</v>
          </cell>
          <cell r="C107" t="str">
            <v>p1</v>
          </cell>
          <cell r="D107">
            <v>55</v>
          </cell>
          <cell r="E107">
            <v>1.7</v>
          </cell>
          <cell r="F107">
            <v>645</v>
          </cell>
          <cell r="G107">
            <v>631</v>
          </cell>
          <cell r="H107">
            <v>645</v>
          </cell>
          <cell r="I107">
            <v>645</v>
          </cell>
          <cell r="J107">
            <v>14</v>
          </cell>
          <cell r="K107">
            <v>14</v>
          </cell>
          <cell r="L107">
            <v>14</v>
          </cell>
          <cell r="M107">
            <v>50</v>
          </cell>
          <cell r="N107">
            <v>4</v>
          </cell>
          <cell r="O107">
            <v>44.7</v>
          </cell>
          <cell r="P107">
            <v>1.863</v>
          </cell>
          <cell r="Q107">
            <v>12.137</v>
          </cell>
          <cell r="R107">
            <v>1.0828523057701922</v>
          </cell>
          <cell r="S107">
            <v>643.13699999999994</v>
          </cell>
          <cell r="T107" t="str">
            <v>GBM</v>
          </cell>
          <cell r="U107" t="str">
            <v>R</v>
          </cell>
          <cell r="W107" t="str">
            <v>504</v>
          </cell>
          <cell r="X107">
            <v>2.3036761792513866E-2</v>
          </cell>
          <cell r="Y107">
            <v>0.99995149825069796</v>
          </cell>
          <cell r="Z107">
            <v>0.1</v>
          </cell>
          <cell r="AA107">
            <v>36949.235166356935</v>
          </cell>
        </row>
        <row r="108">
          <cell r="A108">
            <v>5</v>
          </cell>
          <cell r="B108" t="str">
            <v>p1</v>
          </cell>
          <cell r="C108" t="str">
            <v>Tap3</v>
          </cell>
          <cell r="D108">
            <v>10</v>
          </cell>
          <cell r="E108">
            <v>0.5</v>
          </cell>
          <cell r="F108">
            <v>631</v>
          </cell>
          <cell r="G108">
            <v>630</v>
          </cell>
          <cell r="H108">
            <v>645</v>
          </cell>
          <cell r="I108">
            <v>643.13699999999994</v>
          </cell>
          <cell r="J108">
            <v>1</v>
          </cell>
          <cell r="K108">
            <v>15</v>
          </cell>
          <cell r="L108">
            <v>13.136999999999944</v>
          </cell>
          <cell r="M108">
            <v>50</v>
          </cell>
          <cell r="N108">
            <v>4</v>
          </cell>
          <cell r="O108">
            <v>44.7</v>
          </cell>
          <cell r="P108">
            <v>3.9E-2</v>
          </cell>
          <cell r="Q108">
            <v>13.097999999999944</v>
          </cell>
          <cell r="R108">
            <v>0.31848597228535069</v>
          </cell>
          <cell r="S108">
            <v>643.09799999999996</v>
          </cell>
          <cell r="T108" t="str">
            <v>GBM</v>
          </cell>
          <cell r="U108" t="str">
            <v>L</v>
          </cell>
          <cell r="W108" t="str">
            <v>504</v>
          </cell>
          <cell r="X108">
            <v>3.055566433226169E-2</v>
          </cell>
          <cell r="Y108">
            <v>0.99971466328873049</v>
          </cell>
          <cell r="Z108">
            <v>0.1</v>
          </cell>
          <cell r="AA108">
            <v>10867.422107752041</v>
          </cell>
        </row>
        <row r="109">
          <cell r="A109">
            <v>6</v>
          </cell>
          <cell r="B109" t="str">
            <v>Tap3</v>
          </cell>
          <cell r="C109" t="str">
            <v>Tap4</v>
          </cell>
          <cell r="D109">
            <v>45</v>
          </cell>
          <cell r="E109">
            <v>0.4</v>
          </cell>
          <cell r="F109">
            <v>630</v>
          </cell>
          <cell r="G109">
            <v>630</v>
          </cell>
          <cell r="H109">
            <v>645</v>
          </cell>
          <cell r="I109">
            <v>643.09799999999996</v>
          </cell>
          <cell r="J109">
            <v>0</v>
          </cell>
          <cell r="K109">
            <v>15</v>
          </cell>
          <cell r="L109">
            <v>13.097999999999956</v>
          </cell>
          <cell r="M109">
            <v>40</v>
          </cell>
          <cell r="N109">
            <v>6</v>
          </cell>
          <cell r="O109">
            <v>33.700000000000003</v>
          </cell>
          <cell r="P109">
            <v>0.45400000000000001</v>
          </cell>
          <cell r="Q109">
            <v>12.643999999999956</v>
          </cell>
          <cell r="R109">
            <v>0.44826573192588554</v>
          </cell>
          <cell r="S109">
            <v>642.64400000000001</v>
          </cell>
          <cell r="T109" t="str">
            <v>GBM</v>
          </cell>
          <cell r="W109" t="str">
            <v>406</v>
          </cell>
          <cell r="X109">
            <v>3.0207900387113643E-2</v>
          </cell>
          <cell r="Y109">
            <v>0.99948639158205921</v>
          </cell>
          <cell r="Z109">
            <v>0.1</v>
          </cell>
          <cell r="AA109">
            <v>11531.721500688811</v>
          </cell>
        </row>
        <row r="110">
          <cell r="A110">
            <v>7</v>
          </cell>
          <cell r="B110" t="str">
            <v>Tap4</v>
          </cell>
          <cell r="C110" t="str">
            <v>Tap5</v>
          </cell>
          <cell r="D110">
            <v>140</v>
          </cell>
          <cell r="E110">
            <v>0.3</v>
          </cell>
          <cell r="F110">
            <v>630</v>
          </cell>
          <cell r="G110">
            <v>620</v>
          </cell>
          <cell r="H110">
            <v>645</v>
          </cell>
          <cell r="I110">
            <v>642.64400000000001</v>
          </cell>
          <cell r="J110">
            <v>10</v>
          </cell>
          <cell r="K110">
            <v>25</v>
          </cell>
          <cell r="L110">
            <v>22.644000000000005</v>
          </cell>
          <cell r="M110">
            <v>32</v>
          </cell>
          <cell r="N110">
            <v>6</v>
          </cell>
          <cell r="O110">
            <v>26.9</v>
          </cell>
          <cell r="P110">
            <v>2.504</v>
          </cell>
          <cell r="Q110">
            <v>20.140000000000004</v>
          </cell>
          <cell r="R110">
            <v>0.52765741465455407</v>
          </cell>
          <cell r="S110">
            <v>640.14</v>
          </cell>
          <cell r="T110" t="str">
            <v>GBM</v>
          </cell>
          <cell r="W110" t="str">
            <v>326</v>
          </cell>
          <cell r="X110">
            <v>3.0819970048959248E-2</v>
          </cell>
          <cell r="Y110">
            <v>0.99986474972218276</v>
          </cell>
          <cell r="Z110">
            <v>0.1</v>
          </cell>
          <cell r="AA110">
            <v>10835.102636799622</v>
          </cell>
        </row>
        <row r="111">
          <cell r="A111">
            <v>8</v>
          </cell>
          <cell r="B111" t="str">
            <v>Tap5</v>
          </cell>
          <cell r="C111" t="str">
            <v>Tap6</v>
          </cell>
          <cell r="D111">
            <v>153</v>
          </cell>
          <cell r="E111">
            <v>0.2</v>
          </cell>
          <cell r="F111">
            <v>620</v>
          </cell>
          <cell r="G111">
            <v>621</v>
          </cell>
          <cell r="H111">
            <v>645</v>
          </cell>
          <cell r="I111">
            <v>640.14</v>
          </cell>
          <cell r="J111">
            <v>-1</v>
          </cell>
          <cell r="K111">
            <v>25</v>
          </cell>
          <cell r="L111">
            <v>19.139999999999986</v>
          </cell>
          <cell r="M111">
            <v>25</v>
          </cell>
          <cell r="N111">
            <v>10</v>
          </cell>
          <cell r="O111">
            <v>18.899999999999999</v>
          </cell>
          <cell r="P111">
            <v>7.2539999999999996</v>
          </cell>
          <cell r="Q111">
            <v>11.885999999999987</v>
          </cell>
          <cell r="R111">
            <v>0.71259330518589792</v>
          </cell>
          <cell r="S111">
            <v>632.88599999999997</v>
          </cell>
          <cell r="T111" t="str">
            <v>GBM</v>
          </cell>
          <cell r="W111" t="str">
            <v>2510</v>
          </cell>
          <cell r="X111">
            <v>3.1473564964440578E-2</v>
          </cell>
          <cell r="Y111">
            <v>1.0000117561801067</v>
          </cell>
          <cell r="Z111">
            <v>0.1</v>
          </cell>
          <cell r="AA111">
            <v>10280.926311460662</v>
          </cell>
        </row>
        <row r="112">
          <cell r="A112">
            <v>9</v>
          </cell>
          <cell r="B112" t="str">
            <v>Tap6</v>
          </cell>
          <cell r="C112" t="str">
            <v>Tap7</v>
          </cell>
          <cell r="D112">
            <v>152</v>
          </cell>
          <cell r="E112">
            <v>0.1</v>
          </cell>
          <cell r="F112">
            <v>621</v>
          </cell>
          <cell r="G112">
            <v>619</v>
          </cell>
          <cell r="H112">
            <v>645</v>
          </cell>
          <cell r="I112">
            <v>632.88599999999997</v>
          </cell>
          <cell r="J112">
            <v>2</v>
          </cell>
          <cell r="K112">
            <v>26</v>
          </cell>
          <cell r="L112">
            <v>13.885999999999967</v>
          </cell>
          <cell r="M112">
            <v>20</v>
          </cell>
          <cell r="N112">
            <v>10</v>
          </cell>
          <cell r="O112">
            <v>14.9</v>
          </cell>
          <cell r="P112">
            <v>6.6790000000000003</v>
          </cell>
          <cell r="Q112">
            <v>7.206999999999967</v>
          </cell>
          <cell r="R112">
            <v>0.57327475011363127</v>
          </cell>
          <cell r="S112">
            <v>626.20699999999999</v>
          </cell>
          <cell r="T112" t="str">
            <v>GBM</v>
          </cell>
          <cell r="W112" t="str">
            <v>2010</v>
          </cell>
          <cell r="X112">
            <v>3.5530707389303556E-2</v>
          </cell>
          <cell r="Y112">
            <v>1.0001401798865339</v>
          </cell>
          <cell r="Z112">
            <v>0.1</v>
          </cell>
          <cell r="AA112">
            <v>6520.4532646512262</v>
          </cell>
        </row>
        <row r="114">
          <cell r="A114">
            <v>10</v>
          </cell>
          <cell r="B114" t="str">
            <v>RT6-1</v>
          </cell>
          <cell r="C114" t="str">
            <v>Tap1</v>
          </cell>
          <cell r="D114">
            <v>70</v>
          </cell>
          <cell r="E114">
            <v>0.2</v>
          </cell>
          <cell r="F114">
            <v>645</v>
          </cell>
          <cell r="G114">
            <v>639</v>
          </cell>
          <cell r="H114">
            <v>645</v>
          </cell>
          <cell r="I114">
            <v>645</v>
          </cell>
          <cell r="J114">
            <v>6</v>
          </cell>
          <cell r="K114">
            <v>6</v>
          </cell>
          <cell r="L114">
            <v>6</v>
          </cell>
          <cell r="M114">
            <v>32</v>
          </cell>
          <cell r="N114">
            <v>6</v>
          </cell>
          <cell r="O114">
            <v>26.9</v>
          </cell>
          <cell r="P114">
            <v>0.61699999999999999</v>
          </cell>
          <cell r="Q114">
            <v>5.383</v>
          </cell>
          <cell r="R114">
            <v>0.35177160976970273</v>
          </cell>
          <cell r="S114">
            <v>644.38300000000004</v>
          </cell>
          <cell r="T114" t="str">
            <v>GBM</v>
          </cell>
          <cell r="U114" t="str">
            <v>L</v>
          </cell>
          <cell r="W114" t="str">
            <v>326</v>
          </cell>
          <cell r="X114">
            <v>3.4160729954378709E-2</v>
          </cell>
          <cell r="Y114">
            <v>0.99925230642388352</v>
          </cell>
          <cell r="Z114">
            <v>0.1</v>
          </cell>
          <cell r="AA114">
            <v>7223.4017578664152</v>
          </cell>
        </row>
        <row r="115">
          <cell r="A115">
            <v>11</v>
          </cell>
          <cell r="B115" t="str">
            <v>Tap1</v>
          </cell>
          <cell r="C115" t="str">
            <v>Tap2</v>
          </cell>
          <cell r="D115">
            <v>180</v>
          </cell>
          <cell r="E115">
            <v>0.1</v>
          </cell>
          <cell r="F115">
            <v>639</v>
          </cell>
          <cell r="G115">
            <v>637</v>
          </cell>
          <cell r="H115">
            <v>645</v>
          </cell>
          <cell r="I115">
            <v>644.38300000000004</v>
          </cell>
          <cell r="J115">
            <v>2</v>
          </cell>
          <cell r="K115">
            <v>8</v>
          </cell>
          <cell r="L115">
            <v>7.3830000000000382</v>
          </cell>
          <cell r="M115">
            <v>32</v>
          </cell>
          <cell r="N115">
            <v>6</v>
          </cell>
          <cell r="O115">
            <v>26.9</v>
          </cell>
          <cell r="P115">
            <v>0.48199999999999998</v>
          </cell>
          <cell r="Q115">
            <v>6.901000000000038</v>
          </cell>
          <cell r="R115">
            <v>0.17588580488485137</v>
          </cell>
          <cell r="S115">
            <v>643.90100000000007</v>
          </cell>
          <cell r="T115" t="str">
            <v>GBM</v>
          </cell>
          <cell r="W115" t="str">
            <v>326</v>
          </cell>
          <cell r="X115">
            <v>4.1497172977158825E-2</v>
          </cell>
          <cell r="Y115">
            <v>0.9999815648148902</v>
          </cell>
          <cell r="Z115">
            <v>0.1</v>
          </cell>
          <cell r="AA115">
            <v>3611.7008789332076</v>
          </cell>
        </row>
        <row r="117">
          <cell r="A117">
            <v>12</v>
          </cell>
          <cell r="B117" t="str">
            <v>p1</v>
          </cell>
          <cell r="C117" t="str">
            <v>p2</v>
          </cell>
          <cell r="D117">
            <v>166</v>
          </cell>
          <cell r="E117">
            <v>1.2</v>
          </cell>
          <cell r="F117">
            <v>631</v>
          </cell>
          <cell r="G117">
            <v>629</v>
          </cell>
          <cell r="H117">
            <v>645</v>
          </cell>
          <cell r="I117">
            <v>643.13699999999994</v>
          </cell>
          <cell r="J117">
            <v>2</v>
          </cell>
          <cell r="K117">
            <v>16</v>
          </cell>
          <cell r="L117">
            <v>14.136999999999944</v>
          </cell>
          <cell r="M117">
            <v>50</v>
          </cell>
          <cell r="N117">
            <v>4</v>
          </cell>
          <cell r="O117">
            <v>44.7</v>
          </cell>
          <cell r="P117">
            <v>3.0190000000000001</v>
          </cell>
          <cell r="Q117">
            <v>11.117999999999943</v>
          </cell>
          <cell r="R117">
            <v>0.76436633348484162</v>
          </cell>
          <cell r="S117">
            <v>640.11799999999994</v>
          </cell>
          <cell r="T117" t="str">
            <v>GBM</v>
          </cell>
          <cell r="W117" t="str">
            <v>504</v>
          </cell>
          <cell r="X117">
            <v>2.4816639206664336E-2</v>
          </cell>
          <cell r="Y117">
            <v>0.99971929424564188</v>
          </cell>
          <cell r="Z117">
            <v>0.1</v>
          </cell>
          <cell r="AA117">
            <v>26081.813058604905</v>
          </cell>
        </row>
        <row r="118">
          <cell r="A118">
            <v>13</v>
          </cell>
          <cell r="B118" t="str">
            <v>p2</v>
          </cell>
          <cell r="C118" t="str">
            <v>Tap8</v>
          </cell>
          <cell r="D118">
            <v>60</v>
          </cell>
          <cell r="E118">
            <v>0.3</v>
          </cell>
          <cell r="F118">
            <v>629</v>
          </cell>
          <cell r="G118">
            <v>628</v>
          </cell>
          <cell r="H118">
            <v>645</v>
          </cell>
          <cell r="I118">
            <v>640.11799999999994</v>
          </cell>
          <cell r="J118">
            <v>1</v>
          </cell>
          <cell r="K118">
            <v>17</v>
          </cell>
          <cell r="L118">
            <v>12.117999999999938</v>
          </cell>
          <cell r="M118">
            <v>40</v>
          </cell>
          <cell r="N118">
            <v>6</v>
          </cell>
          <cell r="O118">
            <v>33.700000000000003</v>
          </cell>
          <cell r="P118">
            <v>0.36699999999999999</v>
          </cell>
          <cell r="Q118">
            <v>11.750999999999937</v>
          </cell>
          <cell r="R118">
            <v>0.33619929894441414</v>
          </cell>
          <cell r="S118">
            <v>639.75099999999998</v>
          </cell>
          <cell r="T118" t="str">
            <v>GBM</v>
          </cell>
          <cell r="W118" t="str">
            <v>406</v>
          </cell>
          <cell r="X118">
            <v>3.2524443410767247E-2</v>
          </cell>
          <cell r="Y118">
            <v>0.99993003119037038</v>
          </cell>
          <cell r="Z118">
            <v>0.1</v>
          </cell>
          <cell r="AA118">
            <v>8648.7911255166073</v>
          </cell>
        </row>
        <row r="119">
          <cell r="A119">
            <v>14</v>
          </cell>
          <cell r="B119" t="str">
            <v>Tap8</v>
          </cell>
          <cell r="C119" t="str">
            <v>Tap9</v>
          </cell>
          <cell r="D119">
            <v>120</v>
          </cell>
          <cell r="E119">
            <v>0.2</v>
          </cell>
          <cell r="F119">
            <v>628</v>
          </cell>
          <cell r="G119">
            <v>624</v>
          </cell>
          <cell r="H119">
            <v>645</v>
          </cell>
          <cell r="I119">
            <v>639.75099999999998</v>
          </cell>
          <cell r="J119">
            <v>4</v>
          </cell>
          <cell r="K119">
            <v>21</v>
          </cell>
          <cell r="L119">
            <v>15.750999999999976</v>
          </cell>
          <cell r="M119">
            <v>32</v>
          </cell>
          <cell r="N119">
            <v>6</v>
          </cell>
          <cell r="O119">
            <v>26.9</v>
          </cell>
          <cell r="P119">
            <v>1.0580000000000001</v>
          </cell>
          <cell r="Q119">
            <v>14.692999999999977</v>
          </cell>
          <cell r="R119">
            <v>0.35177160976970273</v>
          </cell>
          <cell r="S119">
            <v>638.69299999999998</v>
          </cell>
          <cell r="T119" t="str">
            <v>GBM</v>
          </cell>
          <cell r="W119" t="str">
            <v>326</v>
          </cell>
          <cell r="X119">
            <v>3.4199732438028943E-2</v>
          </cell>
          <cell r="Y119">
            <v>0.99990957951263149</v>
          </cell>
          <cell r="Z119">
            <v>0.1</v>
          </cell>
          <cell r="AA119">
            <v>7223.4017578664152</v>
          </cell>
        </row>
        <row r="120">
          <cell r="A120">
            <v>15</v>
          </cell>
          <cell r="B120" t="str">
            <v>Tap9</v>
          </cell>
          <cell r="C120" t="str">
            <v>Tap10</v>
          </cell>
          <cell r="D120">
            <v>60</v>
          </cell>
          <cell r="E120">
            <v>0.1</v>
          </cell>
          <cell r="F120">
            <v>624</v>
          </cell>
          <cell r="G120">
            <v>622</v>
          </cell>
          <cell r="H120">
            <v>645</v>
          </cell>
          <cell r="I120">
            <v>638.69299999999998</v>
          </cell>
          <cell r="J120">
            <v>2</v>
          </cell>
          <cell r="K120">
            <v>23</v>
          </cell>
          <cell r="L120">
            <v>16.692999999999984</v>
          </cell>
          <cell r="M120">
            <v>25</v>
          </cell>
          <cell r="N120">
            <v>10</v>
          </cell>
          <cell r="O120">
            <v>18.899999999999999</v>
          </cell>
          <cell r="P120">
            <v>0.85099999999999998</v>
          </cell>
          <cell r="Q120">
            <v>15.841999999999985</v>
          </cell>
          <cell r="R120">
            <v>0.35629665259294896</v>
          </cell>
          <cell r="S120">
            <v>637.84199999999998</v>
          </cell>
          <cell r="T120" t="str">
            <v>GBM</v>
          </cell>
          <cell r="U120" t="str">
            <v>L</v>
          </cell>
          <cell r="W120" t="str">
            <v>2510</v>
          </cell>
          <cell r="X120">
            <v>3.7667296920010661E-2</v>
          </cell>
          <cell r="Y120">
            <v>0.9996325029122094</v>
          </cell>
          <cell r="Z120">
            <v>0.1</v>
          </cell>
          <cell r="AA120">
            <v>5140.463155730331</v>
          </cell>
        </row>
        <row r="122">
          <cell r="A122">
            <v>16</v>
          </cell>
          <cell r="B122" t="str">
            <v>p2</v>
          </cell>
          <cell r="C122" t="str">
            <v>Tap11</v>
          </cell>
          <cell r="D122">
            <v>105</v>
          </cell>
          <cell r="E122">
            <v>0.9</v>
          </cell>
          <cell r="F122">
            <v>629</v>
          </cell>
          <cell r="G122">
            <v>622</v>
          </cell>
          <cell r="H122">
            <v>645</v>
          </cell>
          <cell r="I122">
            <v>640.11799999999994</v>
          </cell>
          <cell r="J122">
            <v>7</v>
          </cell>
          <cell r="K122">
            <v>23</v>
          </cell>
          <cell r="L122">
            <v>18.117999999999938</v>
          </cell>
          <cell r="M122">
            <v>40</v>
          </cell>
          <cell r="N122">
            <v>6</v>
          </cell>
          <cell r="O122">
            <v>33.700000000000003</v>
          </cell>
          <cell r="P122">
            <v>4.4459999999999997</v>
          </cell>
          <cell r="Q122">
            <v>13.671999999999938</v>
          </cell>
          <cell r="R122">
            <v>1.0085978968332425</v>
          </cell>
          <cell r="S122">
            <v>635.67199999999991</v>
          </cell>
          <cell r="T122" t="str">
            <v>GBM</v>
          </cell>
          <cell r="U122" t="str">
            <v>L</v>
          </cell>
          <cell r="W122" t="str">
            <v>406</v>
          </cell>
          <cell r="X122">
            <v>2.5018308051828791E-2</v>
          </cell>
          <cell r="Y122">
            <v>0.99965176963382574</v>
          </cell>
          <cell r="Z122">
            <v>0.1</v>
          </cell>
          <cell r="AA122">
            <v>25946.373376549829</v>
          </cell>
        </row>
        <row r="123">
          <cell r="A123">
            <v>17</v>
          </cell>
          <cell r="B123" t="str">
            <v>Tap11</v>
          </cell>
          <cell r="C123" t="str">
            <v>Tap12</v>
          </cell>
          <cell r="D123">
            <v>60</v>
          </cell>
          <cell r="E123">
            <v>0.8</v>
          </cell>
          <cell r="F123">
            <v>622</v>
          </cell>
          <cell r="G123">
            <v>621</v>
          </cell>
          <cell r="H123">
            <v>645</v>
          </cell>
          <cell r="I123">
            <v>635.67199999999991</v>
          </cell>
          <cell r="J123">
            <v>1</v>
          </cell>
          <cell r="K123">
            <v>24</v>
          </cell>
          <cell r="L123">
            <v>14.671999999999912</v>
          </cell>
          <cell r="M123">
            <v>32</v>
          </cell>
          <cell r="N123">
            <v>6</v>
          </cell>
          <cell r="O123">
            <v>26.9</v>
          </cell>
          <cell r="P123">
            <v>6.1029999999999998</v>
          </cell>
          <cell r="Q123">
            <v>8.568999999999912</v>
          </cell>
          <cell r="R123">
            <v>1.4070864390788109</v>
          </cell>
          <cell r="S123">
            <v>629.56899999999996</v>
          </cell>
          <cell r="T123" t="str">
            <v>GBM</v>
          </cell>
          <cell r="W123" t="str">
            <v>326</v>
          </cell>
          <cell r="X123">
            <v>2.4651541236432879E-2</v>
          </cell>
          <cell r="Y123">
            <v>1.0000104923643234</v>
          </cell>
          <cell r="Z123">
            <v>0.1</v>
          </cell>
          <cell r="AA123">
            <v>28893.607031465661</v>
          </cell>
        </row>
        <row r="124">
          <cell r="A124">
            <v>18</v>
          </cell>
          <cell r="B124" t="str">
            <v>Tap12</v>
          </cell>
          <cell r="C124" t="str">
            <v>Tap14</v>
          </cell>
          <cell r="D124">
            <v>30</v>
          </cell>
          <cell r="E124">
            <v>0.6</v>
          </cell>
          <cell r="F124">
            <v>621</v>
          </cell>
          <cell r="G124">
            <v>619</v>
          </cell>
          <cell r="H124">
            <v>645</v>
          </cell>
          <cell r="I124">
            <v>629.56899999999996</v>
          </cell>
          <cell r="J124">
            <v>2</v>
          </cell>
          <cell r="K124">
            <v>26</v>
          </cell>
          <cell r="L124">
            <v>10.56899999999996</v>
          </cell>
          <cell r="M124">
            <v>32</v>
          </cell>
          <cell r="N124">
            <v>6</v>
          </cell>
          <cell r="O124">
            <v>26.9</v>
          </cell>
          <cell r="P124">
            <v>1.8240000000000001</v>
          </cell>
          <cell r="Q124">
            <v>8.7449999999999601</v>
          </cell>
          <cell r="R124">
            <v>1.0553148293091081</v>
          </cell>
          <cell r="S124">
            <v>627.745</v>
          </cell>
          <cell r="T124" t="str">
            <v>GBM</v>
          </cell>
          <cell r="W124" t="str">
            <v>326</v>
          </cell>
          <cell r="X124">
            <v>2.6194242104719125E-2</v>
          </cell>
          <cell r="Y124">
            <v>0.99964030200510334</v>
          </cell>
          <cell r="Z124">
            <v>0.1</v>
          </cell>
          <cell r="AA124">
            <v>21670.205273599244</v>
          </cell>
        </row>
        <row r="125">
          <cell r="A125">
            <v>19</v>
          </cell>
          <cell r="B125" t="str">
            <v>Tap14</v>
          </cell>
          <cell r="C125" t="str">
            <v>Tap15</v>
          </cell>
          <cell r="D125">
            <v>35</v>
          </cell>
          <cell r="E125">
            <v>0.1</v>
          </cell>
          <cell r="F125">
            <v>619</v>
          </cell>
          <cell r="G125">
            <v>618</v>
          </cell>
          <cell r="H125">
            <v>645</v>
          </cell>
          <cell r="I125">
            <v>627.745</v>
          </cell>
          <cell r="J125">
            <v>1</v>
          </cell>
          <cell r="K125">
            <v>27</v>
          </cell>
          <cell r="L125">
            <v>9.7450000000000045</v>
          </cell>
          <cell r="M125">
            <v>25</v>
          </cell>
          <cell r="N125">
            <v>10</v>
          </cell>
          <cell r="O125">
            <v>18.899999999999999</v>
          </cell>
          <cell r="P125">
            <v>0.496</v>
          </cell>
          <cell r="Q125">
            <v>9.2490000000000041</v>
          </cell>
          <cell r="R125">
            <v>0.35629665259294896</v>
          </cell>
          <cell r="S125">
            <v>627.24900000000002</v>
          </cell>
          <cell r="T125" t="str">
            <v>GBM</v>
          </cell>
          <cell r="W125" t="str">
            <v>2510</v>
          </cell>
          <cell r="X125">
            <v>3.7667296920010661E-2</v>
          </cell>
          <cell r="Y125">
            <v>0.9996325029122094</v>
          </cell>
          <cell r="Z125">
            <v>0.1</v>
          </cell>
          <cell r="AA125">
            <v>5140.463155730331</v>
          </cell>
        </row>
        <row r="127">
          <cell r="A127">
            <v>20</v>
          </cell>
          <cell r="B127" t="str">
            <v>Tap12</v>
          </cell>
          <cell r="C127" t="str">
            <v>Tap13</v>
          </cell>
          <cell r="D127">
            <v>60</v>
          </cell>
          <cell r="E127">
            <v>0.1</v>
          </cell>
          <cell r="F127">
            <v>621</v>
          </cell>
          <cell r="G127">
            <v>620</v>
          </cell>
          <cell r="H127">
            <v>645</v>
          </cell>
          <cell r="I127">
            <v>629.56899999999996</v>
          </cell>
          <cell r="J127">
            <v>1</v>
          </cell>
          <cell r="K127">
            <v>25</v>
          </cell>
          <cell r="L127">
            <v>9.56899999999996</v>
          </cell>
          <cell r="M127">
            <v>20</v>
          </cell>
          <cell r="N127">
            <v>10</v>
          </cell>
          <cell r="O127">
            <v>14.9</v>
          </cell>
          <cell r="P127">
            <v>2.637</v>
          </cell>
          <cell r="Q127">
            <v>6.9319999999999595</v>
          </cell>
          <cell r="R127">
            <v>0.57327475011363127</v>
          </cell>
          <cell r="S127">
            <v>626.93200000000002</v>
          </cell>
          <cell r="T127" t="str">
            <v>GBM</v>
          </cell>
          <cell r="U127" t="str">
            <v>R</v>
          </cell>
          <cell r="W127" t="str">
            <v>2010</v>
          </cell>
          <cell r="X127">
            <v>3.5543001662657336E-2</v>
          </cell>
          <cell r="Y127">
            <v>1.0003392134008497</v>
          </cell>
          <cell r="Z127">
            <v>0.1</v>
          </cell>
          <cell r="AA127">
            <v>6520.4532646512262</v>
          </cell>
        </row>
      </sheetData>
      <sheetData sheetId="11"/>
      <sheetData sheetId="12"/>
      <sheetData sheetId="13"/>
      <sheetData sheetId="14"/>
      <sheetData sheetId="15"/>
      <sheetData sheetId="16">
        <row r="117">
          <cell r="G117">
            <v>1122</v>
          </cell>
          <cell r="I117">
            <v>765.6</v>
          </cell>
          <cell r="K117">
            <v>1474</v>
          </cell>
          <cell r="M117">
            <v>1012</v>
          </cell>
          <cell r="O117">
            <v>1403.6</v>
          </cell>
          <cell r="Q117">
            <v>2492.6</v>
          </cell>
        </row>
        <row r="118">
          <cell r="I118">
            <v>157.54200000000003</v>
          </cell>
          <cell r="K118">
            <v>461.01000000000005</v>
          </cell>
          <cell r="M118">
            <v>230.08700000000005</v>
          </cell>
          <cell r="O118">
            <v>337.41399999999999</v>
          </cell>
          <cell r="Q118">
            <v>3259.9731999999999</v>
          </cell>
        </row>
        <row r="119">
          <cell r="I119">
            <v>37266.834000000003</v>
          </cell>
          <cell r="K119">
            <v>103025.67</v>
          </cell>
          <cell r="M119">
            <v>58672.185000000005</v>
          </cell>
          <cell r="O119">
            <v>83134.194000000003</v>
          </cell>
          <cell r="Q119">
            <v>283699.41599999997</v>
          </cell>
        </row>
      </sheetData>
      <sheetData sheetId="17">
        <row r="9">
          <cell r="O9">
            <v>92787.720465000006</v>
          </cell>
        </row>
        <row r="75">
          <cell r="O75">
            <v>196504.80646499997</v>
          </cell>
        </row>
        <row r="139">
          <cell r="I139">
            <v>0</v>
          </cell>
          <cell r="O139">
            <v>198280.0148549107</v>
          </cell>
        </row>
        <row r="141">
          <cell r="O141">
            <v>102136.466025</v>
          </cell>
        </row>
        <row r="205">
          <cell r="I205">
            <v>87669.736738928565</v>
          </cell>
          <cell r="O205">
            <v>103054.24447341965</v>
          </cell>
        </row>
        <row r="207">
          <cell r="O207">
            <v>81996.881175000002</v>
          </cell>
        </row>
        <row r="271">
          <cell r="I271">
            <v>145055.04992383928</v>
          </cell>
          <cell r="O271">
            <v>82528.712815589271</v>
          </cell>
        </row>
        <row r="273">
          <cell r="O273">
            <v>133208.96836500001</v>
          </cell>
        </row>
        <row r="337">
          <cell r="I337">
            <v>50712.378201875006</v>
          </cell>
          <cell r="O337">
            <v>134338.26195919642</v>
          </cell>
        </row>
        <row r="339">
          <cell r="O339">
            <v>241099.60148999997</v>
          </cell>
        </row>
        <row r="403">
          <cell r="I403">
            <v>19663.59375</v>
          </cell>
          <cell r="O403">
            <v>242949.35172527496</v>
          </cell>
        </row>
      </sheetData>
      <sheetData sheetId="18">
        <row r="36">
          <cell r="C36" t="str">
            <v>SOIL</v>
          </cell>
        </row>
      </sheetData>
      <sheetData sheetId="19">
        <row r="18">
          <cell r="B18" t="str">
            <v>Spring Intake1</v>
          </cell>
        </row>
      </sheetData>
      <sheetData sheetId="20"/>
      <sheetData sheetId="21">
        <row r="162">
          <cell r="W162">
            <v>1065.0403999999996</v>
          </cell>
        </row>
      </sheetData>
      <sheetData sheetId="22"/>
      <sheetData sheetId="23"/>
      <sheetData sheetId="2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Dmand 1"/>
      <sheetName val="ProfileData"/>
      <sheetName val="PipeDesign"/>
      <sheetName val="PD-TMPLT"/>
      <sheetName val="Plot"/>
      <sheetName val="Profile"/>
      <sheetName val="FlowDiagram"/>
      <sheetName val="PipeList"/>
      <sheetName val="PipeLineWork"/>
      <sheetName val="PFdata"/>
      <sheetName val="Features"/>
      <sheetName val="FitData"/>
      <sheetName val="Fittings"/>
      <sheetName val="T&amp;P"/>
      <sheetName val="Summary"/>
    </sheetNames>
    <sheetDataSet>
      <sheetData sheetId="0" refreshError="1"/>
      <sheetData sheetId="1" refreshError="1">
        <row r="15">
          <cell r="B15" t="str">
            <v>Taps of RT -</v>
          </cell>
          <cell r="C15">
            <v>2</v>
          </cell>
        </row>
        <row r="16">
          <cell r="A16">
            <v>2</v>
          </cell>
          <cell r="B16" t="str">
            <v>Mauni, Rudreswor 5</v>
          </cell>
          <cell r="C16">
            <v>8</v>
          </cell>
          <cell r="D16">
            <v>50</v>
          </cell>
          <cell r="E16">
            <v>68</v>
          </cell>
          <cell r="F16">
            <v>45</v>
          </cell>
          <cell r="G16">
            <v>3060</v>
          </cell>
          <cell r="J16">
            <v>0</v>
          </cell>
          <cell r="K16">
            <v>3060</v>
          </cell>
          <cell r="L16">
            <v>3.5000000000000003E-2</v>
          </cell>
          <cell r="M16">
            <v>0.10500000000000001</v>
          </cell>
          <cell r="N16">
            <v>0.1</v>
          </cell>
          <cell r="O16">
            <v>2.8571428571428572</v>
          </cell>
        </row>
        <row r="17">
          <cell r="A17">
            <v>3</v>
          </cell>
          <cell r="B17" t="str">
            <v>Mallo Mauni</v>
          </cell>
          <cell r="C17">
            <v>9</v>
          </cell>
          <cell r="D17">
            <v>54</v>
          </cell>
          <cell r="E17">
            <v>73</v>
          </cell>
          <cell r="F17">
            <v>45</v>
          </cell>
          <cell r="G17">
            <v>3285</v>
          </cell>
          <cell r="J17">
            <v>0</v>
          </cell>
          <cell r="K17">
            <v>3285</v>
          </cell>
          <cell r="L17">
            <v>3.7999999999999999E-2</v>
          </cell>
          <cell r="M17">
            <v>0.11399999999999999</v>
          </cell>
          <cell r="N17">
            <v>0.1</v>
          </cell>
          <cell r="O17">
            <v>2.6315789473684212</v>
          </cell>
        </row>
        <row r="18">
          <cell r="A18">
            <v>4</v>
          </cell>
          <cell r="B18" t="str">
            <v>Daukhola</v>
          </cell>
          <cell r="C18">
            <v>7</v>
          </cell>
          <cell r="D18">
            <v>43</v>
          </cell>
          <cell r="E18">
            <v>58</v>
          </cell>
          <cell r="F18">
            <v>45</v>
          </cell>
          <cell r="G18">
            <v>2610</v>
          </cell>
          <cell r="J18">
            <v>0</v>
          </cell>
          <cell r="K18">
            <v>2610</v>
          </cell>
          <cell r="L18">
            <v>0.03</v>
          </cell>
          <cell r="M18">
            <v>0.09</v>
          </cell>
          <cell r="N18">
            <v>0.1</v>
          </cell>
          <cell r="O18">
            <v>3.3333333333333335</v>
          </cell>
        </row>
        <row r="19">
          <cell r="A19">
            <v>5</v>
          </cell>
          <cell r="B19" t="str">
            <v>Jebala</v>
          </cell>
          <cell r="C19">
            <v>8</v>
          </cell>
          <cell r="D19">
            <v>47</v>
          </cell>
          <cell r="E19">
            <v>64</v>
          </cell>
          <cell r="F19">
            <v>45</v>
          </cell>
          <cell r="G19">
            <v>2880</v>
          </cell>
          <cell r="J19">
            <v>0</v>
          </cell>
          <cell r="K19">
            <v>2880</v>
          </cell>
          <cell r="L19">
            <v>3.3000000000000002E-2</v>
          </cell>
          <cell r="M19">
            <v>9.9000000000000005E-2</v>
          </cell>
          <cell r="N19">
            <v>0.1</v>
          </cell>
          <cell r="O19">
            <v>3.0303030303030303</v>
          </cell>
        </row>
        <row r="20">
          <cell r="A20">
            <v>6</v>
          </cell>
          <cell r="B20" t="str">
            <v>Ghupakre</v>
          </cell>
          <cell r="C20">
            <v>7</v>
          </cell>
          <cell r="D20">
            <v>44</v>
          </cell>
          <cell r="E20">
            <v>60</v>
          </cell>
          <cell r="F20">
            <v>45</v>
          </cell>
          <cell r="G20">
            <v>2700</v>
          </cell>
          <cell r="J20">
            <v>0</v>
          </cell>
          <cell r="K20">
            <v>2700</v>
          </cell>
          <cell r="L20">
            <v>3.1E-2</v>
          </cell>
          <cell r="M20">
            <v>9.2999999999999999E-2</v>
          </cell>
          <cell r="N20">
            <v>0.1</v>
          </cell>
          <cell r="O20">
            <v>3.2258064516129035</v>
          </cell>
        </row>
        <row r="21">
          <cell r="A21">
            <v>7</v>
          </cell>
          <cell r="B21" t="str">
            <v>Kunegaad</v>
          </cell>
          <cell r="C21">
            <v>9</v>
          </cell>
          <cell r="D21">
            <v>61</v>
          </cell>
          <cell r="E21">
            <v>83</v>
          </cell>
          <cell r="F21">
            <v>45</v>
          </cell>
          <cell r="G21">
            <v>3735</v>
          </cell>
          <cell r="J21">
            <v>0</v>
          </cell>
          <cell r="K21">
            <v>3735</v>
          </cell>
          <cell r="L21">
            <v>4.2999999999999997E-2</v>
          </cell>
          <cell r="M21">
            <v>0.129</v>
          </cell>
          <cell r="N21">
            <v>0.15</v>
          </cell>
          <cell r="O21">
            <v>3.4883720930232558</v>
          </cell>
        </row>
        <row r="23">
          <cell r="B23" t="str">
            <v>Total</v>
          </cell>
          <cell r="C23">
            <v>48</v>
          </cell>
          <cell r="D23">
            <v>299</v>
          </cell>
          <cell r="E23">
            <v>406</v>
          </cell>
          <cell r="G23">
            <v>18270</v>
          </cell>
          <cell r="H23">
            <v>0</v>
          </cell>
          <cell r="J23">
            <v>0</v>
          </cell>
          <cell r="K23">
            <v>18270</v>
          </cell>
          <cell r="L23">
            <v>0.21000000000000002</v>
          </cell>
          <cell r="M23">
            <v>0.63</v>
          </cell>
          <cell r="N23">
            <v>0.65</v>
          </cell>
        </row>
      </sheetData>
      <sheetData sheetId="2" refreshError="1">
        <row r="45">
          <cell r="A45">
            <v>1</v>
          </cell>
          <cell r="B45" t="str">
            <v>INT1</v>
          </cell>
          <cell r="C45" t="str">
            <v>p1</v>
          </cell>
          <cell r="D45">
            <v>90</v>
          </cell>
          <cell r="F45">
            <v>1800</v>
          </cell>
          <cell r="G45">
            <v>1746</v>
          </cell>
        </row>
        <row r="46">
          <cell r="A46">
            <v>2</v>
          </cell>
          <cell r="B46" t="str">
            <v>p1</v>
          </cell>
          <cell r="C46" t="str">
            <v>p2</v>
          </cell>
          <cell r="D46">
            <v>175</v>
          </cell>
          <cell r="F46">
            <v>1746</v>
          </cell>
          <cell r="G46">
            <v>1750</v>
          </cell>
        </row>
        <row r="47">
          <cell r="A47">
            <v>3</v>
          </cell>
          <cell r="B47" t="str">
            <v>p2</v>
          </cell>
          <cell r="C47" t="str">
            <v>p3</v>
          </cell>
          <cell r="D47">
            <v>35</v>
          </cell>
          <cell r="F47">
            <v>1750</v>
          </cell>
          <cell r="G47">
            <v>1749</v>
          </cell>
        </row>
        <row r="48">
          <cell r="A48">
            <v>4</v>
          </cell>
          <cell r="B48" t="str">
            <v>p3</v>
          </cell>
          <cell r="C48" t="str">
            <v>p4</v>
          </cell>
          <cell r="D48">
            <v>35</v>
          </cell>
          <cell r="F48">
            <v>1749</v>
          </cell>
          <cell r="G48">
            <v>1748</v>
          </cell>
        </row>
      </sheetData>
      <sheetData sheetId="3" refreshError="1">
        <row r="142">
          <cell r="D142">
            <v>935</v>
          </cell>
          <cell r="G142" t="str">
            <v>SCHEME NO:</v>
          </cell>
          <cell r="H142">
            <v>2</v>
          </cell>
          <cell r="I142" t="str">
            <v>Dwari Lamkhali Doharegada</v>
          </cell>
        </row>
        <row r="143">
          <cell r="B143" t="str">
            <v>TRANSMISSION  LINE</v>
          </cell>
          <cell r="D143">
            <v>335</v>
          </cell>
          <cell r="M143" t="str">
            <v>OD</v>
          </cell>
          <cell r="T143" t="str">
            <v>SOIL</v>
          </cell>
        </row>
        <row r="144">
          <cell r="A144">
            <v>1</v>
          </cell>
          <cell r="B144" t="str">
            <v>INT1</v>
          </cell>
          <cell r="C144" t="str">
            <v>p1</v>
          </cell>
          <cell r="D144">
            <v>90</v>
          </cell>
          <cell r="E144">
            <v>0.5</v>
          </cell>
          <cell r="F144">
            <v>1800</v>
          </cell>
          <cell r="G144">
            <v>1746</v>
          </cell>
          <cell r="H144">
            <v>1800</v>
          </cell>
          <cell r="I144">
            <v>1800</v>
          </cell>
          <cell r="J144">
            <v>54</v>
          </cell>
          <cell r="K144">
            <v>54</v>
          </cell>
          <cell r="L144">
            <v>54</v>
          </cell>
          <cell r="M144">
            <v>50</v>
          </cell>
          <cell r="N144">
            <v>6</v>
          </cell>
          <cell r="O144">
            <v>42.2</v>
          </cell>
          <cell r="P144">
            <v>0.46100000000000002</v>
          </cell>
          <cell r="Q144">
            <v>53.539000000000001</v>
          </cell>
          <cell r="R144">
            <v>0.35733902897713232</v>
          </cell>
          <cell r="S144">
            <v>1799.539</v>
          </cell>
          <cell r="T144" t="str">
            <v>GBM</v>
          </cell>
          <cell r="W144" t="str">
            <v>506</v>
          </cell>
          <cell r="X144">
            <v>3.021644703950932E-2</v>
          </cell>
          <cell r="Y144">
            <v>0.99977430011945645</v>
          </cell>
          <cell r="Z144">
            <v>0.12</v>
          </cell>
          <cell r="AA144">
            <v>11511.226734988537</v>
          </cell>
        </row>
        <row r="145">
          <cell r="A145">
            <v>2</v>
          </cell>
          <cell r="B145" t="str">
            <v>p1</v>
          </cell>
          <cell r="C145" t="str">
            <v>p2</v>
          </cell>
          <cell r="D145">
            <v>175</v>
          </cell>
          <cell r="E145">
            <v>0.5</v>
          </cell>
          <cell r="F145">
            <v>1746</v>
          </cell>
          <cell r="G145">
            <v>1750</v>
          </cell>
          <cell r="H145">
            <v>1800</v>
          </cell>
          <cell r="I145">
            <v>1799.539</v>
          </cell>
          <cell r="J145">
            <v>-4</v>
          </cell>
          <cell r="K145">
            <v>54</v>
          </cell>
          <cell r="L145">
            <v>49.538999999999987</v>
          </cell>
          <cell r="M145">
            <v>32</v>
          </cell>
          <cell r="N145">
            <v>6</v>
          </cell>
          <cell r="O145">
            <v>26.9</v>
          </cell>
          <cell r="P145">
            <v>7.7409999999999997</v>
          </cell>
          <cell r="Q145">
            <v>41.797999999999988</v>
          </cell>
          <cell r="R145">
            <v>0.87942902442425674</v>
          </cell>
          <cell r="S145">
            <v>1791.798</v>
          </cell>
          <cell r="T145" t="str">
            <v>GBM</v>
          </cell>
          <cell r="W145" t="str">
            <v>326</v>
          </cell>
          <cell r="X145">
            <v>2.7443504518105417E-2</v>
          </cell>
          <cell r="Y145">
            <v>0.99990080593136743</v>
          </cell>
          <cell r="Z145">
            <v>0.12</v>
          </cell>
          <cell r="AA145">
            <v>18058.504394666033</v>
          </cell>
        </row>
        <row r="146">
          <cell r="A146">
            <v>3</v>
          </cell>
          <cell r="B146" t="str">
            <v>p2</v>
          </cell>
          <cell r="C146" t="str">
            <v>p3</v>
          </cell>
          <cell r="D146">
            <v>35</v>
          </cell>
          <cell r="E146">
            <v>0.5</v>
          </cell>
          <cell r="F146">
            <v>1750</v>
          </cell>
          <cell r="G146">
            <v>1749</v>
          </cell>
          <cell r="H146">
            <v>1800</v>
          </cell>
          <cell r="I146">
            <v>1791.798</v>
          </cell>
          <cell r="J146">
            <v>1</v>
          </cell>
          <cell r="K146">
            <v>51</v>
          </cell>
          <cell r="L146">
            <v>42.798000000000002</v>
          </cell>
          <cell r="M146">
            <v>32</v>
          </cell>
          <cell r="N146">
            <v>6</v>
          </cell>
          <cell r="O146">
            <v>26.9</v>
          </cell>
          <cell r="P146">
            <v>1.548</v>
          </cell>
          <cell r="Q146">
            <v>41.25</v>
          </cell>
          <cell r="R146">
            <v>0.87942902442425674</v>
          </cell>
          <cell r="S146">
            <v>1790.25</v>
          </cell>
          <cell r="T146" t="str">
            <v>GBM</v>
          </cell>
          <cell r="W146" t="str">
            <v>326</v>
          </cell>
          <cell r="X146">
            <v>2.7443504518105417E-2</v>
          </cell>
          <cell r="Y146">
            <v>0.99990080593136743</v>
          </cell>
          <cell r="Z146">
            <v>0.12</v>
          </cell>
          <cell r="AA146">
            <v>18058.504394666033</v>
          </cell>
        </row>
        <row r="147">
          <cell r="A147">
            <v>4</v>
          </cell>
          <cell r="B147" t="str">
            <v>p3</v>
          </cell>
          <cell r="C147" t="str">
            <v>p4</v>
          </cell>
          <cell r="D147">
            <v>35</v>
          </cell>
          <cell r="E147">
            <v>0.5</v>
          </cell>
          <cell r="F147">
            <v>1749</v>
          </cell>
          <cell r="G147">
            <v>1748</v>
          </cell>
          <cell r="H147">
            <v>1800</v>
          </cell>
          <cell r="I147">
            <v>1790.25</v>
          </cell>
          <cell r="J147">
            <v>1</v>
          </cell>
          <cell r="K147">
            <v>52</v>
          </cell>
          <cell r="L147">
            <v>42.25</v>
          </cell>
          <cell r="M147">
            <v>32</v>
          </cell>
          <cell r="N147">
            <v>6</v>
          </cell>
          <cell r="O147">
            <v>26.9</v>
          </cell>
          <cell r="P147">
            <v>1.548</v>
          </cell>
          <cell r="Q147">
            <v>40.701999999999998</v>
          </cell>
          <cell r="R147">
            <v>0.87942902442425674</v>
          </cell>
          <cell r="S147">
            <v>1788.702</v>
          </cell>
          <cell r="T147" t="str">
            <v>GBM</v>
          </cell>
          <cell r="W147" t="str">
            <v>326</v>
          </cell>
          <cell r="X147">
            <v>2.7443504518105417E-2</v>
          </cell>
          <cell r="Y147">
            <v>0.99990080593136743</v>
          </cell>
          <cell r="Z147">
            <v>0.12</v>
          </cell>
          <cell r="AA147">
            <v>18058.504394666033</v>
          </cell>
        </row>
        <row r="149">
          <cell r="B149" t="str">
            <v>DISTRIBUTION  LINE</v>
          </cell>
          <cell r="D149">
            <v>600</v>
          </cell>
          <cell r="M149" t="str">
            <v>OD</v>
          </cell>
          <cell r="T149" t="str">
            <v>SOIL</v>
          </cell>
        </row>
        <row r="150">
          <cell r="A150">
            <v>5</v>
          </cell>
          <cell r="B150" t="str">
            <v>INT1</v>
          </cell>
          <cell r="C150" t="str">
            <v>p1</v>
          </cell>
          <cell r="D150">
            <v>90</v>
          </cell>
          <cell r="E150">
            <v>0.5</v>
          </cell>
          <cell r="F150">
            <v>1800</v>
          </cell>
          <cell r="G150">
            <v>1746</v>
          </cell>
          <cell r="H150">
            <v>1800</v>
          </cell>
          <cell r="I150">
            <v>1800</v>
          </cell>
          <cell r="J150">
            <v>54</v>
          </cell>
          <cell r="K150">
            <v>54</v>
          </cell>
          <cell r="L150">
            <v>54</v>
          </cell>
          <cell r="M150">
            <v>63</v>
          </cell>
          <cell r="N150">
            <v>6</v>
          </cell>
          <cell r="O150">
            <v>53.3</v>
          </cell>
          <cell r="P150">
            <v>0.152</v>
          </cell>
          <cell r="Q150">
            <v>53.847999999999999</v>
          </cell>
          <cell r="R150">
            <v>0.22400150529011556</v>
          </cell>
          <cell r="S150">
            <v>1799.848</v>
          </cell>
          <cell r="T150" t="str">
            <v>HS</v>
          </cell>
          <cell r="W150" t="str">
            <v>636</v>
          </cell>
          <cell r="X150">
            <v>3.193161244815633E-2</v>
          </cell>
          <cell r="Y150">
            <v>1.0000029336953722</v>
          </cell>
          <cell r="Z150">
            <v>0.1</v>
          </cell>
          <cell r="AA150">
            <v>9113.9543755443938</v>
          </cell>
        </row>
        <row r="151">
          <cell r="A151">
            <v>6</v>
          </cell>
          <cell r="B151" t="str">
            <v>p1</v>
          </cell>
          <cell r="C151" t="str">
            <v>p4</v>
          </cell>
          <cell r="D151">
            <v>245</v>
          </cell>
          <cell r="E151">
            <v>0.5</v>
          </cell>
          <cell r="F151">
            <v>1746</v>
          </cell>
          <cell r="G151">
            <v>1748</v>
          </cell>
          <cell r="H151">
            <v>1800</v>
          </cell>
          <cell r="I151">
            <v>1799.848</v>
          </cell>
          <cell r="J151">
            <v>-2</v>
          </cell>
          <cell r="K151">
            <v>54</v>
          </cell>
          <cell r="L151">
            <v>51.847999999999956</v>
          </cell>
          <cell r="M151">
            <v>50</v>
          </cell>
          <cell r="N151">
            <v>6</v>
          </cell>
          <cell r="O151">
            <v>42.2</v>
          </cell>
          <cell r="P151">
            <v>1.2529999999999999</v>
          </cell>
          <cell r="Q151">
            <v>50.594999999999956</v>
          </cell>
          <cell r="R151">
            <v>0.35733902897713232</v>
          </cell>
          <cell r="S151">
            <v>1798.595</v>
          </cell>
          <cell r="T151" t="str">
            <v>OS</v>
          </cell>
          <cell r="W151" t="str">
            <v>506</v>
          </cell>
          <cell r="X151">
            <v>3.0143671897283463E-2</v>
          </cell>
          <cell r="Y151">
            <v>0.99985466413014257</v>
          </cell>
          <cell r="Z151">
            <v>0.1</v>
          </cell>
          <cell r="AA151">
            <v>11511.226734988537</v>
          </cell>
        </row>
        <row r="153">
          <cell r="A153">
            <v>7</v>
          </cell>
          <cell r="B153" t="str">
            <v>INT1</v>
          </cell>
          <cell r="C153" t="str">
            <v>p1</v>
          </cell>
          <cell r="D153">
            <v>90</v>
          </cell>
          <cell r="E153">
            <v>0.5</v>
          </cell>
          <cell r="F153">
            <v>1800</v>
          </cell>
          <cell r="G153">
            <v>1746</v>
          </cell>
          <cell r="H153">
            <v>1800</v>
          </cell>
          <cell r="I153">
            <v>1800</v>
          </cell>
          <cell r="J153">
            <v>54</v>
          </cell>
          <cell r="K153">
            <v>54</v>
          </cell>
          <cell r="L153">
            <v>54</v>
          </cell>
          <cell r="M153">
            <v>32</v>
          </cell>
          <cell r="N153">
            <v>6</v>
          </cell>
          <cell r="O153">
            <v>26.9</v>
          </cell>
          <cell r="P153">
            <v>3.9580000000000002</v>
          </cell>
          <cell r="Q153">
            <v>50.042000000000002</v>
          </cell>
          <cell r="R153">
            <v>0.87942902442425674</v>
          </cell>
          <cell r="S153">
            <v>1796.0419999999999</v>
          </cell>
          <cell r="T153" t="str">
            <v>HS</v>
          </cell>
          <cell r="W153" t="str">
            <v>326</v>
          </cell>
          <cell r="X153">
            <v>2.7280188584218653E-2</v>
          </cell>
          <cell r="Y153">
            <v>0.99957485666258294</v>
          </cell>
          <cell r="Z153">
            <v>0.1</v>
          </cell>
          <cell r="AA153">
            <v>18058.504394666033</v>
          </cell>
        </row>
        <row r="154">
          <cell r="A154">
            <v>8</v>
          </cell>
          <cell r="B154" t="str">
            <v>p1</v>
          </cell>
          <cell r="C154" t="str">
            <v>p2</v>
          </cell>
          <cell r="D154">
            <v>175</v>
          </cell>
          <cell r="E154">
            <v>0.5</v>
          </cell>
          <cell r="F154">
            <v>1746</v>
          </cell>
          <cell r="G154">
            <v>1750</v>
          </cell>
          <cell r="H154">
            <v>1800</v>
          </cell>
          <cell r="I154">
            <v>1796.0419999999999</v>
          </cell>
          <cell r="J154">
            <v>-4</v>
          </cell>
          <cell r="K154">
            <v>54</v>
          </cell>
          <cell r="L154">
            <v>46.041999999999916</v>
          </cell>
          <cell r="M154">
            <v>32</v>
          </cell>
          <cell r="N154">
            <v>6</v>
          </cell>
          <cell r="O154">
            <v>26.9</v>
          </cell>
          <cell r="P154">
            <v>7.6950000000000003</v>
          </cell>
          <cell r="Q154">
            <v>38.346999999999916</v>
          </cell>
          <cell r="R154">
            <v>0.87942902442425674</v>
          </cell>
          <cell r="S154">
            <v>1788.347</v>
          </cell>
          <cell r="T154" t="str">
            <v>HS</v>
          </cell>
          <cell r="W154" t="str">
            <v>326</v>
          </cell>
          <cell r="X154">
            <v>2.7280179999948639E-2</v>
          </cell>
          <cell r="Y154">
            <v>0.99957467922999599</v>
          </cell>
          <cell r="Z154">
            <v>0.1</v>
          </cell>
          <cell r="AA154">
            <v>18058.504394666033</v>
          </cell>
        </row>
      </sheetData>
      <sheetData sheetId="4" refreshError="1"/>
      <sheetData sheetId="5" refreshError="1"/>
      <sheetData sheetId="6" refreshError="1"/>
      <sheetData sheetId="7" refreshError="1"/>
      <sheetData sheetId="8" refreshError="1"/>
      <sheetData sheetId="9" refreshError="1">
        <row r="74">
          <cell r="E74" t="str">
            <v>SCHEME:</v>
          </cell>
          <cell r="F74">
            <v>2</v>
          </cell>
          <cell r="G74" t="str">
            <v>Dwari Lamkhali Doharegada</v>
          </cell>
          <cell r="R74">
            <v>935</v>
          </cell>
        </row>
        <row r="75">
          <cell r="A75">
            <v>1</v>
          </cell>
          <cell r="B75" t="str">
            <v>(a). Earthwork in excavation in GBM soils</v>
          </cell>
        </row>
        <row r="76">
          <cell r="B76" t="str">
            <v>GI pipe &gt;= 2.5"</v>
          </cell>
          <cell r="D76">
            <v>0</v>
          </cell>
          <cell r="E76">
            <v>0.6</v>
          </cell>
          <cell r="F76">
            <v>0.9</v>
          </cell>
          <cell r="G76">
            <v>0</v>
          </cell>
          <cell r="J76">
            <v>0</v>
          </cell>
          <cell r="K76">
            <v>0.6</v>
          </cell>
          <cell r="L76">
            <v>0.9</v>
          </cell>
          <cell r="M76">
            <v>0</v>
          </cell>
          <cell r="R76">
            <v>0</v>
          </cell>
        </row>
        <row r="77">
          <cell r="B77" t="str">
            <v>GI pipe &lt; 2.5"</v>
          </cell>
          <cell r="D77">
            <v>0</v>
          </cell>
          <cell r="E77">
            <v>0.45</v>
          </cell>
          <cell r="F77">
            <v>0.9</v>
          </cell>
          <cell r="G77">
            <v>0</v>
          </cell>
          <cell r="J77">
            <v>0</v>
          </cell>
          <cell r="K77">
            <v>0.45</v>
          </cell>
          <cell r="L77">
            <v>0.9</v>
          </cell>
          <cell r="M77">
            <v>0</v>
          </cell>
          <cell r="R77">
            <v>0</v>
          </cell>
        </row>
        <row r="78">
          <cell r="B78" t="str">
            <v>HDP pipe &gt;= 63mm</v>
          </cell>
          <cell r="D78">
            <v>0</v>
          </cell>
          <cell r="E78">
            <v>0.6</v>
          </cell>
          <cell r="F78">
            <v>0.9</v>
          </cell>
          <cell r="G78">
            <v>0</v>
          </cell>
          <cell r="J78">
            <v>0</v>
          </cell>
          <cell r="K78">
            <v>0.6</v>
          </cell>
          <cell r="L78">
            <v>0.9</v>
          </cell>
          <cell r="M78">
            <v>0</v>
          </cell>
          <cell r="R78">
            <v>0</v>
          </cell>
        </row>
        <row r="79">
          <cell r="B79" t="str">
            <v>HDP pipe &lt;63mm</v>
          </cell>
          <cell r="D79">
            <v>335</v>
          </cell>
          <cell r="E79">
            <v>0.45</v>
          </cell>
          <cell r="F79">
            <v>0.9</v>
          </cell>
          <cell r="G79">
            <v>135.68</v>
          </cell>
          <cell r="J79">
            <v>0</v>
          </cell>
          <cell r="K79">
            <v>0.45</v>
          </cell>
          <cell r="L79">
            <v>0.9</v>
          </cell>
          <cell r="M79">
            <v>0</v>
          </cell>
          <cell r="R79">
            <v>335</v>
          </cell>
        </row>
        <row r="80">
          <cell r="G80">
            <v>135.68</v>
          </cell>
          <cell r="H80" t="str">
            <v>m3</v>
          </cell>
          <cell r="I80">
            <v>36663.517440000003</v>
          </cell>
          <cell r="M80">
            <v>0</v>
          </cell>
          <cell r="N80" t="str">
            <v>m3</v>
          </cell>
          <cell r="O80">
            <v>0</v>
          </cell>
          <cell r="P80">
            <v>270.22050000000002</v>
          </cell>
          <cell r="Q80">
            <v>2.14</v>
          </cell>
        </row>
        <row r="81">
          <cell r="B81" t="str">
            <v>(b). Earthwork in excavation in Hard soils</v>
          </cell>
        </row>
        <row r="82">
          <cell r="B82" t="str">
            <v>GI pipe &gt;= 2.5"</v>
          </cell>
          <cell r="D82">
            <v>0</v>
          </cell>
          <cell r="E82">
            <v>0.6</v>
          </cell>
          <cell r="F82">
            <v>0.9</v>
          </cell>
          <cell r="G82">
            <v>0</v>
          </cell>
          <cell r="J82">
            <v>0</v>
          </cell>
          <cell r="K82">
            <v>0.6</v>
          </cell>
          <cell r="L82">
            <v>0.9</v>
          </cell>
          <cell r="M82">
            <v>0</v>
          </cell>
          <cell r="R82">
            <v>0</v>
          </cell>
        </row>
        <row r="83">
          <cell r="B83" t="str">
            <v>GI pipe &lt; 2.5"</v>
          </cell>
          <cell r="D83">
            <v>0</v>
          </cell>
          <cell r="E83">
            <v>0.45</v>
          </cell>
          <cell r="F83">
            <v>0.9</v>
          </cell>
          <cell r="G83">
            <v>0</v>
          </cell>
          <cell r="J83">
            <v>0</v>
          </cell>
          <cell r="K83">
            <v>0.45</v>
          </cell>
          <cell r="L83">
            <v>0.9</v>
          </cell>
          <cell r="M83">
            <v>0</v>
          </cell>
          <cell r="R83">
            <v>0</v>
          </cell>
        </row>
        <row r="84">
          <cell r="B84" t="str">
            <v>HDP pipe &gt;= 63mm</v>
          </cell>
          <cell r="D84">
            <v>0</v>
          </cell>
          <cell r="E84">
            <v>0.6</v>
          </cell>
          <cell r="F84">
            <v>0.9</v>
          </cell>
          <cell r="G84">
            <v>0</v>
          </cell>
          <cell r="J84">
            <v>90</v>
          </cell>
          <cell r="K84">
            <v>0.6</v>
          </cell>
          <cell r="L84">
            <v>0.9</v>
          </cell>
          <cell r="M84">
            <v>48.6</v>
          </cell>
          <cell r="R84">
            <v>90</v>
          </cell>
        </row>
        <row r="85">
          <cell r="B85" t="str">
            <v>HDP pipe &lt;63mm</v>
          </cell>
          <cell r="D85">
            <v>0</v>
          </cell>
          <cell r="E85">
            <v>0.45</v>
          </cell>
          <cell r="F85">
            <v>0.9</v>
          </cell>
          <cell r="G85">
            <v>0</v>
          </cell>
          <cell r="J85">
            <v>265</v>
          </cell>
          <cell r="K85">
            <v>0.45</v>
          </cell>
          <cell r="L85">
            <v>0.9</v>
          </cell>
          <cell r="M85">
            <v>107.33</v>
          </cell>
          <cell r="R85">
            <v>265</v>
          </cell>
        </row>
        <row r="86">
          <cell r="G86">
            <v>0</v>
          </cell>
          <cell r="H86" t="str">
            <v>m3</v>
          </cell>
          <cell r="I86">
            <v>0</v>
          </cell>
          <cell r="M86">
            <v>155.93</v>
          </cell>
          <cell r="N86" t="str">
            <v>m3</v>
          </cell>
          <cell r="O86">
            <v>33125.379375000004</v>
          </cell>
          <cell r="P86">
            <v>212.4375</v>
          </cell>
          <cell r="Q86">
            <v>2.12</v>
          </cell>
        </row>
        <row r="87">
          <cell r="B87" t="str">
            <v>(c). Earthwork in excavation in Ord. soils</v>
          </cell>
        </row>
        <row r="88">
          <cell r="B88" t="str">
            <v>GI pipe &gt;= 2.5"</v>
          </cell>
          <cell r="D88">
            <v>0</v>
          </cell>
          <cell r="E88">
            <v>0.6</v>
          </cell>
          <cell r="F88">
            <v>0.9</v>
          </cell>
          <cell r="G88">
            <v>0</v>
          </cell>
          <cell r="J88">
            <v>0</v>
          </cell>
          <cell r="K88">
            <v>0.6</v>
          </cell>
          <cell r="L88">
            <v>0.9</v>
          </cell>
          <cell r="M88">
            <v>0</v>
          </cell>
          <cell r="R88">
            <v>0</v>
          </cell>
        </row>
        <row r="89">
          <cell r="B89" t="str">
            <v>GI pipe &lt; 2.5"</v>
          </cell>
          <cell r="D89">
            <v>0</v>
          </cell>
          <cell r="E89">
            <v>0.45</v>
          </cell>
          <cell r="F89">
            <v>0.9</v>
          </cell>
          <cell r="G89">
            <v>0</v>
          </cell>
          <cell r="J89">
            <v>0</v>
          </cell>
          <cell r="K89">
            <v>0.45</v>
          </cell>
          <cell r="L89">
            <v>0.9</v>
          </cell>
          <cell r="M89">
            <v>0</v>
          </cell>
          <cell r="R89">
            <v>0</v>
          </cell>
        </row>
        <row r="90">
          <cell r="B90" t="str">
            <v>HDP pipe &gt;= 63mm</v>
          </cell>
          <cell r="D90">
            <v>0</v>
          </cell>
          <cell r="E90">
            <v>0.6</v>
          </cell>
          <cell r="F90">
            <v>0.9</v>
          </cell>
          <cell r="G90">
            <v>0</v>
          </cell>
          <cell r="J90">
            <v>0</v>
          </cell>
          <cell r="K90">
            <v>0.6</v>
          </cell>
          <cell r="L90">
            <v>0.9</v>
          </cell>
          <cell r="M90">
            <v>0</v>
          </cell>
          <cell r="R90">
            <v>0</v>
          </cell>
        </row>
        <row r="91">
          <cell r="B91" t="str">
            <v>HDP pipe &lt;63mm</v>
          </cell>
          <cell r="D91">
            <v>0</v>
          </cell>
          <cell r="E91">
            <v>0.45</v>
          </cell>
          <cell r="F91">
            <v>0.9</v>
          </cell>
          <cell r="G91">
            <v>0</v>
          </cell>
          <cell r="J91">
            <v>245</v>
          </cell>
          <cell r="K91">
            <v>0.45</v>
          </cell>
          <cell r="L91">
            <v>0.9</v>
          </cell>
          <cell r="M91">
            <v>99.23</v>
          </cell>
          <cell r="R91">
            <v>245</v>
          </cell>
        </row>
        <row r="92">
          <cell r="G92">
            <v>0</v>
          </cell>
          <cell r="H92" t="str">
            <v>m3</v>
          </cell>
          <cell r="I92">
            <v>0</v>
          </cell>
          <cell r="M92">
            <v>99.23</v>
          </cell>
          <cell r="N92" t="str">
            <v>m3</v>
          </cell>
          <cell r="O92">
            <v>16864.138500000001</v>
          </cell>
          <cell r="P92">
            <v>169.95</v>
          </cell>
          <cell r="Q92">
            <v>2.9</v>
          </cell>
        </row>
        <row r="93">
          <cell r="B93" t="str">
            <v>(d). Earthwork in excavation in User Defined soils</v>
          </cell>
        </row>
        <row r="94">
          <cell r="B94" t="str">
            <v>GI pipe &gt;= 2.5"</v>
          </cell>
          <cell r="D94">
            <v>0</v>
          </cell>
          <cell r="E94">
            <v>0.6</v>
          </cell>
          <cell r="F94">
            <v>0.9</v>
          </cell>
          <cell r="G94">
            <v>0</v>
          </cell>
          <cell r="J94">
            <v>0</v>
          </cell>
          <cell r="K94">
            <v>0.6</v>
          </cell>
          <cell r="L94">
            <v>0.9</v>
          </cell>
          <cell r="M94">
            <v>0</v>
          </cell>
          <cell r="R94">
            <v>0</v>
          </cell>
        </row>
        <row r="95">
          <cell r="B95" t="str">
            <v>GI pipe &lt; 2.5"</v>
          </cell>
          <cell r="D95">
            <v>0</v>
          </cell>
          <cell r="E95">
            <v>0.45</v>
          </cell>
          <cell r="F95">
            <v>0.9</v>
          </cell>
          <cell r="G95">
            <v>0</v>
          </cell>
          <cell r="J95">
            <v>0</v>
          </cell>
          <cell r="K95">
            <v>0.45</v>
          </cell>
          <cell r="L95">
            <v>0.9</v>
          </cell>
          <cell r="M95">
            <v>0</v>
          </cell>
          <cell r="R95">
            <v>0</v>
          </cell>
        </row>
        <row r="96">
          <cell r="B96" t="str">
            <v>HDP pipe &gt;= 63mm</v>
          </cell>
          <cell r="D96">
            <v>0</v>
          </cell>
          <cell r="E96">
            <v>0.6</v>
          </cell>
          <cell r="F96">
            <v>0.9</v>
          </cell>
          <cell r="G96">
            <v>0</v>
          </cell>
          <cell r="J96">
            <v>0</v>
          </cell>
          <cell r="K96">
            <v>0.6</v>
          </cell>
          <cell r="L96">
            <v>0.9</v>
          </cell>
          <cell r="M96">
            <v>0</v>
          </cell>
          <cell r="R96">
            <v>0</v>
          </cell>
        </row>
        <row r="97">
          <cell r="B97" t="str">
            <v>HDP pipe &lt;63mm</v>
          </cell>
          <cell r="D97">
            <v>0</v>
          </cell>
          <cell r="E97">
            <v>0.45</v>
          </cell>
          <cell r="F97">
            <v>0.9</v>
          </cell>
          <cell r="G97">
            <v>0</v>
          </cell>
          <cell r="J97">
            <v>0</v>
          </cell>
          <cell r="K97">
            <v>0.45</v>
          </cell>
          <cell r="L97">
            <v>0.9</v>
          </cell>
          <cell r="M97">
            <v>0</v>
          </cell>
          <cell r="R97">
            <v>0</v>
          </cell>
        </row>
        <row r="98">
          <cell r="G98">
            <v>0</v>
          </cell>
          <cell r="H98" t="str">
            <v>m3</v>
          </cell>
          <cell r="I98" t="e">
            <v>#N/A</v>
          </cell>
          <cell r="M98">
            <v>0</v>
          </cell>
          <cell r="N98" t="str">
            <v>m3</v>
          </cell>
          <cell r="O98" t="e">
            <v>#N/A</v>
          </cell>
          <cell r="P98" t="e">
            <v>#N/A</v>
          </cell>
          <cell r="Q98">
            <v>2.15</v>
          </cell>
        </row>
        <row r="100">
          <cell r="A100">
            <v>2</v>
          </cell>
          <cell r="B100" t="str">
            <v>Refilling the trench with excavated loose soils</v>
          </cell>
          <cell r="G100">
            <v>135.68</v>
          </cell>
          <cell r="H100" t="str">
            <v>m3</v>
          </cell>
          <cell r="I100">
            <v>11529.407999999999</v>
          </cell>
          <cell r="M100">
            <v>255.16000000000003</v>
          </cell>
          <cell r="N100" t="str">
            <v>m3</v>
          </cell>
          <cell r="O100">
            <v>21682.221000000001</v>
          </cell>
          <cell r="P100">
            <v>84.974999999999994</v>
          </cell>
          <cell r="Q100" t="str">
            <v>2.39a</v>
          </cell>
        </row>
        <row r="102">
          <cell r="A102">
            <v>3</v>
          </cell>
          <cell r="B102" t="str">
            <v>Pipe laying &amp; jointing works:</v>
          </cell>
        </row>
        <row r="103">
          <cell r="B103" t="str">
            <v>HDP Pipe of dia (mm):</v>
          </cell>
          <cell r="C103">
            <v>16</v>
          </cell>
          <cell r="D103">
            <v>0</v>
          </cell>
          <cell r="G103">
            <v>0</v>
          </cell>
          <cell r="H103" t="str">
            <v>m</v>
          </cell>
          <cell r="I103">
            <v>0</v>
          </cell>
          <cell r="J103">
            <v>0</v>
          </cell>
          <cell r="M103">
            <v>0</v>
          </cell>
          <cell r="N103" t="str">
            <v>m</v>
          </cell>
          <cell r="O103">
            <v>0</v>
          </cell>
          <cell r="P103">
            <v>0.86506804017857153</v>
          </cell>
          <cell r="Q103" t="str">
            <v>17.2a</v>
          </cell>
          <cell r="R103">
            <v>0</v>
          </cell>
        </row>
        <row r="104">
          <cell r="C104">
            <v>20</v>
          </cell>
          <cell r="D104">
            <v>0</v>
          </cell>
          <cell r="G104">
            <v>0</v>
          </cell>
          <cell r="H104" t="str">
            <v>m</v>
          </cell>
          <cell r="I104">
            <v>0</v>
          </cell>
          <cell r="J104">
            <v>0</v>
          </cell>
          <cell r="M104">
            <v>0</v>
          </cell>
          <cell r="N104" t="str">
            <v>m</v>
          </cell>
          <cell r="O104">
            <v>0</v>
          </cell>
          <cell r="P104">
            <v>0.86506804017857153</v>
          </cell>
          <cell r="Q104" t="str">
            <v>17.2a</v>
          </cell>
          <cell r="R104">
            <v>0</v>
          </cell>
        </row>
        <row r="105">
          <cell r="C105">
            <v>25</v>
          </cell>
          <cell r="D105">
            <v>0</v>
          </cell>
          <cell r="G105">
            <v>0</v>
          </cell>
          <cell r="H105" t="str">
            <v>m</v>
          </cell>
          <cell r="I105">
            <v>0</v>
          </cell>
          <cell r="J105">
            <v>0</v>
          </cell>
          <cell r="M105">
            <v>0</v>
          </cell>
          <cell r="N105" t="str">
            <v>m</v>
          </cell>
          <cell r="O105">
            <v>0</v>
          </cell>
          <cell r="P105">
            <v>0.86506804017857153</v>
          </cell>
          <cell r="Q105" t="str">
            <v>17.2a</v>
          </cell>
          <cell r="R105">
            <v>0</v>
          </cell>
        </row>
        <row r="106">
          <cell r="C106">
            <v>32</v>
          </cell>
          <cell r="D106">
            <v>245</v>
          </cell>
          <cell r="G106">
            <v>245</v>
          </cell>
          <cell r="H106" t="str">
            <v>m</v>
          </cell>
          <cell r="I106">
            <v>254.3912538125</v>
          </cell>
          <cell r="J106">
            <v>265</v>
          </cell>
          <cell r="M106">
            <v>265</v>
          </cell>
          <cell r="N106" t="str">
            <v>m</v>
          </cell>
          <cell r="O106">
            <v>275.15788677678569</v>
          </cell>
          <cell r="P106">
            <v>1.0383316482142857</v>
          </cell>
          <cell r="Q106" t="str">
            <v>17.2b</v>
          </cell>
          <cell r="R106">
            <v>510</v>
          </cell>
        </row>
        <row r="107">
          <cell r="C107">
            <v>40</v>
          </cell>
          <cell r="D107">
            <v>0</v>
          </cell>
          <cell r="G107">
            <v>0</v>
          </cell>
          <cell r="H107" t="str">
            <v>m</v>
          </cell>
          <cell r="I107">
            <v>0</v>
          </cell>
          <cell r="J107">
            <v>0</v>
          </cell>
          <cell r="M107">
            <v>0</v>
          </cell>
          <cell r="N107" t="str">
            <v>m</v>
          </cell>
          <cell r="O107">
            <v>0</v>
          </cell>
          <cell r="P107">
            <v>1.5027338642857142</v>
          </cell>
          <cell r="Q107" t="str">
            <v>17.2c</v>
          </cell>
          <cell r="R107">
            <v>0</v>
          </cell>
        </row>
        <row r="108">
          <cell r="C108">
            <v>50</v>
          </cell>
          <cell r="D108">
            <v>90</v>
          </cell>
          <cell r="G108">
            <v>90</v>
          </cell>
          <cell r="H108" t="str">
            <v>m</v>
          </cell>
          <cell r="I108">
            <v>135.24604778571427</v>
          </cell>
          <cell r="J108">
            <v>245</v>
          </cell>
          <cell r="M108">
            <v>245</v>
          </cell>
          <cell r="N108" t="str">
            <v>m</v>
          </cell>
          <cell r="O108">
            <v>368.16979674999999</v>
          </cell>
          <cell r="P108">
            <v>1.5027338642857142</v>
          </cell>
          <cell r="Q108" t="str">
            <v>17.2c</v>
          </cell>
          <cell r="R108">
            <v>335</v>
          </cell>
        </row>
        <row r="109">
          <cell r="C109">
            <v>63</v>
          </cell>
          <cell r="D109">
            <v>0</v>
          </cell>
          <cell r="G109">
            <v>0</v>
          </cell>
          <cell r="H109" t="str">
            <v>m</v>
          </cell>
          <cell r="I109">
            <v>0</v>
          </cell>
          <cell r="J109">
            <v>90</v>
          </cell>
          <cell r="M109">
            <v>90</v>
          </cell>
          <cell r="N109" t="str">
            <v>m</v>
          </cell>
          <cell r="O109">
            <v>1549.369944642857</v>
          </cell>
          <cell r="P109">
            <v>17.215221607142855</v>
          </cell>
          <cell r="Q109" t="str">
            <v>17.2d</v>
          </cell>
          <cell r="R109">
            <v>90</v>
          </cell>
        </row>
        <row r="110">
          <cell r="C110">
            <v>75</v>
          </cell>
          <cell r="D110">
            <v>0</v>
          </cell>
          <cell r="G110">
            <v>0</v>
          </cell>
          <cell r="H110" t="str">
            <v>m</v>
          </cell>
          <cell r="I110">
            <v>0</v>
          </cell>
          <cell r="J110">
            <v>0</v>
          </cell>
          <cell r="M110">
            <v>0</v>
          </cell>
          <cell r="N110" t="str">
            <v>m</v>
          </cell>
          <cell r="O110">
            <v>0</v>
          </cell>
          <cell r="P110">
            <v>17.215221607142855</v>
          </cell>
          <cell r="Q110" t="str">
            <v>17.2d</v>
          </cell>
          <cell r="R110">
            <v>0</v>
          </cell>
        </row>
        <row r="111">
          <cell r="C111">
            <v>90</v>
          </cell>
          <cell r="D111">
            <v>0</v>
          </cell>
          <cell r="G111">
            <v>0</v>
          </cell>
          <cell r="H111" t="str">
            <v>m</v>
          </cell>
          <cell r="I111">
            <v>0</v>
          </cell>
          <cell r="J111">
            <v>0</v>
          </cell>
          <cell r="M111">
            <v>0</v>
          </cell>
          <cell r="N111" t="str">
            <v>m</v>
          </cell>
          <cell r="O111">
            <v>0</v>
          </cell>
          <cell r="P111">
            <v>17.215221607142855</v>
          </cell>
          <cell r="Q111" t="str">
            <v>17.2d</v>
          </cell>
          <cell r="R111">
            <v>0</v>
          </cell>
        </row>
        <row r="112">
          <cell r="C112">
            <v>110</v>
          </cell>
          <cell r="D112">
            <v>0</v>
          </cell>
          <cell r="G112">
            <v>0</v>
          </cell>
          <cell r="H112" t="str">
            <v>m</v>
          </cell>
          <cell r="I112">
            <v>0</v>
          </cell>
          <cell r="J112">
            <v>0</v>
          </cell>
          <cell r="M112">
            <v>0</v>
          </cell>
          <cell r="N112" t="str">
            <v>m</v>
          </cell>
          <cell r="O112">
            <v>0</v>
          </cell>
          <cell r="P112">
            <v>25.658971607142856</v>
          </cell>
          <cell r="Q112" t="str">
            <v>17.2e</v>
          </cell>
          <cell r="R112">
            <v>0</v>
          </cell>
        </row>
        <row r="113">
          <cell r="C113">
            <v>125</v>
          </cell>
          <cell r="D113">
            <v>0</v>
          </cell>
          <cell r="G113">
            <v>0</v>
          </cell>
          <cell r="H113" t="str">
            <v>m</v>
          </cell>
          <cell r="I113">
            <v>0</v>
          </cell>
          <cell r="J113">
            <v>0</v>
          </cell>
          <cell r="M113">
            <v>0</v>
          </cell>
          <cell r="N113" t="str">
            <v>m</v>
          </cell>
          <cell r="O113">
            <v>0</v>
          </cell>
          <cell r="P113">
            <v>25.658971607142856</v>
          </cell>
          <cell r="Q113" t="str">
            <v>17.2e</v>
          </cell>
          <cell r="R113">
            <v>0</v>
          </cell>
        </row>
        <row r="114">
          <cell r="C114">
            <v>140</v>
          </cell>
          <cell r="D114">
            <v>0</v>
          </cell>
          <cell r="G114">
            <v>0</v>
          </cell>
          <cell r="H114" t="str">
            <v>m</v>
          </cell>
          <cell r="I114">
            <v>0</v>
          </cell>
          <cell r="J114">
            <v>0</v>
          </cell>
          <cell r="M114">
            <v>0</v>
          </cell>
          <cell r="N114" t="str">
            <v>m</v>
          </cell>
          <cell r="O114">
            <v>0</v>
          </cell>
          <cell r="P114">
            <v>35.93044321428571</v>
          </cell>
          <cell r="Q114" t="str">
            <v>17.2f</v>
          </cell>
          <cell r="R114">
            <v>0</v>
          </cell>
        </row>
        <row r="115">
          <cell r="C115">
            <v>160</v>
          </cell>
          <cell r="D115">
            <v>0</v>
          </cell>
          <cell r="G115">
            <v>0</v>
          </cell>
          <cell r="H115" t="str">
            <v>m</v>
          </cell>
          <cell r="I115">
            <v>0</v>
          </cell>
          <cell r="J115">
            <v>0</v>
          </cell>
          <cell r="M115">
            <v>0</v>
          </cell>
          <cell r="N115" t="str">
            <v>m</v>
          </cell>
          <cell r="O115">
            <v>0</v>
          </cell>
          <cell r="P115">
            <v>35.93044321428571</v>
          </cell>
          <cell r="Q115" t="str">
            <v>17.2f</v>
          </cell>
          <cell r="R115">
            <v>0</v>
          </cell>
        </row>
        <row r="116">
          <cell r="C116">
            <v>180</v>
          </cell>
          <cell r="D116">
            <v>0</v>
          </cell>
          <cell r="G116">
            <v>0</v>
          </cell>
          <cell r="H116" t="str">
            <v>m</v>
          </cell>
          <cell r="I116">
            <v>0</v>
          </cell>
          <cell r="J116">
            <v>0</v>
          </cell>
          <cell r="M116">
            <v>0</v>
          </cell>
          <cell r="N116" t="str">
            <v>m</v>
          </cell>
          <cell r="O116">
            <v>0</v>
          </cell>
          <cell r="P116">
            <v>35.93044321428571</v>
          </cell>
          <cell r="Q116" t="str">
            <v>17.2f</v>
          </cell>
          <cell r="R116">
            <v>0</v>
          </cell>
        </row>
        <row r="117">
          <cell r="C117">
            <v>200</v>
          </cell>
          <cell r="D117">
            <v>0</v>
          </cell>
          <cell r="G117">
            <v>0</v>
          </cell>
          <cell r="H117" t="str">
            <v>m</v>
          </cell>
          <cell r="I117" t="e">
            <v>#NAME?</v>
          </cell>
          <cell r="J117">
            <v>0</v>
          </cell>
          <cell r="M117">
            <v>0</v>
          </cell>
          <cell r="N117" t="str">
            <v>m</v>
          </cell>
          <cell r="O117" t="e">
            <v>#NAME?</v>
          </cell>
          <cell r="P117" t="e">
            <v>#NAME?</v>
          </cell>
          <cell r="Q117" t="str">
            <v>17.2g</v>
          </cell>
          <cell r="R117">
            <v>0</v>
          </cell>
        </row>
        <row r="118">
          <cell r="C118">
            <v>225</v>
          </cell>
          <cell r="D118">
            <v>0</v>
          </cell>
          <cell r="G118">
            <v>0</v>
          </cell>
          <cell r="H118" t="str">
            <v>m</v>
          </cell>
          <cell r="I118" t="e">
            <v>#NAME?</v>
          </cell>
          <cell r="J118">
            <v>0</v>
          </cell>
          <cell r="M118">
            <v>0</v>
          </cell>
          <cell r="N118" t="str">
            <v>m</v>
          </cell>
          <cell r="O118" t="e">
            <v>#NAME?</v>
          </cell>
          <cell r="P118" t="e">
            <v>#NAME?</v>
          </cell>
          <cell r="Q118" t="str">
            <v>17.2g</v>
          </cell>
          <cell r="R118">
            <v>0</v>
          </cell>
        </row>
        <row r="119">
          <cell r="C119">
            <v>250</v>
          </cell>
          <cell r="D119">
            <v>0</v>
          </cell>
          <cell r="G119">
            <v>0</v>
          </cell>
          <cell r="H119" t="str">
            <v>m</v>
          </cell>
          <cell r="I119" t="e">
            <v>#NAME?</v>
          </cell>
          <cell r="J119">
            <v>0</v>
          </cell>
          <cell r="M119">
            <v>0</v>
          </cell>
          <cell r="N119" t="str">
            <v>m</v>
          </cell>
          <cell r="O119" t="e">
            <v>#NAME?</v>
          </cell>
          <cell r="P119" t="e">
            <v>#NAME?</v>
          </cell>
          <cell r="Q119" t="str">
            <v>17.2g</v>
          </cell>
          <cell r="R119">
            <v>0</v>
          </cell>
        </row>
        <row r="120">
          <cell r="B120" t="str">
            <v>GI Pipe of dia (inches):</v>
          </cell>
          <cell r="C120">
            <v>0.5</v>
          </cell>
          <cell r="D120">
            <v>0</v>
          </cell>
          <cell r="G120">
            <v>0</v>
          </cell>
          <cell r="H120" t="str">
            <v>m</v>
          </cell>
          <cell r="I120">
            <v>0</v>
          </cell>
          <cell r="J120">
            <v>0</v>
          </cell>
          <cell r="M120">
            <v>0</v>
          </cell>
          <cell r="N120" t="str">
            <v>m</v>
          </cell>
          <cell r="O120">
            <v>0</v>
          </cell>
          <cell r="P120">
            <v>17.876249999999999</v>
          </cell>
          <cell r="Q120" t="str">
            <v>17.4a1</v>
          </cell>
          <cell r="R120">
            <v>0</v>
          </cell>
        </row>
        <row r="121">
          <cell r="C121">
            <v>0.75</v>
          </cell>
          <cell r="D121">
            <v>0</v>
          </cell>
          <cell r="G121">
            <v>0</v>
          </cell>
          <cell r="H121" t="str">
            <v>m</v>
          </cell>
          <cell r="I121">
            <v>0</v>
          </cell>
          <cell r="J121">
            <v>0</v>
          </cell>
          <cell r="M121">
            <v>0</v>
          </cell>
          <cell r="N121" t="str">
            <v>m</v>
          </cell>
          <cell r="O121">
            <v>0</v>
          </cell>
          <cell r="P121">
            <v>17.876249999999999</v>
          </cell>
          <cell r="Q121" t="str">
            <v>17.4a1</v>
          </cell>
          <cell r="R121">
            <v>0</v>
          </cell>
        </row>
        <row r="122">
          <cell r="C122">
            <v>1</v>
          </cell>
          <cell r="D122">
            <v>0</v>
          </cell>
          <cell r="G122">
            <v>0</v>
          </cell>
          <cell r="H122" t="str">
            <v>m</v>
          </cell>
          <cell r="I122">
            <v>0</v>
          </cell>
          <cell r="J122">
            <v>0</v>
          </cell>
          <cell r="M122">
            <v>0</v>
          </cell>
          <cell r="N122" t="str">
            <v>m</v>
          </cell>
          <cell r="O122">
            <v>0</v>
          </cell>
          <cell r="P122">
            <v>24.474374999999998</v>
          </cell>
          <cell r="Q122" t="str">
            <v>17.4a2</v>
          </cell>
          <cell r="R122">
            <v>0</v>
          </cell>
        </row>
        <row r="123">
          <cell r="C123">
            <v>1.25</v>
          </cell>
          <cell r="D123">
            <v>0</v>
          </cell>
          <cell r="G123">
            <v>0</v>
          </cell>
          <cell r="H123" t="str">
            <v>m</v>
          </cell>
          <cell r="I123">
            <v>0</v>
          </cell>
          <cell r="J123">
            <v>0</v>
          </cell>
          <cell r="M123">
            <v>0</v>
          </cell>
          <cell r="N123" t="str">
            <v>m</v>
          </cell>
          <cell r="O123">
            <v>0</v>
          </cell>
          <cell r="P123">
            <v>24.474374999999998</v>
          </cell>
          <cell r="Q123" t="str">
            <v>17.4a2</v>
          </cell>
          <cell r="R123">
            <v>0</v>
          </cell>
        </row>
        <row r="124">
          <cell r="C124">
            <v>1.5</v>
          </cell>
          <cell r="D124">
            <v>0</v>
          </cell>
          <cell r="G124">
            <v>0</v>
          </cell>
          <cell r="H124" t="str">
            <v>m</v>
          </cell>
          <cell r="I124">
            <v>0</v>
          </cell>
          <cell r="J124">
            <v>0</v>
          </cell>
          <cell r="M124">
            <v>0</v>
          </cell>
          <cell r="N124" t="str">
            <v>m</v>
          </cell>
          <cell r="O124">
            <v>0</v>
          </cell>
          <cell r="P124">
            <v>33.328125</v>
          </cell>
          <cell r="Q124" t="str">
            <v>17.4a3</v>
          </cell>
          <cell r="R124">
            <v>0</v>
          </cell>
        </row>
        <row r="125">
          <cell r="C125">
            <v>2</v>
          </cell>
          <cell r="D125">
            <v>0</v>
          </cell>
          <cell r="G125">
            <v>0</v>
          </cell>
          <cell r="H125" t="str">
            <v>m</v>
          </cell>
          <cell r="I125">
            <v>0</v>
          </cell>
          <cell r="J125">
            <v>0</v>
          </cell>
          <cell r="M125">
            <v>0</v>
          </cell>
          <cell r="N125" t="str">
            <v>m</v>
          </cell>
          <cell r="O125">
            <v>0</v>
          </cell>
          <cell r="P125">
            <v>33.328125</v>
          </cell>
          <cell r="Q125" t="str">
            <v>17.4a3</v>
          </cell>
          <cell r="R125">
            <v>0</v>
          </cell>
        </row>
        <row r="126">
          <cell r="C126">
            <v>2.5</v>
          </cell>
          <cell r="D126">
            <v>0</v>
          </cell>
          <cell r="G126">
            <v>0</v>
          </cell>
          <cell r="H126" t="str">
            <v>m</v>
          </cell>
          <cell r="I126">
            <v>0</v>
          </cell>
          <cell r="J126">
            <v>0</v>
          </cell>
          <cell r="M126">
            <v>0</v>
          </cell>
          <cell r="N126" t="str">
            <v>m</v>
          </cell>
          <cell r="O126">
            <v>0</v>
          </cell>
          <cell r="P126">
            <v>44.484375</v>
          </cell>
          <cell r="Q126" t="str">
            <v>17.4a4</v>
          </cell>
          <cell r="R126">
            <v>0</v>
          </cell>
        </row>
        <row r="127">
          <cell r="C127">
            <v>3</v>
          </cell>
          <cell r="D127">
            <v>0</v>
          </cell>
          <cell r="G127">
            <v>0</v>
          </cell>
          <cell r="H127" t="str">
            <v>m</v>
          </cell>
          <cell r="I127">
            <v>0</v>
          </cell>
          <cell r="J127">
            <v>0</v>
          </cell>
          <cell r="M127">
            <v>0</v>
          </cell>
          <cell r="N127" t="str">
            <v>m</v>
          </cell>
          <cell r="O127">
            <v>0</v>
          </cell>
          <cell r="P127">
            <v>44.484375</v>
          </cell>
          <cell r="Q127" t="str">
            <v>17.4a4</v>
          </cell>
          <cell r="R127">
            <v>0</v>
          </cell>
        </row>
        <row r="128">
          <cell r="C128">
            <v>4</v>
          </cell>
          <cell r="D128">
            <v>0</v>
          </cell>
          <cell r="G128">
            <v>0</v>
          </cell>
          <cell r="H128" t="str">
            <v>m</v>
          </cell>
          <cell r="I128">
            <v>0</v>
          </cell>
          <cell r="J128">
            <v>0</v>
          </cell>
          <cell r="M128">
            <v>0</v>
          </cell>
          <cell r="N128" t="str">
            <v>m</v>
          </cell>
          <cell r="O128">
            <v>0</v>
          </cell>
          <cell r="P128">
            <v>55.640625</v>
          </cell>
          <cell r="Q128" t="str">
            <v>17.4a5</v>
          </cell>
          <cell r="R128">
            <v>0</v>
          </cell>
        </row>
        <row r="129">
          <cell r="C129">
            <v>5</v>
          </cell>
          <cell r="D129">
            <v>0</v>
          </cell>
          <cell r="G129">
            <v>0</v>
          </cell>
          <cell r="H129" t="str">
            <v>m</v>
          </cell>
          <cell r="I129">
            <v>0</v>
          </cell>
          <cell r="J129">
            <v>0</v>
          </cell>
          <cell r="M129">
            <v>0</v>
          </cell>
          <cell r="N129" t="str">
            <v>m</v>
          </cell>
          <cell r="O129">
            <v>0</v>
          </cell>
          <cell r="P129">
            <v>67.6875</v>
          </cell>
          <cell r="Q129" t="str">
            <v>17.4a6</v>
          </cell>
          <cell r="R129">
            <v>0</v>
          </cell>
        </row>
        <row r="130">
          <cell r="C130">
            <v>6</v>
          </cell>
          <cell r="D130">
            <v>0</v>
          </cell>
          <cell r="G130">
            <v>0</v>
          </cell>
          <cell r="H130" t="str">
            <v>m</v>
          </cell>
          <cell r="I130" t="e">
            <v>#N/A</v>
          </cell>
          <cell r="J130">
            <v>0</v>
          </cell>
          <cell r="M130">
            <v>0</v>
          </cell>
          <cell r="N130" t="str">
            <v>m</v>
          </cell>
          <cell r="O130" t="e">
            <v>#N/A</v>
          </cell>
          <cell r="P130" t="e">
            <v>#N/A</v>
          </cell>
          <cell r="R130">
            <v>0</v>
          </cell>
        </row>
        <row r="131">
          <cell r="B131" t="str">
            <v>User Defined</v>
          </cell>
          <cell r="C131">
            <v>3</v>
          </cell>
          <cell r="D131">
            <v>0</v>
          </cell>
          <cell r="G131">
            <v>0</v>
          </cell>
          <cell r="H131" t="str">
            <v>m</v>
          </cell>
          <cell r="I131" t="e">
            <v>#N/A</v>
          </cell>
          <cell r="J131">
            <v>0</v>
          </cell>
          <cell r="M131">
            <v>0</v>
          </cell>
          <cell r="N131" t="str">
            <v>m</v>
          </cell>
          <cell r="O131" t="e">
            <v>#N/A</v>
          </cell>
          <cell r="P131" t="e">
            <v>#N/A</v>
          </cell>
          <cell r="R131">
            <v>0</v>
          </cell>
        </row>
        <row r="132">
          <cell r="C132">
            <v>4</v>
          </cell>
          <cell r="D132">
            <v>0</v>
          </cell>
          <cell r="G132">
            <v>0</v>
          </cell>
          <cell r="H132" t="str">
            <v>m</v>
          </cell>
          <cell r="I132" t="e">
            <v>#N/A</v>
          </cell>
          <cell r="J132">
            <v>0</v>
          </cell>
          <cell r="M132">
            <v>0</v>
          </cell>
          <cell r="N132" t="str">
            <v>m</v>
          </cell>
          <cell r="O132" t="e">
            <v>#N/A</v>
          </cell>
          <cell r="P132" t="e">
            <v>#N/A</v>
          </cell>
          <cell r="R132">
            <v>0</v>
          </cell>
        </row>
        <row r="133">
          <cell r="C133">
            <v>5</v>
          </cell>
          <cell r="D133">
            <v>0</v>
          </cell>
          <cell r="G133">
            <v>0</v>
          </cell>
          <cell r="H133" t="str">
            <v>m</v>
          </cell>
          <cell r="I133" t="e">
            <v>#N/A</v>
          </cell>
          <cell r="J133">
            <v>0</v>
          </cell>
          <cell r="M133">
            <v>0</v>
          </cell>
          <cell r="N133" t="str">
            <v>m</v>
          </cell>
          <cell r="O133" t="e">
            <v>#N/A</v>
          </cell>
          <cell r="P133" t="e">
            <v>#N/A</v>
          </cell>
          <cell r="R133">
            <v>0</v>
          </cell>
        </row>
        <row r="134">
          <cell r="C134">
            <v>6</v>
          </cell>
          <cell r="D134">
            <v>0</v>
          </cell>
          <cell r="G134">
            <v>0</v>
          </cell>
          <cell r="H134" t="str">
            <v>m</v>
          </cell>
          <cell r="I134" t="e">
            <v>#N/A</v>
          </cell>
          <cell r="J134">
            <v>0</v>
          </cell>
          <cell r="M134">
            <v>0</v>
          </cell>
          <cell r="N134" t="str">
            <v>m</v>
          </cell>
          <cell r="O134" t="e">
            <v>#N/A</v>
          </cell>
          <cell r="P134" t="e">
            <v>#N/A</v>
          </cell>
          <cell r="R134">
            <v>0</v>
          </cell>
        </row>
        <row r="135">
          <cell r="C135">
            <v>8</v>
          </cell>
          <cell r="D135">
            <v>0</v>
          </cell>
          <cell r="G135">
            <v>0</v>
          </cell>
          <cell r="H135" t="str">
            <v>m</v>
          </cell>
          <cell r="I135" t="e">
            <v>#N/A</v>
          </cell>
          <cell r="J135">
            <v>0</v>
          </cell>
          <cell r="M135">
            <v>0</v>
          </cell>
          <cell r="N135" t="str">
            <v>m</v>
          </cell>
          <cell r="O135" t="e">
            <v>#N/A</v>
          </cell>
          <cell r="P135" t="e">
            <v>#N/A</v>
          </cell>
          <cell r="R135">
            <v>0</v>
          </cell>
        </row>
        <row r="136">
          <cell r="C136">
            <v>10</v>
          </cell>
          <cell r="D136">
            <v>0</v>
          </cell>
          <cell r="G136">
            <v>0</v>
          </cell>
          <cell r="H136" t="str">
            <v>m</v>
          </cell>
          <cell r="I136" t="e">
            <v>#N/A</v>
          </cell>
          <cell r="J136">
            <v>0</v>
          </cell>
          <cell r="M136">
            <v>0</v>
          </cell>
          <cell r="N136" t="str">
            <v>m</v>
          </cell>
          <cell r="O136" t="e">
            <v>#N/A</v>
          </cell>
          <cell r="P136" t="e">
            <v>#N/A</v>
          </cell>
          <cell r="R136">
            <v>0</v>
          </cell>
        </row>
        <row r="137">
          <cell r="C137">
            <v>12</v>
          </cell>
          <cell r="D137">
            <v>0</v>
          </cell>
          <cell r="G137">
            <v>0</v>
          </cell>
          <cell r="H137" t="str">
            <v>m</v>
          </cell>
          <cell r="I137" t="e">
            <v>#N/A</v>
          </cell>
          <cell r="J137">
            <v>0</v>
          </cell>
          <cell r="M137">
            <v>0</v>
          </cell>
          <cell r="N137" t="str">
            <v>m</v>
          </cell>
          <cell r="O137" t="e">
            <v>#N/A</v>
          </cell>
          <cell r="P137" t="e">
            <v>#N/A</v>
          </cell>
          <cell r="R137">
            <v>0</v>
          </cell>
        </row>
        <row r="138">
          <cell r="C138">
            <v>14</v>
          </cell>
          <cell r="D138">
            <v>0</v>
          </cell>
          <cell r="G138">
            <v>0</v>
          </cell>
          <cell r="H138" t="str">
            <v>m</v>
          </cell>
          <cell r="I138" t="e">
            <v>#N/A</v>
          </cell>
          <cell r="J138">
            <v>0</v>
          </cell>
          <cell r="M138">
            <v>0</v>
          </cell>
          <cell r="N138" t="str">
            <v>m</v>
          </cell>
          <cell r="O138" t="e">
            <v>#N/A</v>
          </cell>
          <cell r="P138" t="e">
            <v>#N/A</v>
          </cell>
          <cell r="R138">
            <v>0</v>
          </cell>
        </row>
        <row r="139">
          <cell r="A139" t="str">
            <v>Total</v>
          </cell>
          <cell r="D139">
            <v>335</v>
          </cell>
          <cell r="I139">
            <v>48582.562741598224</v>
          </cell>
          <cell r="J139">
            <v>600</v>
          </cell>
          <cell r="O139">
            <v>73864.436503169636</v>
          </cell>
          <cell r="R139">
            <v>935</v>
          </cell>
        </row>
      </sheetData>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ab Culvert 1.5m"/>
      <sheetName val="Slab Culvert 2m"/>
      <sheetName val="Slab Culvert 2.5m"/>
      <sheetName val="Slab Culvert 3.5m"/>
      <sheetName val="Summary"/>
      <sheetName val="Slab span-thickness table"/>
      <sheetName val="Sheet1"/>
      <sheetName val="4aoc"/>
      <sheetName val="PipeList"/>
      <sheetName val="PipeDesign"/>
      <sheetName val="PipeLineWork"/>
      <sheetName val="ProfileData"/>
      <sheetName val="Dmand 1"/>
      <sheetName val="District Rate 071-72"/>
      <sheetName val="update Rate"/>
      <sheetName val="C.W of Germu"/>
    </sheetNames>
    <sheetDataSet>
      <sheetData sheetId="0" refreshError="1"/>
      <sheetData sheetId="1" refreshError="1"/>
      <sheetData sheetId="2" refreshError="1"/>
      <sheetData sheetId="3" refreshError="1"/>
      <sheetData sheetId="4" refreshError="1"/>
      <sheetData sheetId="5" refreshError="1">
        <row r="3">
          <cell r="A3">
            <v>1</v>
          </cell>
          <cell r="B3">
            <v>0.16500000000000001</v>
          </cell>
        </row>
        <row r="4">
          <cell r="A4">
            <v>2</v>
          </cell>
          <cell r="B4">
            <v>0.21</v>
          </cell>
        </row>
        <row r="5">
          <cell r="A5">
            <v>3</v>
          </cell>
          <cell r="B5">
            <v>0.3</v>
          </cell>
        </row>
        <row r="6">
          <cell r="A6">
            <v>4</v>
          </cell>
          <cell r="B6">
            <v>0.375</v>
          </cell>
        </row>
        <row r="7">
          <cell r="A7">
            <v>5</v>
          </cell>
          <cell r="B7">
            <v>0.42</v>
          </cell>
        </row>
        <row r="8">
          <cell r="A8">
            <v>6</v>
          </cell>
          <cell r="B8">
            <v>0.48</v>
          </cell>
        </row>
        <row r="14">
          <cell r="A14">
            <v>1</v>
          </cell>
          <cell r="B14">
            <v>1.73</v>
          </cell>
          <cell r="C14">
            <v>1.33</v>
          </cell>
          <cell r="D14">
            <v>0.2</v>
          </cell>
          <cell r="E14">
            <v>1</v>
          </cell>
          <cell r="F14">
            <v>0</v>
          </cell>
          <cell r="G14">
            <v>0</v>
          </cell>
          <cell r="H14">
            <v>0</v>
          </cell>
          <cell r="I14">
            <v>1</v>
          </cell>
          <cell r="J14">
            <v>0</v>
          </cell>
          <cell r="K14">
            <v>0</v>
          </cell>
          <cell r="L14">
            <v>0</v>
          </cell>
        </row>
        <row r="15">
          <cell r="A15">
            <v>2</v>
          </cell>
          <cell r="B15">
            <v>1.73</v>
          </cell>
          <cell r="C15">
            <v>1.33</v>
          </cell>
          <cell r="D15">
            <v>0.2</v>
          </cell>
          <cell r="E15">
            <v>2</v>
          </cell>
          <cell r="F15">
            <v>1.97</v>
          </cell>
          <cell r="G15">
            <v>1.57</v>
          </cell>
          <cell r="H15">
            <v>0.2</v>
          </cell>
          <cell r="I15">
            <v>2</v>
          </cell>
          <cell r="J15">
            <v>0</v>
          </cell>
          <cell r="K15">
            <v>0</v>
          </cell>
          <cell r="L15">
            <v>0</v>
          </cell>
        </row>
        <row r="16">
          <cell r="A16">
            <v>3</v>
          </cell>
          <cell r="B16">
            <v>1.73</v>
          </cell>
          <cell r="C16">
            <v>1.33</v>
          </cell>
          <cell r="D16">
            <v>0.2</v>
          </cell>
          <cell r="E16">
            <v>3</v>
          </cell>
          <cell r="F16">
            <v>1.97</v>
          </cell>
          <cell r="G16">
            <v>1.57</v>
          </cell>
          <cell r="H16">
            <v>0.2</v>
          </cell>
          <cell r="I16">
            <v>3</v>
          </cell>
          <cell r="J16">
            <v>2.87</v>
          </cell>
          <cell r="K16">
            <v>2.37</v>
          </cell>
          <cell r="L16">
            <v>0.3</v>
          </cell>
        </row>
        <row r="17">
          <cell r="A17">
            <v>4</v>
          </cell>
          <cell r="B17">
            <v>1.73</v>
          </cell>
          <cell r="C17">
            <v>1.33</v>
          </cell>
          <cell r="D17">
            <v>0.2</v>
          </cell>
          <cell r="E17">
            <v>4</v>
          </cell>
          <cell r="F17">
            <v>1.97</v>
          </cell>
          <cell r="G17">
            <v>1.57</v>
          </cell>
          <cell r="H17">
            <v>0.2</v>
          </cell>
          <cell r="I17">
            <v>4</v>
          </cell>
          <cell r="J17">
            <v>2.87</v>
          </cell>
          <cell r="K17">
            <v>2.37</v>
          </cell>
          <cell r="L17">
            <v>0.3</v>
          </cell>
        </row>
        <row r="18">
          <cell r="A18">
            <v>5</v>
          </cell>
          <cell r="B18">
            <v>1.73</v>
          </cell>
          <cell r="C18">
            <v>1.33</v>
          </cell>
          <cell r="D18">
            <v>0.2</v>
          </cell>
          <cell r="E18">
            <v>5</v>
          </cell>
          <cell r="F18">
            <v>1.97</v>
          </cell>
          <cell r="G18">
            <v>1.57</v>
          </cell>
          <cell r="H18">
            <v>0.2</v>
          </cell>
          <cell r="I18">
            <v>5</v>
          </cell>
          <cell r="J18">
            <v>2.87</v>
          </cell>
          <cell r="K18">
            <v>2.37</v>
          </cell>
          <cell r="L18">
            <v>0.3</v>
          </cell>
        </row>
        <row r="19">
          <cell r="A19">
            <v>6</v>
          </cell>
          <cell r="B19">
            <v>1.73</v>
          </cell>
          <cell r="C19">
            <v>1.33</v>
          </cell>
          <cell r="D19">
            <v>0.2</v>
          </cell>
          <cell r="E19">
            <v>6</v>
          </cell>
          <cell r="F19">
            <v>1.97</v>
          </cell>
          <cell r="G19">
            <v>1.57</v>
          </cell>
          <cell r="H19">
            <v>0.2</v>
          </cell>
          <cell r="I19">
            <v>6</v>
          </cell>
          <cell r="J19">
            <v>2.87</v>
          </cell>
          <cell r="K19">
            <v>2.37</v>
          </cell>
          <cell r="L19">
            <v>0.3</v>
          </cell>
        </row>
        <row r="25">
          <cell r="A25">
            <v>1</v>
          </cell>
          <cell r="B25">
            <v>2.27</v>
          </cell>
          <cell r="C25">
            <v>1.04</v>
          </cell>
          <cell r="D25">
            <v>3.66</v>
          </cell>
          <cell r="E25">
            <v>0.2</v>
          </cell>
          <cell r="F25">
            <v>1</v>
          </cell>
          <cell r="G25">
            <v>3.77</v>
          </cell>
          <cell r="H25">
            <v>1.25</v>
          </cell>
          <cell r="I25">
            <v>7.82</v>
          </cell>
          <cell r="J25">
            <v>0.2</v>
          </cell>
          <cell r="K25">
            <v>1</v>
          </cell>
          <cell r="L25">
            <v>5.27</v>
          </cell>
          <cell r="M25">
            <v>2.09</v>
          </cell>
          <cell r="N25">
            <v>12.07</v>
          </cell>
          <cell r="O25">
            <v>0.3</v>
          </cell>
        </row>
        <row r="26">
          <cell r="A26">
            <v>2</v>
          </cell>
          <cell r="B26">
            <v>2.29</v>
          </cell>
          <cell r="C26">
            <v>1.05</v>
          </cell>
          <cell r="D26">
            <v>3.64</v>
          </cell>
          <cell r="E26">
            <v>0.2</v>
          </cell>
          <cell r="F26">
            <v>2</v>
          </cell>
          <cell r="G26">
            <v>3.79</v>
          </cell>
          <cell r="H26">
            <v>1.26</v>
          </cell>
          <cell r="I26">
            <v>7.89</v>
          </cell>
          <cell r="J26">
            <v>0.2</v>
          </cell>
          <cell r="K26">
            <v>2</v>
          </cell>
          <cell r="L26">
            <v>5.27</v>
          </cell>
          <cell r="M26">
            <v>2.1</v>
          </cell>
          <cell r="N26">
            <v>12.14</v>
          </cell>
          <cell r="O26">
            <v>0.3</v>
          </cell>
        </row>
        <row r="27">
          <cell r="A27">
            <v>3</v>
          </cell>
          <cell r="B27">
            <v>2.4</v>
          </cell>
          <cell r="C27">
            <v>1.0900000000000001</v>
          </cell>
          <cell r="D27">
            <v>3.96</v>
          </cell>
          <cell r="E27">
            <v>0.2</v>
          </cell>
          <cell r="F27">
            <v>3</v>
          </cell>
          <cell r="G27">
            <v>3.9</v>
          </cell>
          <cell r="H27">
            <v>1.29</v>
          </cell>
          <cell r="I27">
            <v>8.2100000000000009</v>
          </cell>
          <cell r="J27">
            <v>0.2</v>
          </cell>
          <cell r="K27">
            <v>3</v>
          </cell>
          <cell r="L27">
            <v>5.4</v>
          </cell>
          <cell r="M27">
            <v>2.14</v>
          </cell>
          <cell r="N27">
            <v>12.46</v>
          </cell>
          <cell r="O27">
            <v>0.3</v>
          </cell>
        </row>
        <row r="28">
          <cell r="A28">
            <v>4</v>
          </cell>
          <cell r="B28">
            <v>2.48</v>
          </cell>
          <cell r="C28">
            <v>1.1200000000000001</v>
          </cell>
          <cell r="D28">
            <v>4.18</v>
          </cell>
          <cell r="E28">
            <v>0.2</v>
          </cell>
          <cell r="F28">
            <v>4</v>
          </cell>
          <cell r="G28">
            <v>3.98</v>
          </cell>
          <cell r="H28">
            <v>1.31</v>
          </cell>
          <cell r="I28">
            <v>8.43</v>
          </cell>
          <cell r="J28">
            <v>0.2</v>
          </cell>
          <cell r="K28">
            <v>4</v>
          </cell>
          <cell r="L28">
            <v>5.48</v>
          </cell>
          <cell r="M28">
            <v>2.17</v>
          </cell>
          <cell r="N28">
            <v>12.88</v>
          </cell>
          <cell r="O28">
            <v>0.3</v>
          </cell>
        </row>
        <row r="29">
          <cell r="A29">
            <v>5</v>
          </cell>
          <cell r="B29">
            <v>2.82</v>
          </cell>
          <cell r="C29">
            <v>1.1299999999999999</v>
          </cell>
          <cell r="D29">
            <v>4.3</v>
          </cell>
          <cell r="E29">
            <v>0.2</v>
          </cell>
          <cell r="F29">
            <v>5</v>
          </cell>
          <cell r="G29">
            <v>4.0199999999999996</v>
          </cell>
          <cell r="H29">
            <v>1.32</v>
          </cell>
          <cell r="I29">
            <v>8.5500000000000007</v>
          </cell>
          <cell r="J29">
            <v>0.2</v>
          </cell>
          <cell r="K29">
            <v>5</v>
          </cell>
          <cell r="L29">
            <v>5.52</v>
          </cell>
          <cell r="M29">
            <v>2.1800000000000002</v>
          </cell>
          <cell r="N29">
            <v>12.9</v>
          </cell>
          <cell r="O29">
            <v>0.3</v>
          </cell>
        </row>
        <row r="30">
          <cell r="A30">
            <v>6</v>
          </cell>
          <cell r="B30">
            <v>2.56</v>
          </cell>
          <cell r="C30">
            <v>1.1499999999999999</v>
          </cell>
          <cell r="D30">
            <v>4.42</v>
          </cell>
          <cell r="E30">
            <v>0.2</v>
          </cell>
          <cell r="F30">
            <v>6</v>
          </cell>
          <cell r="G30">
            <v>4.0599999999999996</v>
          </cell>
          <cell r="H30">
            <v>1.33</v>
          </cell>
          <cell r="I30">
            <v>8.67</v>
          </cell>
          <cell r="J30">
            <v>0.2</v>
          </cell>
          <cell r="K30">
            <v>6</v>
          </cell>
          <cell r="L30">
            <v>5.56</v>
          </cell>
          <cell r="M30">
            <v>2.2000000000000002</v>
          </cell>
          <cell r="N30">
            <v>12.92</v>
          </cell>
          <cell r="O30">
            <v>0.3</v>
          </cell>
        </row>
        <row r="37">
          <cell r="A37">
            <v>1</v>
          </cell>
          <cell r="B37">
            <v>10</v>
          </cell>
          <cell r="C37">
            <v>8</v>
          </cell>
          <cell r="D37">
            <v>2.11</v>
          </cell>
          <cell r="E37">
            <v>13</v>
          </cell>
          <cell r="F37">
            <v>0.62</v>
          </cell>
          <cell r="G37">
            <v>17.010000000000002</v>
          </cell>
          <cell r="H37">
            <v>10</v>
          </cell>
          <cell r="I37">
            <v>20</v>
          </cell>
          <cell r="J37">
            <v>1</v>
          </cell>
          <cell r="K37">
            <v>11</v>
          </cell>
          <cell r="L37">
            <v>0.62</v>
          </cell>
          <cell r="M37">
            <v>6.82</v>
          </cell>
          <cell r="N37">
            <v>1</v>
          </cell>
          <cell r="O37">
            <v>10</v>
          </cell>
          <cell r="P37">
            <v>8</v>
          </cell>
          <cell r="Q37">
            <v>0.66</v>
          </cell>
          <cell r="R37">
            <v>4</v>
          </cell>
          <cell r="S37">
            <v>0.62</v>
          </cell>
          <cell r="T37">
            <v>1.64</v>
          </cell>
          <cell r="U37">
            <v>10</v>
          </cell>
          <cell r="V37">
            <v>17</v>
          </cell>
          <cell r="W37">
            <v>1</v>
          </cell>
          <cell r="X37">
            <v>6</v>
          </cell>
          <cell r="Y37">
            <v>0.62</v>
          </cell>
          <cell r="Z37">
            <v>3.72</v>
          </cell>
        </row>
        <row r="38">
          <cell r="A38">
            <v>2</v>
          </cell>
          <cell r="B38">
            <v>12</v>
          </cell>
          <cell r="C38">
            <v>8</v>
          </cell>
          <cell r="D38">
            <v>3.15</v>
          </cell>
          <cell r="E38">
            <v>9</v>
          </cell>
          <cell r="F38">
            <v>0.89</v>
          </cell>
          <cell r="G38">
            <v>25.23</v>
          </cell>
          <cell r="H38">
            <v>10</v>
          </cell>
          <cell r="I38">
            <v>16</v>
          </cell>
          <cell r="J38">
            <v>1</v>
          </cell>
          <cell r="K38">
            <v>20</v>
          </cell>
          <cell r="L38">
            <v>0.62</v>
          </cell>
          <cell r="M38">
            <v>12.4</v>
          </cell>
          <cell r="N38">
            <v>2</v>
          </cell>
          <cell r="O38">
            <v>12</v>
          </cell>
          <cell r="P38">
            <v>8</v>
          </cell>
          <cell r="Q38">
            <v>3.4</v>
          </cell>
          <cell r="R38">
            <v>4</v>
          </cell>
          <cell r="S38">
            <v>0.89</v>
          </cell>
          <cell r="T38">
            <v>12.1</v>
          </cell>
          <cell r="U38">
            <v>10</v>
          </cell>
          <cell r="V38">
            <v>20</v>
          </cell>
          <cell r="W38">
            <v>1</v>
          </cell>
          <cell r="X38">
            <v>8</v>
          </cell>
          <cell r="Y38">
            <v>0.62</v>
          </cell>
          <cell r="Z38">
            <v>4.96</v>
          </cell>
        </row>
        <row r="39">
          <cell r="A39">
            <v>3</v>
          </cell>
          <cell r="B39">
            <v>18</v>
          </cell>
          <cell r="C39">
            <v>12</v>
          </cell>
          <cell r="D39">
            <v>4.3</v>
          </cell>
          <cell r="E39">
            <v>6</v>
          </cell>
          <cell r="F39">
            <v>2</v>
          </cell>
          <cell r="G39">
            <v>51.6</v>
          </cell>
          <cell r="H39">
            <v>12</v>
          </cell>
          <cell r="I39">
            <v>16</v>
          </cell>
          <cell r="J39">
            <v>1</v>
          </cell>
          <cell r="K39">
            <v>26</v>
          </cell>
          <cell r="L39">
            <v>0.89</v>
          </cell>
          <cell r="M39">
            <v>23.14</v>
          </cell>
          <cell r="N39">
            <v>3</v>
          </cell>
          <cell r="O39">
            <v>18</v>
          </cell>
          <cell r="P39">
            <v>12</v>
          </cell>
          <cell r="Q39">
            <v>4.5999999999999996</v>
          </cell>
          <cell r="R39">
            <v>3</v>
          </cell>
          <cell r="S39">
            <v>2</v>
          </cell>
          <cell r="T39">
            <v>27.6</v>
          </cell>
          <cell r="U39">
            <v>12</v>
          </cell>
          <cell r="V39">
            <v>22</v>
          </cell>
          <cell r="W39">
            <v>1</v>
          </cell>
          <cell r="X39">
            <v>9</v>
          </cell>
          <cell r="Y39">
            <v>0.89</v>
          </cell>
          <cell r="Z39">
            <v>8.01</v>
          </cell>
        </row>
        <row r="40">
          <cell r="A40">
            <v>4</v>
          </cell>
          <cell r="B40">
            <v>20</v>
          </cell>
          <cell r="C40">
            <v>13</v>
          </cell>
          <cell r="D40">
            <v>5.2</v>
          </cell>
          <cell r="E40">
            <v>6</v>
          </cell>
          <cell r="F40">
            <v>2.4700000000000002</v>
          </cell>
          <cell r="G40">
            <v>77.06</v>
          </cell>
          <cell r="H40">
            <v>10</v>
          </cell>
          <cell r="I40">
            <v>13</v>
          </cell>
          <cell r="J40">
            <v>1</v>
          </cell>
          <cell r="K40">
            <v>41</v>
          </cell>
          <cell r="L40">
            <v>0.62</v>
          </cell>
          <cell r="M40">
            <v>25.42</v>
          </cell>
          <cell r="N40">
            <v>4</v>
          </cell>
          <cell r="O40">
            <v>20</v>
          </cell>
          <cell r="P40">
            <v>13</v>
          </cell>
          <cell r="Q40">
            <v>5.6</v>
          </cell>
          <cell r="R40">
            <v>3</v>
          </cell>
          <cell r="S40">
            <v>2.4700000000000002</v>
          </cell>
          <cell r="T40">
            <v>41.5</v>
          </cell>
          <cell r="U40">
            <v>10</v>
          </cell>
          <cell r="V40">
            <v>23</v>
          </cell>
          <cell r="W40">
            <v>1</v>
          </cell>
          <cell r="X40">
            <v>9</v>
          </cell>
          <cell r="Y40">
            <v>0.62</v>
          </cell>
          <cell r="Z40">
            <v>5.58</v>
          </cell>
        </row>
        <row r="41">
          <cell r="A41">
            <v>5</v>
          </cell>
          <cell r="B41">
            <v>24</v>
          </cell>
          <cell r="C41">
            <v>16</v>
          </cell>
          <cell r="D41">
            <v>6.4</v>
          </cell>
          <cell r="E41">
            <v>4</v>
          </cell>
          <cell r="F41">
            <v>3.55</v>
          </cell>
          <cell r="G41">
            <v>90.88</v>
          </cell>
          <cell r="H41">
            <v>10</v>
          </cell>
          <cell r="I41">
            <v>12</v>
          </cell>
          <cell r="J41">
            <v>1</v>
          </cell>
          <cell r="K41">
            <v>51</v>
          </cell>
          <cell r="L41">
            <v>0.62</v>
          </cell>
          <cell r="M41">
            <v>31.62</v>
          </cell>
          <cell r="N41">
            <v>5</v>
          </cell>
          <cell r="O41">
            <v>24</v>
          </cell>
          <cell r="P41">
            <v>16</v>
          </cell>
          <cell r="Q41">
            <v>6.7</v>
          </cell>
          <cell r="R41">
            <v>3</v>
          </cell>
          <cell r="S41">
            <v>3.55</v>
          </cell>
          <cell r="T41">
            <v>71.36</v>
          </cell>
          <cell r="U41">
            <v>10</v>
          </cell>
          <cell r="V41">
            <v>20</v>
          </cell>
          <cell r="W41">
            <v>1</v>
          </cell>
          <cell r="X41">
            <v>12</v>
          </cell>
          <cell r="Y41">
            <v>0.62</v>
          </cell>
          <cell r="Z41">
            <v>7.44</v>
          </cell>
        </row>
        <row r="42">
          <cell r="A42">
            <v>6</v>
          </cell>
          <cell r="B42">
            <v>24</v>
          </cell>
          <cell r="C42">
            <v>14</v>
          </cell>
          <cell r="D42">
            <v>7.4</v>
          </cell>
          <cell r="E42">
            <v>4</v>
          </cell>
          <cell r="F42">
            <v>3.55</v>
          </cell>
          <cell r="G42">
            <v>105.08</v>
          </cell>
          <cell r="H42">
            <v>10</v>
          </cell>
          <cell r="I42">
            <v>12</v>
          </cell>
          <cell r="J42">
            <v>1</v>
          </cell>
          <cell r="K42">
            <v>59</v>
          </cell>
          <cell r="L42">
            <v>0.62</v>
          </cell>
          <cell r="M42">
            <v>36.58</v>
          </cell>
          <cell r="N42">
            <v>6</v>
          </cell>
          <cell r="O42">
            <v>24</v>
          </cell>
          <cell r="P42">
            <v>14</v>
          </cell>
          <cell r="Q42">
            <v>7.7</v>
          </cell>
          <cell r="R42">
            <v>4</v>
          </cell>
          <cell r="S42">
            <v>3.55</v>
          </cell>
          <cell r="T42">
            <v>109.34</v>
          </cell>
          <cell r="U42">
            <v>10</v>
          </cell>
          <cell r="V42">
            <v>22</v>
          </cell>
          <cell r="W42">
            <v>1</v>
          </cell>
          <cell r="X42">
            <v>12</v>
          </cell>
          <cell r="Y42">
            <v>0.62</v>
          </cell>
          <cell r="Z42">
            <v>7.44</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Cost (2)"/>
      <sheetName val="Abstract Cost"/>
      <sheetName val="Rates"/>
      <sheetName val="rate-analysis "/>
      <sheetName val="Summary of RA"/>
      <sheetName val="ReHAB"/>
      <sheetName val="DS Causeway 15m"/>
      <sheetName val="CAUSEWAY"/>
      <sheetName val="PipeCulvert"/>
      <sheetName val="BOQ drilp"/>
      <sheetName val="Cost Per Km"/>
      <sheetName val="Site Clearance"/>
      <sheetName val="Soil %"/>
      <sheetName val="Tree Cutting"/>
      <sheetName val="EW in Road way "/>
      <sheetName val="E W in structure"/>
      <sheetName val="EW in Drain"/>
      <sheetName val="Dry Wall"/>
      <sheetName val="Stone Dist"/>
      <sheetName val="Gabion Wall"/>
      <sheetName val="GBN COUNT"/>
      <sheetName val="Sheet3"/>
      <sheetName val="Sheet5"/>
      <sheetName val="Print_Stone Pitching"/>
      <sheetName val="Scour count"/>
      <sheetName val="Prin_scour check"/>
      <sheetName val="DesignPumping Main"/>
      <sheetName val="Summary"/>
      <sheetName val="PipeList"/>
      <sheetName val="PipeDesign"/>
      <sheetName val="PipeLineWork"/>
      <sheetName val="ProfileData"/>
      <sheetName val="Dmand 1"/>
      <sheetName val="Rate"/>
      <sheetName val="Detailed"/>
      <sheetName val="update Rate"/>
      <sheetName val="M-RATE"/>
      <sheetName val="Material Rate"/>
    </sheetNames>
    <sheetDataSet>
      <sheetData sheetId="0"/>
      <sheetData sheetId="1">
        <row r="3">
          <cell r="A3" t="str">
            <v>District Roads Support Programme (DRSP)</v>
          </cell>
        </row>
      </sheetData>
      <sheetData sheetId="2">
        <row r="12">
          <cell r="D12">
            <v>290</v>
          </cell>
        </row>
        <row r="14">
          <cell r="D14">
            <v>205</v>
          </cell>
        </row>
        <row r="25">
          <cell r="D25">
            <v>2</v>
          </cell>
        </row>
        <row r="26">
          <cell r="D26">
            <v>1.3599999999999999</v>
          </cell>
        </row>
        <row r="27">
          <cell r="D27">
            <v>0.65999999999999992</v>
          </cell>
        </row>
        <row r="32">
          <cell r="D32">
            <v>11.6</v>
          </cell>
        </row>
        <row r="42">
          <cell r="D42">
            <v>86</v>
          </cell>
        </row>
        <row r="47">
          <cell r="D47">
            <v>63</v>
          </cell>
        </row>
        <row r="54">
          <cell r="D54">
            <v>550</v>
          </cell>
        </row>
        <row r="56">
          <cell r="D56">
            <v>600</v>
          </cell>
        </row>
        <row r="58">
          <cell r="D58">
            <v>65</v>
          </cell>
        </row>
        <row r="61">
          <cell r="D61">
            <v>6650</v>
          </cell>
        </row>
        <row r="62">
          <cell r="D62">
            <v>8850</v>
          </cell>
        </row>
        <row r="64">
          <cell r="D64">
            <v>12857.142857142857</v>
          </cell>
        </row>
        <row r="75">
          <cell r="D75">
            <v>1800</v>
          </cell>
        </row>
        <row r="76">
          <cell r="D76">
            <v>1200</v>
          </cell>
        </row>
        <row r="77">
          <cell r="D77">
            <v>900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ther Data"/>
      <sheetName val="HL-Data"/>
      <sheetName val="Data Input"/>
      <sheetName val="Water Demand"/>
      <sheetName val="RVT Sizing"/>
      <sheetName val="Hydraulic Design"/>
      <sheetName val="Pop Density"/>
      <sheetName val="DesignPumping Main"/>
      <sheetName val="Summary"/>
    </sheetNames>
    <sheetDataSet>
      <sheetData sheetId="0">
        <row r="4">
          <cell r="A4">
            <v>1</v>
          </cell>
          <cell r="B4" t="str">
            <v>Achham</v>
          </cell>
          <cell r="C4">
            <v>1.54</v>
          </cell>
        </row>
        <row r="5">
          <cell r="A5">
            <v>2</v>
          </cell>
          <cell r="B5" t="str">
            <v>Arghakhanchi</v>
          </cell>
          <cell r="C5">
            <v>1.42</v>
          </cell>
        </row>
        <row r="6">
          <cell r="A6">
            <v>3</v>
          </cell>
          <cell r="B6" t="str">
            <v>Baglung</v>
          </cell>
          <cell r="C6">
            <v>1.46</v>
          </cell>
        </row>
        <row r="7">
          <cell r="A7">
            <v>4</v>
          </cell>
          <cell r="B7" t="str">
            <v>Baitadi</v>
          </cell>
          <cell r="C7">
            <v>1.55</v>
          </cell>
        </row>
        <row r="8">
          <cell r="A8">
            <v>5</v>
          </cell>
          <cell r="B8" t="str">
            <v>Bajhang</v>
          </cell>
          <cell r="C8">
            <v>1.83</v>
          </cell>
        </row>
        <row r="9">
          <cell r="A9">
            <v>6</v>
          </cell>
          <cell r="B9" t="str">
            <v>Bajura</v>
          </cell>
          <cell r="C9">
            <v>1.67</v>
          </cell>
        </row>
        <row r="10">
          <cell r="A10">
            <v>7</v>
          </cell>
          <cell r="B10" t="str">
            <v>Banke</v>
          </cell>
          <cell r="C10">
            <v>3.01</v>
          </cell>
        </row>
        <row r="11">
          <cell r="A11">
            <v>8</v>
          </cell>
          <cell r="B11" t="str">
            <v>Bara</v>
          </cell>
          <cell r="C11">
            <v>2.96</v>
          </cell>
        </row>
        <row r="12">
          <cell r="A12">
            <v>9</v>
          </cell>
          <cell r="B12" t="str">
            <v>Bardiya</v>
          </cell>
          <cell r="C12">
            <v>2.76</v>
          </cell>
        </row>
        <row r="13">
          <cell r="A13">
            <v>10</v>
          </cell>
          <cell r="B13" t="str">
            <v>Bhaktapur</v>
          </cell>
          <cell r="C13">
            <v>2.65</v>
          </cell>
        </row>
        <row r="14">
          <cell r="A14">
            <v>11</v>
          </cell>
          <cell r="B14" t="str">
            <v>Bhojpur</v>
          </cell>
          <cell r="C14">
            <v>0.21</v>
          </cell>
        </row>
        <row r="15">
          <cell r="A15">
            <v>12</v>
          </cell>
          <cell r="B15" t="str">
            <v>Chitawan</v>
          </cell>
          <cell r="C15">
            <v>2.86</v>
          </cell>
        </row>
        <row r="16">
          <cell r="A16">
            <v>13</v>
          </cell>
          <cell r="B16" t="str">
            <v>Dadeldhunda</v>
          </cell>
          <cell r="C16">
            <v>1.87</v>
          </cell>
        </row>
        <row r="17">
          <cell r="A17">
            <v>14</v>
          </cell>
          <cell r="B17" t="str">
            <v>Dailekh</v>
          </cell>
          <cell r="C17">
            <v>1.84</v>
          </cell>
        </row>
        <row r="18">
          <cell r="A18">
            <v>15</v>
          </cell>
          <cell r="B18" t="str">
            <v>Dang</v>
          </cell>
          <cell r="C18">
            <v>2.66</v>
          </cell>
        </row>
        <row r="19">
          <cell r="A19">
            <v>16</v>
          </cell>
          <cell r="B19" t="str">
            <v>Darchula</v>
          </cell>
          <cell r="C19">
            <v>1.82</v>
          </cell>
        </row>
        <row r="20">
          <cell r="A20">
            <v>17</v>
          </cell>
          <cell r="B20" t="str">
            <v>Dhading</v>
          </cell>
          <cell r="C20">
            <v>1.97</v>
          </cell>
        </row>
        <row r="21">
          <cell r="A21">
            <v>18</v>
          </cell>
          <cell r="B21" t="str">
            <v>Dhankuta</v>
          </cell>
          <cell r="C21">
            <v>1.29</v>
          </cell>
        </row>
        <row r="22">
          <cell r="A22">
            <v>19</v>
          </cell>
          <cell r="B22" t="str">
            <v>Dhanusha</v>
          </cell>
          <cell r="C22">
            <v>2.11</v>
          </cell>
        </row>
        <row r="23">
          <cell r="A23">
            <v>20</v>
          </cell>
          <cell r="B23" t="str">
            <v>Dolakha</v>
          </cell>
          <cell r="C23">
            <v>1.65</v>
          </cell>
        </row>
        <row r="24">
          <cell r="A24">
            <v>21</v>
          </cell>
          <cell r="B24" t="str">
            <v>Dolpa</v>
          </cell>
          <cell r="C24">
            <v>1.67</v>
          </cell>
        </row>
        <row r="25">
          <cell r="A25">
            <v>22</v>
          </cell>
          <cell r="B25" t="str">
            <v>Doti</v>
          </cell>
          <cell r="C25">
            <v>2.14</v>
          </cell>
        </row>
        <row r="26">
          <cell r="A26">
            <v>23</v>
          </cell>
          <cell r="B26" t="str">
            <v>Gorkha</v>
          </cell>
          <cell r="C26">
            <v>1.32</v>
          </cell>
        </row>
        <row r="27">
          <cell r="A27">
            <v>24</v>
          </cell>
          <cell r="B27" t="str">
            <v>Gulmi</v>
          </cell>
          <cell r="C27">
            <v>1.08</v>
          </cell>
        </row>
        <row r="28">
          <cell r="A28">
            <v>25</v>
          </cell>
          <cell r="B28" t="str">
            <v>Humla</v>
          </cell>
          <cell r="C28">
            <v>1.66</v>
          </cell>
        </row>
        <row r="29">
          <cell r="A29">
            <v>26</v>
          </cell>
          <cell r="B29" t="str">
            <v>Ilam</v>
          </cell>
          <cell r="C29">
            <v>2.1</v>
          </cell>
        </row>
        <row r="30">
          <cell r="A30">
            <v>27</v>
          </cell>
          <cell r="B30" t="str">
            <v>Jajarkot</v>
          </cell>
          <cell r="C30">
            <v>1.68</v>
          </cell>
        </row>
        <row r="31">
          <cell r="A31">
            <v>28</v>
          </cell>
          <cell r="B31" t="str">
            <v>Jhapa</v>
          </cell>
          <cell r="C31">
            <v>1.48</v>
          </cell>
        </row>
        <row r="32">
          <cell r="A32">
            <v>29</v>
          </cell>
          <cell r="B32" t="str">
            <v>Jumla</v>
          </cell>
          <cell r="C32">
            <v>1.63</v>
          </cell>
        </row>
        <row r="33">
          <cell r="A33">
            <v>30</v>
          </cell>
          <cell r="B33" t="str">
            <v>Kailali</v>
          </cell>
          <cell r="C33">
            <v>3.89</v>
          </cell>
        </row>
        <row r="34">
          <cell r="A34">
            <v>31</v>
          </cell>
          <cell r="B34" t="str">
            <v>Kalikot</v>
          </cell>
          <cell r="C34">
            <v>1.73</v>
          </cell>
        </row>
        <row r="35">
          <cell r="A35">
            <v>32</v>
          </cell>
          <cell r="B35" t="str">
            <v>Kanchanpur</v>
          </cell>
          <cell r="C35">
            <v>3.82</v>
          </cell>
        </row>
        <row r="36">
          <cell r="A36">
            <v>33</v>
          </cell>
          <cell r="B36" t="str">
            <v>Kapilbastu</v>
          </cell>
          <cell r="C36">
            <v>2.6</v>
          </cell>
        </row>
        <row r="37">
          <cell r="A37">
            <v>34</v>
          </cell>
          <cell r="B37" t="str">
            <v>Kaski</v>
          </cell>
          <cell r="C37">
            <v>2.62</v>
          </cell>
        </row>
        <row r="38">
          <cell r="A38">
            <v>35</v>
          </cell>
          <cell r="B38" t="str">
            <v>Kathmandu</v>
          </cell>
          <cell r="C38">
            <v>4.71</v>
          </cell>
        </row>
        <row r="39">
          <cell r="A39">
            <v>36</v>
          </cell>
          <cell r="B39" t="str">
            <v>Kavre</v>
          </cell>
          <cell r="C39">
            <v>1.73</v>
          </cell>
        </row>
        <row r="40">
          <cell r="A40">
            <v>37</v>
          </cell>
          <cell r="B40" t="str">
            <v>Khotang</v>
          </cell>
          <cell r="C40">
            <v>0.69</v>
          </cell>
        </row>
        <row r="41">
          <cell r="A41">
            <v>38</v>
          </cell>
          <cell r="B41" t="str">
            <v>Lalitpur</v>
          </cell>
          <cell r="C41">
            <v>2.73</v>
          </cell>
        </row>
        <row r="42">
          <cell r="A42">
            <v>39</v>
          </cell>
          <cell r="B42" t="str">
            <v>Lamjung</v>
          </cell>
          <cell r="C42">
            <v>1.42</v>
          </cell>
        </row>
        <row r="43">
          <cell r="A43">
            <v>40</v>
          </cell>
          <cell r="B43" t="str">
            <v>Mahottari</v>
          </cell>
          <cell r="C43">
            <v>2.29</v>
          </cell>
        </row>
        <row r="44">
          <cell r="A44">
            <v>41</v>
          </cell>
          <cell r="B44" t="str">
            <v>Makawanpur</v>
          </cell>
          <cell r="C44">
            <v>2.2200000000000002</v>
          </cell>
        </row>
        <row r="45">
          <cell r="A45">
            <v>42</v>
          </cell>
          <cell r="B45" t="str">
            <v>Manang</v>
          </cell>
          <cell r="C45">
            <v>5.81</v>
          </cell>
        </row>
        <row r="46">
          <cell r="A46">
            <v>43</v>
          </cell>
          <cell r="B46" t="str">
            <v>Morang</v>
          </cell>
          <cell r="C46">
            <v>2.23</v>
          </cell>
        </row>
        <row r="47">
          <cell r="A47">
            <v>44</v>
          </cell>
          <cell r="B47" t="str">
            <v>Mugu</v>
          </cell>
          <cell r="C47">
            <v>1.89</v>
          </cell>
        </row>
        <row r="48">
          <cell r="A48">
            <v>45</v>
          </cell>
          <cell r="B48" t="str">
            <v>Mustang</v>
          </cell>
          <cell r="C48">
            <v>0.47</v>
          </cell>
        </row>
        <row r="49">
          <cell r="A49">
            <v>46</v>
          </cell>
          <cell r="B49" t="str">
            <v>Myagdi</v>
          </cell>
          <cell r="C49">
            <v>1.29</v>
          </cell>
        </row>
        <row r="50">
          <cell r="A50">
            <v>47</v>
          </cell>
          <cell r="B50" t="str">
            <v>Nawalparasi</v>
          </cell>
          <cell r="C50">
            <v>2.5499999999999998</v>
          </cell>
        </row>
        <row r="51">
          <cell r="A51">
            <v>48</v>
          </cell>
          <cell r="B51" t="str">
            <v>Nuwakot</v>
          </cell>
          <cell r="C51">
            <v>1.62</v>
          </cell>
        </row>
        <row r="52">
          <cell r="A52">
            <v>49</v>
          </cell>
          <cell r="B52" t="str">
            <v>Okhaldhunga</v>
          </cell>
          <cell r="C52">
            <v>1.17</v>
          </cell>
        </row>
        <row r="53">
          <cell r="A53">
            <v>50</v>
          </cell>
          <cell r="B53" t="str">
            <v>Palpa</v>
          </cell>
          <cell r="C53">
            <v>1.28</v>
          </cell>
        </row>
        <row r="54">
          <cell r="A54">
            <v>51</v>
          </cell>
          <cell r="B54" t="str">
            <v>Panchthar</v>
          </cell>
          <cell r="C54">
            <v>1.43</v>
          </cell>
        </row>
        <row r="55">
          <cell r="A55">
            <v>52</v>
          </cell>
          <cell r="B55" t="str">
            <v>Parbat</v>
          </cell>
          <cell r="C55">
            <v>0.95</v>
          </cell>
        </row>
        <row r="56">
          <cell r="A56">
            <v>53</v>
          </cell>
          <cell r="B56" t="str">
            <v>Parsa</v>
          </cell>
          <cell r="C56">
            <v>2.89</v>
          </cell>
        </row>
        <row r="57">
          <cell r="A57">
            <v>54</v>
          </cell>
          <cell r="B57" t="str">
            <v>Pyuthan</v>
          </cell>
          <cell r="C57">
            <v>1.91</v>
          </cell>
        </row>
        <row r="58">
          <cell r="A58">
            <v>55</v>
          </cell>
          <cell r="B58" t="str">
            <v>Ramechhap</v>
          </cell>
          <cell r="C58">
            <v>1.22</v>
          </cell>
        </row>
        <row r="59">
          <cell r="A59">
            <v>56</v>
          </cell>
          <cell r="B59" t="str">
            <v>Rasuwa</v>
          </cell>
          <cell r="C59">
            <v>1.97</v>
          </cell>
        </row>
        <row r="60">
          <cell r="A60">
            <v>57</v>
          </cell>
          <cell r="B60" t="str">
            <v>Rautahat</v>
          </cell>
          <cell r="C60">
            <v>2.75</v>
          </cell>
        </row>
        <row r="61">
          <cell r="A61">
            <v>58</v>
          </cell>
          <cell r="B61" t="str">
            <v>Rolpa</v>
          </cell>
          <cell r="C61">
            <v>1.56</v>
          </cell>
        </row>
        <row r="62">
          <cell r="A62">
            <v>59</v>
          </cell>
          <cell r="B62" t="str">
            <v>Rukum</v>
          </cell>
          <cell r="C62">
            <v>1.92</v>
          </cell>
        </row>
        <row r="63">
          <cell r="A63">
            <v>60</v>
          </cell>
          <cell r="B63" t="str">
            <v>Rupandehi</v>
          </cell>
          <cell r="C63">
            <v>3.05</v>
          </cell>
        </row>
        <row r="64">
          <cell r="A64">
            <v>61</v>
          </cell>
          <cell r="B64" t="str">
            <v>Salyan</v>
          </cell>
          <cell r="C64">
            <v>1.61</v>
          </cell>
        </row>
        <row r="65">
          <cell r="A65">
            <v>62</v>
          </cell>
          <cell r="B65" t="str">
            <v>Sankhuwasabha</v>
          </cell>
          <cell r="C65">
            <v>1.1499999999999999</v>
          </cell>
        </row>
        <row r="66">
          <cell r="A66">
            <v>63</v>
          </cell>
          <cell r="B66" t="str">
            <v>Saptari</v>
          </cell>
          <cell r="C66">
            <v>2.0299999999999998</v>
          </cell>
        </row>
        <row r="67">
          <cell r="A67">
            <v>64</v>
          </cell>
          <cell r="B67" t="str">
            <v>Sarlahee</v>
          </cell>
          <cell r="C67">
            <v>2.5499999999999998</v>
          </cell>
        </row>
        <row r="68">
          <cell r="A68">
            <v>65</v>
          </cell>
          <cell r="B68" t="str">
            <v>Sindhuli</v>
          </cell>
          <cell r="C68">
            <v>2.23</v>
          </cell>
        </row>
        <row r="69">
          <cell r="A69">
            <v>66</v>
          </cell>
          <cell r="B69" t="str">
            <v>Sindhupalchowk</v>
          </cell>
          <cell r="C69">
            <v>1.59</v>
          </cell>
        </row>
        <row r="70">
          <cell r="A70">
            <v>67</v>
          </cell>
          <cell r="B70" t="str">
            <v>Siraha</v>
          </cell>
          <cell r="C70">
            <v>2.17</v>
          </cell>
        </row>
        <row r="71">
          <cell r="A71">
            <v>68</v>
          </cell>
          <cell r="B71" t="str">
            <v>Solukhumbu</v>
          </cell>
          <cell r="C71">
            <v>1.02</v>
          </cell>
        </row>
        <row r="72">
          <cell r="A72">
            <v>69</v>
          </cell>
          <cell r="B72" t="str">
            <v>Sunsari</v>
          </cell>
          <cell r="C72">
            <v>3</v>
          </cell>
        </row>
        <row r="73">
          <cell r="A73">
            <v>70</v>
          </cell>
          <cell r="B73" t="str">
            <v>Surkhet</v>
          </cell>
          <cell r="C73">
            <v>2.4500000000000002</v>
          </cell>
        </row>
        <row r="74">
          <cell r="A74">
            <v>71</v>
          </cell>
          <cell r="B74" t="str">
            <v>Syanja</v>
          </cell>
          <cell r="C74">
            <v>0.78</v>
          </cell>
        </row>
        <row r="75">
          <cell r="A75">
            <v>72</v>
          </cell>
          <cell r="B75" t="str">
            <v>Tanahu</v>
          </cell>
          <cell r="C75">
            <v>1.62</v>
          </cell>
        </row>
        <row r="76">
          <cell r="A76">
            <v>73</v>
          </cell>
          <cell r="B76" t="str">
            <v>Taplejung</v>
          </cell>
          <cell r="C76">
            <v>1.1499999999999999</v>
          </cell>
        </row>
        <row r="77">
          <cell r="A77">
            <v>74</v>
          </cell>
          <cell r="B77" t="str">
            <v>Tehrathum</v>
          </cell>
          <cell r="C77">
            <v>0.95</v>
          </cell>
        </row>
        <row r="78">
          <cell r="A78">
            <v>75</v>
          </cell>
          <cell r="B78" t="str">
            <v>Udayapur</v>
          </cell>
          <cell r="C78">
            <v>2.63</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Equipment"/>
      <sheetName val="Lab Establishment"/>
      <sheetName val="Lab Equipment"/>
      <sheetName val="Running Cost "/>
      <sheetName val="Furniture for Accomodation"/>
      <sheetName val="Furniture Office &amp; lab"/>
      <sheetName val="Vehicle_Cost"/>
      <sheetName val="Labour Rates_BB"/>
      <sheetName val="Dayworks"/>
      <sheetName val="Support staff wage"/>
      <sheetName val="Equipment Rates"/>
      <sheetName val="Material_Tax"/>
      <sheetName val="Material collection equipment"/>
      <sheetName val="Haulage dist"/>
      <sheetName val="Haulage items"/>
      <sheetName val="Transport Cost final"/>
      <sheetName val="Transport_Cost_F"/>
      <sheetName val="Qtty  for Storm Drain "/>
      <sheetName val="Rate Analysis"/>
      <sheetName val="Insurance"/>
      <sheetName val="Summary_Sheet_M"/>
      <sheetName val="PS"/>
      <sheetName val="Qtty Summary"/>
      <sheetName val="BoQ BB-01"/>
      <sheetName val="Sum-BB-01"/>
      <sheetName val="Road Qty"/>
      <sheetName val="Neighbourhood"/>
      <sheetName val="NH Len"/>
      <sheetName val="Neigh Qtty"/>
      <sheetName val="Cover Slab Qtty"/>
      <sheetName val="Inlet detail"/>
      <sheetName val="Other Data"/>
      <sheetName val="Pop Density"/>
    </sheetNames>
    <sheetDataSet>
      <sheetData sheetId="0"/>
      <sheetData sheetId="1"/>
      <sheetData sheetId="2"/>
      <sheetData sheetId="3">
        <row r="27">
          <cell r="C27">
            <v>64000</v>
          </cell>
        </row>
      </sheetData>
      <sheetData sheetId="4"/>
      <sheetData sheetId="5">
        <row r="75">
          <cell r="J75">
            <v>971865</v>
          </cell>
        </row>
      </sheetData>
      <sheetData sheetId="6"/>
      <sheetData sheetId="7">
        <row r="9">
          <cell r="E9">
            <v>350</v>
          </cell>
        </row>
        <row r="10">
          <cell r="E10">
            <v>500</v>
          </cell>
        </row>
      </sheetData>
      <sheetData sheetId="8">
        <row r="9">
          <cell r="C9" t="str">
            <v xml:space="preserve">Work shall be excuted as Dayworks only under the written instructions of the Engineer. </v>
          </cell>
        </row>
      </sheetData>
      <sheetData sheetId="9"/>
      <sheetData sheetId="10">
        <row r="10">
          <cell r="D10">
            <v>800</v>
          </cell>
        </row>
        <row r="16">
          <cell r="D16">
            <v>20</v>
          </cell>
        </row>
        <row r="32">
          <cell r="D32">
            <v>1500</v>
          </cell>
        </row>
      </sheetData>
      <sheetData sheetId="11"/>
      <sheetData sheetId="12"/>
      <sheetData sheetId="13">
        <row r="9">
          <cell r="K9">
            <v>8.6</v>
          </cell>
        </row>
      </sheetData>
      <sheetData sheetId="14"/>
      <sheetData sheetId="15"/>
      <sheetData sheetId="16">
        <row r="10">
          <cell r="D10">
            <v>12.713796765828908</v>
          </cell>
        </row>
        <row r="15">
          <cell r="D15">
            <v>84.433396409203539</v>
          </cell>
        </row>
        <row r="17">
          <cell r="D17">
            <v>85.433396409203539</v>
          </cell>
        </row>
        <row r="21">
          <cell r="D21">
            <v>370</v>
          </cell>
        </row>
        <row r="32">
          <cell r="D32">
            <v>110.74286543575224</v>
          </cell>
        </row>
        <row r="39">
          <cell r="D39">
            <v>1082.6534732812588</v>
          </cell>
        </row>
        <row r="43">
          <cell r="D43">
            <v>1549.5730467203148</v>
          </cell>
        </row>
        <row r="44">
          <cell r="D44">
            <v>1499.5730467203148</v>
          </cell>
        </row>
        <row r="51">
          <cell r="D51">
            <v>0.12339640920353982</v>
          </cell>
        </row>
        <row r="52">
          <cell r="D52">
            <v>350.46839640920354</v>
          </cell>
        </row>
        <row r="55">
          <cell r="D55">
            <v>3608</v>
          </cell>
        </row>
        <row r="72">
          <cell r="D72" t="e">
            <v>#REF!</v>
          </cell>
        </row>
        <row r="74">
          <cell r="D74">
            <v>450.12339640920351</v>
          </cell>
        </row>
      </sheetData>
      <sheetData sheetId="17"/>
      <sheetData sheetId="18"/>
      <sheetData sheetId="19">
        <row r="13">
          <cell r="D13">
            <v>101809.49999999997</v>
          </cell>
        </row>
      </sheetData>
      <sheetData sheetId="20">
        <row r="11">
          <cell r="E11">
            <v>1656000</v>
          </cell>
        </row>
      </sheetData>
      <sheetData sheetId="21"/>
      <sheetData sheetId="22">
        <row r="38">
          <cell r="D38">
            <v>1968</v>
          </cell>
        </row>
      </sheetData>
      <sheetData sheetId="23"/>
      <sheetData sheetId="24"/>
      <sheetData sheetId="25">
        <row r="157">
          <cell r="H157">
            <v>234622</v>
          </cell>
        </row>
      </sheetData>
      <sheetData sheetId="26"/>
      <sheetData sheetId="27"/>
      <sheetData sheetId="28"/>
      <sheetData sheetId="29"/>
      <sheetData sheetId="30"/>
      <sheetData sheetId="31" refreshError="1"/>
      <sheetData sheetId="3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Abstract (2)"/>
      <sheetName val="General"/>
      <sheetName val="Dayworks"/>
      <sheetName val="Civil Works"/>
      <sheetName val="Qty PF "/>
      <sheetName val="g.RVT-100"/>
      <sheetName val="Qty.RVT-100"/>
      <sheetName val="Valve Box"/>
      <sheetName val="Bulk Meters"/>
      <sheetName val="District Rates"/>
      <sheetName val="Pipes and Fittings"/>
      <sheetName val="Cost Pipes"/>
      <sheetName val="Rate Analysis 2"/>
      <sheetName val="rate Pipe HDPE"/>
      <sheetName val="Rate Analysis"/>
      <sheetName val="Deep Tubewell"/>
      <sheetName val="RAB"/>
      <sheetName val="Cost pump shed"/>
      <sheetName val="QTy Pump shed"/>
      <sheetName val="tubewell electro"/>
      <sheetName val="100Cum RVT"/>
      <sheetName val="Cost PTE&amp;BF"/>
      <sheetName val="Qty PTE&amp;BF"/>
      <sheetName val="Lab Equipment"/>
      <sheetName val="Electromechanical"/>
      <sheetName val="Quantity Calculations"/>
      <sheetName val="GSM Controller Module"/>
      <sheetName val="Solar Pump system"/>
      <sheetName val="Master sheet"/>
      <sheetName val="District Rates 1"/>
      <sheetName val="Sheet1"/>
      <sheetName val="Sheet3"/>
    </sheetNames>
    <sheetDataSet>
      <sheetData sheetId="0"/>
      <sheetData sheetId="1"/>
      <sheetData sheetId="2"/>
      <sheetData sheetId="3"/>
      <sheetData sheetId="4"/>
      <sheetData sheetId="5"/>
      <sheetData sheetId="6"/>
      <sheetData sheetId="7"/>
      <sheetData sheetId="8"/>
      <sheetData sheetId="9"/>
      <sheetData sheetId="10">
        <row r="7">
          <cell r="E7">
            <v>580</v>
          </cell>
        </row>
        <row r="8">
          <cell r="E8">
            <v>815</v>
          </cell>
        </row>
        <row r="9">
          <cell r="E9">
            <v>700</v>
          </cell>
        </row>
        <row r="10">
          <cell r="E10">
            <v>580</v>
          </cell>
        </row>
        <row r="13">
          <cell r="E13">
            <v>16000</v>
          </cell>
        </row>
        <row r="14">
          <cell r="E14">
            <v>2200</v>
          </cell>
        </row>
        <row r="15">
          <cell r="E15">
            <v>1900</v>
          </cell>
        </row>
        <row r="16">
          <cell r="E16">
            <v>1300</v>
          </cell>
        </row>
        <row r="18">
          <cell r="E18">
            <v>72</v>
          </cell>
        </row>
        <row r="19">
          <cell r="E19">
            <v>84</v>
          </cell>
        </row>
        <row r="20">
          <cell r="E20">
            <v>95</v>
          </cell>
        </row>
        <row r="21">
          <cell r="E21">
            <v>100</v>
          </cell>
        </row>
        <row r="22">
          <cell r="E22">
            <v>14</v>
          </cell>
        </row>
        <row r="23">
          <cell r="E23">
            <v>96.460176991150448</v>
          </cell>
        </row>
        <row r="24">
          <cell r="E24">
            <v>76.548672566371692</v>
          </cell>
        </row>
        <row r="28">
          <cell r="E28">
            <v>60</v>
          </cell>
        </row>
        <row r="29">
          <cell r="E29">
            <v>500</v>
          </cell>
        </row>
        <row r="31">
          <cell r="E31">
            <v>430</v>
          </cell>
        </row>
        <row r="32">
          <cell r="E32">
            <v>1200</v>
          </cell>
        </row>
        <row r="33">
          <cell r="E33">
            <v>95</v>
          </cell>
        </row>
        <row r="34">
          <cell r="E34">
            <v>1050</v>
          </cell>
        </row>
        <row r="35">
          <cell r="E35">
            <v>35</v>
          </cell>
        </row>
        <row r="36">
          <cell r="E36">
            <v>27</v>
          </cell>
        </row>
        <row r="37">
          <cell r="E37">
            <v>1.5</v>
          </cell>
        </row>
        <row r="38">
          <cell r="E38">
            <v>0.3</v>
          </cell>
        </row>
        <row r="39">
          <cell r="E39">
            <v>200</v>
          </cell>
        </row>
        <row r="40">
          <cell r="E40">
            <v>77</v>
          </cell>
        </row>
        <row r="42">
          <cell r="E42">
            <v>929.2</v>
          </cell>
        </row>
        <row r="43">
          <cell r="E43">
            <v>1230.0899999999999</v>
          </cell>
        </row>
        <row r="44">
          <cell r="E44">
            <v>606.19000000000005</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Equipment"/>
      <sheetName val="Lab Establishment"/>
      <sheetName val="Lab Equipment"/>
      <sheetName val="Running Cost "/>
      <sheetName val="Furniture for Accomodation"/>
      <sheetName val="Furniture Office &amp; lab"/>
      <sheetName val="Vehicle_Cost"/>
      <sheetName val="Labour Rates_BB"/>
      <sheetName val="Dayworks"/>
      <sheetName val="Support staff wage"/>
      <sheetName val="Equipment Rates"/>
      <sheetName val="Material_Tax"/>
      <sheetName val="Material collection equipment"/>
      <sheetName val="Haulage dist"/>
      <sheetName val="Haulage items"/>
      <sheetName val="Transport Cost final"/>
      <sheetName val="Transport_Cost_F"/>
      <sheetName val="Qtty  for Storm Drain "/>
      <sheetName val="Rate Analysis"/>
      <sheetName val="Insurance"/>
      <sheetName val="Summary_Sheet_M"/>
      <sheetName val="PS"/>
      <sheetName val="Qtty Summary"/>
      <sheetName val="BoQ BB-01"/>
      <sheetName val="Sum-BB-01"/>
      <sheetName val="Road Qty"/>
      <sheetName val="Neighbourhood"/>
      <sheetName val="NH Len"/>
      <sheetName val="Neigh Qtty"/>
      <sheetName val="Cover Slab Qtty"/>
      <sheetName val="Inlet detail"/>
      <sheetName val="District Rates"/>
      <sheetName val="Rates"/>
      <sheetName val="Abstract Cost"/>
    </sheetNames>
    <sheetDataSet>
      <sheetData sheetId="0"/>
      <sheetData sheetId="1"/>
      <sheetData sheetId="2"/>
      <sheetData sheetId="3">
        <row r="27">
          <cell r="C27">
            <v>64000</v>
          </cell>
        </row>
      </sheetData>
      <sheetData sheetId="4"/>
      <sheetData sheetId="5">
        <row r="75">
          <cell r="J75">
            <v>971865</v>
          </cell>
        </row>
      </sheetData>
      <sheetData sheetId="6"/>
      <sheetData sheetId="7">
        <row r="9">
          <cell r="E9">
            <v>350</v>
          </cell>
        </row>
        <row r="11">
          <cell r="E11">
            <v>365</v>
          </cell>
        </row>
        <row r="16">
          <cell r="E16">
            <v>550</v>
          </cell>
        </row>
        <row r="20">
          <cell r="E20">
            <v>360</v>
          </cell>
        </row>
        <row r="23">
          <cell r="E23">
            <v>550</v>
          </cell>
        </row>
        <row r="38">
          <cell r="E38">
            <v>500</v>
          </cell>
        </row>
      </sheetData>
      <sheetData sheetId="8">
        <row r="9">
          <cell r="C9" t="str">
            <v xml:space="preserve">Work shall be excuted as Dayworks only under the written instructions of the Engineer. </v>
          </cell>
        </row>
      </sheetData>
      <sheetData sheetId="9"/>
      <sheetData sheetId="10">
        <row r="10">
          <cell r="D10">
            <v>800</v>
          </cell>
        </row>
        <row r="11">
          <cell r="D11">
            <v>450</v>
          </cell>
        </row>
        <row r="12">
          <cell r="D12">
            <v>500</v>
          </cell>
        </row>
        <row r="14">
          <cell r="D14">
            <v>100</v>
          </cell>
        </row>
        <row r="18">
          <cell r="D18">
            <v>1600</v>
          </cell>
        </row>
        <row r="19">
          <cell r="D19">
            <v>900</v>
          </cell>
        </row>
        <row r="26">
          <cell r="D26">
            <v>1200</v>
          </cell>
        </row>
        <row r="28">
          <cell r="D28">
            <v>500</v>
          </cell>
        </row>
        <row r="29">
          <cell r="D29">
            <v>2500</v>
          </cell>
        </row>
        <row r="31">
          <cell r="D31">
            <v>1200</v>
          </cell>
        </row>
        <row r="34">
          <cell r="D34">
            <v>250</v>
          </cell>
        </row>
        <row r="36">
          <cell r="D36">
            <v>5000</v>
          </cell>
        </row>
        <row r="37">
          <cell r="D37">
            <v>1400</v>
          </cell>
        </row>
        <row r="39">
          <cell r="D39">
            <v>550</v>
          </cell>
        </row>
      </sheetData>
      <sheetData sheetId="11"/>
      <sheetData sheetId="12"/>
      <sheetData sheetId="13">
        <row r="9">
          <cell r="K9">
            <v>8.6</v>
          </cell>
        </row>
      </sheetData>
      <sheetData sheetId="14"/>
      <sheetData sheetId="15"/>
      <sheetData sheetId="16">
        <row r="10">
          <cell r="D10">
            <v>12.713796765828908</v>
          </cell>
        </row>
        <row r="12">
          <cell r="D12">
            <v>82243.396409203546</v>
          </cell>
        </row>
        <row r="13">
          <cell r="D13">
            <v>94</v>
          </cell>
        </row>
        <row r="16">
          <cell r="D16">
            <v>84.433396409203539</v>
          </cell>
        </row>
        <row r="19">
          <cell r="D19">
            <v>120</v>
          </cell>
        </row>
        <row r="23">
          <cell r="D23">
            <v>796</v>
          </cell>
        </row>
        <row r="25">
          <cell r="D25">
            <v>2827.526994576991</v>
          </cell>
        </row>
        <row r="26">
          <cell r="D26">
            <v>4454.1985636814161</v>
          </cell>
        </row>
        <row r="28">
          <cell r="D28">
            <v>7125.8701327858407</v>
          </cell>
        </row>
        <row r="29">
          <cell r="D29">
            <v>12165.87013278584</v>
          </cell>
        </row>
        <row r="30">
          <cell r="D30">
            <v>85.964092035398238</v>
          </cell>
        </row>
        <row r="35">
          <cell r="D35">
            <v>276.74389130194686</v>
          </cell>
        </row>
        <row r="38">
          <cell r="D38">
            <v>2077.2984465935106</v>
          </cell>
        </row>
        <row r="40">
          <cell r="D40">
            <v>990.63243716814179</v>
          </cell>
        </row>
        <row r="48">
          <cell r="D48">
            <v>63748.589981923302</v>
          </cell>
        </row>
        <row r="54">
          <cell r="D54">
            <v>1320</v>
          </cell>
        </row>
        <row r="65">
          <cell r="D65">
            <v>250</v>
          </cell>
        </row>
        <row r="70">
          <cell r="D70">
            <v>50</v>
          </cell>
        </row>
        <row r="75">
          <cell r="D75">
            <v>201</v>
          </cell>
        </row>
      </sheetData>
      <sheetData sheetId="17"/>
      <sheetData sheetId="18"/>
      <sheetData sheetId="19">
        <row r="13">
          <cell r="D13">
            <v>101809.49999999997</v>
          </cell>
        </row>
      </sheetData>
      <sheetData sheetId="20">
        <row r="11">
          <cell r="E11">
            <v>1656000</v>
          </cell>
        </row>
      </sheetData>
      <sheetData sheetId="21"/>
      <sheetData sheetId="22">
        <row r="38">
          <cell r="D38">
            <v>1968</v>
          </cell>
        </row>
      </sheetData>
      <sheetData sheetId="23"/>
      <sheetData sheetId="24"/>
      <sheetData sheetId="25">
        <row r="157">
          <cell r="H157">
            <v>234622</v>
          </cell>
        </row>
      </sheetData>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301"/>
      <sheetName val="Ta304"/>
      <sheetName val="Ta403"/>
      <sheetName val="Equipment Rates"/>
      <sheetName val="Labour Rates_BB"/>
      <sheetName val="Transport_Cost_F"/>
      <sheetName val="Other Data"/>
    </sheetNames>
    <sheetDataSet>
      <sheetData sheetId="0" refreshError="1">
        <row r="7">
          <cell r="I7">
            <v>2238</v>
          </cell>
          <cell r="K7">
            <v>2926</v>
          </cell>
        </row>
      </sheetData>
      <sheetData sheetId="1" refreshError="1">
        <row r="6">
          <cell r="F6">
            <v>9943</v>
          </cell>
          <cell r="I6">
            <v>18031</v>
          </cell>
        </row>
      </sheetData>
      <sheetData sheetId="2" refreshError="1">
        <row r="8">
          <cell r="J8">
            <v>39413.199999999997</v>
          </cell>
        </row>
      </sheetData>
      <sheetData sheetId="3" refreshError="1"/>
      <sheetData sheetId="4" refreshError="1"/>
      <sheetData sheetId="5" refreshError="1"/>
      <sheetData sheetId="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301"/>
      <sheetName val="Ta304"/>
      <sheetName val="Ta403"/>
    </sheetNames>
    <sheetDataSet>
      <sheetData sheetId="0" refreshError="1">
        <row r="7">
          <cell r="I7">
            <v>2238</v>
          </cell>
          <cell r="K7">
            <v>2926</v>
          </cell>
        </row>
      </sheetData>
      <sheetData sheetId="1" refreshError="1">
        <row r="6">
          <cell r="F6">
            <v>9943</v>
          </cell>
          <cell r="I6">
            <v>18031</v>
          </cell>
        </row>
      </sheetData>
      <sheetData sheetId="2" refreshError="1">
        <row r="8">
          <cell r="J8">
            <v>39413.199999999997</v>
          </cell>
        </row>
      </sheetData>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301"/>
      <sheetName val="Ta304"/>
      <sheetName val="Ta403"/>
    </sheetNames>
    <sheetDataSet>
      <sheetData sheetId="0" refreshError="1">
        <row r="7">
          <cell r="I7">
            <v>2238</v>
          </cell>
          <cell r="K7">
            <v>2926</v>
          </cell>
        </row>
      </sheetData>
      <sheetData sheetId="1" refreshError="1">
        <row r="6">
          <cell r="F6">
            <v>9943</v>
          </cell>
          <cell r="I6">
            <v>18031</v>
          </cell>
        </row>
      </sheetData>
      <sheetData sheetId="2" refreshError="1">
        <row r="8">
          <cell r="J8">
            <v>39413.199999999997</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Instruction"/>
      <sheetName val="CoverPage"/>
      <sheetName val="annex"/>
      <sheetName val="TOC"/>
      <sheetName val="DataP"/>
      <sheetName val="DataS"/>
      <sheetName val="DataPT"/>
      <sheetName val="SalFeat"/>
      <sheetName val="SumCost"/>
      <sheetName val="Sum-md "/>
      <sheetName val="Codes"/>
      <sheetName val="Rates"/>
      <sheetName val="CostMatLab"/>
      <sheetName val="Norms"/>
      <sheetName val="MatInput"/>
      <sheetName val="SumCostNep"/>
      <sheetName val="r1"/>
      <sheetName val="MIS"/>
      <sheetName val="RateLocalMat"/>
      <sheetName val="CostTrans"/>
      <sheetName val="CostTools"/>
      <sheetName val="CostMatLab (2)"/>
      <sheetName val="Toilet"/>
      <sheetName val="TypIn"/>
      <sheetName val="CusIn"/>
      <sheetName val="CusStr"/>
      <sheetName val="TapRep"/>
      <sheetName val="FctTap"/>
      <sheetName val="STank"/>
      <sheetName val="FctH"/>
      <sheetName val="FctO"/>
      <sheetName val="CC BPT DC IC"/>
      <sheetName val="VC"/>
      <sheetName val="Taps"/>
      <sheetName val="CostNep"/>
      <sheetName val="Crossing-F-G"/>
      <sheetName val="Crossing-S-G"/>
      <sheetName val="MT"/>
      <sheetName val="Custom"/>
      <sheetName val="Intake"/>
    </sheetNames>
    <sheetDataSet>
      <sheetData sheetId="0" refreshError="1"/>
      <sheetData sheetId="1" refreshError="1"/>
      <sheetData sheetId="2" refreshError="1"/>
      <sheetData sheetId="3" refreshError="1"/>
      <sheetData sheetId="4" refreshError="1"/>
      <sheetData sheetId="5">
        <row r="7">
          <cell r="B7" t="str">
            <v>Malli Basedi Lift Drinking Water Supply Project</v>
          </cell>
        </row>
        <row r="20">
          <cell r="B20">
            <v>1</v>
          </cell>
        </row>
      </sheetData>
      <sheetData sheetId="6" refreshError="1"/>
      <sheetData sheetId="7" refreshError="1">
        <row r="3">
          <cell r="F3" t="str">
            <v>HP2.5-75</v>
          </cell>
          <cell r="G3" t="str">
            <v>HDPE Pipe(75mm) - 2.5 kgf/cm2</v>
          </cell>
          <cell r="H3" t="str">
            <v>m</v>
          </cell>
          <cell r="I3">
            <v>0</v>
          </cell>
        </row>
        <row r="4">
          <cell r="F4" t="str">
            <v>HP2.5-90</v>
          </cell>
          <cell r="G4" t="str">
            <v>HDPE Pipe(90mm) - 2.5 kgf/cm2</v>
          </cell>
          <cell r="H4" t="str">
            <v>m</v>
          </cell>
          <cell r="I4">
            <v>0</v>
          </cell>
        </row>
        <row r="5">
          <cell r="F5" t="str">
            <v>HP2.5-110</v>
          </cell>
          <cell r="G5" t="str">
            <v>HDPE Pipe(110mm) - 2.5 kgf/cm2</v>
          </cell>
          <cell r="H5" t="str">
            <v>m</v>
          </cell>
          <cell r="I5">
            <v>0</v>
          </cell>
        </row>
        <row r="6">
          <cell r="F6" t="str">
            <v>HP2.5-140</v>
          </cell>
          <cell r="G6" t="str">
            <v>HDPE Pipe(140mm) - 2.5 kgf/cm2</v>
          </cell>
          <cell r="H6" t="str">
            <v>m</v>
          </cell>
          <cell r="I6">
            <v>0</v>
          </cell>
        </row>
        <row r="7">
          <cell r="F7" t="str">
            <v>HP2.5-160</v>
          </cell>
          <cell r="G7" t="str">
            <v>HDPE Pipe(160mm) - 2.5 kgf/cm2</v>
          </cell>
          <cell r="H7" t="str">
            <v>m</v>
          </cell>
          <cell r="I7">
            <v>0</v>
          </cell>
        </row>
        <row r="8">
          <cell r="F8" t="str">
            <v>HP4-40</v>
          </cell>
          <cell r="G8" t="str">
            <v>HDPE Pipe(40mm) - 4 kgf/cm2</v>
          </cell>
          <cell r="H8" t="str">
            <v>m</v>
          </cell>
          <cell r="I8">
            <v>0</v>
          </cell>
        </row>
        <row r="9">
          <cell r="F9" t="str">
            <v>HP4-50</v>
          </cell>
          <cell r="G9" t="str">
            <v>HDPE Pipe(50mm) - 4 kgf/cm2</v>
          </cell>
          <cell r="H9" t="str">
            <v>m</v>
          </cell>
          <cell r="I9">
            <v>0</v>
          </cell>
        </row>
        <row r="10">
          <cell r="F10" t="str">
            <v>HP4-63</v>
          </cell>
          <cell r="G10" t="str">
            <v>HDPE Pipe(63mm) - 4 kgf/cm2</v>
          </cell>
          <cell r="H10" t="str">
            <v>m</v>
          </cell>
          <cell r="I10">
            <v>0</v>
          </cell>
        </row>
        <row r="11">
          <cell r="F11" t="str">
            <v>HP4-75</v>
          </cell>
          <cell r="G11" t="str">
            <v>HDPE Pipe(75mm) - 4 kgf/cm2</v>
          </cell>
          <cell r="H11" t="str">
            <v>m</v>
          </cell>
          <cell r="I11">
            <v>0</v>
          </cell>
        </row>
        <row r="12">
          <cell r="F12" t="str">
            <v>HP4-90</v>
          </cell>
          <cell r="G12" t="str">
            <v>HDPE Pipe(90mm) - 4 kgf/cm2</v>
          </cell>
          <cell r="H12" t="str">
            <v>m</v>
          </cell>
          <cell r="I12">
            <v>0</v>
          </cell>
        </row>
        <row r="13">
          <cell r="F13" t="str">
            <v>HP6-32</v>
          </cell>
          <cell r="G13" t="str">
            <v>HDPE Pipe(32mm) - 6 kgf/cm2</v>
          </cell>
          <cell r="H13" t="str">
            <v>m</v>
          </cell>
          <cell r="I13">
            <v>493.3</v>
          </cell>
        </row>
        <row r="14">
          <cell r="F14" t="str">
            <v>HP6-40</v>
          </cell>
          <cell r="G14" t="str">
            <v>HDPE Pipe(40mm) - 6 kgf/cm2</v>
          </cell>
          <cell r="H14" t="str">
            <v>m</v>
          </cell>
          <cell r="I14">
            <v>0</v>
          </cell>
        </row>
        <row r="15">
          <cell r="F15" t="str">
            <v>HP6-50</v>
          </cell>
          <cell r="G15" t="str">
            <v>HDPE Pipe(50mm) - 6 kgf/cm2</v>
          </cell>
          <cell r="H15" t="str">
            <v>m</v>
          </cell>
          <cell r="I15">
            <v>0</v>
          </cell>
        </row>
        <row r="16">
          <cell r="F16" t="str">
            <v>HP6-63</v>
          </cell>
          <cell r="G16" t="str">
            <v>HDPE Pipe(63mm) - 6 kgf/cm2</v>
          </cell>
          <cell r="H16" t="str">
            <v>m</v>
          </cell>
          <cell r="I16">
            <v>0</v>
          </cell>
        </row>
        <row r="17">
          <cell r="F17" t="str">
            <v>HP6-75</v>
          </cell>
          <cell r="G17" t="str">
            <v>HDPE Pipe(75mm) - 6 kgf/cm2</v>
          </cell>
          <cell r="H17" t="str">
            <v>m</v>
          </cell>
          <cell r="I17">
            <v>0</v>
          </cell>
        </row>
        <row r="18">
          <cell r="F18" t="str">
            <v>HP6-90</v>
          </cell>
          <cell r="G18" t="str">
            <v>HDPE Pipe(90mm) - 6 kgf/cm2</v>
          </cell>
          <cell r="H18" t="str">
            <v>m</v>
          </cell>
          <cell r="I18">
            <v>0</v>
          </cell>
        </row>
        <row r="19">
          <cell r="F19" t="str">
            <v>HP10-16</v>
          </cell>
          <cell r="G19" t="str">
            <v>HDPE Pipe(16mm) - 10 kgf/cm2</v>
          </cell>
          <cell r="H19" t="str">
            <v>m</v>
          </cell>
          <cell r="I19">
            <v>0</v>
          </cell>
        </row>
        <row r="20">
          <cell r="F20" t="str">
            <v>HP10-20</v>
          </cell>
          <cell r="G20" t="str">
            <v>HDPE Pipe(20mm) - 10 kgf/cm2</v>
          </cell>
          <cell r="H20" t="str">
            <v>m</v>
          </cell>
          <cell r="I20">
            <v>1629</v>
          </cell>
        </row>
        <row r="21">
          <cell r="F21" t="str">
            <v>HP10-25</v>
          </cell>
          <cell r="G21" t="str">
            <v>HDPE Pipe(25mm) - 10 kgf/cm2</v>
          </cell>
          <cell r="H21" t="str">
            <v>m</v>
          </cell>
          <cell r="I21">
            <v>122</v>
          </cell>
        </row>
        <row r="22">
          <cell r="F22" t="str">
            <v>HP10-32</v>
          </cell>
          <cell r="G22" t="str">
            <v>HDPE Pipe(32mm) - 10 kgf/cm2</v>
          </cell>
          <cell r="H22" t="str">
            <v>m</v>
          </cell>
          <cell r="I22">
            <v>0</v>
          </cell>
        </row>
        <row r="23">
          <cell r="F23" t="str">
            <v>HP10-40</v>
          </cell>
          <cell r="G23" t="str">
            <v>HDPE Pipe(40mm) - 10 kgf/cm2</v>
          </cell>
          <cell r="H23" t="str">
            <v>m</v>
          </cell>
          <cell r="I23">
            <v>0</v>
          </cell>
        </row>
        <row r="24">
          <cell r="F24" t="str">
            <v>HP10-50</v>
          </cell>
          <cell r="G24" t="str">
            <v>HDPE Pipe(50mm) - 10 kgf/cm2</v>
          </cell>
          <cell r="H24" t="str">
            <v>m</v>
          </cell>
          <cell r="I24">
            <v>0</v>
          </cell>
        </row>
        <row r="25">
          <cell r="F25" t="str">
            <v>HP10-63</v>
          </cell>
          <cell r="G25" t="str">
            <v>HDPE Pipe(63mm) - 10 kgf/cm2</v>
          </cell>
          <cell r="H25" t="str">
            <v>m</v>
          </cell>
          <cell r="I25">
            <v>0</v>
          </cell>
        </row>
        <row r="26">
          <cell r="F26" t="str">
            <v>HP10-75</v>
          </cell>
          <cell r="G26" t="str">
            <v>HDPE Pipe(75mm) - 10 kgf/cm2</v>
          </cell>
          <cell r="H26" t="str">
            <v>m</v>
          </cell>
          <cell r="I26">
            <v>0</v>
          </cell>
        </row>
        <row r="27">
          <cell r="F27" t="str">
            <v>HP10-90</v>
          </cell>
          <cell r="G27" t="str">
            <v>HDPE Pipe(90mm) - 10 kgf/cm2</v>
          </cell>
          <cell r="H27" t="str">
            <v>m</v>
          </cell>
          <cell r="I27">
            <v>0</v>
          </cell>
        </row>
        <row r="28">
          <cell r="G28" t="str">
            <v>Total HDPE Pipes</v>
          </cell>
          <cell r="I28">
            <v>2244.3000000000002</v>
          </cell>
          <cell r="J28">
            <v>0</v>
          </cell>
        </row>
        <row r="29">
          <cell r="F29" t="str">
            <v>GPM-15</v>
          </cell>
          <cell r="G29" t="str">
            <v>G.I. Pipe (1/2") - MC</v>
          </cell>
          <cell r="H29" t="str">
            <v>m</v>
          </cell>
          <cell r="I29">
            <v>836.4</v>
          </cell>
        </row>
        <row r="30">
          <cell r="F30" t="str">
            <v>GPM-20</v>
          </cell>
          <cell r="G30" t="str">
            <v>G.I. Pipe (3/4") - MC</v>
          </cell>
          <cell r="H30" t="str">
            <v>m</v>
          </cell>
          <cell r="I30">
            <v>0</v>
          </cell>
        </row>
        <row r="31">
          <cell r="F31" t="str">
            <v>GPM-25</v>
          </cell>
          <cell r="G31" t="str">
            <v>G.I. Pipe (1") - MC</v>
          </cell>
          <cell r="H31" t="str">
            <v>m</v>
          </cell>
          <cell r="I31">
            <v>0</v>
          </cell>
        </row>
        <row r="32">
          <cell r="F32" t="str">
            <v>GPM-32</v>
          </cell>
          <cell r="G32" t="str">
            <v>G.I. Pipe (1-1/4") - MC</v>
          </cell>
          <cell r="H32" t="str">
            <v>m</v>
          </cell>
          <cell r="I32">
            <v>0</v>
          </cell>
        </row>
        <row r="33">
          <cell r="F33" t="str">
            <v>GPM-40</v>
          </cell>
          <cell r="G33" t="str">
            <v>G.I. Pipe (1-1/2") - MC</v>
          </cell>
          <cell r="H33" t="str">
            <v>m</v>
          </cell>
          <cell r="I33">
            <v>0</v>
          </cell>
        </row>
        <row r="34">
          <cell r="F34" t="str">
            <v>GPM-50</v>
          </cell>
          <cell r="G34" t="str">
            <v>G.I. Pipe (2") - MC</v>
          </cell>
          <cell r="H34" t="str">
            <v>m</v>
          </cell>
          <cell r="I34">
            <v>0</v>
          </cell>
        </row>
        <row r="35">
          <cell r="F35" t="str">
            <v>GPM-63</v>
          </cell>
          <cell r="G35" t="str">
            <v>G.I. Pipe (2-1/2") - MC</v>
          </cell>
          <cell r="H35" t="str">
            <v>m</v>
          </cell>
          <cell r="I35">
            <v>0</v>
          </cell>
        </row>
        <row r="36">
          <cell r="F36" t="str">
            <v>GPM-75</v>
          </cell>
          <cell r="G36" t="str">
            <v>G.I. Pipe (3") - MC</v>
          </cell>
          <cell r="H36" t="str">
            <v>m</v>
          </cell>
          <cell r="I36">
            <v>0</v>
          </cell>
        </row>
        <row r="37">
          <cell r="F37" t="str">
            <v>GPH-15</v>
          </cell>
          <cell r="G37" t="str">
            <v>G.I. Pipe (1/2") - HC</v>
          </cell>
          <cell r="H37" t="str">
            <v>m</v>
          </cell>
        </row>
        <row r="38">
          <cell r="F38" t="str">
            <v>GPH-20</v>
          </cell>
          <cell r="G38" t="str">
            <v>G.I. Pipe (3/4") - HC</v>
          </cell>
          <cell r="H38" t="str">
            <v>m</v>
          </cell>
        </row>
        <row r="39">
          <cell r="F39" t="str">
            <v>GPH-25</v>
          </cell>
          <cell r="G39" t="str">
            <v>G.I. Pipe (1") - HC</v>
          </cell>
          <cell r="H39" t="str">
            <v>m</v>
          </cell>
        </row>
        <row r="40">
          <cell r="F40" t="str">
            <v>GPH-32</v>
          </cell>
          <cell r="G40" t="str">
            <v>G.I. Pipe (1-1/4") - HC</v>
          </cell>
          <cell r="H40" t="str">
            <v>m</v>
          </cell>
        </row>
        <row r="41">
          <cell r="F41" t="str">
            <v>GPH-40</v>
          </cell>
          <cell r="G41" t="str">
            <v>G.I. Pipe (1-1/2") - HC</v>
          </cell>
          <cell r="H41" t="str">
            <v>m</v>
          </cell>
        </row>
        <row r="42">
          <cell r="F42" t="str">
            <v>GPH-50</v>
          </cell>
          <cell r="G42" t="str">
            <v>G.I. Pipe (2") - HC</v>
          </cell>
          <cell r="H42" t="str">
            <v>m</v>
          </cell>
        </row>
        <row r="43">
          <cell r="F43" t="str">
            <v>GPH-63</v>
          </cell>
          <cell r="G43" t="str">
            <v>G.I. Pipe (2-1/2") - HC</v>
          </cell>
          <cell r="H43" t="str">
            <v>m</v>
          </cell>
        </row>
        <row r="44">
          <cell r="F44" t="str">
            <v>GPH-75</v>
          </cell>
          <cell r="G44" t="str">
            <v>G.I. Pipe (3") - HC</v>
          </cell>
          <cell r="H44" t="str">
            <v>m</v>
          </cell>
        </row>
        <row r="54">
          <cell r="I54">
            <v>2244.3000000000002</v>
          </cell>
        </row>
        <row r="57">
          <cell r="F57" t="str">
            <v>HR-32x25</v>
          </cell>
          <cell r="I57">
            <v>5</v>
          </cell>
        </row>
        <row r="58">
          <cell r="F58" t="str">
            <v>HR-25x20</v>
          </cell>
          <cell r="I58">
            <v>6</v>
          </cell>
        </row>
        <row r="59">
          <cell r="F59" t="str">
            <v>HET-20</v>
          </cell>
          <cell r="I59">
            <v>5</v>
          </cell>
        </row>
        <row r="60">
          <cell r="F60" t="str">
            <v>HET-32</v>
          </cell>
          <cell r="I60">
            <v>3</v>
          </cell>
        </row>
      </sheetData>
      <sheetData sheetId="8" refreshError="1"/>
      <sheetData sheetId="9" refreshError="1"/>
      <sheetData sheetId="10" refreshError="1"/>
      <sheetData sheetId="11" refreshError="1">
        <row r="4">
          <cell r="B4" t="str">
            <v>Code</v>
          </cell>
          <cell r="C4" t="str">
            <v>Item of Works</v>
          </cell>
          <cell r="D4" t="str">
            <v>Unit</v>
          </cell>
        </row>
        <row r="5">
          <cell r="B5" t="str">
            <v>I-01</v>
          </cell>
          <cell r="C5" t="str">
            <v>Earth Work in Excavation</v>
          </cell>
          <cell r="D5" t="str">
            <v>m3</v>
          </cell>
        </row>
        <row r="6">
          <cell r="B6" t="str">
            <v>I-02</v>
          </cell>
          <cell r="C6" t="str">
            <v>Earth Work in Backfilling</v>
          </cell>
          <cell r="D6" t="str">
            <v>m3</v>
          </cell>
        </row>
        <row r="7">
          <cell r="B7" t="str">
            <v>I-03</v>
          </cell>
          <cell r="C7" t="str">
            <v>Dry Stone Soling</v>
          </cell>
          <cell r="D7" t="str">
            <v>m3</v>
          </cell>
        </row>
        <row r="8">
          <cell r="B8" t="str">
            <v>I-04</v>
          </cell>
          <cell r="C8" t="str">
            <v>P.C.C. (1:2:4)</v>
          </cell>
          <cell r="D8" t="str">
            <v>m3</v>
          </cell>
        </row>
        <row r="9">
          <cell r="B9" t="str">
            <v>I-05</v>
          </cell>
          <cell r="C9" t="str">
            <v>P.C.C. for Pre-cast Slab (1:2:4)</v>
          </cell>
          <cell r="D9" t="str">
            <v>m3</v>
          </cell>
        </row>
        <row r="10">
          <cell r="B10" t="str">
            <v>I-06</v>
          </cell>
          <cell r="C10" t="str">
            <v>P.C.C. for R.C.C. (1:2:4)</v>
          </cell>
          <cell r="D10" t="str">
            <v>m3</v>
          </cell>
        </row>
        <row r="11">
          <cell r="B11" t="str">
            <v>I-07</v>
          </cell>
          <cell r="C11" t="str">
            <v>Random Rubble Masonry (1:4)</v>
          </cell>
          <cell r="D11" t="str">
            <v>m3</v>
          </cell>
        </row>
        <row r="12">
          <cell r="B12" t="str">
            <v>I-08</v>
          </cell>
          <cell r="C12" t="str">
            <v>Random Rubble Masonry (1:6)</v>
          </cell>
          <cell r="D12" t="str">
            <v>m3</v>
          </cell>
        </row>
        <row r="13">
          <cell r="B13" t="str">
            <v>I-09</v>
          </cell>
          <cell r="C13" t="str">
            <v>Dry Stone masonry</v>
          </cell>
          <cell r="D13" t="str">
            <v>m3</v>
          </cell>
        </row>
        <row r="14">
          <cell r="B14" t="str">
            <v>I-10</v>
          </cell>
          <cell r="C14" t="str">
            <v>Form Work for P.C.C.</v>
          </cell>
          <cell r="D14" t="str">
            <v>m2</v>
          </cell>
        </row>
        <row r="15">
          <cell r="B15" t="str">
            <v>I-11</v>
          </cell>
          <cell r="C15" t="str">
            <v>12.5mm Cement Plaster (1:2)</v>
          </cell>
          <cell r="D15" t="str">
            <v>m2</v>
          </cell>
        </row>
        <row r="16">
          <cell r="B16" t="str">
            <v>I-12</v>
          </cell>
          <cell r="C16" t="str">
            <v>12.5mm Cement Plaster (1:3)</v>
          </cell>
          <cell r="D16" t="str">
            <v>m2</v>
          </cell>
        </row>
        <row r="17">
          <cell r="B17" t="str">
            <v>I-13</v>
          </cell>
          <cell r="C17" t="str">
            <v>12.5mm Cement Plaster (1:4)</v>
          </cell>
          <cell r="D17" t="str">
            <v>m2</v>
          </cell>
        </row>
        <row r="18">
          <cell r="B18" t="str">
            <v>I-14</v>
          </cell>
          <cell r="C18" t="str">
            <v>Cement Pointing (1:3)</v>
          </cell>
          <cell r="D18" t="str">
            <v>m2</v>
          </cell>
        </row>
        <row r="19">
          <cell r="B19" t="str">
            <v>I-15</v>
          </cell>
          <cell r="C19" t="str">
            <v>3mm Cement Punning</v>
          </cell>
          <cell r="D19" t="str">
            <v>m2</v>
          </cell>
        </row>
        <row r="20">
          <cell r="B20" t="str">
            <v>I-16A</v>
          </cell>
          <cell r="C20" t="str">
            <v>Bar Binding for R.C.C. (10mm bar)</v>
          </cell>
          <cell r="D20" t="str">
            <v>Kg</v>
          </cell>
        </row>
        <row r="21">
          <cell r="B21" t="str">
            <v>I-16B</v>
          </cell>
          <cell r="C21" t="str">
            <v>Bar Binding for R.C.C. (6mm bar)</v>
          </cell>
          <cell r="D21" t="str">
            <v>Kg</v>
          </cell>
        </row>
        <row r="22">
          <cell r="B22" t="str">
            <v>I-17</v>
          </cell>
          <cell r="C22" t="str">
            <v>Bar Binding for Ferro-Cement Works</v>
          </cell>
          <cell r="D22" t="str">
            <v>m2</v>
          </cell>
        </row>
        <row r="23">
          <cell r="B23" t="str">
            <v>I-18</v>
          </cell>
          <cell r="C23" t="str">
            <v>Formwork for Ferro-Cement Works</v>
          </cell>
          <cell r="D23" t="str">
            <v>m2</v>
          </cell>
        </row>
        <row r="24">
          <cell r="B24" t="str">
            <v>I-19</v>
          </cell>
          <cell r="C24" t="str">
            <v>Cement Plaster for Ferro-Cement Work (1:3)</v>
          </cell>
          <cell r="D24" t="str">
            <v>m2</v>
          </cell>
        </row>
        <row r="25">
          <cell r="B25" t="str">
            <v>I-20</v>
          </cell>
          <cell r="C25" t="str">
            <v>Formwork for Precast RCC Work</v>
          </cell>
          <cell r="D25" t="str">
            <v>m2</v>
          </cell>
        </row>
        <row r="26">
          <cell r="B26" t="str">
            <v>I-21</v>
          </cell>
          <cell r="C26" t="str">
            <v>Cement Painting</v>
          </cell>
          <cell r="D26" t="str">
            <v>m2</v>
          </cell>
        </row>
        <row r="27">
          <cell r="B27" t="str">
            <v>I-22</v>
          </cell>
          <cell r="C27" t="str">
            <v>Trench digging</v>
          </cell>
          <cell r="D27" t="str">
            <v>m3</v>
          </cell>
        </row>
        <row r="28">
          <cell r="B28" t="str">
            <v>I-23</v>
          </cell>
          <cell r="C28" t="str">
            <v>Trench backfilling</v>
          </cell>
          <cell r="D28" t="str">
            <v>m3</v>
          </cell>
        </row>
        <row r="29">
          <cell r="B29" t="str">
            <v>I-24</v>
          </cell>
          <cell r="C29" t="str">
            <v>Gabion Box (2mX1mX1m)</v>
          </cell>
          <cell r="D29" t="str">
            <v>No</v>
          </cell>
        </row>
        <row r="30">
          <cell r="B30" t="str">
            <v>I-25</v>
          </cell>
          <cell r="C30" t="str">
            <v>Gabion Box (3mX1mX1m)</v>
          </cell>
          <cell r="D30" t="str">
            <v>No</v>
          </cell>
        </row>
        <row r="43">
          <cell r="B43" t="str">
            <v>M-01</v>
          </cell>
          <cell r="C43" t="str">
            <v>Cement</v>
          </cell>
          <cell r="D43" t="str">
            <v>bag</v>
          </cell>
          <cell r="E43">
            <v>360</v>
          </cell>
          <cell r="F43">
            <v>50</v>
          </cell>
        </row>
        <row r="44">
          <cell r="B44" t="str">
            <v>M-02</v>
          </cell>
          <cell r="C44" t="str">
            <v>Sand</v>
          </cell>
          <cell r="D44" t="str">
            <v>m3</v>
          </cell>
          <cell r="E44">
            <v>1000</v>
          </cell>
          <cell r="F44">
            <v>1850</v>
          </cell>
        </row>
        <row r="45">
          <cell r="B45" t="str">
            <v>M-03</v>
          </cell>
          <cell r="C45" t="str">
            <v>Block Stone</v>
          </cell>
          <cell r="D45" t="str">
            <v>m3</v>
          </cell>
          <cell r="E45">
            <v>2500</v>
          </cell>
          <cell r="F45">
            <v>2650</v>
          </cell>
        </row>
        <row r="46">
          <cell r="B46" t="str">
            <v>M-04</v>
          </cell>
          <cell r="C46" t="str">
            <v>Bond Stone</v>
          </cell>
          <cell r="D46" t="str">
            <v>m3</v>
          </cell>
          <cell r="E46">
            <v>2500</v>
          </cell>
          <cell r="F46">
            <v>2650</v>
          </cell>
        </row>
        <row r="47">
          <cell r="B47" t="str">
            <v>M-05</v>
          </cell>
          <cell r="C47" t="str">
            <v>Aggregate (5-10mm)</v>
          </cell>
          <cell r="D47" t="str">
            <v>m3</v>
          </cell>
          <cell r="E47">
            <v>2</v>
          </cell>
          <cell r="F47">
            <v>2</v>
          </cell>
        </row>
        <row r="48">
          <cell r="B48" t="str">
            <v>M-06</v>
          </cell>
          <cell r="C48" t="str">
            <v>Aggregate (10-20mm)</v>
          </cell>
          <cell r="D48" t="str">
            <v>m3</v>
          </cell>
          <cell r="E48">
            <v>31</v>
          </cell>
          <cell r="F48">
            <v>1</v>
          </cell>
        </row>
        <row r="49">
          <cell r="B49" t="str">
            <v>M-07</v>
          </cell>
          <cell r="C49" t="str">
            <v>Aggregate (20-40mm)</v>
          </cell>
          <cell r="D49" t="str">
            <v>m3</v>
          </cell>
          <cell r="E49">
            <v>30</v>
          </cell>
          <cell r="F49">
            <v>1</v>
          </cell>
        </row>
        <row r="50">
          <cell r="B50" t="str">
            <v>M-08</v>
          </cell>
          <cell r="C50" t="str">
            <v>Project Information Board</v>
          </cell>
          <cell r="D50" t="str">
            <v>set</v>
          </cell>
          <cell r="E50">
            <v>74</v>
          </cell>
          <cell r="F50">
            <v>1</v>
          </cell>
        </row>
        <row r="51">
          <cell r="B51" t="str">
            <v>M-09</v>
          </cell>
          <cell r="C51" t="str">
            <v>Reinforcement ( 6mm)</v>
          </cell>
          <cell r="D51" t="str">
            <v>kg</v>
          </cell>
          <cell r="E51">
            <v>48.4</v>
          </cell>
          <cell r="F51">
            <v>1</v>
          </cell>
        </row>
        <row r="52">
          <cell r="B52" t="str">
            <v>M-10</v>
          </cell>
          <cell r="C52" t="str">
            <v>Reinforcement ( 8mm)</v>
          </cell>
          <cell r="D52" t="str">
            <v>kg</v>
          </cell>
          <cell r="E52">
            <v>82</v>
          </cell>
          <cell r="F52">
            <v>0.4</v>
          </cell>
        </row>
        <row r="53">
          <cell r="B53" t="str">
            <v>M-11</v>
          </cell>
          <cell r="C53" t="str">
            <v>Reinforcement (10mm)</v>
          </cell>
          <cell r="D53" t="str">
            <v>kg</v>
          </cell>
          <cell r="E53">
            <v>54.5</v>
          </cell>
          <cell r="F53">
            <v>1</v>
          </cell>
        </row>
        <row r="54">
          <cell r="B54" t="str">
            <v>M-12</v>
          </cell>
          <cell r="C54" t="str">
            <v>Binding wire</v>
          </cell>
          <cell r="D54" t="str">
            <v>kg</v>
          </cell>
          <cell r="E54">
            <v>450</v>
          </cell>
          <cell r="F54">
            <v>8.5</v>
          </cell>
        </row>
        <row r="55">
          <cell r="B55" t="str">
            <v>M-13</v>
          </cell>
          <cell r="C55" t="str">
            <v>Plain wire (3.5 mm dia)</v>
          </cell>
          <cell r="D55" t="str">
            <v>kg</v>
          </cell>
          <cell r="E55">
            <v>1386</v>
          </cell>
          <cell r="F55">
            <v>12</v>
          </cell>
        </row>
        <row r="56">
          <cell r="B56" t="str">
            <v>M-14</v>
          </cell>
          <cell r="C56" t="str">
            <v>Chicken wire mesh (3 Ft wide)</v>
          </cell>
          <cell r="D56" t="str">
            <v>m</v>
          </cell>
          <cell r="E56">
            <v>10</v>
          </cell>
          <cell r="F56">
            <v>0.02</v>
          </cell>
        </row>
        <row r="57">
          <cell r="B57" t="str">
            <v>M-15</v>
          </cell>
          <cell r="C57" t="str">
            <v>Bamboo</v>
          </cell>
          <cell r="D57" t="str">
            <v>pc</v>
          </cell>
          <cell r="E57">
            <v>125</v>
          </cell>
          <cell r="F57">
            <v>0.2</v>
          </cell>
        </row>
        <row r="58">
          <cell r="B58" t="str">
            <v>M-16</v>
          </cell>
          <cell r="C58" t="str">
            <v>Angle Pole</v>
          </cell>
          <cell r="D58" t="str">
            <v>pc</v>
          </cell>
          <cell r="E58">
            <v>200</v>
          </cell>
          <cell r="F58">
            <v>0.05</v>
          </cell>
        </row>
        <row r="59">
          <cell r="B59" t="str">
            <v>M-17</v>
          </cell>
          <cell r="C59" t="str">
            <v>Angle Pole for Gate</v>
          </cell>
          <cell r="D59" t="str">
            <v>pc</v>
          </cell>
          <cell r="E59">
            <v>200</v>
          </cell>
          <cell r="F59">
            <v>0.05</v>
          </cell>
        </row>
        <row r="60">
          <cell r="B60" t="str">
            <v>M-18</v>
          </cell>
          <cell r="C60" t="str">
            <v>Corner Angle Pole</v>
          </cell>
          <cell r="D60" t="str">
            <v>pc</v>
          </cell>
          <cell r="E60">
            <v>200</v>
          </cell>
          <cell r="F60">
            <v>0.04</v>
          </cell>
        </row>
        <row r="61">
          <cell r="B61" t="str">
            <v>M-19</v>
          </cell>
          <cell r="C61" t="str">
            <v>Bracing Angle Pole</v>
          </cell>
          <cell r="D61" t="str">
            <v>pc</v>
          </cell>
          <cell r="E61">
            <v>200</v>
          </cell>
          <cell r="F61">
            <v>2E-3</v>
          </cell>
        </row>
        <row r="62">
          <cell r="B62" t="str">
            <v>M-20</v>
          </cell>
          <cell r="C62" t="str">
            <v>Polythene Sheet</v>
          </cell>
          <cell r="D62" t="str">
            <v>m</v>
          </cell>
          <cell r="E62">
            <v>650</v>
          </cell>
          <cell r="F62">
            <v>3.5</v>
          </cell>
        </row>
        <row r="63">
          <cell r="B63" t="str">
            <v>M-21</v>
          </cell>
          <cell r="C63" t="str">
            <v>Barbed Wire</v>
          </cell>
          <cell r="D63" t="str">
            <v>kg</v>
          </cell>
          <cell r="E63">
            <v>798</v>
          </cell>
          <cell r="F63">
            <v>13.5</v>
          </cell>
        </row>
        <row r="64">
          <cell r="B64" t="str">
            <v>M-22</v>
          </cell>
          <cell r="C64" t="str">
            <v>Fencing Post</v>
          </cell>
          <cell r="D64" t="str">
            <v>pc</v>
          </cell>
          <cell r="E64">
            <v>1125</v>
          </cell>
          <cell r="F64">
            <v>23</v>
          </cell>
        </row>
        <row r="65">
          <cell r="B65" t="str">
            <v>M-23</v>
          </cell>
          <cell r="C65" t="str">
            <v>Angle Gate</v>
          </cell>
          <cell r="D65" t="str">
            <v>pc</v>
          </cell>
          <cell r="E65">
            <v>1125</v>
          </cell>
          <cell r="F65">
            <v>23</v>
          </cell>
        </row>
        <row r="66">
          <cell r="B66" t="str">
            <v>M-24</v>
          </cell>
          <cell r="C66" t="str">
            <v>4" Hinges</v>
          </cell>
          <cell r="D66" t="str">
            <v>pc</v>
          </cell>
          <cell r="E66">
            <v>80</v>
          </cell>
          <cell r="F66">
            <v>1</v>
          </cell>
        </row>
        <row r="67">
          <cell r="B67" t="str">
            <v>M-25</v>
          </cell>
          <cell r="C67" t="str">
            <v>10" Aldrop</v>
          </cell>
          <cell r="D67" t="str">
            <v>pc</v>
          </cell>
          <cell r="E67">
            <v>125</v>
          </cell>
          <cell r="F67">
            <v>0.2</v>
          </cell>
        </row>
        <row r="68">
          <cell r="B68" t="str">
            <v>M-26</v>
          </cell>
          <cell r="C68" t="str">
            <v>Gate Lock Key</v>
          </cell>
          <cell r="D68" t="str">
            <v>pc</v>
          </cell>
          <cell r="E68">
            <v>35</v>
          </cell>
          <cell r="F68">
            <v>0.04</v>
          </cell>
        </row>
        <row r="69">
          <cell r="B69" t="str">
            <v>M-27</v>
          </cell>
          <cell r="C69" t="str">
            <v>Nut with bolt (8mm dia)</v>
          </cell>
          <cell r="D69" t="str">
            <v>pc</v>
          </cell>
          <cell r="E69">
            <v>600</v>
          </cell>
          <cell r="F69">
            <v>5</v>
          </cell>
        </row>
        <row r="70">
          <cell r="B70" t="str">
            <v>M-28</v>
          </cell>
          <cell r="C70" t="str">
            <v>Screws</v>
          </cell>
          <cell r="D70" t="str">
            <v>pc</v>
          </cell>
          <cell r="E70">
            <v>8500</v>
          </cell>
          <cell r="F70">
            <v>900</v>
          </cell>
        </row>
        <row r="71">
          <cell r="B71" t="str">
            <v>M-29</v>
          </cell>
          <cell r="C71" t="str">
            <v>GI sheet Plain (3'x7')</v>
          </cell>
          <cell r="D71" t="str">
            <v>pc</v>
          </cell>
          <cell r="E71">
            <v>44</v>
          </cell>
          <cell r="F71">
            <v>1</v>
          </cell>
        </row>
        <row r="72">
          <cell r="B72" t="str">
            <v>M-30</v>
          </cell>
          <cell r="C72" t="str">
            <v>Manhole Cover (Circular)</v>
          </cell>
          <cell r="D72" t="str">
            <v>pc</v>
          </cell>
          <cell r="E72">
            <v>72</v>
          </cell>
          <cell r="F72">
            <v>0.5</v>
          </cell>
        </row>
        <row r="73">
          <cell r="B73" t="str">
            <v>M-31</v>
          </cell>
          <cell r="C73" t="str">
            <v>Manhole Cover (Square)</v>
          </cell>
          <cell r="D73" t="str">
            <v>pc</v>
          </cell>
          <cell r="E73">
            <v>66</v>
          </cell>
          <cell r="F73">
            <v>0.5</v>
          </cell>
        </row>
        <row r="74">
          <cell r="B74" t="str">
            <v>M-32</v>
          </cell>
          <cell r="C74" t="str">
            <v>Manhole Cover (Rectangle)</v>
          </cell>
          <cell r="D74" t="str">
            <v>pc</v>
          </cell>
          <cell r="E74">
            <v>40</v>
          </cell>
          <cell r="F74">
            <v>0.2</v>
          </cell>
        </row>
        <row r="75">
          <cell r="B75" t="str">
            <v>M-33</v>
          </cell>
          <cell r="C75" t="str">
            <v>Small Slab Frame (55x55)</v>
          </cell>
          <cell r="D75" t="str">
            <v>pc</v>
          </cell>
          <cell r="E75">
            <v>225</v>
          </cell>
          <cell r="F75">
            <v>0.35</v>
          </cell>
        </row>
        <row r="76">
          <cell r="B76" t="str">
            <v>M-34</v>
          </cell>
          <cell r="C76" t="str">
            <v>Big Slab Frame (75x75)</v>
          </cell>
          <cell r="D76" t="str">
            <v>pc</v>
          </cell>
          <cell r="E76">
            <v>225</v>
          </cell>
          <cell r="F76">
            <v>0.35</v>
          </cell>
        </row>
        <row r="77">
          <cell r="B77" t="str">
            <v>M-35</v>
          </cell>
          <cell r="C77" t="str">
            <v>Cement Paint</v>
          </cell>
          <cell r="D77" t="str">
            <v>kg</v>
          </cell>
          <cell r="E77">
            <v>150</v>
          </cell>
          <cell r="F77">
            <v>2.2000000000000002</v>
          </cell>
        </row>
        <row r="78">
          <cell r="B78" t="str">
            <v>M-36</v>
          </cell>
          <cell r="C78" t="str">
            <v>Lime</v>
          </cell>
          <cell r="D78" t="str">
            <v>kg</v>
          </cell>
        </row>
        <row r="79">
          <cell r="B79" t="str">
            <v>M-37</v>
          </cell>
          <cell r="C79" t="str">
            <v>GI Selwage Wire (8g)</v>
          </cell>
          <cell r="D79" t="str">
            <v>kg</v>
          </cell>
        </row>
        <row r="80">
          <cell r="B80" t="str">
            <v>M-38</v>
          </cell>
          <cell r="C80" t="str">
            <v>GI Mesh Wire (10g)</v>
          </cell>
          <cell r="D80" t="str">
            <v>kg</v>
          </cell>
        </row>
        <row r="81">
          <cell r="B81" t="str">
            <v>M-39</v>
          </cell>
          <cell r="C81" t="str">
            <v>Wood for Formwork</v>
          </cell>
          <cell r="D81" t="str">
            <v>m3</v>
          </cell>
          <cell r="E81">
            <v>100</v>
          </cell>
        </row>
        <row r="82">
          <cell r="B82" t="str">
            <v>M-40</v>
          </cell>
          <cell r="C82" t="str">
            <v>Nails</v>
          </cell>
          <cell r="D82" t="str">
            <v>kg</v>
          </cell>
          <cell r="E82">
            <v>50</v>
          </cell>
        </row>
        <row r="83">
          <cell r="B83" t="str">
            <v>M-41</v>
          </cell>
          <cell r="C83" t="str">
            <v>Suspension Cable (8mm)</v>
          </cell>
          <cell r="D83" t="str">
            <v>m</v>
          </cell>
        </row>
        <row r="84">
          <cell r="B84" t="str">
            <v>M-42</v>
          </cell>
          <cell r="C84" t="str">
            <v>Suspension Cable (13mm)</v>
          </cell>
          <cell r="D84" t="str">
            <v>m</v>
          </cell>
        </row>
        <row r="85">
          <cell r="B85" t="str">
            <v>M-43</v>
          </cell>
          <cell r="C85" t="str">
            <v>Bulldog Grips (8mm)</v>
          </cell>
          <cell r="D85" t="str">
            <v>pc</v>
          </cell>
        </row>
        <row r="86">
          <cell r="B86" t="str">
            <v>M-44</v>
          </cell>
          <cell r="C86" t="str">
            <v>Bulldog Grips (13mm)</v>
          </cell>
          <cell r="D86" t="str">
            <v>pc</v>
          </cell>
        </row>
        <row r="87">
          <cell r="B87" t="str">
            <v>M-45</v>
          </cell>
          <cell r="C87" t="str">
            <v>PE Tank 200 ltrs.</v>
          </cell>
          <cell r="D87" t="str">
            <v>pc</v>
          </cell>
        </row>
        <row r="88">
          <cell r="B88" t="str">
            <v>M-46</v>
          </cell>
          <cell r="C88" t="str">
            <v>Tapstand Grid</v>
          </cell>
          <cell r="D88" t="str">
            <v>pc</v>
          </cell>
        </row>
        <row r="89">
          <cell r="B89" t="str">
            <v>M-47</v>
          </cell>
          <cell r="C89" t="str">
            <v>Anchor Bolt (1/2")</v>
          </cell>
          <cell r="D89" t="str">
            <v>pc</v>
          </cell>
        </row>
        <row r="90">
          <cell r="B90" t="str">
            <v>M-48</v>
          </cell>
          <cell r="C90" t="str">
            <v>Anchor Bolt (1")</v>
          </cell>
          <cell r="D90" t="str">
            <v>pc</v>
          </cell>
        </row>
        <row r="91">
          <cell r="B91" t="str">
            <v>M-49</v>
          </cell>
          <cell r="C91" t="str">
            <v>Anchor Bolt (1 1/2")</v>
          </cell>
          <cell r="D91" t="str">
            <v>pc</v>
          </cell>
        </row>
        <row r="92">
          <cell r="B92" t="str">
            <v>M-50</v>
          </cell>
          <cell r="C92" t="str">
            <v>Anchor Bolt (2")</v>
          </cell>
          <cell r="D92" t="str">
            <v>pc</v>
          </cell>
        </row>
        <row r="93">
          <cell r="B93" t="str">
            <v>M-51</v>
          </cell>
          <cell r="C93" t="str">
            <v>Bulldog Grips ( 20 mm)</v>
          </cell>
          <cell r="D93" t="str">
            <v>pc</v>
          </cell>
        </row>
        <row r="94">
          <cell r="B94" t="str">
            <v>M-52</v>
          </cell>
          <cell r="C94" t="str">
            <v>Bulldog Grips ( 25 mm)</v>
          </cell>
          <cell r="D94" t="str">
            <v>pc</v>
          </cell>
        </row>
        <row r="95">
          <cell r="B95" t="str">
            <v>M-53</v>
          </cell>
          <cell r="C95" t="str">
            <v>Rainforcement ( 20mm)</v>
          </cell>
          <cell r="D95" t="str">
            <v>kg</v>
          </cell>
        </row>
        <row r="96">
          <cell r="B96" t="str">
            <v>M-54</v>
          </cell>
          <cell r="C96" t="str">
            <v>Fibre Glass Pan</v>
          </cell>
          <cell r="D96" t="str">
            <v>Set</v>
          </cell>
        </row>
        <row r="97">
          <cell r="B97" t="str">
            <v>M-55</v>
          </cell>
          <cell r="C97" t="str">
            <v>HDPE Bend (syphon)</v>
          </cell>
          <cell r="D97" t="str">
            <v>pc</v>
          </cell>
        </row>
        <row r="98">
          <cell r="B98" t="str">
            <v>M-56</v>
          </cell>
          <cell r="C98" t="str">
            <v>Ceramic Pan Set</v>
          </cell>
          <cell r="D98" t="str">
            <v>Set</v>
          </cell>
        </row>
        <row r="99">
          <cell r="B99" t="str">
            <v>M-57</v>
          </cell>
          <cell r="C99" t="str">
            <v>PE Tank 500 ltrs.</v>
          </cell>
          <cell r="D99" t="str">
            <v>pc</v>
          </cell>
        </row>
        <row r="100">
          <cell r="B100" t="str">
            <v>M-58</v>
          </cell>
          <cell r="C100" t="str">
            <v>Enamel Paint</v>
          </cell>
          <cell r="D100" t="str">
            <v>Ltr</v>
          </cell>
        </row>
        <row r="101">
          <cell r="B101" t="str">
            <v>M-59</v>
          </cell>
          <cell r="C101" t="str">
            <v>U-Hook</v>
          </cell>
          <cell r="D101" t="str">
            <v>pc</v>
          </cell>
        </row>
        <row r="102">
          <cell r="B102" t="str">
            <v>M-60</v>
          </cell>
          <cell r="C102" t="str">
            <v>Hilltake Metal Cover</v>
          </cell>
          <cell r="D102" t="str">
            <v>pc</v>
          </cell>
        </row>
        <row r="103">
          <cell r="B103" t="str">
            <v>M-61</v>
          </cell>
          <cell r="C103" t="str">
            <v>CGI Nails</v>
          </cell>
          <cell r="D103" t="str">
            <v>kg</v>
          </cell>
        </row>
        <row r="104">
          <cell r="B104" t="str">
            <v>M-62</v>
          </cell>
          <cell r="C104" t="str">
            <v>CGI Sheet 26#</v>
          </cell>
          <cell r="D104" t="str">
            <v>pc</v>
          </cell>
        </row>
        <row r="105">
          <cell r="B105" t="str">
            <v>M-63</v>
          </cell>
          <cell r="C105" t="str">
            <v>CGI Plain Sheet 26#</v>
          </cell>
          <cell r="D105" t="str">
            <v>pc</v>
          </cell>
        </row>
        <row r="106">
          <cell r="B106" t="str">
            <v>M-64</v>
          </cell>
          <cell r="C106" t="str">
            <v>PVC Net</v>
          </cell>
          <cell r="D106" t="str">
            <v>m</v>
          </cell>
        </row>
        <row r="107">
          <cell r="B107" t="str">
            <v>M-65</v>
          </cell>
          <cell r="C107" t="str">
            <v>Binding Wire (Galvenized)</v>
          </cell>
          <cell r="D107" t="str">
            <v>Kg</v>
          </cell>
        </row>
        <row r="108">
          <cell r="B108" t="str">
            <v>M-66</v>
          </cell>
          <cell r="C108" t="str">
            <v>Metal Cover 22#</v>
          </cell>
          <cell r="D108" t="str">
            <v>pc</v>
          </cell>
        </row>
        <row r="109">
          <cell r="B109" t="str">
            <v>M-67</v>
          </cell>
          <cell r="C109" t="str">
            <v>Plastic Tirpal</v>
          </cell>
          <cell r="D109" t="str">
            <v>pc</v>
          </cell>
        </row>
        <row r="110">
          <cell r="B110" t="str">
            <v>M-68</v>
          </cell>
          <cell r="C110" t="str">
            <v>Gasket for Flange set</v>
          </cell>
          <cell r="D110" t="str">
            <v>pc</v>
          </cell>
        </row>
        <row r="111">
          <cell r="B111" t="str">
            <v>Code</v>
          </cell>
          <cell r="C111" t="str">
            <v>Labours</v>
          </cell>
          <cell r="D111" t="str">
            <v>Unit</v>
          </cell>
          <cell r="E111" t="str">
            <v>Unit Rate</v>
          </cell>
          <cell r="F111" t="str">
            <v>Unit Weight</v>
          </cell>
        </row>
        <row r="112">
          <cell r="B112" t="str">
            <v>L-1</v>
          </cell>
          <cell r="C112" t="str">
            <v>Skilled Labour</v>
          </cell>
          <cell r="D112" t="str">
            <v>md</v>
          </cell>
          <cell r="E112">
            <v>200</v>
          </cell>
        </row>
        <row r="113">
          <cell r="B113" t="str">
            <v>L-2</v>
          </cell>
          <cell r="C113" t="str">
            <v>Unskilled Labour</v>
          </cell>
          <cell r="D113" t="str">
            <v>md</v>
          </cell>
          <cell r="E113">
            <v>125</v>
          </cell>
        </row>
        <row r="117">
          <cell r="C117" t="str">
            <v>HDPE PIPES</v>
          </cell>
        </row>
        <row r="118">
          <cell r="B118" t="str">
            <v>HP2.5-75</v>
          </cell>
          <cell r="C118" t="str">
            <v>HDPE Pipe(75mm) - 2.5 kgf/cm2</v>
          </cell>
          <cell r="D118" t="str">
            <v>m</v>
          </cell>
          <cell r="E118">
            <v>81.75</v>
          </cell>
          <cell r="F118">
            <v>0.8</v>
          </cell>
        </row>
        <row r="119">
          <cell r="B119" t="str">
            <v>HP2.5-90</v>
          </cell>
          <cell r="C119" t="str">
            <v>HDPE Pipe(90mm) - 2.5 kgf/cm2</v>
          </cell>
          <cell r="D119" t="str">
            <v>m</v>
          </cell>
          <cell r="E119">
            <v>57</v>
          </cell>
          <cell r="F119">
            <v>0.55700000000000005</v>
          </cell>
        </row>
        <row r="120">
          <cell r="B120" t="str">
            <v>HP2.5-110</v>
          </cell>
          <cell r="C120" t="str">
            <v>HDPE Pipe(110mm) - 2.5 kgf/cm2</v>
          </cell>
          <cell r="D120" t="str">
            <v>m</v>
          </cell>
          <cell r="E120">
            <v>57</v>
          </cell>
          <cell r="F120">
            <v>0.55700000000000005</v>
          </cell>
        </row>
        <row r="121">
          <cell r="B121" t="str">
            <v>HP2.5-140</v>
          </cell>
          <cell r="C121" t="str">
            <v>HDPE Pipe(140mm) - 2.5 kgf/cm2</v>
          </cell>
          <cell r="D121" t="str">
            <v>m</v>
          </cell>
          <cell r="E121">
            <v>57</v>
          </cell>
          <cell r="F121">
            <v>0.55700000000000005</v>
          </cell>
        </row>
        <row r="122">
          <cell r="B122" t="str">
            <v>HP2.5-160</v>
          </cell>
          <cell r="C122" t="str">
            <v>HDPE Pipe(160mm) - 2.5 kgf/cm2</v>
          </cell>
          <cell r="D122" t="str">
            <v>m</v>
          </cell>
          <cell r="E122">
            <v>57</v>
          </cell>
          <cell r="F122">
            <v>0.55700000000000005</v>
          </cell>
        </row>
        <row r="123">
          <cell r="B123" t="str">
            <v>HP4-40</v>
          </cell>
          <cell r="C123" t="str">
            <v>HDPE Pipe(40mm) - 4 kgf/cm2</v>
          </cell>
          <cell r="D123" t="str">
            <v>m</v>
          </cell>
          <cell r="E123">
            <v>25.65</v>
          </cell>
          <cell r="F123">
            <v>0.251</v>
          </cell>
        </row>
        <row r="124">
          <cell r="B124" t="str">
            <v>HP4-50</v>
          </cell>
          <cell r="C124" t="str">
            <v>HDPE Pipe(50mm) - 4 kgf/cm2</v>
          </cell>
          <cell r="D124" t="str">
            <v>m</v>
          </cell>
          <cell r="E124">
            <v>38.659999999999997</v>
          </cell>
          <cell r="F124">
            <v>0.378</v>
          </cell>
        </row>
        <row r="125">
          <cell r="B125" t="str">
            <v>HP4-63</v>
          </cell>
          <cell r="C125" t="str">
            <v>HDPE Pipe(63mm) - 4 kgf/cm2</v>
          </cell>
          <cell r="D125" t="str">
            <v>m</v>
          </cell>
          <cell r="E125">
            <v>59.87</v>
          </cell>
          <cell r="F125">
            <v>0.58499999999999996</v>
          </cell>
        </row>
        <row r="126">
          <cell r="B126" t="str">
            <v>HP4-75</v>
          </cell>
          <cell r="C126" t="str">
            <v>HDPE Pipe(75mm) - 4 kgf/cm2</v>
          </cell>
          <cell r="D126" t="str">
            <v>m</v>
          </cell>
          <cell r="E126">
            <v>90.266000000000005</v>
          </cell>
          <cell r="F126">
            <v>0.84599999999999997</v>
          </cell>
        </row>
        <row r="127">
          <cell r="B127" t="str">
            <v>HP4-90</v>
          </cell>
          <cell r="C127" t="str">
            <v>HDPE Pipe(90mm) - 4 kgf/cm2</v>
          </cell>
          <cell r="D127" t="str">
            <v>m</v>
          </cell>
          <cell r="E127">
            <v>130.17400000000001</v>
          </cell>
          <cell r="F127">
            <v>1.22</v>
          </cell>
        </row>
        <row r="128">
          <cell r="B128" t="str">
            <v>HP6-32</v>
          </cell>
          <cell r="C128" t="str">
            <v>HDPE Pipe(32mm) - 6 kgf/cm2</v>
          </cell>
          <cell r="D128" t="str">
            <v>m</v>
          </cell>
          <cell r="E128">
            <v>23.1</v>
          </cell>
          <cell r="F128">
            <v>0.22600000000000001</v>
          </cell>
        </row>
        <row r="129">
          <cell r="B129" t="str">
            <v>HP6-40</v>
          </cell>
          <cell r="C129" t="str">
            <v>HDPE Pipe(40mm) - 6 kgf/cm2</v>
          </cell>
          <cell r="D129" t="str">
            <v>m</v>
          </cell>
          <cell r="E129">
            <v>35.802</v>
          </cell>
          <cell r="F129">
            <v>0.35</v>
          </cell>
        </row>
        <row r="130">
          <cell r="B130" t="str">
            <v>HP6-50</v>
          </cell>
          <cell r="C130" t="str">
            <v>HDPE Pipe(50mm) - 6 kgf/cm2</v>
          </cell>
          <cell r="D130" t="str">
            <v>m</v>
          </cell>
          <cell r="E130">
            <v>55.436999999999998</v>
          </cell>
          <cell r="F130">
            <v>0.54200000000000004</v>
          </cell>
        </row>
        <row r="131">
          <cell r="B131" t="str">
            <v>HP6-63</v>
          </cell>
          <cell r="C131" t="str">
            <v>HDPE Pipe(63mm) - 6 kgf/cm2</v>
          </cell>
          <cell r="D131" t="str">
            <v>m</v>
          </cell>
          <cell r="E131">
            <v>87</v>
          </cell>
          <cell r="F131">
            <v>0.85</v>
          </cell>
        </row>
        <row r="132">
          <cell r="B132" t="str">
            <v>HP6-75</v>
          </cell>
          <cell r="C132" t="str">
            <v>HDPE Pipe(75mm) - 6 kgf/cm2</v>
          </cell>
          <cell r="D132" t="str">
            <v>m</v>
          </cell>
          <cell r="E132">
            <v>127.08300000000001</v>
          </cell>
          <cell r="F132">
            <v>1.1910000000000001</v>
          </cell>
        </row>
        <row r="133">
          <cell r="B133" t="str">
            <v>HP6-90</v>
          </cell>
          <cell r="C133" t="str">
            <v>HDPE Pipe(90mm) - 6 kgf/cm2</v>
          </cell>
          <cell r="D133" t="str">
            <v>m</v>
          </cell>
          <cell r="E133">
            <v>182.99600000000004</v>
          </cell>
          <cell r="F133">
            <v>1.7150000000000001</v>
          </cell>
        </row>
        <row r="134">
          <cell r="B134" t="str">
            <v>HP10-16</v>
          </cell>
          <cell r="C134" t="str">
            <v>HDPE Pipe(16mm) - 10 kgf/cm2</v>
          </cell>
          <cell r="D134" t="str">
            <v>m</v>
          </cell>
          <cell r="E134">
            <v>9.3840000000000003</v>
          </cell>
          <cell r="F134">
            <v>9.1999999999999998E-2</v>
          </cell>
        </row>
        <row r="135">
          <cell r="B135" t="str">
            <v>HP10-20</v>
          </cell>
          <cell r="C135" t="str">
            <v>HDPE Pipe(20mm) - 10 kgf/cm2</v>
          </cell>
          <cell r="D135" t="str">
            <v>m</v>
          </cell>
          <cell r="E135">
            <v>13.667999999999999</v>
          </cell>
          <cell r="F135">
            <v>0.13400000000000001</v>
          </cell>
        </row>
        <row r="136">
          <cell r="B136" t="str">
            <v>HP10-25</v>
          </cell>
          <cell r="C136" t="str">
            <v>HDPE Pipe(25mm) - 10 kgf/cm2</v>
          </cell>
          <cell r="D136" t="str">
            <v>m</v>
          </cell>
          <cell r="E136">
            <v>20.655000000000001</v>
          </cell>
          <cell r="F136">
            <v>0.20599999999999999</v>
          </cell>
        </row>
        <row r="137">
          <cell r="B137" t="str">
            <v>HP10-32</v>
          </cell>
          <cell r="C137" t="str">
            <v>HDPE Pipe(32mm) - 10 kgf/cm2</v>
          </cell>
          <cell r="D137" t="str">
            <v>m</v>
          </cell>
          <cell r="E137">
            <v>34.17</v>
          </cell>
          <cell r="F137">
            <v>0.33400000000000002</v>
          </cell>
        </row>
        <row r="138">
          <cell r="B138" t="str">
            <v>HP10-40</v>
          </cell>
          <cell r="C138" t="str">
            <v>HDPE Pipe(40mm) - 10 kgf/cm2</v>
          </cell>
          <cell r="D138" t="str">
            <v>m</v>
          </cell>
          <cell r="E138">
            <v>52.58</v>
          </cell>
          <cell r="F138">
            <v>0.51400000000000001</v>
          </cell>
        </row>
        <row r="139">
          <cell r="B139" t="str">
            <v>HP10-50</v>
          </cell>
          <cell r="C139" t="str">
            <v>HDPE Pipe(50mm) - 10 kgf/cm2</v>
          </cell>
          <cell r="D139" t="str">
            <v>m</v>
          </cell>
          <cell r="E139">
            <v>81.5</v>
          </cell>
          <cell r="F139">
            <v>0.79600000000000004</v>
          </cell>
        </row>
        <row r="140">
          <cell r="B140" t="str">
            <v>HP10-63</v>
          </cell>
          <cell r="C140" t="str">
            <v>HDPE Pipe(63mm) - 10 kgf/cm2</v>
          </cell>
          <cell r="D140" t="str">
            <v>m</v>
          </cell>
          <cell r="E140">
            <v>130</v>
          </cell>
          <cell r="F140">
            <v>1.2689999999999999</v>
          </cell>
        </row>
        <row r="141">
          <cell r="B141" t="str">
            <v>HP10-75</v>
          </cell>
          <cell r="C141" t="str">
            <v>HDPE Pipe(75mm) - 10 kgf/cm2</v>
          </cell>
          <cell r="D141" t="str">
            <v>m</v>
          </cell>
          <cell r="E141">
            <v>130</v>
          </cell>
          <cell r="F141">
            <v>1.2689999999999999</v>
          </cell>
        </row>
        <row r="142">
          <cell r="B142" t="str">
            <v>HP10-90</v>
          </cell>
          <cell r="C142" t="str">
            <v>HDPE Pipe(90mm) - 10 kgf/cm2</v>
          </cell>
          <cell r="D142" t="str">
            <v>m</v>
          </cell>
          <cell r="E142">
            <v>130</v>
          </cell>
          <cell r="F142">
            <v>1.2689999999999999</v>
          </cell>
        </row>
        <row r="143">
          <cell r="C143" t="str">
            <v>GI PIPES</v>
          </cell>
        </row>
        <row r="144">
          <cell r="B144" t="str">
            <v>GPM-15</v>
          </cell>
          <cell r="C144" t="str">
            <v>G.I. Pipe (1/2") - MC</v>
          </cell>
          <cell r="D144" t="str">
            <v>m</v>
          </cell>
          <cell r="E144">
            <v>72.16</v>
          </cell>
          <cell r="F144">
            <v>1.28</v>
          </cell>
        </row>
        <row r="145">
          <cell r="B145" t="str">
            <v>GPM-20</v>
          </cell>
          <cell r="C145" t="str">
            <v>G.I. Pipe (3/4") - MC</v>
          </cell>
          <cell r="D145" t="str">
            <v>m</v>
          </cell>
          <cell r="E145">
            <v>90.2</v>
          </cell>
          <cell r="F145">
            <v>1.66</v>
          </cell>
        </row>
        <row r="146">
          <cell r="B146" t="str">
            <v>GPM-25</v>
          </cell>
          <cell r="C146" t="str">
            <v>G.I. Pipe (1") - MC</v>
          </cell>
          <cell r="D146" t="str">
            <v>m</v>
          </cell>
          <cell r="E146">
            <v>162.36000000000001</v>
          </cell>
          <cell r="F146">
            <v>2.54</v>
          </cell>
        </row>
        <row r="147">
          <cell r="B147" t="str">
            <v>GPM-32</v>
          </cell>
          <cell r="C147" t="str">
            <v>G.I. Pipe (1-1/4") - MC</v>
          </cell>
          <cell r="D147" t="str">
            <v>m</v>
          </cell>
          <cell r="E147">
            <v>198.44</v>
          </cell>
          <cell r="F147">
            <v>3.028</v>
          </cell>
        </row>
        <row r="148">
          <cell r="B148" t="str">
            <v>GPM-40</v>
          </cell>
          <cell r="C148" t="str">
            <v>G.I. Pipe (1-1/2") - MC</v>
          </cell>
          <cell r="D148" t="str">
            <v>m</v>
          </cell>
          <cell r="E148">
            <v>75.128</v>
          </cell>
          <cell r="F148">
            <v>3.79</v>
          </cell>
        </row>
        <row r="149">
          <cell r="B149" t="str">
            <v>GPM-50</v>
          </cell>
          <cell r="C149" t="str">
            <v>G.I. Pipe (2") - MC</v>
          </cell>
          <cell r="D149" t="str">
            <v>m</v>
          </cell>
          <cell r="E149">
            <v>295.85599999999999</v>
          </cell>
          <cell r="F149">
            <v>5.32</v>
          </cell>
        </row>
        <row r="150">
          <cell r="B150" t="str">
            <v>GPM-63</v>
          </cell>
          <cell r="C150" t="str">
            <v>G.I. Pipe (2-1/2") - MC</v>
          </cell>
          <cell r="D150" t="str">
            <v>m</v>
          </cell>
          <cell r="E150">
            <v>414.92</v>
          </cell>
          <cell r="F150">
            <v>6.85</v>
          </cell>
        </row>
        <row r="151">
          <cell r="B151" t="str">
            <v>GPM-75</v>
          </cell>
          <cell r="C151" t="str">
            <v>G.I. Pipe (3") - MC</v>
          </cell>
          <cell r="D151" t="str">
            <v>m</v>
          </cell>
          <cell r="E151">
            <v>537.5920000000001</v>
          </cell>
          <cell r="F151">
            <v>8.85</v>
          </cell>
        </row>
        <row r="152">
          <cell r="B152" t="str">
            <v>GPH-15</v>
          </cell>
          <cell r="C152" t="str">
            <v>G.I. Pipe (1/2") - HC</v>
          </cell>
          <cell r="D152" t="str">
            <v>m</v>
          </cell>
          <cell r="E152">
            <v>72.16</v>
          </cell>
          <cell r="F152">
            <v>1.28</v>
          </cell>
        </row>
        <row r="153">
          <cell r="B153" t="str">
            <v>GPH-20</v>
          </cell>
          <cell r="C153" t="str">
            <v>G.I. Pipe (3/4") - HC</v>
          </cell>
          <cell r="D153" t="str">
            <v>m</v>
          </cell>
          <cell r="E153">
            <v>90.2</v>
          </cell>
          <cell r="F153">
            <v>1.66</v>
          </cell>
        </row>
        <row r="154">
          <cell r="B154" t="str">
            <v>GPH-25</v>
          </cell>
          <cell r="C154" t="str">
            <v>G.I. Pipe (1") - HC</v>
          </cell>
          <cell r="D154" t="str">
            <v>m</v>
          </cell>
          <cell r="E154">
            <v>162.36000000000001</v>
          </cell>
          <cell r="F154">
            <v>2.54</v>
          </cell>
        </row>
        <row r="155">
          <cell r="B155" t="str">
            <v>GPH-32</v>
          </cell>
          <cell r="C155" t="str">
            <v>G.I. Pipe (1-1/4") - HC</v>
          </cell>
          <cell r="D155" t="str">
            <v>m</v>
          </cell>
          <cell r="E155">
            <v>198.44</v>
          </cell>
          <cell r="F155">
            <v>3.028</v>
          </cell>
        </row>
        <row r="156">
          <cell r="B156" t="str">
            <v>GPH-40</v>
          </cell>
          <cell r="C156" t="str">
            <v>G.I. Pipe (1-1/2") - HC</v>
          </cell>
          <cell r="D156" t="str">
            <v>m</v>
          </cell>
          <cell r="E156">
            <v>75.128</v>
          </cell>
          <cell r="F156">
            <v>3.79</v>
          </cell>
        </row>
        <row r="157">
          <cell r="B157" t="str">
            <v>GPH-50</v>
          </cell>
          <cell r="C157" t="str">
            <v>G.I. Pipe (2") - HC</v>
          </cell>
          <cell r="D157" t="str">
            <v>m</v>
          </cell>
          <cell r="E157">
            <v>295.85599999999999</v>
          </cell>
          <cell r="F157">
            <v>5.32</v>
          </cell>
        </row>
        <row r="158">
          <cell r="B158" t="str">
            <v>GPH-63</v>
          </cell>
          <cell r="C158" t="str">
            <v>G.I. Pipe (2-1/2") - HC</v>
          </cell>
          <cell r="D158" t="str">
            <v>m</v>
          </cell>
          <cell r="E158">
            <v>414.92</v>
          </cell>
          <cell r="F158">
            <v>6.85</v>
          </cell>
        </row>
        <row r="159">
          <cell r="B159" t="str">
            <v>GPH-75</v>
          </cell>
          <cell r="C159" t="str">
            <v>G.I. Pipe (3") - HC</v>
          </cell>
          <cell r="D159" t="str">
            <v>m</v>
          </cell>
          <cell r="E159">
            <v>537.5920000000001</v>
          </cell>
          <cell r="F159">
            <v>8.85</v>
          </cell>
        </row>
        <row r="160">
          <cell r="B160" t="str">
            <v>PVC-20</v>
          </cell>
          <cell r="C160" t="str">
            <v>PVC Pipe ½" (20mm)</v>
          </cell>
          <cell r="D160" t="str">
            <v>m</v>
          </cell>
        </row>
        <row r="161">
          <cell r="B161" t="str">
            <v>PVC-32</v>
          </cell>
          <cell r="C161" t="str">
            <v>PVC Pipe 1" (32mm)</v>
          </cell>
          <cell r="D161" t="str">
            <v>m</v>
          </cell>
        </row>
        <row r="162">
          <cell r="B162" t="str">
            <v>PVC-50</v>
          </cell>
          <cell r="C162" t="str">
            <v>PVC Pipe 1½" (50mm)</v>
          </cell>
          <cell r="D162" t="str">
            <v>m</v>
          </cell>
        </row>
        <row r="163">
          <cell r="B163" t="str">
            <v>PVC-63</v>
          </cell>
          <cell r="C163" t="str">
            <v>PVC Pipe 2" (63mm)</v>
          </cell>
          <cell r="D163" t="str">
            <v>m</v>
          </cell>
        </row>
        <row r="164">
          <cell r="B164" t="str">
            <v>PVC-90</v>
          </cell>
          <cell r="C164" t="str">
            <v>PVC Pipe 3" (90mm)</v>
          </cell>
          <cell r="D164" t="str">
            <v>m</v>
          </cell>
        </row>
        <row r="165">
          <cell r="C165" t="str">
            <v>FITTINGS AND VALVES</v>
          </cell>
        </row>
        <row r="166">
          <cell r="C166" t="str">
            <v>HDPE Fittings</v>
          </cell>
        </row>
        <row r="167">
          <cell r="B167" t="str">
            <v>HR-20x16</v>
          </cell>
          <cell r="C167" t="str">
            <v>HDPE Reducer-20x16</v>
          </cell>
          <cell r="D167" t="str">
            <v>pc</v>
          </cell>
          <cell r="E167">
            <v>40.06</v>
          </cell>
          <cell r="F167">
            <v>0.09</v>
          </cell>
        </row>
        <row r="168">
          <cell r="B168" t="str">
            <v>HR-25x16</v>
          </cell>
          <cell r="C168" t="str">
            <v>HDPE Reducer-25x16</v>
          </cell>
          <cell r="D168" t="str">
            <v>pc</v>
          </cell>
          <cell r="E168">
            <v>40.06</v>
          </cell>
          <cell r="F168">
            <v>0.09</v>
          </cell>
        </row>
        <row r="169">
          <cell r="B169" t="str">
            <v>HR-25x20</v>
          </cell>
          <cell r="C169" t="str">
            <v>HDPE Reducer-25x20</v>
          </cell>
          <cell r="D169" t="str">
            <v>pc</v>
          </cell>
          <cell r="E169">
            <v>55.43</v>
          </cell>
          <cell r="F169">
            <v>0.125</v>
          </cell>
        </row>
        <row r="170">
          <cell r="B170" t="str">
            <v>HR-32x16</v>
          </cell>
          <cell r="C170" t="str">
            <v>HDPE Reducer-32x16</v>
          </cell>
          <cell r="D170" t="str">
            <v>pc</v>
          </cell>
          <cell r="E170">
            <v>55.43</v>
          </cell>
          <cell r="F170">
            <v>0.125</v>
          </cell>
        </row>
        <row r="171">
          <cell r="B171" t="str">
            <v>HR-32x20</v>
          </cell>
          <cell r="C171" t="str">
            <v>HDPE Reducer-32x20</v>
          </cell>
          <cell r="D171" t="str">
            <v>pc</v>
          </cell>
          <cell r="E171">
            <v>55.43</v>
          </cell>
          <cell r="F171">
            <v>0.125</v>
          </cell>
        </row>
        <row r="172">
          <cell r="B172" t="str">
            <v>HR-32x25</v>
          </cell>
          <cell r="C172" t="str">
            <v>HDPE Reducer-32x25</v>
          </cell>
          <cell r="D172" t="str">
            <v>pc</v>
          </cell>
          <cell r="E172">
            <v>81.98</v>
          </cell>
          <cell r="F172">
            <v>0.2</v>
          </cell>
        </row>
        <row r="173">
          <cell r="B173" t="str">
            <v>HR-40x16</v>
          </cell>
          <cell r="C173" t="str">
            <v>HDPE Reducer-40x16</v>
          </cell>
          <cell r="D173" t="str">
            <v>pc</v>
          </cell>
          <cell r="E173">
            <v>81.98</v>
          </cell>
          <cell r="F173">
            <v>0.2</v>
          </cell>
        </row>
        <row r="174">
          <cell r="B174" t="str">
            <v>HR-40x20</v>
          </cell>
          <cell r="C174" t="str">
            <v>HDPE Reducer-40x20</v>
          </cell>
          <cell r="D174" t="str">
            <v>pc</v>
          </cell>
          <cell r="E174">
            <v>81.98</v>
          </cell>
          <cell r="F174">
            <v>0.2</v>
          </cell>
        </row>
        <row r="175">
          <cell r="B175" t="str">
            <v>HR-40x25</v>
          </cell>
          <cell r="C175" t="str">
            <v>HDPE Reducer-40x25</v>
          </cell>
          <cell r="D175" t="str">
            <v>pc</v>
          </cell>
          <cell r="E175">
            <v>81.98</v>
          </cell>
          <cell r="F175">
            <v>0.2</v>
          </cell>
        </row>
        <row r="176">
          <cell r="B176" t="str">
            <v>HR-40x32</v>
          </cell>
          <cell r="C176" t="str">
            <v>HDPE Reducer-40x32</v>
          </cell>
          <cell r="D176" t="str">
            <v>pc</v>
          </cell>
          <cell r="E176">
            <v>129.36000000000001</v>
          </cell>
          <cell r="F176">
            <v>0.28000000000000003</v>
          </cell>
        </row>
        <row r="177">
          <cell r="B177" t="str">
            <v>HR-50x16</v>
          </cell>
          <cell r="C177" t="str">
            <v>HDPE Reducer-50x16</v>
          </cell>
          <cell r="D177" t="str">
            <v>pc</v>
          </cell>
          <cell r="E177">
            <v>129.36000000000001</v>
          </cell>
          <cell r="F177">
            <v>0.28000000000000003</v>
          </cell>
        </row>
        <row r="178">
          <cell r="B178" t="str">
            <v>HR-50x20</v>
          </cell>
          <cell r="C178" t="str">
            <v>HDPE Reducer-50x20</v>
          </cell>
          <cell r="D178" t="str">
            <v>pc</v>
          </cell>
          <cell r="E178">
            <v>129.36000000000001</v>
          </cell>
          <cell r="F178">
            <v>0.28000000000000003</v>
          </cell>
        </row>
        <row r="179">
          <cell r="B179" t="str">
            <v>HR-50x25</v>
          </cell>
          <cell r="C179" t="str">
            <v>HDPE Reducer-50x25</v>
          </cell>
          <cell r="D179" t="str">
            <v>pc</v>
          </cell>
          <cell r="E179">
            <v>129.36000000000001</v>
          </cell>
          <cell r="F179">
            <v>0.28000000000000003</v>
          </cell>
        </row>
        <row r="180">
          <cell r="B180" t="str">
            <v>HR-50x32</v>
          </cell>
          <cell r="C180" t="str">
            <v>HDPE Reducer-50x32</v>
          </cell>
          <cell r="D180" t="str">
            <v>pc</v>
          </cell>
          <cell r="E180">
            <v>129.36000000000001</v>
          </cell>
          <cell r="F180">
            <v>0.28000000000000003</v>
          </cell>
        </row>
        <row r="181">
          <cell r="B181" t="str">
            <v>HR-50x40</v>
          </cell>
          <cell r="C181" t="str">
            <v>HDPE Reducer-50x40</v>
          </cell>
          <cell r="D181" t="str">
            <v>pc</v>
          </cell>
          <cell r="E181">
            <v>129.36000000000001</v>
          </cell>
          <cell r="F181">
            <v>0.28000000000000003</v>
          </cell>
        </row>
        <row r="182">
          <cell r="B182" t="str">
            <v>HR-63x16</v>
          </cell>
          <cell r="C182" t="str">
            <v>HDPE Reducer-63x16</v>
          </cell>
          <cell r="D182" t="str">
            <v>pc</v>
          </cell>
          <cell r="E182">
            <v>162.46</v>
          </cell>
          <cell r="F182">
            <v>0.435</v>
          </cell>
        </row>
        <row r="183">
          <cell r="B183" t="str">
            <v>HR-63x20</v>
          </cell>
          <cell r="C183" t="str">
            <v>HDPE Reducer-63x20</v>
          </cell>
          <cell r="D183" t="str">
            <v>pc</v>
          </cell>
          <cell r="E183">
            <v>162.46</v>
          </cell>
          <cell r="F183">
            <v>0.435</v>
          </cell>
        </row>
        <row r="184">
          <cell r="B184" t="str">
            <v>HR-63x25</v>
          </cell>
          <cell r="C184" t="str">
            <v>HDPE Reducer-63x25</v>
          </cell>
          <cell r="D184" t="str">
            <v>pc</v>
          </cell>
          <cell r="E184">
            <v>162.46</v>
          </cell>
          <cell r="F184">
            <v>0.435</v>
          </cell>
        </row>
        <row r="185">
          <cell r="B185" t="str">
            <v>HR-63x32</v>
          </cell>
          <cell r="C185" t="str">
            <v>HDPE Reducer-63x32</v>
          </cell>
          <cell r="D185" t="str">
            <v>pc</v>
          </cell>
          <cell r="E185">
            <v>162.46</v>
          </cell>
          <cell r="F185">
            <v>0.435</v>
          </cell>
        </row>
        <row r="186">
          <cell r="B186" t="str">
            <v>HR-63x40</v>
          </cell>
          <cell r="C186" t="str">
            <v>HDPE Reducer-63x40</v>
          </cell>
          <cell r="D186" t="str">
            <v>pc</v>
          </cell>
          <cell r="E186">
            <v>162.46</v>
          </cell>
          <cell r="F186">
            <v>0.435</v>
          </cell>
        </row>
        <row r="187">
          <cell r="B187" t="str">
            <v>HR-63x50</v>
          </cell>
          <cell r="C187" t="str">
            <v>HDPE Reducer-63x50</v>
          </cell>
          <cell r="D187" t="str">
            <v>pc</v>
          </cell>
          <cell r="E187">
            <v>162.46</v>
          </cell>
          <cell r="F187">
            <v>0.435</v>
          </cell>
        </row>
        <row r="188">
          <cell r="B188" t="str">
            <v>HR-75x16</v>
          </cell>
          <cell r="C188" t="str">
            <v>HDPE Reducer-75x16</v>
          </cell>
          <cell r="D188" t="str">
            <v>pc</v>
          </cell>
          <cell r="E188">
            <v>186.68</v>
          </cell>
          <cell r="F188">
            <v>0.54500000000000004</v>
          </cell>
        </row>
        <row r="189">
          <cell r="B189" t="str">
            <v>HR-75x20</v>
          </cell>
          <cell r="C189" t="str">
            <v>HDPE Reducer-75x20</v>
          </cell>
          <cell r="D189" t="str">
            <v>pc</v>
          </cell>
          <cell r="E189">
            <v>186.68</v>
          </cell>
          <cell r="F189">
            <v>0.54500000000000004</v>
          </cell>
        </row>
        <row r="190">
          <cell r="B190" t="str">
            <v>HR-75x25</v>
          </cell>
          <cell r="C190" t="str">
            <v>HDPE Reducer-75x25</v>
          </cell>
          <cell r="D190" t="str">
            <v>pc</v>
          </cell>
          <cell r="E190">
            <v>186.68</v>
          </cell>
          <cell r="F190">
            <v>0.54500000000000004</v>
          </cell>
        </row>
        <row r="191">
          <cell r="B191" t="str">
            <v>HR-75x32</v>
          </cell>
          <cell r="C191" t="str">
            <v>HDPE Reducer-75x32</v>
          </cell>
          <cell r="D191" t="str">
            <v>pc</v>
          </cell>
          <cell r="E191">
            <v>186.68</v>
          </cell>
          <cell r="F191">
            <v>0.54500000000000004</v>
          </cell>
        </row>
        <row r="192">
          <cell r="B192" t="str">
            <v>HR-75x40</v>
          </cell>
          <cell r="C192" t="str">
            <v>HDPE Reducer-75x40</v>
          </cell>
          <cell r="D192" t="str">
            <v>pc</v>
          </cell>
          <cell r="E192">
            <v>186.68</v>
          </cell>
          <cell r="F192">
            <v>0.54500000000000004</v>
          </cell>
        </row>
        <row r="193">
          <cell r="B193" t="str">
            <v>HR-75x50</v>
          </cell>
          <cell r="C193" t="str">
            <v>HDPE Reducer-75x50</v>
          </cell>
          <cell r="D193" t="str">
            <v>pc</v>
          </cell>
          <cell r="E193">
            <v>186.68</v>
          </cell>
          <cell r="F193">
            <v>0.54500000000000004</v>
          </cell>
        </row>
        <row r="194">
          <cell r="B194" t="str">
            <v>HR-75x63</v>
          </cell>
          <cell r="C194" t="str">
            <v>HDPE Reducer-75x63</v>
          </cell>
          <cell r="D194" t="str">
            <v>pc</v>
          </cell>
          <cell r="E194">
            <v>186.68</v>
          </cell>
          <cell r="F194">
            <v>0.54500000000000004</v>
          </cell>
        </row>
        <row r="195">
          <cell r="B195" t="str">
            <v>HR-90x16</v>
          </cell>
          <cell r="C195" t="str">
            <v>HDPE Reducer-90x16</v>
          </cell>
          <cell r="D195" t="str">
            <v>pc</v>
          </cell>
          <cell r="E195">
            <v>186.68</v>
          </cell>
          <cell r="F195">
            <v>0.54500000000000004</v>
          </cell>
        </row>
        <row r="196">
          <cell r="B196" t="str">
            <v>HR-90x20</v>
          </cell>
          <cell r="C196" t="str">
            <v>HDPE Reducer-90x20</v>
          </cell>
          <cell r="D196" t="str">
            <v>pc</v>
          </cell>
          <cell r="E196">
            <v>186.68</v>
          </cell>
          <cell r="F196">
            <v>0.54500000000000004</v>
          </cell>
        </row>
        <row r="197">
          <cell r="B197" t="str">
            <v>HR-90x25</v>
          </cell>
          <cell r="C197" t="str">
            <v>HDPE Reducer-90x25</v>
          </cell>
          <cell r="D197" t="str">
            <v>pc</v>
          </cell>
          <cell r="E197">
            <v>186.68</v>
          </cell>
          <cell r="F197">
            <v>0.54500000000000004</v>
          </cell>
        </row>
        <row r="198">
          <cell r="B198" t="str">
            <v>HR-90x32</v>
          </cell>
          <cell r="C198" t="str">
            <v>HDPE Reducer-90x32</v>
          </cell>
          <cell r="D198" t="str">
            <v>pc</v>
          </cell>
          <cell r="E198">
            <v>186.68</v>
          </cell>
          <cell r="F198">
            <v>0.54500000000000004</v>
          </cell>
        </row>
        <row r="199">
          <cell r="B199" t="str">
            <v>HR-90x40</v>
          </cell>
          <cell r="C199" t="str">
            <v>HDPE Reducer-90x40</v>
          </cell>
          <cell r="D199" t="str">
            <v>pc</v>
          </cell>
          <cell r="E199">
            <v>186.68</v>
          </cell>
          <cell r="F199">
            <v>0.54500000000000004</v>
          </cell>
        </row>
        <row r="200">
          <cell r="B200" t="str">
            <v>HR-90x50</v>
          </cell>
          <cell r="C200" t="str">
            <v>HDPE Reducer-90x50</v>
          </cell>
          <cell r="D200" t="str">
            <v>pc</v>
          </cell>
          <cell r="E200">
            <v>186.68</v>
          </cell>
          <cell r="F200">
            <v>0.54500000000000004</v>
          </cell>
        </row>
        <row r="201">
          <cell r="B201" t="str">
            <v>HR-90x63</v>
          </cell>
          <cell r="C201" t="str">
            <v>HDPE Reducer-90x63</v>
          </cell>
          <cell r="D201" t="str">
            <v>pc</v>
          </cell>
          <cell r="E201">
            <v>186.68</v>
          </cell>
          <cell r="F201">
            <v>0.54500000000000004</v>
          </cell>
        </row>
        <row r="202">
          <cell r="B202" t="str">
            <v>HR-90x75</v>
          </cell>
          <cell r="C202" t="str">
            <v>HDPE Reducer-90x75</v>
          </cell>
          <cell r="D202" t="str">
            <v>pc</v>
          </cell>
          <cell r="E202">
            <v>186.68</v>
          </cell>
          <cell r="F202">
            <v>0.54500000000000004</v>
          </cell>
        </row>
        <row r="203">
          <cell r="B203" t="str">
            <v>HET-16</v>
          </cell>
          <cell r="C203" t="str">
            <v>HDPE Equal Tee (16mm)</v>
          </cell>
          <cell r="D203" t="str">
            <v>pc</v>
          </cell>
          <cell r="E203">
            <v>5.9669999999999996</v>
          </cell>
          <cell r="F203">
            <v>0.01</v>
          </cell>
        </row>
        <row r="204">
          <cell r="B204" t="str">
            <v>HET-20</v>
          </cell>
          <cell r="C204" t="str">
            <v>HDPE Equal Tee (20mm)</v>
          </cell>
          <cell r="D204" t="str">
            <v>pc</v>
          </cell>
          <cell r="E204">
            <v>8.4659999999999993</v>
          </cell>
          <cell r="F204">
            <v>0.01</v>
          </cell>
        </row>
        <row r="205">
          <cell r="B205" t="str">
            <v>HET-25</v>
          </cell>
          <cell r="C205" t="str">
            <v>HDPE Equal Tee (25mm)</v>
          </cell>
          <cell r="D205" t="str">
            <v>pc</v>
          </cell>
          <cell r="E205">
            <v>16.829999999999998</v>
          </cell>
          <cell r="F205">
            <v>0.02</v>
          </cell>
        </row>
        <row r="206">
          <cell r="B206" t="str">
            <v>HET-32</v>
          </cell>
          <cell r="C206" t="str">
            <v>HDPE Equal Tee (32mm)</v>
          </cell>
          <cell r="D206" t="str">
            <v>pc</v>
          </cell>
          <cell r="E206">
            <v>31.416</v>
          </cell>
          <cell r="F206">
            <v>0.06</v>
          </cell>
        </row>
        <row r="207">
          <cell r="B207" t="str">
            <v>HET-40</v>
          </cell>
          <cell r="C207" t="str">
            <v>HDPE Equal Tee (40mm)</v>
          </cell>
          <cell r="D207" t="str">
            <v>pc</v>
          </cell>
          <cell r="E207">
            <v>56.558999999999997</v>
          </cell>
          <cell r="F207">
            <v>0.11</v>
          </cell>
        </row>
        <row r="208">
          <cell r="B208" t="str">
            <v>HET-50</v>
          </cell>
          <cell r="C208" t="str">
            <v>HDPE Equal Tee (50mm)</v>
          </cell>
          <cell r="D208" t="str">
            <v>pc</v>
          </cell>
          <cell r="E208">
            <v>68.799000000000007</v>
          </cell>
          <cell r="F208">
            <v>0.16</v>
          </cell>
        </row>
        <row r="209">
          <cell r="B209" t="str">
            <v>HET-63</v>
          </cell>
          <cell r="C209" t="str">
            <v>HDPE Equal Tee (63mm)</v>
          </cell>
          <cell r="D209" t="str">
            <v>pc</v>
          </cell>
          <cell r="E209">
            <v>99.399000000000001</v>
          </cell>
          <cell r="F209">
            <v>0.32</v>
          </cell>
        </row>
        <row r="210">
          <cell r="B210" t="str">
            <v>HET-75</v>
          </cell>
          <cell r="C210" t="str">
            <v>HDPE Equal Tee (75mm)</v>
          </cell>
          <cell r="D210" t="str">
            <v>pc</v>
          </cell>
          <cell r="E210">
            <v>166.51499999999999</v>
          </cell>
          <cell r="F210">
            <v>0.5</v>
          </cell>
        </row>
        <row r="211">
          <cell r="B211" t="str">
            <v>HET-90</v>
          </cell>
          <cell r="C211" t="str">
            <v>HDPE Equal Tee (90mm)</v>
          </cell>
          <cell r="D211" t="str">
            <v>pc</v>
          </cell>
          <cell r="E211">
            <v>166.51499999999999</v>
          </cell>
          <cell r="F211">
            <v>0.5</v>
          </cell>
        </row>
        <row r="212">
          <cell r="B212" t="str">
            <v>HET-110</v>
          </cell>
          <cell r="C212" t="str">
            <v>HDPE Equal Tee (110mm)</v>
          </cell>
          <cell r="D212" t="str">
            <v>pc</v>
          </cell>
        </row>
        <row r="213">
          <cell r="B213" t="str">
            <v>HUT-110×90</v>
          </cell>
          <cell r="C213" t="str">
            <v>HDPE Unequal Tee (110×110×90)</v>
          </cell>
          <cell r="D213" t="str">
            <v>pc</v>
          </cell>
        </row>
        <row r="214">
          <cell r="B214" t="str">
            <v>HUT-110×75</v>
          </cell>
          <cell r="C214" t="str">
            <v>HDPE Unequal Tee (110×110×75)</v>
          </cell>
          <cell r="D214" t="str">
            <v>pc</v>
          </cell>
        </row>
        <row r="215">
          <cell r="B215" t="str">
            <v>HEL-16</v>
          </cell>
          <cell r="C215" t="str">
            <v>HDPE Elbow (16mm)</v>
          </cell>
          <cell r="D215" t="str">
            <v>pc</v>
          </cell>
          <cell r="E215">
            <v>17.182500000000001</v>
          </cell>
          <cell r="F215">
            <v>6.5000000000000002E-2</v>
          </cell>
        </row>
        <row r="216">
          <cell r="B216" t="str">
            <v>HEL-20</v>
          </cell>
          <cell r="C216" t="str">
            <v>HDPE Elbow (20mm)</v>
          </cell>
          <cell r="D216" t="str">
            <v>pc</v>
          </cell>
          <cell r="E216">
            <v>25.987500000000001</v>
          </cell>
          <cell r="F216">
            <v>0.09</v>
          </cell>
        </row>
        <row r="217">
          <cell r="B217" t="str">
            <v>HEL-25</v>
          </cell>
          <cell r="C217" t="str">
            <v>HDPE Elbow (25mm)</v>
          </cell>
          <cell r="D217" t="str">
            <v>pc</v>
          </cell>
          <cell r="E217">
            <v>40.057499999999997</v>
          </cell>
          <cell r="F217">
            <v>0.125</v>
          </cell>
        </row>
        <row r="218">
          <cell r="B218" t="str">
            <v>HEL-32</v>
          </cell>
          <cell r="C218" t="str">
            <v>HDPE Elbow (32mm)</v>
          </cell>
          <cell r="D218" t="str">
            <v>pc</v>
          </cell>
          <cell r="E218">
            <v>25.959</v>
          </cell>
          <cell r="F218">
            <v>0.1</v>
          </cell>
        </row>
        <row r="219">
          <cell r="B219" t="str">
            <v>HEL-40</v>
          </cell>
          <cell r="C219" t="str">
            <v>HDPE Elbow (40mm)</v>
          </cell>
          <cell r="D219" t="str">
            <v>pc</v>
          </cell>
          <cell r="E219">
            <v>51.816000000000003</v>
          </cell>
          <cell r="F219">
            <v>0.1</v>
          </cell>
        </row>
        <row r="220">
          <cell r="B220" t="str">
            <v>HEL-50</v>
          </cell>
          <cell r="C220" t="str">
            <v>HDPE Elbow (50mm)</v>
          </cell>
          <cell r="D220" t="str">
            <v>pc</v>
          </cell>
          <cell r="E220">
            <v>68.799000000000007</v>
          </cell>
          <cell r="F220">
            <v>0.15</v>
          </cell>
        </row>
        <row r="221">
          <cell r="B221" t="str">
            <v>HEL-63</v>
          </cell>
          <cell r="C221" t="str">
            <v>HDPE Elbow (63mm)</v>
          </cell>
          <cell r="D221" t="str">
            <v>pc</v>
          </cell>
          <cell r="E221">
            <v>295.77</v>
          </cell>
          <cell r="F221">
            <v>0.875</v>
          </cell>
        </row>
        <row r="222">
          <cell r="B222" t="str">
            <v>HEL-75</v>
          </cell>
          <cell r="C222" t="str">
            <v>HDPE Elbow (75mm)</v>
          </cell>
          <cell r="D222" t="str">
            <v>pc</v>
          </cell>
          <cell r="E222">
            <v>295.77</v>
          </cell>
          <cell r="F222">
            <v>0.875</v>
          </cell>
        </row>
        <row r="223">
          <cell r="B223" t="str">
            <v>HEL-90</v>
          </cell>
          <cell r="C223" t="str">
            <v>HDPE Elbow (90mm)</v>
          </cell>
          <cell r="D223" t="str">
            <v>pc</v>
          </cell>
          <cell r="E223">
            <v>295.77</v>
          </cell>
          <cell r="F223">
            <v>0.875</v>
          </cell>
        </row>
        <row r="224">
          <cell r="B224" t="str">
            <v>HEL-110</v>
          </cell>
          <cell r="C224" t="str">
            <v>HDPE Elbow (110mm)</v>
          </cell>
          <cell r="D224" t="str">
            <v>pc</v>
          </cell>
        </row>
        <row r="225">
          <cell r="B225" t="str">
            <v>HST-32</v>
          </cell>
          <cell r="C225" t="str">
            <v>HDP Strainer (32mm)</v>
          </cell>
          <cell r="D225" t="str">
            <v>pc</v>
          </cell>
          <cell r="E225">
            <v>150</v>
          </cell>
          <cell r="F225">
            <v>0.15</v>
          </cell>
        </row>
        <row r="226">
          <cell r="B226" t="str">
            <v>HST-40</v>
          </cell>
          <cell r="C226" t="str">
            <v>HDP Strainer (40mm)</v>
          </cell>
          <cell r="D226" t="str">
            <v>pc</v>
          </cell>
          <cell r="E226">
            <v>175</v>
          </cell>
          <cell r="F226">
            <v>0.25</v>
          </cell>
        </row>
        <row r="227">
          <cell r="B227" t="str">
            <v>HST-50</v>
          </cell>
          <cell r="C227" t="str">
            <v>HDP Strainer (50mm)</v>
          </cell>
          <cell r="D227" t="str">
            <v>pc</v>
          </cell>
          <cell r="E227">
            <v>200</v>
          </cell>
          <cell r="F227">
            <v>0.35</v>
          </cell>
        </row>
        <row r="228">
          <cell r="B228" t="str">
            <v>HST-63</v>
          </cell>
          <cell r="C228" t="str">
            <v>HDP Strainer (63mm)</v>
          </cell>
          <cell r="D228" t="str">
            <v>pc</v>
          </cell>
          <cell r="E228">
            <v>408.49207681508221</v>
          </cell>
          <cell r="F228">
            <v>1.35</v>
          </cell>
        </row>
        <row r="229">
          <cell r="B229" t="str">
            <v>HST-75</v>
          </cell>
          <cell r="C229" t="str">
            <v>HDP Strainer (75mm)</v>
          </cell>
          <cell r="D229" t="str">
            <v>pc</v>
          </cell>
          <cell r="E229">
            <v>791.39513237063784</v>
          </cell>
          <cell r="F229">
            <v>1.6</v>
          </cell>
        </row>
        <row r="230">
          <cell r="B230" t="str">
            <v>HST-90</v>
          </cell>
          <cell r="C230" t="str">
            <v>HDP Strainer (90mm)</v>
          </cell>
          <cell r="D230" t="str">
            <v>pc</v>
          </cell>
          <cell r="E230">
            <v>1111.3221921379863</v>
          </cell>
          <cell r="F230">
            <v>1.9</v>
          </cell>
        </row>
        <row r="231">
          <cell r="B231" t="str">
            <v>HEC-16</v>
          </cell>
          <cell r="C231" t="str">
            <v>HDPE End Cap (16mm)</v>
          </cell>
          <cell r="D231" t="str">
            <v>pc</v>
          </cell>
          <cell r="E231">
            <v>1111.3221921379863</v>
          </cell>
          <cell r="F231">
            <v>1.9</v>
          </cell>
        </row>
        <row r="232">
          <cell r="B232" t="str">
            <v>HEC-20</v>
          </cell>
          <cell r="C232" t="str">
            <v>HDPE End Cap (20mm)</v>
          </cell>
          <cell r="D232" t="str">
            <v>pc</v>
          </cell>
          <cell r="E232">
            <v>1111.3221921379863</v>
          </cell>
          <cell r="F232">
            <v>1.9</v>
          </cell>
        </row>
        <row r="233">
          <cell r="B233" t="str">
            <v>HEC-25</v>
          </cell>
          <cell r="C233" t="str">
            <v>HDPE End Cap (25mm)</v>
          </cell>
          <cell r="D233" t="str">
            <v>pc</v>
          </cell>
          <cell r="E233">
            <v>1111.3221921379863</v>
          </cell>
          <cell r="F233">
            <v>1.9</v>
          </cell>
        </row>
        <row r="234">
          <cell r="B234" t="str">
            <v>HEC-32</v>
          </cell>
          <cell r="C234" t="str">
            <v>HDPE End Cap (32mm)</v>
          </cell>
          <cell r="D234" t="str">
            <v>pc</v>
          </cell>
          <cell r="E234">
            <v>52.106193830172344</v>
          </cell>
          <cell r="F234">
            <v>0.25</v>
          </cell>
        </row>
        <row r="235">
          <cell r="B235" t="str">
            <v>HEC-40</v>
          </cell>
          <cell r="C235" t="str">
            <v>HDPE End Cap (40mm)</v>
          </cell>
          <cell r="D235" t="str">
            <v>pc</v>
          </cell>
          <cell r="E235">
            <v>58.39</v>
          </cell>
          <cell r="F235">
            <v>0.3</v>
          </cell>
        </row>
        <row r="236">
          <cell r="B236" t="str">
            <v>HEC-50</v>
          </cell>
          <cell r="C236" t="str">
            <v>HDPE End Cap (50mm)</v>
          </cell>
          <cell r="D236" t="str">
            <v>pc</v>
          </cell>
          <cell r="E236">
            <v>52.106193830172344</v>
          </cell>
          <cell r="F236">
            <v>0.25</v>
          </cell>
        </row>
        <row r="237">
          <cell r="B237" t="str">
            <v>HEC-63</v>
          </cell>
          <cell r="C237" t="str">
            <v>HDPE End Cap (63mm)</v>
          </cell>
          <cell r="D237" t="str">
            <v>pc</v>
          </cell>
          <cell r="E237">
            <v>58.39</v>
          </cell>
          <cell r="F237">
            <v>0.3</v>
          </cell>
        </row>
        <row r="238">
          <cell r="B238" t="str">
            <v>HEC-75</v>
          </cell>
          <cell r="C238" t="str">
            <v>HDPE End Cap (75mm)</v>
          </cell>
          <cell r="D238" t="str">
            <v>pc</v>
          </cell>
          <cell r="E238">
            <v>85.756148186038999</v>
          </cell>
          <cell r="F238">
            <v>0.35</v>
          </cell>
        </row>
        <row r="239">
          <cell r="B239" t="str">
            <v>HEC-90</v>
          </cell>
          <cell r="C239" t="str">
            <v>HDPE End Cap (90mm)</v>
          </cell>
          <cell r="D239" t="str">
            <v>pc</v>
          </cell>
          <cell r="E239">
            <v>85.756148186038999</v>
          </cell>
          <cell r="F239">
            <v>0.35</v>
          </cell>
        </row>
        <row r="240">
          <cell r="C240" t="str">
            <v>GI FITTINGS</v>
          </cell>
        </row>
        <row r="241">
          <cell r="B241" t="str">
            <v>GST-15</v>
          </cell>
          <cell r="C241" t="str">
            <v>G.I. Strainer (1/2")</v>
          </cell>
          <cell r="D241" t="str">
            <v>pc</v>
          </cell>
        </row>
        <row r="242">
          <cell r="B242" t="str">
            <v>GST-25</v>
          </cell>
          <cell r="C242" t="str">
            <v>G.I. Strainer (1")</v>
          </cell>
          <cell r="D242" t="str">
            <v>pc</v>
          </cell>
          <cell r="E242">
            <v>408.49207681508221</v>
          </cell>
          <cell r="F242">
            <v>1.35</v>
          </cell>
        </row>
        <row r="243">
          <cell r="B243" t="str">
            <v>GST-40</v>
          </cell>
          <cell r="C243" t="str">
            <v>G.I. Strainer (1-1/2")</v>
          </cell>
          <cell r="D243" t="str">
            <v>pc</v>
          </cell>
          <cell r="E243">
            <v>791.39513237063784</v>
          </cell>
          <cell r="F243">
            <v>1.6</v>
          </cell>
        </row>
        <row r="244">
          <cell r="B244" t="str">
            <v>GST-50</v>
          </cell>
          <cell r="C244" t="str">
            <v>G.I. Strainer (2")</v>
          </cell>
          <cell r="D244" t="str">
            <v>pc</v>
          </cell>
          <cell r="E244">
            <v>1111.3221921379863</v>
          </cell>
          <cell r="F244">
            <v>1.9</v>
          </cell>
        </row>
        <row r="245">
          <cell r="B245" t="str">
            <v>GST-63</v>
          </cell>
          <cell r="C245" t="str">
            <v>G.I. Strainer (2-1/2")</v>
          </cell>
          <cell r="D245" t="str">
            <v>pc</v>
          </cell>
          <cell r="E245">
            <v>1111.3221921379863</v>
          </cell>
          <cell r="F245">
            <v>1.9</v>
          </cell>
        </row>
        <row r="246">
          <cell r="B246" t="str">
            <v>GST-75</v>
          </cell>
          <cell r="C246" t="str">
            <v>G.I. Strainer (3")</v>
          </cell>
          <cell r="D246" t="str">
            <v>pc</v>
          </cell>
          <cell r="E246">
            <v>1111.3221921379863</v>
          </cell>
          <cell r="F246">
            <v>1.9</v>
          </cell>
        </row>
        <row r="247">
          <cell r="B247" t="str">
            <v>GC- 63</v>
          </cell>
          <cell r="C247" t="str">
            <v>G.I. Cross (2")</v>
          </cell>
          <cell r="D247" t="str">
            <v>pc</v>
          </cell>
        </row>
        <row r="248">
          <cell r="B248" t="str">
            <v>GEL-15</v>
          </cell>
          <cell r="C248" t="str">
            <v xml:space="preserve">G.I. Elbow (1/2") </v>
          </cell>
          <cell r="D248" t="str">
            <v>pc</v>
          </cell>
          <cell r="E248">
            <v>14</v>
          </cell>
          <cell r="F248">
            <v>0.1</v>
          </cell>
        </row>
        <row r="249">
          <cell r="B249" t="str">
            <v>GEL-20</v>
          </cell>
          <cell r="C249" t="str">
            <v xml:space="preserve">G.I. Elbow (3/4") </v>
          </cell>
          <cell r="D249" t="str">
            <v>pc</v>
          </cell>
          <cell r="E249">
            <v>32</v>
          </cell>
          <cell r="F249">
            <v>0.15</v>
          </cell>
        </row>
        <row r="250">
          <cell r="B250" t="str">
            <v>GEL-25</v>
          </cell>
          <cell r="C250" t="str">
            <v xml:space="preserve">G.I. Elbow (1") </v>
          </cell>
          <cell r="D250" t="str">
            <v>pc</v>
          </cell>
          <cell r="E250">
            <v>73</v>
          </cell>
          <cell r="F250">
            <v>0.2</v>
          </cell>
        </row>
        <row r="251">
          <cell r="B251" t="str">
            <v>GEL-32</v>
          </cell>
          <cell r="C251" t="str">
            <v xml:space="preserve">G.I. Elbow (1-1/4") </v>
          </cell>
          <cell r="D251" t="str">
            <v>pc</v>
          </cell>
          <cell r="E251">
            <v>48.4</v>
          </cell>
          <cell r="F251">
            <v>0.3</v>
          </cell>
        </row>
        <row r="252">
          <cell r="B252" t="str">
            <v>GEL-40</v>
          </cell>
          <cell r="C252" t="str">
            <v xml:space="preserve">G.I. Elbow (1-1/2") </v>
          </cell>
          <cell r="D252" t="str">
            <v>pc</v>
          </cell>
          <cell r="E252">
            <v>66</v>
          </cell>
          <cell r="F252">
            <v>0.4</v>
          </cell>
        </row>
        <row r="253">
          <cell r="B253" t="str">
            <v>GEL-50</v>
          </cell>
          <cell r="C253" t="str">
            <v xml:space="preserve">G.I. Elbow (2") </v>
          </cell>
          <cell r="D253" t="str">
            <v>pc</v>
          </cell>
          <cell r="E253">
            <v>99</v>
          </cell>
          <cell r="F253">
            <v>0.68</v>
          </cell>
        </row>
        <row r="254">
          <cell r="B254" t="str">
            <v>GEL-63</v>
          </cell>
          <cell r="C254" t="str">
            <v xml:space="preserve">G.I. Elbow (2-1/2") </v>
          </cell>
          <cell r="D254" t="str">
            <v>pc</v>
          </cell>
          <cell r="E254">
            <v>176</v>
          </cell>
          <cell r="F254">
            <v>1</v>
          </cell>
        </row>
        <row r="255">
          <cell r="B255" t="str">
            <v>GEL-75</v>
          </cell>
          <cell r="C255" t="str">
            <v xml:space="preserve">G.I. Elbow (3") </v>
          </cell>
          <cell r="D255" t="str">
            <v>pc</v>
          </cell>
          <cell r="E255">
            <v>159.5</v>
          </cell>
          <cell r="F255">
            <v>1.25</v>
          </cell>
        </row>
        <row r="256">
          <cell r="B256" t="str">
            <v>GNI-15</v>
          </cell>
          <cell r="C256" t="str">
            <v>G.I. Nipple (1/2")</v>
          </cell>
          <cell r="D256" t="str">
            <v>pc</v>
          </cell>
          <cell r="E256">
            <v>12.55</v>
          </cell>
          <cell r="F256">
            <v>0.13</v>
          </cell>
        </row>
        <row r="257">
          <cell r="B257" t="str">
            <v>GNI-20</v>
          </cell>
          <cell r="C257" t="str">
            <v>G.I. Nipple (3/4")</v>
          </cell>
          <cell r="D257" t="str">
            <v>pc</v>
          </cell>
          <cell r="E257">
            <v>20</v>
          </cell>
          <cell r="F257">
            <v>0.19</v>
          </cell>
        </row>
        <row r="258">
          <cell r="B258" t="str">
            <v>GNI-25</v>
          </cell>
          <cell r="C258" t="str">
            <v>G.I. Nipple (1")</v>
          </cell>
          <cell r="D258" t="str">
            <v>pc</v>
          </cell>
          <cell r="E258">
            <v>22</v>
          </cell>
          <cell r="F258">
            <v>0.24</v>
          </cell>
        </row>
        <row r="259">
          <cell r="B259" t="str">
            <v>GNI-32</v>
          </cell>
          <cell r="C259" t="str">
            <v>G.I. Nipple (1-1/4")</v>
          </cell>
          <cell r="D259" t="str">
            <v>pc</v>
          </cell>
          <cell r="E259">
            <v>33</v>
          </cell>
          <cell r="F259">
            <v>0.28000000000000003</v>
          </cell>
        </row>
        <row r="260">
          <cell r="B260" t="str">
            <v>GNI-40</v>
          </cell>
          <cell r="C260" t="str">
            <v>G.I. Nipple (1-1/2")</v>
          </cell>
          <cell r="D260" t="str">
            <v>pc</v>
          </cell>
          <cell r="E260">
            <v>40.700000000000003</v>
          </cell>
          <cell r="F260">
            <v>0.3</v>
          </cell>
        </row>
        <row r="261">
          <cell r="B261" t="str">
            <v>GNI-50</v>
          </cell>
          <cell r="C261" t="str">
            <v>G.I. Nipple (2")</v>
          </cell>
          <cell r="D261" t="str">
            <v>pc</v>
          </cell>
          <cell r="E261">
            <v>61.6</v>
          </cell>
          <cell r="F261">
            <v>0.4</v>
          </cell>
        </row>
        <row r="262">
          <cell r="B262" t="str">
            <v>GNI-63</v>
          </cell>
          <cell r="C262" t="str">
            <v>G.I. Nipple (2-1/2")</v>
          </cell>
          <cell r="D262" t="str">
            <v>pc</v>
          </cell>
          <cell r="E262">
            <v>115.5</v>
          </cell>
          <cell r="F262">
            <v>0.9</v>
          </cell>
        </row>
        <row r="263">
          <cell r="B263" t="str">
            <v>GNI-75</v>
          </cell>
          <cell r="C263" t="str">
            <v>G.I. Nipple (3")</v>
          </cell>
          <cell r="D263" t="str">
            <v>pc</v>
          </cell>
          <cell r="E263">
            <v>138.6</v>
          </cell>
          <cell r="F263">
            <v>1.75</v>
          </cell>
        </row>
        <row r="264">
          <cell r="B264" t="str">
            <v>GNI150-15</v>
          </cell>
          <cell r="C264" t="str">
            <v>GI Nipple 15cm (1/2")</v>
          </cell>
          <cell r="D264" t="str">
            <v>pc</v>
          </cell>
        </row>
        <row r="265">
          <cell r="B265" t="str">
            <v>GNH-15</v>
          </cell>
          <cell r="C265" t="str">
            <v>G.I. Nipple Hexagonal (1 1/2")</v>
          </cell>
          <cell r="D265" t="str">
            <v>pc</v>
          </cell>
        </row>
        <row r="266">
          <cell r="B266" t="str">
            <v>GNH-63</v>
          </cell>
          <cell r="C266" t="str">
            <v>G.I. Nipple Hexagonal (2")</v>
          </cell>
          <cell r="D266" t="str">
            <v>pc</v>
          </cell>
        </row>
        <row r="267">
          <cell r="B267" t="str">
            <v>GSO-15</v>
          </cell>
          <cell r="C267" t="str">
            <v>G.I. Socket (1/2")</v>
          </cell>
          <cell r="D267" t="str">
            <v>pc</v>
          </cell>
          <cell r="E267">
            <v>10.5</v>
          </cell>
          <cell r="F267">
            <v>0.08</v>
          </cell>
        </row>
        <row r="268">
          <cell r="B268" t="str">
            <v>GSO-20</v>
          </cell>
          <cell r="C268" t="str">
            <v>G.I. Socket (3/4")</v>
          </cell>
          <cell r="D268" t="str">
            <v>pc</v>
          </cell>
          <cell r="E268">
            <v>22</v>
          </cell>
          <cell r="F268">
            <v>0.15</v>
          </cell>
        </row>
        <row r="269">
          <cell r="B269" t="str">
            <v>GSO-25</v>
          </cell>
          <cell r="C269" t="str">
            <v>G.I. Socket (1")</v>
          </cell>
          <cell r="D269" t="str">
            <v>pc</v>
          </cell>
          <cell r="E269">
            <v>44</v>
          </cell>
          <cell r="F269">
            <v>0.25</v>
          </cell>
        </row>
        <row r="270">
          <cell r="B270" t="str">
            <v>GSO-32</v>
          </cell>
          <cell r="C270" t="str">
            <v>G.I. Socket (1-1/4")</v>
          </cell>
          <cell r="D270" t="str">
            <v>pc</v>
          </cell>
          <cell r="E270">
            <v>33</v>
          </cell>
          <cell r="F270">
            <v>0.2</v>
          </cell>
        </row>
        <row r="271">
          <cell r="B271" t="str">
            <v>GSO-40</v>
          </cell>
          <cell r="C271" t="str">
            <v>G.I. Socket (1-1/2")</v>
          </cell>
          <cell r="D271" t="str">
            <v>pc</v>
          </cell>
          <cell r="E271">
            <v>44</v>
          </cell>
          <cell r="F271">
            <v>0.25</v>
          </cell>
        </row>
        <row r="272">
          <cell r="B272" t="str">
            <v>GSO-50</v>
          </cell>
          <cell r="C272" t="str">
            <v>G.I. Socket (2")</v>
          </cell>
          <cell r="D272" t="str">
            <v>pc</v>
          </cell>
          <cell r="E272">
            <v>71</v>
          </cell>
          <cell r="F272">
            <v>0.5</v>
          </cell>
        </row>
        <row r="273">
          <cell r="B273" t="str">
            <v>GSO-63</v>
          </cell>
          <cell r="C273" t="str">
            <v>G.I. Socket (2-1/2")</v>
          </cell>
          <cell r="D273" t="str">
            <v>pc</v>
          </cell>
          <cell r="E273">
            <v>121</v>
          </cell>
          <cell r="F273">
            <v>0.75</v>
          </cell>
        </row>
        <row r="274">
          <cell r="B274" t="str">
            <v>GSO-75</v>
          </cell>
          <cell r="C274" t="str">
            <v>G.I. Socket (3")</v>
          </cell>
          <cell r="D274" t="str">
            <v>pc</v>
          </cell>
          <cell r="E274">
            <v>190</v>
          </cell>
          <cell r="F274">
            <v>1.1299999999999999</v>
          </cell>
        </row>
        <row r="275">
          <cell r="B275" t="str">
            <v>GET-15</v>
          </cell>
          <cell r="C275" t="str">
            <v>G.I. Equal Tee (1/2")</v>
          </cell>
          <cell r="D275" t="str">
            <v>pc</v>
          </cell>
          <cell r="E275">
            <v>19</v>
          </cell>
          <cell r="F275">
            <v>0.13</v>
          </cell>
        </row>
        <row r="276">
          <cell r="B276" t="str">
            <v>GET-20</v>
          </cell>
          <cell r="C276" t="str">
            <v>G.I. Equal Tee (3/4")</v>
          </cell>
          <cell r="D276" t="str">
            <v>pc</v>
          </cell>
          <cell r="E276">
            <v>44</v>
          </cell>
          <cell r="F276">
            <v>0.25</v>
          </cell>
        </row>
        <row r="277">
          <cell r="B277" t="str">
            <v>GET-25</v>
          </cell>
          <cell r="C277" t="str">
            <v>G.I. Equal Tee (1")</v>
          </cell>
          <cell r="D277" t="str">
            <v>pc</v>
          </cell>
          <cell r="E277">
            <v>92</v>
          </cell>
          <cell r="F277">
            <v>0.56000000000000005</v>
          </cell>
        </row>
        <row r="278">
          <cell r="B278" t="str">
            <v>GET-32</v>
          </cell>
          <cell r="C278" t="str">
            <v>G.I. Equal Tee (1-1/4")</v>
          </cell>
          <cell r="D278" t="str">
            <v>pc</v>
          </cell>
          <cell r="E278">
            <v>60.5</v>
          </cell>
          <cell r="F278">
            <v>0.4</v>
          </cell>
        </row>
        <row r="279">
          <cell r="B279" t="str">
            <v>GET-40</v>
          </cell>
          <cell r="C279" t="str">
            <v>G.I. Equal Tee (1-1/2")</v>
          </cell>
          <cell r="D279" t="str">
            <v>pc</v>
          </cell>
          <cell r="E279">
            <v>79.2</v>
          </cell>
          <cell r="F279">
            <v>0.56000000000000005</v>
          </cell>
        </row>
        <row r="280">
          <cell r="B280" t="str">
            <v>GET-50</v>
          </cell>
          <cell r="C280" t="str">
            <v>G.I. Equal Tee (2")</v>
          </cell>
          <cell r="D280" t="str">
            <v>pc</v>
          </cell>
          <cell r="E280">
            <v>144</v>
          </cell>
          <cell r="F280">
            <v>0.87</v>
          </cell>
        </row>
        <row r="281">
          <cell r="B281" t="str">
            <v>GET-63</v>
          </cell>
          <cell r="C281" t="str">
            <v>G.I. Equal Tee (2-1/2")</v>
          </cell>
          <cell r="D281" t="str">
            <v>pc</v>
          </cell>
          <cell r="E281">
            <v>137.5</v>
          </cell>
          <cell r="F281">
            <v>0.87</v>
          </cell>
        </row>
        <row r="282">
          <cell r="B282" t="str">
            <v>GET-75</v>
          </cell>
          <cell r="C282" t="str">
            <v>G.I. Equal Tee (3")</v>
          </cell>
          <cell r="D282" t="str">
            <v>pc</v>
          </cell>
          <cell r="E282">
            <v>370</v>
          </cell>
          <cell r="F282">
            <v>1.75</v>
          </cell>
        </row>
        <row r="283">
          <cell r="B283" t="str">
            <v>GUT-20x15</v>
          </cell>
          <cell r="C283" t="str">
            <v>G.I. Unequal Tee 3/4" X 3/4" X 1/2"</v>
          </cell>
          <cell r="D283" t="str">
            <v>pc</v>
          </cell>
          <cell r="E283">
            <v>33</v>
          </cell>
          <cell r="F283">
            <v>0.28000000000000003</v>
          </cell>
        </row>
        <row r="284">
          <cell r="B284" t="str">
            <v>GUT-25x15</v>
          </cell>
          <cell r="C284" t="str">
            <v>G.I. Unequal Tee 1" X 1" X 1/2"</v>
          </cell>
          <cell r="D284" t="str">
            <v>pc</v>
          </cell>
          <cell r="E284">
            <v>38.5</v>
          </cell>
          <cell r="F284">
            <v>0.32</v>
          </cell>
        </row>
        <row r="285">
          <cell r="B285" t="str">
            <v>GUT-25x20</v>
          </cell>
          <cell r="C285" t="str">
            <v>G.I. Unequal Tee 1" X 1" X 3/4"</v>
          </cell>
          <cell r="D285" t="str">
            <v>pc</v>
          </cell>
          <cell r="E285">
            <v>38.5</v>
          </cell>
          <cell r="F285">
            <v>0.32</v>
          </cell>
        </row>
        <row r="286">
          <cell r="B286" t="str">
            <v>GUT-32x15</v>
          </cell>
          <cell r="C286" t="str">
            <v>G.I. Unequal Tee 1-1/4" X 1-1/4" X 1/2"</v>
          </cell>
          <cell r="D286" t="str">
            <v>pc</v>
          </cell>
          <cell r="E286">
            <v>82.5</v>
          </cell>
          <cell r="F286">
            <v>0.4</v>
          </cell>
        </row>
        <row r="287">
          <cell r="B287" t="str">
            <v>GUT-32x20</v>
          </cell>
          <cell r="C287" t="str">
            <v>G.I. Unequal Tee 1-1/4" X 1-1/4" X 3/4"</v>
          </cell>
          <cell r="D287" t="str">
            <v>pc</v>
          </cell>
          <cell r="E287">
            <v>82.5</v>
          </cell>
          <cell r="F287">
            <v>0.4</v>
          </cell>
        </row>
        <row r="288">
          <cell r="B288" t="str">
            <v>GUT-32x25</v>
          </cell>
          <cell r="C288" t="str">
            <v>G.I. Unequal Tee 1-1/4" X 1-1/4" X 1"</v>
          </cell>
          <cell r="D288" t="str">
            <v>pc</v>
          </cell>
          <cell r="E288">
            <v>82.5</v>
          </cell>
          <cell r="F288">
            <v>0.4</v>
          </cell>
        </row>
        <row r="289">
          <cell r="B289" t="str">
            <v>GUT-40x15</v>
          </cell>
          <cell r="C289" t="str">
            <v>G.I. Unequal Tee 1-1/2" X 1-1/2" X 1/2"</v>
          </cell>
          <cell r="D289" t="str">
            <v>pc</v>
          </cell>
          <cell r="E289">
            <v>93.5</v>
          </cell>
          <cell r="F289">
            <v>0.48</v>
          </cell>
        </row>
        <row r="290">
          <cell r="B290" t="str">
            <v>GUT-40x20</v>
          </cell>
          <cell r="C290" t="str">
            <v>G.I. Unequal Tee 1-1/2" X 1-1/2" X 3/4"</v>
          </cell>
          <cell r="D290" t="str">
            <v>pc</v>
          </cell>
          <cell r="E290">
            <v>93.5</v>
          </cell>
          <cell r="F290">
            <v>0.48</v>
          </cell>
        </row>
        <row r="291">
          <cell r="B291" t="str">
            <v>GUT-40x25</v>
          </cell>
          <cell r="C291" t="str">
            <v>G.I. Unequal Tee 1-1/2" X 1-1/2" X 1"</v>
          </cell>
          <cell r="D291" t="str">
            <v>pc</v>
          </cell>
          <cell r="E291">
            <v>93.5</v>
          </cell>
          <cell r="F291">
            <v>0.48</v>
          </cell>
        </row>
        <row r="292">
          <cell r="B292" t="str">
            <v>GUT-40x30</v>
          </cell>
          <cell r="C292" t="str">
            <v>G.I. Unequal Tee 1-1/2" X 1-1/2" X 1-1/4"</v>
          </cell>
          <cell r="D292" t="str">
            <v>pc</v>
          </cell>
          <cell r="E292">
            <v>93.5</v>
          </cell>
          <cell r="F292">
            <v>0.48</v>
          </cell>
        </row>
        <row r="293">
          <cell r="B293" t="str">
            <v>GUT-50x15</v>
          </cell>
          <cell r="C293" t="str">
            <v>G.I. Unequal Tee 2" X 2" X 1/2"</v>
          </cell>
          <cell r="D293" t="str">
            <v>pc</v>
          </cell>
          <cell r="E293">
            <v>110</v>
          </cell>
          <cell r="F293">
            <v>0.5</v>
          </cell>
        </row>
        <row r="294">
          <cell r="B294" t="str">
            <v>GUT-50x20</v>
          </cell>
          <cell r="C294" t="str">
            <v>G.I. Unequal Tee 2" X 2" X 3/4"</v>
          </cell>
          <cell r="D294" t="str">
            <v>pc</v>
          </cell>
          <cell r="E294">
            <v>110</v>
          </cell>
          <cell r="F294">
            <v>0.5</v>
          </cell>
        </row>
        <row r="295">
          <cell r="B295" t="str">
            <v>GUT-50x25</v>
          </cell>
          <cell r="C295" t="str">
            <v>G.I. Unequal Tee 2" X 2" X 1"</v>
          </cell>
          <cell r="D295" t="str">
            <v>pc</v>
          </cell>
          <cell r="E295">
            <v>110</v>
          </cell>
          <cell r="F295">
            <v>0.5</v>
          </cell>
        </row>
        <row r="296">
          <cell r="B296" t="str">
            <v>GUT-50x32</v>
          </cell>
          <cell r="C296" t="str">
            <v>G.I. Unequal Tee 2" X 2" X 1-1/4"</v>
          </cell>
          <cell r="D296" t="str">
            <v>pc</v>
          </cell>
          <cell r="E296">
            <v>110</v>
          </cell>
          <cell r="F296">
            <v>0.5</v>
          </cell>
        </row>
        <row r="297">
          <cell r="B297" t="str">
            <v>GUT-50x40</v>
          </cell>
          <cell r="C297" t="str">
            <v>G.I. Unequal Tee 2" X 2" X 1-1/2"</v>
          </cell>
          <cell r="D297" t="str">
            <v>pc</v>
          </cell>
          <cell r="E297">
            <v>110</v>
          </cell>
          <cell r="F297">
            <v>0.5</v>
          </cell>
        </row>
        <row r="298">
          <cell r="B298" t="str">
            <v>GUT-63x15</v>
          </cell>
          <cell r="C298" t="str">
            <v>G.I. Unequal Tee 2-1/2" X 2-1/2" X 1/2"</v>
          </cell>
          <cell r="D298" t="str">
            <v>pc</v>
          </cell>
          <cell r="E298">
            <v>110</v>
          </cell>
          <cell r="F298">
            <v>0.5</v>
          </cell>
        </row>
        <row r="299">
          <cell r="B299" t="str">
            <v>GUT-63x20</v>
          </cell>
          <cell r="C299" t="str">
            <v>G.I. Unequal Tee 2-1/2" X 2-1/2" X 3/4"</v>
          </cell>
          <cell r="D299" t="str">
            <v>pc</v>
          </cell>
          <cell r="E299">
            <v>110</v>
          </cell>
          <cell r="F299">
            <v>0.5</v>
          </cell>
        </row>
        <row r="300">
          <cell r="B300" t="str">
            <v>GUT-63x25</v>
          </cell>
          <cell r="C300" t="str">
            <v>G.I. Unequal Tee 2-1/2" X 2-1/2" X 1"</v>
          </cell>
          <cell r="D300" t="str">
            <v>pc</v>
          </cell>
          <cell r="E300">
            <v>110</v>
          </cell>
          <cell r="F300">
            <v>0.5</v>
          </cell>
        </row>
        <row r="301">
          <cell r="B301" t="str">
            <v>GUT-63x32</v>
          </cell>
          <cell r="C301" t="str">
            <v>G.I. Unequal Tee 2-1/2" X 2-1/2" X 1-1/4"</v>
          </cell>
          <cell r="D301" t="str">
            <v>pc</v>
          </cell>
          <cell r="E301">
            <v>110</v>
          </cell>
          <cell r="F301">
            <v>0.5</v>
          </cell>
        </row>
        <row r="302">
          <cell r="B302" t="str">
            <v>GUT-63x40</v>
          </cell>
          <cell r="C302" t="str">
            <v>G.I. Unequal Tee 2-1/2" X 2-1/2" X 1-1/2"</v>
          </cell>
          <cell r="D302" t="str">
            <v>pc</v>
          </cell>
          <cell r="E302">
            <v>110</v>
          </cell>
          <cell r="F302">
            <v>0.5</v>
          </cell>
        </row>
        <row r="303">
          <cell r="B303" t="str">
            <v>GUT-63x50</v>
          </cell>
          <cell r="C303" t="str">
            <v>G.I. Unequal Tee 2-1/2" X 2-1/2" X 2"</v>
          </cell>
          <cell r="D303" t="str">
            <v>pc</v>
          </cell>
          <cell r="E303">
            <v>110</v>
          </cell>
          <cell r="F303">
            <v>0.5</v>
          </cell>
        </row>
        <row r="304">
          <cell r="B304" t="str">
            <v>GUT-75x15</v>
          </cell>
          <cell r="C304" t="str">
            <v>G.I. Unequal Tee 3" X 3" X 1/2"</v>
          </cell>
          <cell r="D304" t="str">
            <v>pc</v>
          </cell>
          <cell r="E304">
            <v>110</v>
          </cell>
          <cell r="F304">
            <v>0.5</v>
          </cell>
        </row>
        <row r="305">
          <cell r="B305" t="str">
            <v>GUT-75x20</v>
          </cell>
          <cell r="C305" t="str">
            <v>G.I. Unequal Tee 3" X 3" X 3/4"</v>
          </cell>
          <cell r="D305" t="str">
            <v>pc</v>
          </cell>
          <cell r="E305">
            <v>110</v>
          </cell>
          <cell r="F305">
            <v>0.5</v>
          </cell>
        </row>
        <row r="306">
          <cell r="B306" t="str">
            <v>GUT-75x25</v>
          </cell>
          <cell r="C306" t="str">
            <v>G.I. Unequal Tee 3" X 3" X 1"</v>
          </cell>
          <cell r="D306" t="str">
            <v>pc</v>
          </cell>
          <cell r="E306">
            <v>110</v>
          </cell>
          <cell r="F306">
            <v>0.5</v>
          </cell>
        </row>
        <row r="307">
          <cell r="B307" t="str">
            <v>GUT-75x32</v>
          </cell>
          <cell r="C307" t="str">
            <v>G.I. Unequal Tee 3" X 3" X 1-1/4"</v>
          </cell>
          <cell r="D307" t="str">
            <v>pc</v>
          </cell>
          <cell r="E307">
            <v>110</v>
          </cell>
          <cell r="F307">
            <v>0.5</v>
          </cell>
        </row>
        <row r="308">
          <cell r="B308" t="str">
            <v>GUT-75x40</v>
          </cell>
          <cell r="C308" t="str">
            <v>G.I. Unequal Tee 3" X 3" X 1-1/2"</v>
          </cell>
          <cell r="D308" t="str">
            <v>pc</v>
          </cell>
          <cell r="E308">
            <v>110</v>
          </cell>
          <cell r="F308">
            <v>0.5</v>
          </cell>
        </row>
        <row r="309">
          <cell r="B309" t="str">
            <v>GUT-75x50</v>
          </cell>
          <cell r="C309" t="str">
            <v>G.I. Unequal Tee 3" X 3" X 2"</v>
          </cell>
          <cell r="D309" t="str">
            <v>pc</v>
          </cell>
          <cell r="E309">
            <v>110</v>
          </cell>
          <cell r="F309">
            <v>0.5</v>
          </cell>
        </row>
        <row r="310">
          <cell r="B310" t="str">
            <v>GUT-75x63</v>
          </cell>
          <cell r="C310" t="str">
            <v>G.I. Unequal Tee 3" X 3" X 2-1/2"</v>
          </cell>
          <cell r="D310" t="str">
            <v>pc</v>
          </cell>
          <cell r="E310">
            <v>110</v>
          </cell>
          <cell r="F310">
            <v>0.5</v>
          </cell>
        </row>
        <row r="311">
          <cell r="B311" t="str">
            <v>GEC-15</v>
          </cell>
          <cell r="C311" t="str">
            <v>G.I. End Cap (1/2")</v>
          </cell>
          <cell r="D311" t="str">
            <v>pc</v>
          </cell>
          <cell r="E311">
            <v>10</v>
          </cell>
          <cell r="F311">
            <v>0.05</v>
          </cell>
        </row>
        <row r="312">
          <cell r="B312" t="str">
            <v>GEC-20</v>
          </cell>
          <cell r="C312" t="str">
            <v>G.I. End Cap (3/4")</v>
          </cell>
          <cell r="D312" t="str">
            <v>pc</v>
          </cell>
          <cell r="E312">
            <v>12</v>
          </cell>
          <cell r="F312">
            <v>0.1</v>
          </cell>
        </row>
        <row r="313">
          <cell r="B313" t="str">
            <v>GEC-25</v>
          </cell>
          <cell r="C313" t="str">
            <v>G.I. End Cap (1")</v>
          </cell>
          <cell r="D313" t="str">
            <v>pc</v>
          </cell>
          <cell r="E313">
            <v>24</v>
          </cell>
          <cell r="F313">
            <v>0.15</v>
          </cell>
        </row>
        <row r="314">
          <cell r="B314" t="str">
            <v>GEC-32</v>
          </cell>
          <cell r="C314" t="str">
            <v>G.I. End Cap (1-1/4")</v>
          </cell>
          <cell r="D314" t="str">
            <v>pc</v>
          </cell>
          <cell r="E314">
            <v>15.4</v>
          </cell>
          <cell r="F314">
            <v>0.5</v>
          </cell>
        </row>
        <row r="315">
          <cell r="B315" t="str">
            <v>GEC-40</v>
          </cell>
          <cell r="C315" t="str">
            <v>G.I. End Cap (1-1/2")</v>
          </cell>
          <cell r="D315" t="str">
            <v>pc</v>
          </cell>
          <cell r="E315">
            <v>22</v>
          </cell>
          <cell r="F315">
            <v>0.6</v>
          </cell>
        </row>
        <row r="316">
          <cell r="B316" t="str">
            <v>GEC-50</v>
          </cell>
          <cell r="C316" t="str">
            <v>G.I. End Cap (2")</v>
          </cell>
          <cell r="D316" t="str">
            <v>pc</v>
          </cell>
          <cell r="E316">
            <v>33</v>
          </cell>
          <cell r="F316">
            <v>0.2</v>
          </cell>
        </row>
        <row r="317">
          <cell r="B317" t="str">
            <v>GEC-63</v>
          </cell>
          <cell r="C317" t="str">
            <v>G.I. End Cap (2-1/2")</v>
          </cell>
          <cell r="D317" t="str">
            <v>pc</v>
          </cell>
          <cell r="E317">
            <v>70</v>
          </cell>
          <cell r="F317">
            <v>0.2</v>
          </cell>
        </row>
        <row r="318">
          <cell r="B318" t="str">
            <v>GEC-75</v>
          </cell>
          <cell r="C318" t="str">
            <v>G.I. End Cap (3")</v>
          </cell>
          <cell r="D318" t="str">
            <v>pc</v>
          </cell>
          <cell r="E318">
            <v>70</v>
          </cell>
          <cell r="F318">
            <v>0.2</v>
          </cell>
        </row>
        <row r="319">
          <cell r="B319" t="str">
            <v>GFL-32</v>
          </cell>
          <cell r="C319" t="str">
            <v>G.I. G.I. Flange (1")</v>
          </cell>
          <cell r="D319" t="str">
            <v>pc</v>
          </cell>
        </row>
        <row r="320">
          <cell r="B320" t="str">
            <v>GFL-40</v>
          </cell>
          <cell r="C320" t="str">
            <v>G.I. G.I. Flange (1-1/2")</v>
          </cell>
          <cell r="D320" t="str">
            <v>pc</v>
          </cell>
        </row>
        <row r="321">
          <cell r="B321" t="str">
            <v>GFL-50</v>
          </cell>
          <cell r="C321" t="str">
            <v>G.I. G.I. Flange (2")</v>
          </cell>
          <cell r="D321" t="str">
            <v>pc</v>
          </cell>
        </row>
        <row r="322">
          <cell r="B322" t="str">
            <v>GFL-63</v>
          </cell>
          <cell r="C322" t="str">
            <v>G.I. G.I. Flange (2-1/2")</v>
          </cell>
          <cell r="D322" t="str">
            <v>pc</v>
          </cell>
        </row>
        <row r="323">
          <cell r="B323" t="str">
            <v>GFL-75</v>
          </cell>
          <cell r="C323" t="str">
            <v>G.I. G.I. Flange (3")</v>
          </cell>
          <cell r="D323" t="str">
            <v>pc</v>
          </cell>
        </row>
        <row r="324">
          <cell r="B324" t="str">
            <v>GEP-15</v>
          </cell>
          <cell r="C324" t="str">
            <v>G.I. End Plug (1/2")</v>
          </cell>
          <cell r="D324" t="str">
            <v>pc</v>
          </cell>
          <cell r="E324">
            <v>7</v>
          </cell>
          <cell r="F324">
            <v>0.05</v>
          </cell>
        </row>
        <row r="325">
          <cell r="B325" t="str">
            <v>GEP-20</v>
          </cell>
          <cell r="C325" t="str">
            <v>G.I. End Plug (3/4")</v>
          </cell>
          <cell r="D325" t="str">
            <v>pc</v>
          </cell>
          <cell r="E325">
            <v>13.5</v>
          </cell>
          <cell r="F325">
            <v>0.1</v>
          </cell>
        </row>
        <row r="326">
          <cell r="B326" t="str">
            <v>GEP-25</v>
          </cell>
          <cell r="C326" t="str">
            <v>G.I. End Plug (1")</v>
          </cell>
          <cell r="D326" t="str">
            <v>pc</v>
          </cell>
          <cell r="E326">
            <v>22</v>
          </cell>
          <cell r="F326">
            <v>0.15</v>
          </cell>
        </row>
        <row r="327">
          <cell r="B327" t="str">
            <v>GEP-32</v>
          </cell>
          <cell r="C327" t="str">
            <v>G.I. End Plug (1-1/4")</v>
          </cell>
          <cell r="D327" t="str">
            <v>pc</v>
          </cell>
          <cell r="E327">
            <v>22</v>
          </cell>
          <cell r="F327">
            <v>0.15</v>
          </cell>
        </row>
        <row r="328">
          <cell r="B328" t="str">
            <v>GEP-40</v>
          </cell>
          <cell r="C328" t="str">
            <v>G.I. End Plug (1-1/2")</v>
          </cell>
          <cell r="D328" t="str">
            <v>pc</v>
          </cell>
          <cell r="E328">
            <v>22</v>
          </cell>
          <cell r="F328">
            <v>0.15</v>
          </cell>
        </row>
        <row r="329">
          <cell r="B329" t="str">
            <v>GEP-50</v>
          </cell>
          <cell r="C329" t="str">
            <v>G.I. End Plug (2")</v>
          </cell>
          <cell r="D329" t="str">
            <v>pc</v>
          </cell>
          <cell r="E329">
            <v>29</v>
          </cell>
          <cell r="F329">
            <v>0.2</v>
          </cell>
        </row>
        <row r="330">
          <cell r="B330" t="str">
            <v>GEP-63</v>
          </cell>
          <cell r="C330" t="str">
            <v>G.I. End Plug (2")</v>
          </cell>
          <cell r="D330" t="str">
            <v>pc</v>
          </cell>
          <cell r="E330">
            <v>29</v>
          </cell>
          <cell r="F330">
            <v>0.2</v>
          </cell>
        </row>
        <row r="331">
          <cell r="B331" t="str">
            <v>GEP-75</v>
          </cell>
          <cell r="C331" t="str">
            <v>G.I. End Plug (3")</v>
          </cell>
          <cell r="D331" t="str">
            <v>pc</v>
          </cell>
          <cell r="E331">
            <v>80</v>
          </cell>
          <cell r="F331">
            <v>0.4</v>
          </cell>
        </row>
        <row r="332">
          <cell r="B332" t="str">
            <v>GRS-20x15</v>
          </cell>
          <cell r="C332" t="str">
            <v>GI Reducer  3/4"  x  1/2"</v>
          </cell>
          <cell r="D332" t="str">
            <v>pc</v>
          </cell>
          <cell r="E332">
            <v>20.9</v>
          </cell>
          <cell r="F332">
            <v>0.1</v>
          </cell>
        </row>
        <row r="333">
          <cell r="B333" t="str">
            <v>GRS-25x20</v>
          </cell>
          <cell r="C333" t="str">
            <v>GI Reducer  1"  x  3/4"</v>
          </cell>
          <cell r="D333" t="str">
            <v>pc</v>
          </cell>
          <cell r="E333">
            <v>27.5</v>
          </cell>
          <cell r="F333">
            <v>0.13</v>
          </cell>
        </row>
        <row r="334">
          <cell r="B334" t="str">
            <v>GRS-25x15</v>
          </cell>
          <cell r="C334" t="str">
            <v>GI Reducer  1"  x  1/2"</v>
          </cell>
          <cell r="D334" t="str">
            <v>pc</v>
          </cell>
          <cell r="E334">
            <v>27.5</v>
          </cell>
          <cell r="F334">
            <v>0.11</v>
          </cell>
        </row>
        <row r="335">
          <cell r="B335" t="str">
            <v>GRS-32x25</v>
          </cell>
          <cell r="C335" t="str">
            <v>GI Reducer  1-1/4"  x  1"</v>
          </cell>
          <cell r="D335" t="str">
            <v>pc</v>
          </cell>
          <cell r="E335">
            <v>40.700000000000003</v>
          </cell>
          <cell r="F335">
            <v>0.25</v>
          </cell>
        </row>
        <row r="336">
          <cell r="B336" t="str">
            <v>GRS-32x20</v>
          </cell>
          <cell r="C336" t="str">
            <v>GI Reducer  1-1/4"  x  3/4"</v>
          </cell>
          <cell r="D336" t="str">
            <v>pc</v>
          </cell>
          <cell r="E336">
            <v>40.700000000000003</v>
          </cell>
          <cell r="F336">
            <v>0.2</v>
          </cell>
        </row>
        <row r="337">
          <cell r="B337" t="str">
            <v>GRS-32x15</v>
          </cell>
          <cell r="C337" t="str">
            <v>GI Reducer  1-1/4"  x  1/2"</v>
          </cell>
          <cell r="D337" t="str">
            <v>pc</v>
          </cell>
          <cell r="E337">
            <v>40.700000000000003</v>
          </cell>
          <cell r="F337">
            <v>0.17</v>
          </cell>
        </row>
        <row r="338">
          <cell r="B338" t="str">
            <v>GRS-40x32</v>
          </cell>
          <cell r="C338" t="str">
            <v>GI Reducer  1-1/2"  x  1 1/4"</v>
          </cell>
          <cell r="D338" t="str">
            <v>pc</v>
          </cell>
          <cell r="E338">
            <v>49.5</v>
          </cell>
          <cell r="F338">
            <v>0.25</v>
          </cell>
        </row>
        <row r="339">
          <cell r="B339" t="str">
            <v>GRS-40x25</v>
          </cell>
          <cell r="C339" t="str">
            <v>GI Reducer  1-1/2"  x  1"</v>
          </cell>
          <cell r="D339" t="str">
            <v>pc</v>
          </cell>
          <cell r="E339">
            <v>49.5</v>
          </cell>
          <cell r="F339">
            <v>0.22</v>
          </cell>
        </row>
        <row r="340">
          <cell r="B340" t="str">
            <v>GRS-40x20</v>
          </cell>
          <cell r="C340" t="str">
            <v>GI Reducer  1-1/2"  x  3/4"</v>
          </cell>
          <cell r="D340" t="str">
            <v>pc</v>
          </cell>
          <cell r="E340">
            <v>49.5</v>
          </cell>
          <cell r="F340">
            <v>0.2</v>
          </cell>
        </row>
        <row r="341">
          <cell r="B341" t="str">
            <v>GRS-40x15</v>
          </cell>
          <cell r="C341" t="str">
            <v>GI Reducer  1-1/2"  x  1/2"</v>
          </cell>
          <cell r="D341" t="str">
            <v>pc</v>
          </cell>
          <cell r="E341">
            <v>49.5</v>
          </cell>
          <cell r="F341">
            <v>0.18</v>
          </cell>
        </row>
        <row r="342">
          <cell r="B342" t="str">
            <v>GRS-50x40</v>
          </cell>
          <cell r="C342" t="str">
            <v>GI Reducer  2"  x  1-1/2"</v>
          </cell>
          <cell r="D342" t="str">
            <v>pc</v>
          </cell>
          <cell r="E342">
            <v>75.900000000000006</v>
          </cell>
          <cell r="F342">
            <v>0.45</v>
          </cell>
        </row>
        <row r="343">
          <cell r="B343" t="str">
            <v>GRS-50x32</v>
          </cell>
          <cell r="C343" t="str">
            <v>GI Reducer  2"  x  1-1/4"</v>
          </cell>
          <cell r="D343" t="str">
            <v>pc</v>
          </cell>
          <cell r="E343">
            <v>75.900000000000006</v>
          </cell>
          <cell r="F343">
            <v>0.4</v>
          </cell>
        </row>
        <row r="344">
          <cell r="B344" t="str">
            <v>GRS-50x25</v>
          </cell>
          <cell r="C344" t="str">
            <v>GI Reducer  2"  x  1"</v>
          </cell>
          <cell r="D344" t="str">
            <v>pc</v>
          </cell>
          <cell r="E344">
            <v>75.900000000000006</v>
          </cell>
          <cell r="F344">
            <v>0.35</v>
          </cell>
        </row>
        <row r="345">
          <cell r="B345" t="str">
            <v>GRS-50x20</v>
          </cell>
          <cell r="C345" t="str">
            <v>GI Reducer  2"  x  3/4"</v>
          </cell>
          <cell r="D345" t="str">
            <v>pc</v>
          </cell>
          <cell r="E345">
            <v>75.900000000000006</v>
          </cell>
          <cell r="F345">
            <v>0.3</v>
          </cell>
        </row>
        <row r="346">
          <cell r="B346" t="str">
            <v>GRS-50x15</v>
          </cell>
          <cell r="C346" t="str">
            <v>GI Reducer  2"  x  1/2"</v>
          </cell>
          <cell r="D346" t="str">
            <v>pc</v>
          </cell>
          <cell r="E346">
            <v>75.900000000000006</v>
          </cell>
          <cell r="F346">
            <v>0.3</v>
          </cell>
        </row>
        <row r="347">
          <cell r="B347" t="str">
            <v>GRS-63x50</v>
          </cell>
          <cell r="C347" t="str">
            <v>GI Reducer  2-1/2"  x 2"</v>
          </cell>
          <cell r="D347" t="str">
            <v>pc</v>
          </cell>
          <cell r="E347">
            <v>75.900000000000006</v>
          </cell>
          <cell r="F347">
            <v>0.3</v>
          </cell>
        </row>
        <row r="348">
          <cell r="B348" t="str">
            <v>GRS-63x40</v>
          </cell>
          <cell r="C348" t="str">
            <v>GI Reducer  2-1/2"  x 1-1/2"</v>
          </cell>
          <cell r="D348" t="str">
            <v>pc</v>
          </cell>
          <cell r="E348">
            <v>75.900000000000006</v>
          </cell>
          <cell r="F348">
            <v>0.3</v>
          </cell>
        </row>
        <row r="349">
          <cell r="B349" t="str">
            <v>GRS-63x32</v>
          </cell>
          <cell r="C349" t="str">
            <v>GI Reducer  2-1/2"  x 1-1/4"</v>
          </cell>
          <cell r="D349" t="str">
            <v>pc</v>
          </cell>
          <cell r="E349">
            <v>75.900000000000006</v>
          </cell>
          <cell r="F349">
            <v>0.3</v>
          </cell>
        </row>
        <row r="350">
          <cell r="B350" t="str">
            <v>GRS-63x25</v>
          </cell>
          <cell r="C350" t="str">
            <v>GI Reducer  2-1/2"  x 1"</v>
          </cell>
          <cell r="D350" t="str">
            <v>pc</v>
          </cell>
          <cell r="E350">
            <v>75.900000000000006</v>
          </cell>
          <cell r="F350">
            <v>0.3</v>
          </cell>
        </row>
        <row r="351">
          <cell r="B351" t="str">
            <v>GRS-63x20</v>
          </cell>
          <cell r="C351" t="str">
            <v>GI Reducer  2-1/2"  x 3/4"</v>
          </cell>
          <cell r="D351" t="str">
            <v>pc</v>
          </cell>
          <cell r="E351">
            <v>75.900000000000006</v>
          </cell>
          <cell r="F351">
            <v>0.3</v>
          </cell>
        </row>
        <row r="352">
          <cell r="B352" t="str">
            <v>GRS-63x15</v>
          </cell>
          <cell r="C352" t="str">
            <v>GI Reducer  2-1/2"  x 1/2"</v>
          </cell>
          <cell r="D352" t="str">
            <v>pc</v>
          </cell>
          <cell r="E352">
            <v>75.900000000000006</v>
          </cell>
          <cell r="F352">
            <v>0.3</v>
          </cell>
        </row>
        <row r="353">
          <cell r="B353" t="str">
            <v>GRS-63x50</v>
          </cell>
          <cell r="C353" t="str">
            <v>GI Reducer  2-1/2"  x 2"</v>
          </cell>
          <cell r="D353" t="str">
            <v>pc</v>
          </cell>
          <cell r="E353">
            <v>75.900000000000006</v>
          </cell>
          <cell r="F353">
            <v>0.3</v>
          </cell>
        </row>
        <row r="354">
          <cell r="B354" t="str">
            <v>GRS-75x63</v>
          </cell>
          <cell r="C354" t="str">
            <v>GI Reducer  3"  x 2-1/2"</v>
          </cell>
          <cell r="D354" t="str">
            <v>pc</v>
          </cell>
          <cell r="E354">
            <v>75.900000000000006</v>
          </cell>
          <cell r="F354">
            <v>0.3</v>
          </cell>
        </row>
        <row r="355">
          <cell r="B355" t="str">
            <v>GRS-75x50</v>
          </cell>
          <cell r="C355" t="str">
            <v>GI Reducer  3"  x 2"</v>
          </cell>
          <cell r="D355" t="str">
            <v>pc</v>
          </cell>
          <cell r="E355">
            <v>0</v>
          </cell>
          <cell r="F355">
            <v>0</v>
          </cell>
        </row>
        <row r="356">
          <cell r="B356" t="str">
            <v>GRS-75x40</v>
          </cell>
          <cell r="C356" t="str">
            <v>GI Reducer  3"  x 1-1/2"</v>
          </cell>
          <cell r="D356" t="str">
            <v>pc</v>
          </cell>
          <cell r="E356">
            <v>75.900000000000006</v>
          </cell>
          <cell r="F356">
            <v>0.3</v>
          </cell>
        </row>
        <row r="357">
          <cell r="B357" t="str">
            <v>GRS-75x32</v>
          </cell>
          <cell r="C357" t="str">
            <v>GI Reducer  3"  x 1-1/4"</v>
          </cell>
          <cell r="D357" t="str">
            <v>pc</v>
          </cell>
          <cell r="E357">
            <v>75.900000000000006</v>
          </cell>
          <cell r="F357">
            <v>0.3</v>
          </cell>
        </row>
        <row r="358">
          <cell r="B358" t="str">
            <v>GRS-75x25</v>
          </cell>
          <cell r="C358" t="str">
            <v>GI Reducer  3"  x 1"</v>
          </cell>
          <cell r="D358" t="str">
            <v>pc</v>
          </cell>
          <cell r="E358">
            <v>75.900000000000006</v>
          </cell>
          <cell r="F358">
            <v>0.3</v>
          </cell>
        </row>
        <row r="359">
          <cell r="B359" t="str">
            <v>GRS-75x20</v>
          </cell>
          <cell r="C359" t="str">
            <v>GI Reducer  3"  x 3/4"</v>
          </cell>
          <cell r="D359" t="str">
            <v>pc</v>
          </cell>
          <cell r="E359">
            <v>0</v>
          </cell>
          <cell r="F359">
            <v>0</v>
          </cell>
        </row>
        <row r="360">
          <cell r="B360" t="str">
            <v>GRS-75x15</v>
          </cell>
          <cell r="C360" t="str">
            <v>GI Reducer  3"  x  1/2"</v>
          </cell>
          <cell r="D360" t="str">
            <v>pc</v>
          </cell>
          <cell r="E360">
            <v>75.900000000000006</v>
          </cell>
          <cell r="F360">
            <v>0.3</v>
          </cell>
        </row>
        <row r="361">
          <cell r="B361" t="str">
            <v>GUN-15</v>
          </cell>
          <cell r="C361" t="str">
            <v>G.I. Union  1/2"</v>
          </cell>
          <cell r="D361" t="str">
            <v>pc</v>
          </cell>
          <cell r="E361">
            <v>37</v>
          </cell>
          <cell r="F361">
            <v>0.22</v>
          </cell>
        </row>
        <row r="362">
          <cell r="B362" t="str">
            <v>GUN-20</v>
          </cell>
          <cell r="C362" t="str">
            <v>G.I. Union  3/4"</v>
          </cell>
          <cell r="D362" t="str">
            <v>pc</v>
          </cell>
          <cell r="E362">
            <v>90</v>
          </cell>
          <cell r="F362">
            <v>0.27</v>
          </cell>
        </row>
        <row r="363">
          <cell r="B363" t="str">
            <v>GUN-25</v>
          </cell>
          <cell r="C363" t="str">
            <v>G.I. Union  1"</v>
          </cell>
          <cell r="D363" t="str">
            <v>pc</v>
          </cell>
          <cell r="E363">
            <v>93.5</v>
          </cell>
          <cell r="F363">
            <v>0.46</v>
          </cell>
        </row>
        <row r="364">
          <cell r="B364" t="str">
            <v>GUN-32</v>
          </cell>
          <cell r="C364" t="str">
            <v>G.I. Union  1-1/4"</v>
          </cell>
          <cell r="D364" t="str">
            <v>pc</v>
          </cell>
          <cell r="E364">
            <v>93.5</v>
          </cell>
          <cell r="F364">
            <v>0.63</v>
          </cell>
        </row>
        <row r="365">
          <cell r="B365" t="str">
            <v>GUN-40</v>
          </cell>
          <cell r="C365" t="str">
            <v>G.I. Union 1-1/2"</v>
          </cell>
          <cell r="D365" t="str">
            <v>pc</v>
          </cell>
          <cell r="E365">
            <v>115.5</v>
          </cell>
          <cell r="F365">
            <v>1.1299999999999999</v>
          </cell>
        </row>
        <row r="366">
          <cell r="B366" t="str">
            <v>GUN-50</v>
          </cell>
          <cell r="C366" t="str">
            <v>G.I. Union 2"</v>
          </cell>
          <cell r="D366" t="str">
            <v>pc</v>
          </cell>
          <cell r="E366">
            <v>202</v>
          </cell>
          <cell r="F366">
            <v>1</v>
          </cell>
        </row>
        <row r="367">
          <cell r="B367" t="str">
            <v>GUN-63</v>
          </cell>
          <cell r="C367" t="str">
            <v>G.I. Union 2-1/2"</v>
          </cell>
          <cell r="D367" t="str">
            <v>pc</v>
          </cell>
          <cell r="E367">
            <v>407</v>
          </cell>
          <cell r="F367">
            <v>2.38</v>
          </cell>
        </row>
        <row r="368">
          <cell r="B368" t="str">
            <v>GUN-75</v>
          </cell>
          <cell r="C368" t="str">
            <v>G.I. Union 3"</v>
          </cell>
          <cell r="D368" t="str">
            <v>pc</v>
          </cell>
          <cell r="E368">
            <v>590</v>
          </cell>
          <cell r="F368">
            <v>3.15</v>
          </cell>
        </row>
        <row r="369">
          <cell r="B369" t="str">
            <v>GBR-15</v>
          </cell>
          <cell r="C369" t="str">
            <v>G.I. Bracket 1/2"</v>
          </cell>
          <cell r="D369" t="str">
            <v>pc</v>
          </cell>
          <cell r="E369">
            <v>37</v>
          </cell>
          <cell r="F369">
            <v>0.22</v>
          </cell>
        </row>
        <row r="370">
          <cell r="B370" t="str">
            <v>GBR-20</v>
          </cell>
          <cell r="C370" t="str">
            <v>G.I. Bracket 3/4"</v>
          </cell>
          <cell r="D370" t="str">
            <v>pc</v>
          </cell>
          <cell r="E370">
            <v>90</v>
          </cell>
          <cell r="F370">
            <v>0.27</v>
          </cell>
        </row>
        <row r="371">
          <cell r="B371" t="str">
            <v>GBR-25</v>
          </cell>
          <cell r="C371" t="str">
            <v>G.I. Bracket 1"</v>
          </cell>
          <cell r="D371" t="str">
            <v>pc</v>
          </cell>
          <cell r="E371">
            <v>93.5</v>
          </cell>
          <cell r="F371">
            <v>0.46</v>
          </cell>
        </row>
        <row r="372">
          <cell r="B372" t="str">
            <v>GBR-32</v>
          </cell>
          <cell r="C372" t="str">
            <v>G.I. Bracket 1-1/4"</v>
          </cell>
          <cell r="D372" t="str">
            <v>pc</v>
          </cell>
          <cell r="E372">
            <v>93.5</v>
          </cell>
          <cell r="F372">
            <v>0.63</v>
          </cell>
        </row>
        <row r="373">
          <cell r="B373" t="str">
            <v>GBR-40</v>
          </cell>
          <cell r="C373" t="str">
            <v>G.I. Bracket 1-1/2"</v>
          </cell>
          <cell r="D373" t="str">
            <v>pc</v>
          </cell>
          <cell r="E373">
            <v>115.5</v>
          </cell>
          <cell r="F373">
            <v>1.1299999999999999</v>
          </cell>
        </row>
        <row r="374">
          <cell r="B374" t="str">
            <v>GBR-50</v>
          </cell>
          <cell r="C374" t="str">
            <v>G.I. Bracket 2"</v>
          </cell>
          <cell r="D374" t="str">
            <v>pc</v>
          </cell>
          <cell r="E374">
            <v>202</v>
          </cell>
          <cell r="F374">
            <v>1</v>
          </cell>
        </row>
        <row r="375">
          <cell r="B375" t="str">
            <v>GBR-63</v>
          </cell>
          <cell r="C375" t="str">
            <v>G.I. Bracket 2-1/2"</v>
          </cell>
          <cell r="D375" t="str">
            <v>pc</v>
          </cell>
          <cell r="E375">
            <v>407</v>
          </cell>
          <cell r="F375">
            <v>2.38</v>
          </cell>
        </row>
        <row r="376">
          <cell r="B376" t="str">
            <v>GBR-75</v>
          </cell>
          <cell r="C376" t="str">
            <v>G.I. Bracket 3"</v>
          </cell>
          <cell r="D376" t="str">
            <v>pc</v>
          </cell>
          <cell r="E376">
            <v>590</v>
          </cell>
          <cell r="F376">
            <v>3.15</v>
          </cell>
        </row>
        <row r="377">
          <cell r="B377" t="str">
            <v>GBN-15</v>
          </cell>
          <cell r="C377" t="str">
            <v>G.I. Back Nut (1/2")</v>
          </cell>
          <cell r="D377" t="str">
            <v>pc</v>
          </cell>
          <cell r="E377">
            <v>37</v>
          </cell>
          <cell r="F377">
            <v>0.22</v>
          </cell>
        </row>
        <row r="378">
          <cell r="B378" t="str">
            <v>GBN-20</v>
          </cell>
          <cell r="C378" t="str">
            <v>G.I. Back Nut (3/4")</v>
          </cell>
          <cell r="D378" t="str">
            <v>pc</v>
          </cell>
          <cell r="E378">
            <v>90</v>
          </cell>
          <cell r="F378">
            <v>0.27</v>
          </cell>
        </row>
        <row r="379">
          <cell r="B379" t="str">
            <v>GBN-25</v>
          </cell>
          <cell r="C379" t="str">
            <v>G.I. Back Nut (1")</v>
          </cell>
          <cell r="D379" t="str">
            <v>pc</v>
          </cell>
          <cell r="E379">
            <v>93.5</v>
          </cell>
          <cell r="F379">
            <v>0.46</v>
          </cell>
        </row>
        <row r="380">
          <cell r="B380" t="str">
            <v>GBN-32</v>
          </cell>
          <cell r="C380" t="str">
            <v>G.I. Back Nut (1-1/4")</v>
          </cell>
          <cell r="D380" t="str">
            <v>pc</v>
          </cell>
          <cell r="E380">
            <v>93.5</v>
          </cell>
          <cell r="F380">
            <v>0.63</v>
          </cell>
        </row>
        <row r="381">
          <cell r="B381" t="str">
            <v>GBN-40</v>
          </cell>
          <cell r="C381" t="str">
            <v>G.I. Back Nut (1-1/2")</v>
          </cell>
          <cell r="D381" t="str">
            <v>pc</v>
          </cell>
          <cell r="E381">
            <v>115.5</v>
          </cell>
          <cell r="F381">
            <v>1.1299999999999999</v>
          </cell>
        </row>
        <row r="382">
          <cell r="B382" t="str">
            <v>GBN-50</v>
          </cell>
          <cell r="C382" t="str">
            <v>G.I. Back Nut (2")</v>
          </cell>
          <cell r="D382" t="str">
            <v>pc</v>
          </cell>
          <cell r="E382">
            <v>202</v>
          </cell>
          <cell r="F382">
            <v>1</v>
          </cell>
        </row>
        <row r="383">
          <cell r="B383" t="str">
            <v>GBN-63</v>
          </cell>
          <cell r="C383" t="str">
            <v>G.I. Back Nut (2-1/2")</v>
          </cell>
          <cell r="D383" t="str">
            <v>pc</v>
          </cell>
          <cell r="E383">
            <v>407</v>
          </cell>
          <cell r="F383">
            <v>2.38</v>
          </cell>
        </row>
        <row r="384">
          <cell r="B384" t="str">
            <v>GBN-75</v>
          </cell>
          <cell r="C384" t="str">
            <v>G.I. Back Nut (3")</v>
          </cell>
          <cell r="D384" t="str">
            <v>pc</v>
          </cell>
          <cell r="E384">
            <v>590</v>
          </cell>
          <cell r="F384">
            <v>3.15</v>
          </cell>
        </row>
        <row r="385">
          <cell r="B385" t="str">
            <v>GB-63</v>
          </cell>
          <cell r="C385" t="str">
            <v>G.I. Bend dia. 2" (120 Degree)</v>
          </cell>
          <cell r="D385" t="str">
            <v>pc</v>
          </cell>
        </row>
        <row r="386">
          <cell r="B386" t="str">
            <v>GB-50</v>
          </cell>
          <cell r="C386" t="str">
            <v>G.I. Bend dia. 1½" (120 Degree)</v>
          </cell>
          <cell r="D386" t="str">
            <v>pc</v>
          </cell>
        </row>
        <row r="387">
          <cell r="B387" t="str">
            <v>GMP-63</v>
          </cell>
          <cell r="C387" t="str">
            <v>G.I. Mouth Piece (2")</v>
          </cell>
          <cell r="D387" t="str">
            <v>pc</v>
          </cell>
        </row>
        <row r="388">
          <cell r="B388" t="str">
            <v>GTL-25</v>
          </cell>
          <cell r="C388" t="str">
            <v>G.I. Thimbl 25mm</v>
          </cell>
          <cell r="D388" t="str">
            <v>pc</v>
          </cell>
        </row>
        <row r="389">
          <cell r="B389" t="str">
            <v>GTL-13</v>
          </cell>
          <cell r="C389" t="str">
            <v>G.I. Thimbl 13mm</v>
          </cell>
          <cell r="D389" t="str">
            <v>pc</v>
          </cell>
        </row>
        <row r="390">
          <cell r="C390" t="str">
            <v>BRASS FITTINGS</v>
          </cell>
        </row>
        <row r="391">
          <cell r="B391" t="str">
            <v>BGAV-15</v>
          </cell>
          <cell r="C391" t="str">
            <v>Gate Valve (1/2")</v>
          </cell>
          <cell r="D391" t="str">
            <v>pc</v>
          </cell>
          <cell r="E391">
            <v>313.5</v>
          </cell>
          <cell r="F391">
            <v>0.56999999999999995</v>
          </cell>
        </row>
        <row r="392">
          <cell r="B392" t="str">
            <v>BGAV-20</v>
          </cell>
          <cell r="C392" t="str">
            <v>Gate Valve (3/4")</v>
          </cell>
          <cell r="D392" t="str">
            <v>pc</v>
          </cell>
          <cell r="E392">
            <v>368.5</v>
          </cell>
          <cell r="F392">
            <v>0.75</v>
          </cell>
        </row>
        <row r="393">
          <cell r="B393" t="str">
            <v>BGAV-25</v>
          </cell>
          <cell r="C393" t="str">
            <v>Gate Valve (1")</v>
          </cell>
          <cell r="D393" t="str">
            <v>pc</v>
          </cell>
          <cell r="E393">
            <v>960</v>
          </cell>
          <cell r="F393">
            <v>0.65</v>
          </cell>
        </row>
        <row r="394">
          <cell r="B394" t="str">
            <v>BGAV-32</v>
          </cell>
          <cell r="C394" t="str">
            <v>Gate Valve (1-1/4")</v>
          </cell>
          <cell r="D394" t="str">
            <v>pc</v>
          </cell>
          <cell r="E394">
            <v>924</v>
          </cell>
          <cell r="F394">
            <v>1.52</v>
          </cell>
        </row>
        <row r="395">
          <cell r="B395" t="str">
            <v>BGAV-40</v>
          </cell>
          <cell r="C395" t="str">
            <v>Gate Valve (1-1/2")</v>
          </cell>
          <cell r="D395" t="str">
            <v>pc</v>
          </cell>
          <cell r="E395">
            <v>1785</v>
          </cell>
          <cell r="F395">
            <v>1.25</v>
          </cell>
        </row>
        <row r="396">
          <cell r="B396" t="str">
            <v>BGAV-50</v>
          </cell>
          <cell r="C396" t="str">
            <v>Gate Valve (2")</v>
          </cell>
          <cell r="D396" t="str">
            <v>pc</v>
          </cell>
          <cell r="E396">
            <v>2750</v>
          </cell>
          <cell r="F396">
            <v>1.87</v>
          </cell>
        </row>
        <row r="397">
          <cell r="B397" t="str">
            <v>BGAV-63</v>
          </cell>
          <cell r="C397" t="str">
            <v>Gate Valve (2-1/2")</v>
          </cell>
          <cell r="D397" t="str">
            <v>pc</v>
          </cell>
          <cell r="E397">
            <v>0</v>
          </cell>
          <cell r="F397">
            <v>0</v>
          </cell>
        </row>
        <row r="398">
          <cell r="B398" t="str">
            <v>BGAV-75</v>
          </cell>
          <cell r="C398" t="str">
            <v>Gate Valve (3")</v>
          </cell>
          <cell r="D398" t="str">
            <v>pc</v>
          </cell>
          <cell r="E398">
            <v>0</v>
          </cell>
          <cell r="F398">
            <v>0</v>
          </cell>
        </row>
        <row r="399">
          <cell r="B399" t="str">
            <v>BGLV-15</v>
          </cell>
          <cell r="C399" t="str">
            <v>Glove Valve (1/2")</v>
          </cell>
          <cell r="D399" t="str">
            <v>pc</v>
          </cell>
          <cell r="E399">
            <v>400</v>
          </cell>
          <cell r="F399">
            <v>0.38</v>
          </cell>
        </row>
        <row r="400">
          <cell r="B400" t="str">
            <v>BGLV-20</v>
          </cell>
          <cell r="C400" t="str">
            <v>Glove Valve (3/4")</v>
          </cell>
          <cell r="D400" t="str">
            <v>pc</v>
          </cell>
          <cell r="E400">
            <v>400</v>
          </cell>
          <cell r="F400">
            <v>0.38</v>
          </cell>
        </row>
        <row r="401">
          <cell r="B401" t="str">
            <v>BGLV-25</v>
          </cell>
          <cell r="C401" t="str">
            <v>Glove Valve (1")</v>
          </cell>
          <cell r="D401" t="str">
            <v>pc</v>
          </cell>
          <cell r="E401">
            <v>900</v>
          </cell>
          <cell r="F401">
            <v>0.88</v>
          </cell>
        </row>
        <row r="402">
          <cell r="B402" t="str">
            <v>BGLV-32</v>
          </cell>
          <cell r="C402" t="str">
            <v>Glove Valve (1-1/4")</v>
          </cell>
          <cell r="D402" t="str">
            <v>pc</v>
          </cell>
          <cell r="E402">
            <v>900</v>
          </cell>
          <cell r="F402">
            <v>0.88</v>
          </cell>
        </row>
        <row r="403">
          <cell r="B403" t="str">
            <v>BGLV-40</v>
          </cell>
          <cell r="C403" t="str">
            <v>Glove Valve (1-1/2")</v>
          </cell>
          <cell r="D403" t="str">
            <v>pc</v>
          </cell>
          <cell r="E403">
            <v>1760</v>
          </cell>
          <cell r="F403">
            <v>1.5</v>
          </cell>
        </row>
        <row r="404">
          <cell r="B404" t="str">
            <v>BGLV-50</v>
          </cell>
          <cell r="C404" t="str">
            <v>Glove Valve (2")</v>
          </cell>
          <cell r="D404" t="str">
            <v>pc</v>
          </cell>
          <cell r="E404">
            <v>2500</v>
          </cell>
          <cell r="F404">
            <v>2</v>
          </cell>
        </row>
        <row r="405">
          <cell r="B405" t="str">
            <v>BGLV-63</v>
          </cell>
          <cell r="C405" t="str">
            <v>Glove Valve (2-1/2")</v>
          </cell>
          <cell r="D405" t="str">
            <v>pc</v>
          </cell>
          <cell r="E405">
            <v>0</v>
          </cell>
          <cell r="F405">
            <v>0</v>
          </cell>
        </row>
        <row r="406">
          <cell r="B406" t="str">
            <v>BGLV-75</v>
          </cell>
          <cell r="C406" t="str">
            <v>Glove Valve (3")</v>
          </cell>
          <cell r="D406" t="str">
            <v>pc</v>
          </cell>
          <cell r="E406">
            <v>0</v>
          </cell>
          <cell r="F406">
            <v>0</v>
          </cell>
        </row>
        <row r="407">
          <cell r="B407" t="str">
            <v>BFLV-15</v>
          </cell>
          <cell r="C407" t="str">
            <v>Float Valve (1/2")</v>
          </cell>
          <cell r="D407" t="str">
            <v>pc</v>
          </cell>
          <cell r="E407">
            <v>320</v>
          </cell>
          <cell r="F407">
            <v>0.25</v>
          </cell>
        </row>
        <row r="408">
          <cell r="B408" t="str">
            <v>BFLV-20</v>
          </cell>
          <cell r="C408" t="str">
            <v>Float Valve (3/4")</v>
          </cell>
          <cell r="D408" t="str">
            <v>pc</v>
          </cell>
          <cell r="E408">
            <v>274.5204</v>
          </cell>
          <cell r="F408">
            <v>0.6</v>
          </cell>
        </row>
        <row r="409">
          <cell r="B409" t="str">
            <v>BFLV-25</v>
          </cell>
          <cell r="C409" t="str">
            <v>Float Valve (1")</v>
          </cell>
          <cell r="D409" t="str">
            <v>pc</v>
          </cell>
          <cell r="E409">
            <v>650</v>
          </cell>
          <cell r="F409">
            <v>0.25</v>
          </cell>
        </row>
        <row r="410">
          <cell r="B410" t="str">
            <v>BFLV-32</v>
          </cell>
          <cell r="C410" t="str">
            <v>Float Valve (1-1/4")</v>
          </cell>
          <cell r="D410" t="str">
            <v>pc</v>
          </cell>
          <cell r="E410">
            <v>612.09720000000004</v>
          </cell>
          <cell r="F410">
            <v>1.2160000000000002</v>
          </cell>
        </row>
        <row r="411">
          <cell r="B411" t="str">
            <v>BFLV-40</v>
          </cell>
          <cell r="C411" t="str">
            <v>Float Valve (1-1/2")</v>
          </cell>
          <cell r="D411" t="str">
            <v>pc</v>
          </cell>
          <cell r="E411">
            <v>725.97360000000003</v>
          </cell>
          <cell r="F411">
            <v>1.68</v>
          </cell>
        </row>
        <row r="412">
          <cell r="B412" t="str">
            <v>BFLV-50</v>
          </cell>
          <cell r="C412" t="str">
            <v>Float Valve (2")</v>
          </cell>
          <cell r="D412" t="str">
            <v>pc</v>
          </cell>
          <cell r="E412">
            <v>1179.4662000000001</v>
          </cell>
          <cell r="F412">
            <v>2.4239999999999999</v>
          </cell>
        </row>
        <row r="413">
          <cell r="B413" t="str">
            <v>BFLV-63</v>
          </cell>
          <cell r="C413" t="str">
            <v>Float Valve (2-1/2")</v>
          </cell>
          <cell r="D413" t="str">
            <v>pc</v>
          </cell>
          <cell r="E413">
            <v>0</v>
          </cell>
          <cell r="F413">
            <v>0</v>
          </cell>
        </row>
        <row r="414">
          <cell r="B414" t="str">
            <v>BFLV-75</v>
          </cell>
          <cell r="C414" t="str">
            <v>Float Valve (3")</v>
          </cell>
          <cell r="D414" t="str">
            <v>pc</v>
          </cell>
          <cell r="E414">
            <v>0</v>
          </cell>
          <cell r="F414">
            <v>0</v>
          </cell>
        </row>
        <row r="415">
          <cell r="B415" t="str">
            <v>BFLVC-32</v>
          </cell>
          <cell r="C415" t="str">
            <v>Float Valve Cage</v>
          </cell>
          <cell r="D415" t="str">
            <v>pc</v>
          </cell>
        </row>
        <row r="416">
          <cell r="B416" t="str">
            <v>BRT-15</v>
          </cell>
          <cell r="C416" t="str">
            <v>Regulating Tee (1/2")</v>
          </cell>
          <cell r="D416" t="str">
            <v>pc</v>
          </cell>
          <cell r="E416">
            <v>250</v>
          </cell>
          <cell r="F416">
            <v>0.1</v>
          </cell>
        </row>
        <row r="417">
          <cell r="B417" t="str">
            <v>AV-15</v>
          </cell>
          <cell r="C417" t="str">
            <v>Air Valve (1/2")</v>
          </cell>
          <cell r="D417" t="str">
            <v>pc</v>
          </cell>
          <cell r="E417">
            <v>616</v>
          </cell>
          <cell r="F417">
            <v>1.75</v>
          </cell>
        </row>
        <row r="418">
          <cell r="B418" t="str">
            <v>AV-20</v>
          </cell>
          <cell r="C418" t="str">
            <v>Air Valve (3/4")</v>
          </cell>
          <cell r="D418" t="str">
            <v>pc</v>
          </cell>
          <cell r="E418">
            <v>616</v>
          </cell>
          <cell r="F418">
            <v>1.75</v>
          </cell>
        </row>
        <row r="419">
          <cell r="B419" t="str">
            <v>AV-20c</v>
          </cell>
          <cell r="C419" t="str">
            <v>Air Valve (3/4") Cast Iron</v>
          </cell>
          <cell r="D419" t="str">
            <v>pc</v>
          </cell>
        </row>
        <row r="420">
          <cell r="C420" t="str">
            <v>GI/HDPE CONNECTORS</v>
          </cell>
        </row>
        <row r="421">
          <cell r="B421" t="str">
            <v>GHF-20</v>
          </cell>
          <cell r="C421" t="str">
            <v>GI/HDPE Flange (20mm x 1/2")</v>
          </cell>
          <cell r="D421" t="str">
            <v>pc</v>
          </cell>
          <cell r="E421">
            <v>260</v>
          </cell>
          <cell r="F421">
            <v>2</v>
          </cell>
        </row>
        <row r="422">
          <cell r="B422" t="str">
            <v>GHF-25</v>
          </cell>
          <cell r="C422" t="str">
            <v>GI/HDPE Flange (25mm x 3/4")</v>
          </cell>
          <cell r="D422" t="str">
            <v>pc</v>
          </cell>
          <cell r="E422">
            <v>325</v>
          </cell>
          <cell r="F422">
            <v>1</v>
          </cell>
        </row>
        <row r="423">
          <cell r="B423" t="str">
            <v>GHF-32</v>
          </cell>
          <cell r="C423" t="str">
            <v>GI/HDPE Flange (32mm x 1")</v>
          </cell>
          <cell r="D423" t="str">
            <v>pc</v>
          </cell>
          <cell r="E423">
            <v>495</v>
          </cell>
          <cell r="F423">
            <v>3.75</v>
          </cell>
        </row>
        <row r="424">
          <cell r="B424" t="str">
            <v>GHF-40</v>
          </cell>
          <cell r="C424" t="str">
            <v>GI/HDPE Flange (40mm x 1-1/4")</v>
          </cell>
          <cell r="D424" t="str">
            <v>pc</v>
          </cell>
          <cell r="E424">
            <v>510</v>
          </cell>
          <cell r="F424">
            <v>4.75</v>
          </cell>
        </row>
        <row r="425">
          <cell r="B425" t="str">
            <v>GHF-50</v>
          </cell>
          <cell r="C425" t="str">
            <v>GI/HDPE Flange (50mm x 1-1/2")</v>
          </cell>
          <cell r="D425" t="str">
            <v>pc</v>
          </cell>
          <cell r="E425">
            <v>451</v>
          </cell>
          <cell r="F425">
            <v>3.25</v>
          </cell>
        </row>
        <row r="426">
          <cell r="B426" t="str">
            <v>GHF-63</v>
          </cell>
          <cell r="C426" t="str">
            <v>GI/HDPE Flange (63mm x 2")</v>
          </cell>
          <cell r="D426" t="str">
            <v>pc</v>
          </cell>
          <cell r="E426">
            <v>506</v>
          </cell>
          <cell r="F426">
            <v>3.75</v>
          </cell>
        </row>
        <row r="427">
          <cell r="B427" t="str">
            <v>GHF-75</v>
          </cell>
          <cell r="C427" t="str">
            <v>GI/HDPE Flange (75mm x 2-1/2")</v>
          </cell>
          <cell r="D427" t="str">
            <v>pc</v>
          </cell>
          <cell r="E427">
            <v>1072.5</v>
          </cell>
          <cell r="F427">
            <v>5.75</v>
          </cell>
        </row>
        <row r="428">
          <cell r="B428" t="str">
            <v>GHF-90</v>
          </cell>
          <cell r="C428" t="str">
            <v>GI/HDPE Flange (90mm x 3")</v>
          </cell>
          <cell r="D428" t="str">
            <v>pc</v>
          </cell>
          <cell r="E428">
            <v>1072.5</v>
          </cell>
          <cell r="F428">
            <v>5.75</v>
          </cell>
        </row>
        <row r="429">
          <cell r="B429" t="str">
            <v>BU-20</v>
          </cell>
          <cell r="C429" t="str">
            <v>Brass Union  (20mm x 1/2")</v>
          </cell>
          <cell r="D429" t="str">
            <v>pc</v>
          </cell>
          <cell r="E429">
            <v>67</v>
          </cell>
          <cell r="F429">
            <v>0.11</v>
          </cell>
        </row>
        <row r="430">
          <cell r="B430" t="str">
            <v>BU-25</v>
          </cell>
          <cell r="C430" t="str">
            <v>Brass Union  (25mm x 3/4")</v>
          </cell>
          <cell r="D430" t="str">
            <v>pc</v>
          </cell>
          <cell r="E430">
            <v>116</v>
          </cell>
          <cell r="F430">
            <v>0.25</v>
          </cell>
        </row>
        <row r="431">
          <cell r="B431" t="str">
            <v>BU-32</v>
          </cell>
          <cell r="C431" t="str">
            <v>Brass Union  (32mm x 1")</v>
          </cell>
          <cell r="D431" t="str">
            <v>pc</v>
          </cell>
          <cell r="E431">
            <v>320</v>
          </cell>
          <cell r="F431">
            <v>0.48</v>
          </cell>
        </row>
        <row r="432">
          <cell r="B432" t="str">
            <v>BU-40</v>
          </cell>
          <cell r="C432" t="str">
            <v>Brass Union  (40mm x 1-1/4")</v>
          </cell>
          <cell r="D432" t="str">
            <v>pc</v>
          </cell>
          <cell r="E432">
            <v>410</v>
          </cell>
          <cell r="F432">
            <v>0.7</v>
          </cell>
        </row>
        <row r="433">
          <cell r="B433" t="str">
            <v>BU-50</v>
          </cell>
          <cell r="C433" t="str">
            <v>Brass Union  (50mm x 1-1/2")</v>
          </cell>
          <cell r="D433" t="str">
            <v>pc</v>
          </cell>
          <cell r="E433">
            <v>506</v>
          </cell>
          <cell r="F433">
            <v>3.75</v>
          </cell>
        </row>
        <row r="434">
          <cell r="B434" t="str">
            <v>BU-63</v>
          </cell>
          <cell r="C434" t="str">
            <v>Brass Union  (63mm x 2")</v>
          </cell>
          <cell r="D434" t="str">
            <v>pc</v>
          </cell>
          <cell r="E434">
            <v>535.75</v>
          </cell>
          <cell r="F434">
            <v>0.78</v>
          </cell>
        </row>
        <row r="435">
          <cell r="B435" t="str">
            <v>BU-75</v>
          </cell>
          <cell r="C435" t="str">
            <v>Brass Union  (75mm x 2-1/2")</v>
          </cell>
          <cell r="D435" t="str">
            <v>pc</v>
          </cell>
          <cell r="E435">
            <v>535.75</v>
          </cell>
          <cell r="F435">
            <v>0.78</v>
          </cell>
        </row>
        <row r="436">
          <cell r="B436" t="str">
            <v>BU-90</v>
          </cell>
          <cell r="C436" t="str">
            <v>Brass Union  (90mm x 3")</v>
          </cell>
          <cell r="D436" t="str">
            <v>pc</v>
          </cell>
          <cell r="E436">
            <v>535.75</v>
          </cell>
          <cell r="F436">
            <v>0.78</v>
          </cell>
        </row>
        <row r="437">
          <cell r="C437" t="str">
            <v>PVC FITTINGS</v>
          </cell>
        </row>
        <row r="438">
          <cell r="B438" t="str">
            <v>PSO-20</v>
          </cell>
          <cell r="C438" t="str">
            <v>PVC Socket (20mm)</v>
          </cell>
          <cell r="D438" t="str">
            <v>pc</v>
          </cell>
          <cell r="E438">
            <v>0</v>
          </cell>
          <cell r="F438">
            <v>0</v>
          </cell>
        </row>
        <row r="439">
          <cell r="B439" t="str">
            <v>PSO-25</v>
          </cell>
          <cell r="C439" t="str">
            <v>PVC Socket (25mm)</v>
          </cell>
          <cell r="D439" t="str">
            <v>pc</v>
          </cell>
          <cell r="E439">
            <v>0</v>
          </cell>
          <cell r="F439">
            <v>0</v>
          </cell>
        </row>
        <row r="440">
          <cell r="B440" t="str">
            <v>PSO-32</v>
          </cell>
          <cell r="C440" t="str">
            <v>PVC Socket (32mm)</v>
          </cell>
          <cell r="D440" t="str">
            <v>pc</v>
          </cell>
          <cell r="E440">
            <v>0</v>
          </cell>
          <cell r="F440">
            <v>0</v>
          </cell>
        </row>
        <row r="441">
          <cell r="B441" t="str">
            <v>PSO-40</v>
          </cell>
          <cell r="C441" t="str">
            <v>PVC Socket (40mm)</v>
          </cell>
          <cell r="D441" t="str">
            <v>pc</v>
          </cell>
          <cell r="E441">
            <v>0</v>
          </cell>
          <cell r="F441">
            <v>0</v>
          </cell>
        </row>
        <row r="442">
          <cell r="B442" t="str">
            <v>PSO-50</v>
          </cell>
          <cell r="C442" t="str">
            <v>PVC Socket (50mm)</v>
          </cell>
          <cell r="D442" t="str">
            <v>pc</v>
          </cell>
          <cell r="E442">
            <v>0</v>
          </cell>
          <cell r="F442">
            <v>0</v>
          </cell>
        </row>
        <row r="443">
          <cell r="B443" t="str">
            <v>PSO-63</v>
          </cell>
          <cell r="C443" t="str">
            <v>PVC Socket (63mm)</v>
          </cell>
          <cell r="D443" t="str">
            <v>pc</v>
          </cell>
          <cell r="E443">
            <v>0</v>
          </cell>
          <cell r="F443">
            <v>0</v>
          </cell>
        </row>
        <row r="444">
          <cell r="B444" t="str">
            <v>PSO-75</v>
          </cell>
          <cell r="C444" t="str">
            <v>PVC Socket (75mm)</v>
          </cell>
          <cell r="D444" t="str">
            <v>pc</v>
          </cell>
          <cell r="E444">
            <v>0</v>
          </cell>
          <cell r="F444">
            <v>0</v>
          </cell>
        </row>
        <row r="445">
          <cell r="B445" t="str">
            <v>PSO-90</v>
          </cell>
          <cell r="C445" t="str">
            <v>PVC Socket (90mm)</v>
          </cell>
          <cell r="D445" t="str">
            <v>pc</v>
          </cell>
          <cell r="E445">
            <v>0</v>
          </cell>
          <cell r="F445">
            <v>0</v>
          </cell>
        </row>
        <row r="446">
          <cell r="B446" t="str">
            <v>PBN-20</v>
          </cell>
          <cell r="C446" t="str">
            <v>PVC Back Nut (20mm)</v>
          </cell>
          <cell r="D446" t="str">
            <v>pc</v>
          </cell>
          <cell r="E446">
            <v>0</v>
          </cell>
          <cell r="F446">
            <v>0</v>
          </cell>
        </row>
        <row r="447">
          <cell r="B447" t="str">
            <v>PBN-25</v>
          </cell>
          <cell r="C447" t="str">
            <v>PVC Back Nut (25mm)</v>
          </cell>
          <cell r="D447" t="str">
            <v>pc</v>
          </cell>
          <cell r="E447">
            <v>0</v>
          </cell>
          <cell r="F447">
            <v>0</v>
          </cell>
        </row>
        <row r="448">
          <cell r="B448" t="str">
            <v>PBN-32</v>
          </cell>
          <cell r="C448" t="str">
            <v>PVC Back Nut (32mm)</v>
          </cell>
          <cell r="D448" t="str">
            <v>pc</v>
          </cell>
          <cell r="E448">
            <v>0</v>
          </cell>
          <cell r="F448">
            <v>0</v>
          </cell>
        </row>
        <row r="449">
          <cell r="B449" t="str">
            <v>PBN-40</v>
          </cell>
          <cell r="C449" t="str">
            <v>PVC Back Nut (40mm)</v>
          </cell>
          <cell r="D449" t="str">
            <v>pc</v>
          </cell>
          <cell r="E449">
            <v>0</v>
          </cell>
          <cell r="F449">
            <v>0</v>
          </cell>
        </row>
        <row r="450">
          <cell r="B450" t="str">
            <v>PBN-50</v>
          </cell>
          <cell r="C450" t="str">
            <v>PVC Back Nut (50mm)</v>
          </cell>
          <cell r="D450" t="str">
            <v>pc</v>
          </cell>
          <cell r="E450">
            <v>0</v>
          </cell>
          <cell r="F450">
            <v>0</v>
          </cell>
        </row>
        <row r="451">
          <cell r="B451" t="str">
            <v>PBN-63</v>
          </cell>
          <cell r="C451" t="str">
            <v>PVC Back Nut (63mm)</v>
          </cell>
          <cell r="D451" t="str">
            <v>pc</v>
          </cell>
          <cell r="E451">
            <v>0</v>
          </cell>
          <cell r="F451">
            <v>0</v>
          </cell>
        </row>
        <row r="452">
          <cell r="B452" t="str">
            <v>PBN-75</v>
          </cell>
          <cell r="C452" t="str">
            <v>PVC Back Nut (75mm)</v>
          </cell>
          <cell r="D452" t="str">
            <v>pc</v>
          </cell>
          <cell r="E452">
            <v>0</v>
          </cell>
          <cell r="F452">
            <v>0</v>
          </cell>
        </row>
        <row r="453">
          <cell r="B453" t="str">
            <v>PBN-90</v>
          </cell>
          <cell r="C453" t="str">
            <v>PVC Back Nut (90mm)</v>
          </cell>
          <cell r="D453" t="str">
            <v>pc</v>
          </cell>
          <cell r="E453">
            <v>0</v>
          </cell>
          <cell r="F453">
            <v>0</v>
          </cell>
        </row>
        <row r="454">
          <cell r="B454" t="str">
            <v>RW-20</v>
          </cell>
          <cell r="C454" t="str">
            <v>Rubber Washer (20mm)</v>
          </cell>
          <cell r="D454" t="str">
            <v>pc</v>
          </cell>
          <cell r="E454">
            <v>0</v>
          </cell>
          <cell r="F454">
            <v>0</v>
          </cell>
        </row>
        <row r="455">
          <cell r="B455" t="str">
            <v>RW-25</v>
          </cell>
          <cell r="C455" t="str">
            <v>Rubber Washer (25mm)</v>
          </cell>
          <cell r="D455" t="str">
            <v>pc</v>
          </cell>
          <cell r="E455">
            <v>0</v>
          </cell>
          <cell r="F455">
            <v>0</v>
          </cell>
        </row>
        <row r="456">
          <cell r="B456" t="str">
            <v>RW-32</v>
          </cell>
          <cell r="C456" t="str">
            <v>Rubber Washer (32mm)</v>
          </cell>
          <cell r="D456" t="str">
            <v>pc</v>
          </cell>
          <cell r="E456">
            <v>0</v>
          </cell>
          <cell r="F456">
            <v>0</v>
          </cell>
        </row>
        <row r="457">
          <cell r="B457" t="str">
            <v>RW-40</v>
          </cell>
          <cell r="C457" t="str">
            <v>Rubber Washer (40mm)</v>
          </cell>
          <cell r="D457" t="str">
            <v>pc</v>
          </cell>
          <cell r="E457">
            <v>0</v>
          </cell>
          <cell r="F457">
            <v>0</v>
          </cell>
        </row>
        <row r="458">
          <cell r="B458" t="str">
            <v>RW-50</v>
          </cell>
          <cell r="C458" t="str">
            <v>Rubber Washer (50mm)</v>
          </cell>
          <cell r="D458" t="str">
            <v>pc</v>
          </cell>
          <cell r="E458">
            <v>0</v>
          </cell>
          <cell r="F458">
            <v>0</v>
          </cell>
        </row>
        <row r="459">
          <cell r="B459" t="str">
            <v>RW-63</v>
          </cell>
          <cell r="C459" t="str">
            <v>Rubber Washer (63mm)</v>
          </cell>
          <cell r="D459" t="str">
            <v>pc</v>
          </cell>
          <cell r="E459">
            <v>0</v>
          </cell>
          <cell r="F459">
            <v>0</v>
          </cell>
        </row>
        <row r="460">
          <cell r="B460" t="str">
            <v>RW-75</v>
          </cell>
          <cell r="C460" t="str">
            <v>Rubber Washer (75mm)</v>
          </cell>
          <cell r="D460" t="str">
            <v>pc</v>
          </cell>
          <cell r="E460">
            <v>0</v>
          </cell>
          <cell r="F460">
            <v>0</v>
          </cell>
        </row>
        <row r="461">
          <cell r="B461" t="str">
            <v>RW-90</v>
          </cell>
          <cell r="C461" t="str">
            <v>Rubber Washer (90mm)</v>
          </cell>
          <cell r="D461" t="str">
            <v>pc</v>
          </cell>
          <cell r="E461">
            <v>0</v>
          </cell>
          <cell r="F461">
            <v>0</v>
          </cell>
        </row>
        <row r="462">
          <cell r="B462" t="str">
            <v>PNI-20FT</v>
          </cell>
          <cell r="C462" t="str">
            <v>PVC Nipple  Full Threaded (20mm)</v>
          </cell>
          <cell r="D462" t="str">
            <v>pc</v>
          </cell>
          <cell r="E462">
            <v>0</v>
          </cell>
          <cell r="F462">
            <v>0</v>
          </cell>
        </row>
        <row r="463">
          <cell r="B463" t="str">
            <v>PNI-25FT</v>
          </cell>
          <cell r="C463" t="str">
            <v>PVC Nipple  Full Threaded (25mm)</v>
          </cell>
          <cell r="D463" t="str">
            <v>pc</v>
          </cell>
          <cell r="E463">
            <v>0</v>
          </cell>
          <cell r="F463">
            <v>0</v>
          </cell>
        </row>
        <row r="464">
          <cell r="B464" t="str">
            <v>PNI-32FT</v>
          </cell>
          <cell r="C464" t="str">
            <v>PVC Nipple  Full Threaded (32mm)</v>
          </cell>
          <cell r="D464" t="str">
            <v>pc</v>
          </cell>
          <cell r="E464">
            <v>0</v>
          </cell>
          <cell r="F464">
            <v>0</v>
          </cell>
        </row>
        <row r="465">
          <cell r="B465" t="str">
            <v>PNI-40FT</v>
          </cell>
          <cell r="C465" t="str">
            <v>PVC Nipple  Full Threaded (40mm)</v>
          </cell>
          <cell r="D465" t="str">
            <v>pc</v>
          </cell>
          <cell r="E465">
            <v>0</v>
          </cell>
          <cell r="F465">
            <v>0</v>
          </cell>
        </row>
        <row r="466">
          <cell r="B466" t="str">
            <v>PNI-50FT</v>
          </cell>
          <cell r="C466" t="str">
            <v>PVC Nipple  Full Threaded (50mm)</v>
          </cell>
          <cell r="D466" t="str">
            <v>pc</v>
          </cell>
          <cell r="E466">
            <v>0</v>
          </cell>
          <cell r="F466">
            <v>0</v>
          </cell>
        </row>
        <row r="467">
          <cell r="B467" t="str">
            <v>PNI-63FT</v>
          </cell>
          <cell r="C467" t="str">
            <v>PVC Nipple  Full Threaded (63mm)</v>
          </cell>
          <cell r="D467" t="str">
            <v>pc</v>
          </cell>
          <cell r="E467">
            <v>0</v>
          </cell>
          <cell r="F467">
            <v>0</v>
          </cell>
        </row>
        <row r="468">
          <cell r="B468" t="str">
            <v>PNI-75FT</v>
          </cell>
          <cell r="C468" t="str">
            <v>PVC Nipple  Full Threaded (75mm)</v>
          </cell>
          <cell r="D468" t="str">
            <v>pc</v>
          </cell>
          <cell r="E468">
            <v>0</v>
          </cell>
          <cell r="F468">
            <v>0</v>
          </cell>
        </row>
        <row r="469">
          <cell r="B469" t="str">
            <v>PNI-90FT</v>
          </cell>
          <cell r="C469" t="str">
            <v>PVC Nipple  Full Threaded (90mm)</v>
          </cell>
          <cell r="D469" t="str">
            <v>pc</v>
          </cell>
          <cell r="E469">
            <v>0</v>
          </cell>
          <cell r="F469">
            <v>0</v>
          </cell>
        </row>
        <row r="470">
          <cell r="B470" t="str">
            <v>PNI-20</v>
          </cell>
          <cell r="C470" t="str">
            <v>PVC Nipple (20mm)</v>
          </cell>
          <cell r="D470" t="str">
            <v>pc</v>
          </cell>
          <cell r="E470">
            <v>0</v>
          </cell>
          <cell r="F470">
            <v>0</v>
          </cell>
        </row>
        <row r="471">
          <cell r="B471" t="str">
            <v>PNI-25</v>
          </cell>
          <cell r="C471" t="str">
            <v>PVC Nipple (25mm)</v>
          </cell>
          <cell r="D471" t="str">
            <v>pc</v>
          </cell>
          <cell r="E471">
            <v>0</v>
          </cell>
          <cell r="F471">
            <v>0</v>
          </cell>
        </row>
        <row r="472">
          <cell r="B472" t="str">
            <v>PNI-32</v>
          </cell>
          <cell r="C472" t="str">
            <v>PVC Nipple (32mm)</v>
          </cell>
          <cell r="D472" t="str">
            <v>pc</v>
          </cell>
          <cell r="E472">
            <v>0</v>
          </cell>
          <cell r="F472">
            <v>0</v>
          </cell>
        </row>
        <row r="473">
          <cell r="B473" t="str">
            <v>PNI-40</v>
          </cell>
          <cell r="C473" t="str">
            <v>PVC Nipple (40mm)</v>
          </cell>
          <cell r="D473" t="str">
            <v>pc</v>
          </cell>
          <cell r="E473">
            <v>0</v>
          </cell>
          <cell r="F473">
            <v>0</v>
          </cell>
        </row>
        <row r="474">
          <cell r="B474" t="str">
            <v>PNI-50</v>
          </cell>
          <cell r="C474" t="str">
            <v>PVC Nipple (50mm)</v>
          </cell>
          <cell r="D474" t="str">
            <v>pc</v>
          </cell>
          <cell r="E474">
            <v>0</v>
          </cell>
          <cell r="F474">
            <v>0</v>
          </cell>
        </row>
        <row r="475">
          <cell r="B475" t="str">
            <v>PNI-63</v>
          </cell>
          <cell r="C475" t="str">
            <v>PVC Nipple (63mm)</v>
          </cell>
          <cell r="D475" t="str">
            <v>pc</v>
          </cell>
          <cell r="E475">
            <v>0</v>
          </cell>
          <cell r="F475">
            <v>0</v>
          </cell>
        </row>
        <row r="476">
          <cell r="B476" t="str">
            <v>PNI-75</v>
          </cell>
          <cell r="C476" t="str">
            <v>PVC Nipple (75mm)</v>
          </cell>
          <cell r="D476" t="str">
            <v>pc</v>
          </cell>
          <cell r="E476">
            <v>0</v>
          </cell>
          <cell r="F476">
            <v>0</v>
          </cell>
        </row>
        <row r="477">
          <cell r="B477" t="str">
            <v>PNI-90</v>
          </cell>
          <cell r="C477" t="str">
            <v>PVC Nipple (90mm)</v>
          </cell>
          <cell r="D477" t="str">
            <v>pc</v>
          </cell>
          <cell r="E477">
            <v>0</v>
          </cell>
          <cell r="F477">
            <v>0</v>
          </cell>
        </row>
        <row r="478">
          <cell r="B478" t="str">
            <v>PNI25-20</v>
          </cell>
          <cell r="C478" t="str">
            <v>PVC Nipple 25cm long (20mm)</v>
          </cell>
          <cell r="D478" t="str">
            <v>pc</v>
          </cell>
          <cell r="E478">
            <v>0</v>
          </cell>
          <cell r="F478">
            <v>0</v>
          </cell>
        </row>
        <row r="479">
          <cell r="B479" t="str">
            <v>PNI25-25</v>
          </cell>
          <cell r="C479" t="str">
            <v>PVC Nipple 25cm long (25mm)</v>
          </cell>
          <cell r="D479" t="str">
            <v>pc</v>
          </cell>
          <cell r="E479">
            <v>0</v>
          </cell>
          <cell r="F479">
            <v>0</v>
          </cell>
        </row>
        <row r="480">
          <cell r="B480" t="str">
            <v>PNI25-32</v>
          </cell>
          <cell r="C480" t="str">
            <v>PVC Nipple 25cm long (32mm)</v>
          </cell>
          <cell r="D480" t="str">
            <v>pc</v>
          </cell>
          <cell r="E480">
            <v>0</v>
          </cell>
          <cell r="F480">
            <v>0</v>
          </cell>
        </row>
        <row r="481">
          <cell r="B481" t="str">
            <v>PNI25-40</v>
          </cell>
          <cell r="C481" t="str">
            <v>PVC Nipple 25cm long (40mm)</v>
          </cell>
          <cell r="D481" t="str">
            <v>pc</v>
          </cell>
          <cell r="E481">
            <v>0</v>
          </cell>
          <cell r="F481">
            <v>0</v>
          </cell>
        </row>
        <row r="482">
          <cell r="B482" t="str">
            <v>PNI25-50</v>
          </cell>
          <cell r="C482" t="str">
            <v>PVC Nipple 25cm long (50mm)</v>
          </cell>
          <cell r="D482" t="str">
            <v>pc</v>
          </cell>
          <cell r="E482">
            <v>0</v>
          </cell>
          <cell r="F482">
            <v>0</v>
          </cell>
        </row>
        <row r="483">
          <cell r="B483" t="str">
            <v>PNI25-63</v>
          </cell>
          <cell r="C483" t="str">
            <v>PVC Nipple 25cm long (63mm)</v>
          </cell>
          <cell r="D483" t="str">
            <v>pc</v>
          </cell>
          <cell r="E483">
            <v>0</v>
          </cell>
          <cell r="F483">
            <v>0</v>
          </cell>
        </row>
        <row r="484">
          <cell r="B484" t="str">
            <v>PNI25-75</v>
          </cell>
          <cell r="C484" t="str">
            <v>PVC Nipple 25cm long (75mm)</v>
          </cell>
          <cell r="D484" t="str">
            <v>pc</v>
          </cell>
          <cell r="E484">
            <v>0</v>
          </cell>
          <cell r="F484">
            <v>0</v>
          </cell>
        </row>
        <row r="485">
          <cell r="B485" t="str">
            <v>PNI25-90</v>
          </cell>
          <cell r="C485" t="str">
            <v>PVC Nipple 25cm long (90mm)</v>
          </cell>
          <cell r="D485" t="str">
            <v>pc</v>
          </cell>
          <cell r="E485">
            <v>0</v>
          </cell>
          <cell r="F485">
            <v>0</v>
          </cell>
        </row>
        <row r="486">
          <cell r="B486" t="str">
            <v>PEC-20</v>
          </cell>
          <cell r="C486" t="str">
            <v>PVC End Cap (20mm)</v>
          </cell>
          <cell r="D486" t="str">
            <v>pc</v>
          </cell>
          <cell r="E486">
            <v>0</v>
          </cell>
          <cell r="F486">
            <v>0</v>
          </cell>
        </row>
        <row r="487">
          <cell r="B487" t="str">
            <v>PEC-25</v>
          </cell>
          <cell r="C487" t="str">
            <v>PVC End Cap (25mm)</v>
          </cell>
          <cell r="D487" t="str">
            <v>pc</v>
          </cell>
          <cell r="E487">
            <v>0</v>
          </cell>
          <cell r="F487">
            <v>0</v>
          </cell>
        </row>
        <row r="488">
          <cell r="B488" t="str">
            <v>PEC-32</v>
          </cell>
          <cell r="C488" t="str">
            <v>PVC End Cap (32mm)</v>
          </cell>
          <cell r="D488" t="str">
            <v>pc</v>
          </cell>
          <cell r="E488">
            <v>0</v>
          </cell>
          <cell r="F488">
            <v>0</v>
          </cell>
        </row>
        <row r="489">
          <cell r="B489" t="str">
            <v>PEC-40</v>
          </cell>
          <cell r="C489" t="str">
            <v>PVC End Cap (40mm)</v>
          </cell>
          <cell r="D489" t="str">
            <v>pc</v>
          </cell>
          <cell r="E489">
            <v>0</v>
          </cell>
          <cell r="F489">
            <v>0</v>
          </cell>
        </row>
        <row r="490">
          <cell r="B490" t="str">
            <v>PEC-50</v>
          </cell>
          <cell r="C490" t="str">
            <v>PVC End Cap (50mm)</v>
          </cell>
          <cell r="D490" t="str">
            <v>pc</v>
          </cell>
          <cell r="E490">
            <v>0</v>
          </cell>
          <cell r="F490">
            <v>0</v>
          </cell>
        </row>
        <row r="491">
          <cell r="B491" t="str">
            <v>PEC-63</v>
          </cell>
          <cell r="C491" t="str">
            <v>PVC End Cap (63mm)</v>
          </cell>
          <cell r="D491" t="str">
            <v>pc</v>
          </cell>
          <cell r="E491">
            <v>0</v>
          </cell>
          <cell r="F491">
            <v>0</v>
          </cell>
        </row>
        <row r="492">
          <cell r="B492" t="str">
            <v>PEC-75</v>
          </cell>
          <cell r="C492" t="str">
            <v>PVC End Cap (75mm)</v>
          </cell>
          <cell r="D492" t="str">
            <v>pc</v>
          </cell>
          <cell r="E492">
            <v>0</v>
          </cell>
          <cell r="F492">
            <v>0</v>
          </cell>
        </row>
        <row r="493">
          <cell r="B493" t="str">
            <v>PEC-90</v>
          </cell>
          <cell r="C493" t="str">
            <v>PVC End Cap (90mm)</v>
          </cell>
          <cell r="D493" t="str">
            <v>pc</v>
          </cell>
          <cell r="E493">
            <v>0</v>
          </cell>
          <cell r="F493">
            <v>0</v>
          </cell>
        </row>
        <row r="494">
          <cell r="B494" t="str">
            <v>PGAV-20</v>
          </cell>
          <cell r="C494" t="str">
            <v>PVC Gate Valve (20mm)</v>
          </cell>
          <cell r="D494" t="str">
            <v>pc</v>
          </cell>
          <cell r="E494">
            <v>0</v>
          </cell>
          <cell r="F494">
            <v>0</v>
          </cell>
        </row>
        <row r="495">
          <cell r="B495" t="str">
            <v>PGAV-25</v>
          </cell>
          <cell r="C495" t="str">
            <v>PVC Gate Valve (25mm)</v>
          </cell>
          <cell r="D495" t="str">
            <v>pc</v>
          </cell>
          <cell r="E495">
            <v>0</v>
          </cell>
          <cell r="F495">
            <v>0</v>
          </cell>
        </row>
        <row r="496">
          <cell r="B496" t="str">
            <v>PGAV-32</v>
          </cell>
          <cell r="C496" t="str">
            <v>PVC Gate Valve (32mm)</v>
          </cell>
          <cell r="D496" t="str">
            <v>pc</v>
          </cell>
          <cell r="E496">
            <v>0</v>
          </cell>
          <cell r="F496">
            <v>0</v>
          </cell>
        </row>
        <row r="497">
          <cell r="B497" t="str">
            <v>PGAV-40</v>
          </cell>
          <cell r="C497" t="str">
            <v>PVC Gate Valve (40mm)</v>
          </cell>
          <cell r="D497" t="str">
            <v>pc</v>
          </cell>
          <cell r="E497">
            <v>0</v>
          </cell>
          <cell r="F497">
            <v>0</v>
          </cell>
        </row>
        <row r="498">
          <cell r="B498" t="str">
            <v>PGAV-50</v>
          </cell>
          <cell r="C498" t="str">
            <v>PVC Gate Valve (50mm)</v>
          </cell>
          <cell r="D498" t="str">
            <v>pc</v>
          </cell>
          <cell r="E498">
            <v>0</v>
          </cell>
          <cell r="F498">
            <v>0</v>
          </cell>
        </row>
        <row r="499">
          <cell r="B499" t="str">
            <v>PGAV-63</v>
          </cell>
          <cell r="C499" t="str">
            <v>PVC Gate Valve (63mm)</v>
          </cell>
          <cell r="D499" t="str">
            <v>pc</v>
          </cell>
          <cell r="E499">
            <v>0</v>
          </cell>
          <cell r="F499">
            <v>0</v>
          </cell>
        </row>
        <row r="500">
          <cell r="B500" t="str">
            <v>PGAV-75</v>
          </cell>
          <cell r="C500" t="str">
            <v>PVC Gate Valve (75mm)</v>
          </cell>
          <cell r="D500" t="str">
            <v>pc</v>
          </cell>
          <cell r="E500">
            <v>0</v>
          </cell>
          <cell r="F500">
            <v>0</v>
          </cell>
        </row>
        <row r="501">
          <cell r="B501" t="str">
            <v>PGAV-90</v>
          </cell>
          <cell r="C501" t="str">
            <v>PVC Gate Valve (90mm)</v>
          </cell>
          <cell r="D501" t="str">
            <v>pc</v>
          </cell>
          <cell r="E501">
            <v>0</v>
          </cell>
          <cell r="F501">
            <v>0</v>
          </cell>
        </row>
        <row r="502">
          <cell r="B502" t="str">
            <v>PET-20</v>
          </cell>
          <cell r="C502" t="str">
            <v>PVC Eequal Tee (20mm)</v>
          </cell>
          <cell r="D502" t="str">
            <v>pc</v>
          </cell>
          <cell r="E502">
            <v>0</v>
          </cell>
          <cell r="F502">
            <v>0</v>
          </cell>
        </row>
        <row r="503">
          <cell r="B503" t="str">
            <v>PET-50</v>
          </cell>
          <cell r="C503" t="str">
            <v>PVC Equal Tee (50mm)</v>
          </cell>
          <cell r="D503" t="str">
            <v>pc</v>
          </cell>
        </row>
        <row r="504">
          <cell r="B504" t="str">
            <v>PET-75</v>
          </cell>
          <cell r="C504" t="str">
            <v>PVC Tee 75mm×2.5 kg</v>
          </cell>
          <cell r="D504" t="str">
            <v>pc</v>
          </cell>
        </row>
        <row r="505">
          <cell r="B505" t="str">
            <v>PUT-25x20</v>
          </cell>
          <cell r="C505" t="str">
            <v>PVC Unequal Tee (25x20)</v>
          </cell>
          <cell r="D505" t="str">
            <v>pc</v>
          </cell>
          <cell r="E505">
            <v>0</v>
          </cell>
          <cell r="F505">
            <v>0</v>
          </cell>
        </row>
        <row r="506">
          <cell r="B506" t="str">
            <v>PUT-32x20</v>
          </cell>
          <cell r="C506" t="str">
            <v>PVC Unequal Tee (32x20)</v>
          </cell>
          <cell r="D506" t="str">
            <v>pc</v>
          </cell>
          <cell r="E506">
            <v>0</v>
          </cell>
          <cell r="F506">
            <v>0</v>
          </cell>
        </row>
        <row r="507">
          <cell r="B507" t="str">
            <v>PUT-40x20</v>
          </cell>
          <cell r="C507" t="str">
            <v>PVC Unequal Tee (40x20)</v>
          </cell>
          <cell r="D507" t="str">
            <v>pc</v>
          </cell>
          <cell r="E507">
            <v>0</v>
          </cell>
          <cell r="F507">
            <v>0</v>
          </cell>
        </row>
        <row r="508">
          <cell r="B508" t="str">
            <v>PUT-50x20</v>
          </cell>
          <cell r="C508" t="str">
            <v>PVC Unequal Tee (50x20)</v>
          </cell>
          <cell r="D508" t="str">
            <v>pc</v>
          </cell>
          <cell r="E508">
            <v>0</v>
          </cell>
          <cell r="F508">
            <v>0</v>
          </cell>
        </row>
        <row r="509">
          <cell r="B509" t="str">
            <v>PUT-50x25</v>
          </cell>
          <cell r="C509" t="str">
            <v>PVC Unequal Tee (50x25)</v>
          </cell>
          <cell r="D509" t="str">
            <v>pc</v>
          </cell>
        </row>
        <row r="510">
          <cell r="B510" t="str">
            <v>PUT-63x20</v>
          </cell>
          <cell r="C510" t="str">
            <v>PVC Unequal Tee (63x20)</v>
          </cell>
          <cell r="D510" t="str">
            <v>pc</v>
          </cell>
          <cell r="E510">
            <v>0</v>
          </cell>
          <cell r="F510">
            <v>0</v>
          </cell>
        </row>
        <row r="511">
          <cell r="B511" t="str">
            <v>PUT-75x20</v>
          </cell>
          <cell r="C511" t="str">
            <v>PVC Unequal Tee (75x20)</v>
          </cell>
          <cell r="D511" t="str">
            <v>pc</v>
          </cell>
          <cell r="E511">
            <v>0</v>
          </cell>
          <cell r="F511">
            <v>0</v>
          </cell>
        </row>
        <row r="512">
          <cell r="B512" t="str">
            <v>PUT-90x20</v>
          </cell>
          <cell r="C512" t="str">
            <v>PVC Unequal Tee (90x20)</v>
          </cell>
          <cell r="D512" t="str">
            <v>pc</v>
          </cell>
          <cell r="E512">
            <v>0</v>
          </cell>
          <cell r="F512">
            <v>0</v>
          </cell>
        </row>
        <row r="513">
          <cell r="B513" t="str">
            <v>PUT-32x25</v>
          </cell>
          <cell r="C513" t="str">
            <v>PVC Unequal Tee (32x25)</v>
          </cell>
          <cell r="D513" t="str">
            <v>pc</v>
          </cell>
          <cell r="E513">
            <v>0</v>
          </cell>
          <cell r="F513">
            <v>0</v>
          </cell>
        </row>
        <row r="514">
          <cell r="B514" t="str">
            <v>PET-32</v>
          </cell>
          <cell r="C514" t="str">
            <v>PVC Equal Tee (32mm)</v>
          </cell>
          <cell r="D514" t="str">
            <v>pc</v>
          </cell>
        </row>
        <row r="515">
          <cell r="B515" t="str">
            <v>PUT-40x32</v>
          </cell>
          <cell r="C515" t="str">
            <v>PVC Unequal Tee (40x32)</v>
          </cell>
          <cell r="D515" t="str">
            <v>pc</v>
          </cell>
          <cell r="E515">
            <v>0</v>
          </cell>
          <cell r="F515">
            <v>0</v>
          </cell>
        </row>
        <row r="516">
          <cell r="B516" t="str">
            <v>PUT-50x32</v>
          </cell>
          <cell r="C516" t="str">
            <v>PVC Unequal Tee (50x32)</v>
          </cell>
          <cell r="D516" t="str">
            <v>pc</v>
          </cell>
          <cell r="E516">
            <v>0</v>
          </cell>
          <cell r="F516">
            <v>0</v>
          </cell>
        </row>
        <row r="517">
          <cell r="B517" t="str">
            <v>PUT-63x32</v>
          </cell>
          <cell r="C517" t="str">
            <v>PVC Unequal Tee (63x32)</v>
          </cell>
          <cell r="D517" t="str">
            <v>pc</v>
          </cell>
          <cell r="E517">
            <v>0</v>
          </cell>
          <cell r="F517">
            <v>0</v>
          </cell>
        </row>
        <row r="518">
          <cell r="B518" t="str">
            <v>PUT-75x32</v>
          </cell>
          <cell r="C518" t="str">
            <v>PVC Unequal Tee (75x32)</v>
          </cell>
          <cell r="D518" t="str">
            <v>pc</v>
          </cell>
          <cell r="E518">
            <v>0</v>
          </cell>
          <cell r="F518">
            <v>0</v>
          </cell>
        </row>
        <row r="519">
          <cell r="B519" t="str">
            <v>PUT-90x32</v>
          </cell>
          <cell r="C519" t="str">
            <v>PVC Unequal Tee (90x32)</v>
          </cell>
          <cell r="D519" t="str">
            <v>pc</v>
          </cell>
          <cell r="E519">
            <v>0</v>
          </cell>
          <cell r="F519">
            <v>0</v>
          </cell>
        </row>
        <row r="520">
          <cell r="B520" t="str">
            <v>PRS-25x20</v>
          </cell>
          <cell r="C520" t="str">
            <v>PVC Reducer (25x20)</v>
          </cell>
          <cell r="D520" t="str">
            <v>pc</v>
          </cell>
          <cell r="E520">
            <v>27.5</v>
          </cell>
          <cell r="F520">
            <v>0.13</v>
          </cell>
        </row>
        <row r="521">
          <cell r="B521" t="str">
            <v>PRS-32x25</v>
          </cell>
          <cell r="C521" t="str">
            <v>PVC Reducer (32x25)</v>
          </cell>
          <cell r="D521" t="str">
            <v>pc</v>
          </cell>
          <cell r="E521">
            <v>40.700000000000003</v>
          </cell>
          <cell r="F521">
            <v>0.25</v>
          </cell>
        </row>
        <row r="522">
          <cell r="B522" t="str">
            <v>PRS-32x20</v>
          </cell>
          <cell r="C522" t="str">
            <v>PVC Reducer (32x20)</v>
          </cell>
          <cell r="D522" t="str">
            <v>pc</v>
          </cell>
          <cell r="E522">
            <v>40.700000000000003</v>
          </cell>
          <cell r="F522">
            <v>0.2</v>
          </cell>
        </row>
        <row r="523">
          <cell r="B523" t="str">
            <v>PRS-40x32</v>
          </cell>
          <cell r="C523" t="str">
            <v>PVC Reducer (40x32)</v>
          </cell>
          <cell r="D523" t="str">
            <v>pc</v>
          </cell>
          <cell r="E523">
            <v>49.5</v>
          </cell>
          <cell r="F523">
            <v>0.25</v>
          </cell>
        </row>
        <row r="524">
          <cell r="B524" t="str">
            <v>PRS-40x25</v>
          </cell>
          <cell r="C524" t="str">
            <v>PVC Reducer (40x25)</v>
          </cell>
          <cell r="D524" t="str">
            <v>pc</v>
          </cell>
          <cell r="E524">
            <v>49.5</v>
          </cell>
          <cell r="F524">
            <v>0.22</v>
          </cell>
        </row>
        <row r="525">
          <cell r="B525" t="str">
            <v>PRS-40x20</v>
          </cell>
          <cell r="C525" t="str">
            <v>PVC Reducer (40x20)</v>
          </cell>
          <cell r="D525" t="str">
            <v>pc</v>
          </cell>
          <cell r="E525">
            <v>49.5</v>
          </cell>
          <cell r="F525">
            <v>0.2</v>
          </cell>
        </row>
        <row r="526">
          <cell r="B526" t="str">
            <v>PRS-50x40</v>
          </cell>
          <cell r="C526" t="str">
            <v>PVC Reducer (50x40)</v>
          </cell>
          <cell r="D526" t="str">
            <v>pc</v>
          </cell>
          <cell r="E526">
            <v>75.900000000000006</v>
          </cell>
          <cell r="F526">
            <v>0.45</v>
          </cell>
        </row>
        <row r="527">
          <cell r="B527" t="str">
            <v>PRS-50x32</v>
          </cell>
          <cell r="C527" t="str">
            <v>PVC Reducer (50x32)</v>
          </cell>
          <cell r="D527" t="str">
            <v>pc</v>
          </cell>
          <cell r="E527">
            <v>75.900000000000006</v>
          </cell>
          <cell r="F527">
            <v>0.4</v>
          </cell>
        </row>
        <row r="528">
          <cell r="B528" t="str">
            <v>PRS-50x25</v>
          </cell>
          <cell r="C528" t="str">
            <v>PVC Reducer (50x25)</v>
          </cell>
          <cell r="D528" t="str">
            <v>pc</v>
          </cell>
          <cell r="E528">
            <v>75.900000000000006</v>
          </cell>
          <cell r="F528">
            <v>0.35</v>
          </cell>
        </row>
        <row r="529">
          <cell r="B529" t="str">
            <v>PRS-50x20</v>
          </cell>
          <cell r="C529" t="str">
            <v>PVC Reducer (50x20)</v>
          </cell>
          <cell r="D529" t="str">
            <v>pc</v>
          </cell>
          <cell r="E529">
            <v>75.900000000000006</v>
          </cell>
          <cell r="F529">
            <v>0.3</v>
          </cell>
        </row>
        <row r="530">
          <cell r="B530" t="str">
            <v>PRS-63x50</v>
          </cell>
          <cell r="C530" t="str">
            <v>PVC Reducer (63x50)</v>
          </cell>
          <cell r="D530" t="str">
            <v>pc</v>
          </cell>
          <cell r="E530">
            <v>75.900000000000006</v>
          </cell>
          <cell r="F530">
            <v>0.3</v>
          </cell>
        </row>
        <row r="531">
          <cell r="B531" t="str">
            <v>PRS-63x40</v>
          </cell>
          <cell r="C531" t="str">
            <v>PVC Reducer (63x40)</v>
          </cell>
          <cell r="D531" t="str">
            <v>pc</v>
          </cell>
          <cell r="E531">
            <v>75.900000000000006</v>
          </cell>
          <cell r="F531">
            <v>0.3</v>
          </cell>
        </row>
        <row r="532">
          <cell r="B532" t="str">
            <v>PRS-63x32</v>
          </cell>
          <cell r="C532" t="str">
            <v>PVC Reducer (63x32)</v>
          </cell>
          <cell r="D532" t="str">
            <v>pc</v>
          </cell>
          <cell r="E532">
            <v>75.900000000000006</v>
          </cell>
          <cell r="F532">
            <v>0.3</v>
          </cell>
        </row>
        <row r="533">
          <cell r="B533" t="str">
            <v>PRS-63x25</v>
          </cell>
          <cell r="C533" t="str">
            <v>PVC Reducer (63x25)</v>
          </cell>
          <cell r="D533" t="str">
            <v>pc</v>
          </cell>
          <cell r="E533">
            <v>75.900000000000006</v>
          </cell>
          <cell r="F533">
            <v>0.3</v>
          </cell>
        </row>
        <row r="534">
          <cell r="B534" t="str">
            <v>PRS-63x20</v>
          </cell>
          <cell r="C534" t="str">
            <v>PVC Reducer (63x20)</v>
          </cell>
          <cell r="D534" t="str">
            <v>pc</v>
          </cell>
          <cell r="E534">
            <v>75.900000000000006</v>
          </cell>
          <cell r="F534">
            <v>0.3</v>
          </cell>
        </row>
        <row r="535">
          <cell r="B535" t="str">
            <v>PRS-63x50</v>
          </cell>
          <cell r="C535" t="str">
            <v>PVC Reducer (63x50)</v>
          </cell>
          <cell r="D535" t="str">
            <v>pc</v>
          </cell>
          <cell r="E535">
            <v>75.900000000000006</v>
          </cell>
          <cell r="F535">
            <v>0.3</v>
          </cell>
        </row>
        <row r="536">
          <cell r="B536" t="str">
            <v>PRS-75x63</v>
          </cell>
          <cell r="C536" t="str">
            <v>PVC Reducer (75x63)</v>
          </cell>
          <cell r="D536" t="str">
            <v>pc</v>
          </cell>
          <cell r="E536">
            <v>75.900000000000006</v>
          </cell>
          <cell r="F536">
            <v>0.3</v>
          </cell>
        </row>
        <row r="537">
          <cell r="B537" t="str">
            <v>PRS-75x50</v>
          </cell>
          <cell r="C537" t="str">
            <v>PVC Reducer (75x50)</v>
          </cell>
          <cell r="D537" t="str">
            <v>pc</v>
          </cell>
          <cell r="E537">
            <v>0</v>
          </cell>
          <cell r="F537">
            <v>0</v>
          </cell>
        </row>
        <row r="538">
          <cell r="B538" t="str">
            <v>PRS-75x40</v>
          </cell>
          <cell r="C538" t="str">
            <v>PVC Reducer (75x40)</v>
          </cell>
          <cell r="D538" t="str">
            <v>pc</v>
          </cell>
          <cell r="E538">
            <v>75.900000000000006</v>
          </cell>
          <cell r="F538">
            <v>0.3</v>
          </cell>
        </row>
        <row r="539">
          <cell r="B539" t="str">
            <v>PRS-75x32</v>
          </cell>
          <cell r="C539" t="str">
            <v>PVC Reducer (75x32)</v>
          </cell>
          <cell r="D539" t="str">
            <v>pc</v>
          </cell>
          <cell r="E539">
            <v>75.900000000000006</v>
          </cell>
          <cell r="F539">
            <v>0.3</v>
          </cell>
        </row>
        <row r="540">
          <cell r="B540" t="str">
            <v>PRS-75x25</v>
          </cell>
          <cell r="C540" t="str">
            <v>PVC Reducer (75x25)</v>
          </cell>
          <cell r="D540" t="str">
            <v>pc</v>
          </cell>
          <cell r="E540">
            <v>75.900000000000006</v>
          </cell>
          <cell r="F540">
            <v>0.3</v>
          </cell>
        </row>
        <row r="541">
          <cell r="B541" t="str">
            <v>PRS-75x20</v>
          </cell>
          <cell r="C541" t="str">
            <v>PVC Reducer (75x20)</v>
          </cell>
          <cell r="D541" t="str">
            <v>pc</v>
          </cell>
          <cell r="E541">
            <v>75.900000000000006</v>
          </cell>
          <cell r="F541">
            <v>0.3</v>
          </cell>
        </row>
        <row r="542">
          <cell r="B542" t="str">
            <v>PRS-90x75</v>
          </cell>
          <cell r="C542" t="str">
            <v>PVC Reducer (90x75)</v>
          </cell>
          <cell r="D542" t="str">
            <v>pc</v>
          </cell>
          <cell r="E542">
            <v>75.900000000000006</v>
          </cell>
          <cell r="F542">
            <v>0.3</v>
          </cell>
        </row>
        <row r="543">
          <cell r="B543" t="str">
            <v>PRS-90x63</v>
          </cell>
          <cell r="C543" t="str">
            <v>PVC Reducer (90x63)</v>
          </cell>
          <cell r="D543" t="str">
            <v>pc</v>
          </cell>
          <cell r="E543">
            <v>75.900000000000006</v>
          </cell>
          <cell r="F543">
            <v>0.3</v>
          </cell>
        </row>
        <row r="544">
          <cell r="B544" t="str">
            <v>PRS-90x50</v>
          </cell>
          <cell r="C544" t="str">
            <v>PVC Reducer (90x50)</v>
          </cell>
          <cell r="D544" t="str">
            <v>pc</v>
          </cell>
          <cell r="E544">
            <v>0</v>
          </cell>
          <cell r="F544">
            <v>0</v>
          </cell>
        </row>
        <row r="545">
          <cell r="B545" t="str">
            <v>PRS-90x40</v>
          </cell>
          <cell r="C545" t="str">
            <v>PVC Reducer (90x40)</v>
          </cell>
          <cell r="D545" t="str">
            <v>pc</v>
          </cell>
          <cell r="E545">
            <v>75.900000000000006</v>
          </cell>
          <cell r="F545">
            <v>0.3</v>
          </cell>
        </row>
        <row r="546">
          <cell r="B546" t="str">
            <v>PRS-90x32</v>
          </cell>
          <cell r="C546" t="str">
            <v>PVC Reducer (90x32)</v>
          </cell>
          <cell r="D546" t="str">
            <v>pc</v>
          </cell>
          <cell r="E546">
            <v>75.900000000000006</v>
          </cell>
          <cell r="F546">
            <v>0.3</v>
          </cell>
        </row>
        <row r="547">
          <cell r="B547" t="str">
            <v>PRS-90x25</v>
          </cell>
          <cell r="C547" t="str">
            <v>PVC Reducer (90x25)</v>
          </cell>
          <cell r="D547" t="str">
            <v>pc</v>
          </cell>
          <cell r="E547">
            <v>75.900000000000006</v>
          </cell>
          <cell r="F547">
            <v>0.3</v>
          </cell>
        </row>
        <row r="548">
          <cell r="B548" t="str">
            <v>PRS-90x20</v>
          </cell>
          <cell r="C548" t="str">
            <v>PVC Reducer (90x20)</v>
          </cell>
          <cell r="D548" t="str">
            <v>pc</v>
          </cell>
          <cell r="E548">
            <v>75.900000000000006</v>
          </cell>
          <cell r="F548">
            <v>0.3</v>
          </cell>
        </row>
        <row r="549">
          <cell r="B549" t="str">
            <v>PEL-63</v>
          </cell>
          <cell r="C549" t="str">
            <v>PVC Elbow (63mm)</v>
          </cell>
          <cell r="D549" t="str">
            <v>pc</v>
          </cell>
        </row>
        <row r="550">
          <cell r="B550" t="str">
            <v>PEL-50</v>
          </cell>
          <cell r="C550" t="str">
            <v>PVC Elbow (50mm)</v>
          </cell>
          <cell r="D550" t="str">
            <v>pc</v>
          </cell>
        </row>
        <row r="551">
          <cell r="B551" t="str">
            <v>PEL-40</v>
          </cell>
          <cell r="C551" t="str">
            <v>PVC Elbow (40mm)</v>
          </cell>
          <cell r="D551" t="str">
            <v>pc</v>
          </cell>
        </row>
        <row r="552">
          <cell r="B552" t="str">
            <v>PEL-32</v>
          </cell>
          <cell r="C552" t="str">
            <v>PVC Elbow (32mm)</v>
          </cell>
          <cell r="D552" t="str">
            <v>pc</v>
          </cell>
        </row>
        <row r="553">
          <cell r="B553" t="str">
            <v>PEL-25</v>
          </cell>
          <cell r="C553" t="str">
            <v>PVC Elbow (25mm)</v>
          </cell>
          <cell r="D553" t="str">
            <v>pc</v>
          </cell>
        </row>
        <row r="554">
          <cell r="B554" t="str">
            <v>PEL-20</v>
          </cell>
          <cell r="C554" t="str">
            <v>PVC Elbow (20mm)</v>
          </cell>
          <cell r="D554" t="str">
            <v>pc</v>
          </cell>
        </row>
        <row r="555">
          <cell r="C555" t="str">
            <v>PVC/HDPE CONNECTORS</v>
          </cell>
        </row>
        <row r="556">
          <cell r="B556" t="str">
            <v>PHF-20</v>
          </cell>
          <cell r="C556" t="str">
            <v>PVC/HDPE Flange (20mm)</v>
          </cell>
          <cell r="D556" t="str">
            <v>pc</v>
          </cell>
          <cell r="E556">
            <v>0</v>
          </cell>
          <cell r="F556">
            <v>0</v>
          </cell>
        </row>
        <row r="557">
          <cell r="B557" t="str">
            <v>PHF-25</v>
          </cell>
          <cell r="C557" t="str">
            <v>PVC/HDPE Flange (25mm)</v>
          </cell>
          <cell r="D557" t="str">
            <v>pc</v>
          </cell>
          <cell r="E557">
            <v>0</v>
          </cell>
          <cell r="F557">
            <v>0</v>
          </cell>
        </row>
        <row r="558">
          <cell r="B558" t="str">
            <v>PHF-32</v>
          </cell>
          <cell r="C558" t="str">
            <v>PVC/HDPE Flange (32mm)</v>
          </cell>
          <cell r="D558" t="str">
            <v>pc</v>
          </cell>
          <cell r="E558">
            <v>0</v>
          </cell>
          <cell r="F558">
            <v>0</v>
          </cell>
        </row>
        <row r="559">
          <cell r="B559" t="str">
            <v>PHF-40</v>
          </cell>
          <cell r="C559" t="str">
            <v>PVC/HDPE Flange (40mm)</v>
          </cell>
          <cell r="D559" t="str">
            <v>pc</v>
          </cell>
          <cell r="E559">
            <v>0</v>
          </cell>
          <cell r="F559">
            <v>0</v>
          </cell>
        </row>
        <row r="560">
          <cell r="B560" t="str">
            <v>PHF-50</v>
          </cell>
          <cell r="C560" t="str">
            <v>PVC/HDPE Flange (50mm)</v>
          </cell>
          <cell r="D560" t="str">
            <v>pc</v>
          </cell>
          <cell r="E560">
            <v>0</v>
          </cell>
          <cell r="F560">
            <v>0</v>
          </cell>
        </row>
        <row r="561">
          <cell r="B561" t="str">
            <v>PHF-63</v>
          </cell>
          <cell r="C561" t="str">
            <v>PVC/HDPE Flange (63mm)</v>
          </cell>
          <cell r="D561" t="str">
            <v>pc</v>
          </cell>
          <cell r="E561">
            <v>0</v>
          </cell>
          <cell r="F561">
            <v>0</v>
          </cell>
        </row>
        <row r="562">
          <cell r="B562" t="str">
            <v>PHF-75</v>
          </cell>
          <cell r="C562" t="str">
            <v>PVC/HDPE Flange (75mm)</v>
          </cell>
          <cell r="D562" t="str">
            <v>pc</v>
          </cell>
          <cell r="E562">
            <v>0</v>
          </cell>
          <cell r="F562">
            <v>0</v>
          </cell>
        </row>
        <row r="563">
          <cell r="B563" t="str">
            <v>PHF-90</v>
          </cell>
          <cell r="C563" t="str">
            <v>PVC/HDPE Flange (90mm)</v>
          </cell>
          <cell r="D563" t="str">
            <v>pc</v>
          </cell>
          <cell r="E563">
            <v>0</v>
          </cell>
          <cell r="F563">
            <v>0</v>
          </cell>
        </row>
        <row r="564">
          <cell r="B564" t="str">
            <v>PAV-32</v>
          </cell>
          <cell r="C564" t="str">
            <v>PVC Air Release Valve (32mm)</v>
          </cell>
          <cell r="D564" t="str">
            <v>pc</v>
          </cell>
          <cell r="E564">
            <v>0</v>
          </cell>
          <cell r="F564">
            <v>0</v>
          </cell>
        </row>
        <row r="565">
          <cell r="B565" t="str">
            <v>PRT-20</v>
          </cell>
          <cell r="C565" t="str">
            <v>PVC Regulating Tee (20mm)</v>
          </cell>
          <cell r="D565" t="str">
            <v>pc</v>
          </cell>
          <cell r="E565">
            <v>0</v>
          </cell>
          <cell r="F565">
            <v>0</v>
          </cell>
        </row>
        <row r="566">
          <cell r="C566" t="str">
            <v>TAPS</v>
          </cell>
        </row>
        <row r="567">
          <cell r="B567" t="str">
            <v>BT200-15</v>
          </cell>
          <cell r="C567" t="str">
            <v>Brass Tap ( 200g )</v>
          </cell>
          <cell r="D567" t="str">
            <v>pc</v>
          </cell>
          <cell r="E567">
            <v>360</v>
          </cell>
          <cell r="F567">
            <v>0.28000000000000003</v>
          </cell>
        </row>
        <row r="568">
          <cell r="B568" t="str">
            <v>BT400-15</v>
          </cell>
          <cell r="C568" t="str">
            <v>Brass Tap ( 400g )</v>
          </cell>
          <cell r="D568" t="str">
            <v>pc</v>
          </cell>
          <cell r="E568">
            <v>340</v>
          </cell>
          <cell r="F568">
            <v>1</v>
          </cell>
        </row>
        <row r="569">
          <cell r="B569" t="str">
            <v>BT300-15</v>
          </cell>
          <cell r="C569" t="str">
            <v>Brass Tap ( 300g )</v>
          </cell>
          <cell r="D569" t="str">
            <v>pc</v>
          </cell>
          <cell r="E569">
            <v>850</v>
          </cell>
          <cell r="F569">
            <v>0.15</v>
          </cell>
        </row>
        <row r="571">
          <cell r="E571">
            <v>850</v>
          </cell>
          <cell r="F571">
            <v>0.15</v>
          </cell>
        </row>
      </sheetData>
      <sheetData sheetId="12" refreshError="1">
        <row r="7">
          <cell r="A7" t="str">
            <v>M-01</v>
          </cell>
          <cell r="B7" t="str">
            <v>Cement</v>
          </cell>
          <cell r="C7" t="str">
            <v>bag</v>
          </cell>
          <cell r="D7">
            <v>1014</v>
          </cell>
          <cell r="E7">
            <v>50</v>
          </cell>
        </row>
        <row r="8">
          <cell r="A8" t="str">
            <v>M-02</v>
          </cell>
          <cell r="B8" t="str">
            <v>Sand</v>
          </cell>
          <cell r="C8" t="str">
            <v>m3</v>
          </cell>
          <cell r="D8">
            <v>500</v>
          </cell>
        </row>
        <row r="9">
          <cell r="A9" t="str">
            <v>M-03</v>
          </cell>
          <cell r="B9" t="str">
            <v>Block Stone</v>
          </cell>
          <cell r="C9" t="str">
            <v>m3</v>
          </cell>
          <cell r="D9">
            <v>625</v>
          </cell>
        </row>
        <row r="10">
          <cell r="A10" t="str">
            <v>M-04</v>
          </cell>
          <cell r="B10" t="str">
            <v>Bond Stone</v>
          </cell>
          <cell r="C10" t="str">
            <v>m3</v>
          </cell>
          <cell r="D10">
            <v>625</v>
          </cell>
        </row>
        <row r="11">
          <cell r="A11" t="str">
            <v>M-05</v>
          </cell>
          <cell r="B11" t="str">
            <v>Aggregate (5-10mm)</v>
          </cell>
          <cell r="C11" t="str">
            <v>m3</v>
          </cell>
          <cell r="D11">
            <v>6500</v>
          </cell>
        </row>
        <row r="12">
          <cell r="A12" t="str">
            <v>M-06</v>
          </cell>
          <cell r="B12" t="str">
            <v>Aggregate (10-20mm)</v>
          </cell>
          <cell r="C12" t="str">
            <v>m3</v>
          </cell>
          <cell r="D12">
            <v>6500</v>
          </cell>
        </row>
        <row r="13">
          <cell r="A13" t="str">
            <v>M-07</v>
          </cell>
          <cell r="B13" t="str">
            <v>Aggregate (20-40mm)</v>
          </cell>
          <cell r="C13" t="str">
            <v>m3</v>
          </cell>
          <cell r="D13">
            <v>6500</v>
          </cell>
        </row>
        <row r="14">
          <cell r="A14" t="str">
            <v>M-08</v>
          </cell>
          <cell r="B14" t="str">
            <v>Project Information Board</v>
          </cell>
          <cell r="C14" t="str">
            <v>set</v>
          </cell>
          <cell r="E14">
            <v>30</v>
          </cell>
        </row>
        <row r="15">
          <cell r="A15" t="str">
            <v>M-09</v>
          </cell>
          <cell r="B15" t="str">
            <v>Reinforcement ( 6mm)</v>
          </cell>
          <cell r="C15" t="str">
            <v>kg</v>
          </cell>
          <cell r="D15">
            <v>90</v>
          </cell>
          <cell r="E15">
            <v>1</v>
          </cell>
        </row>
        <row r="16">
          <cell r="A16" t="str">
            <v>M-10</v>
          </cell>
          <cell r="B16" t="str">
            <v>Reinforcement ( 8mm)</v>
          </cell>
          <cell r="C16" t="str">
            <v>kg</v>
          </cell>
          <cell r="D16">
            <v>90</v>
          </cell>
          <cell r="E16">
            <v>1</v>
          </cell>
        </row>
        <row r="17">
          <cell r="A17" t="str">
            <v>M-11</v>
          </cell>
          <cell r="B17" t="str">
            <v>Reinforcement (10mm)</v>
          </cell>
          <cell r="C17" t="str">
            <v>kg</v>
          </cell>
          <cell r="D17">
            <v>90</v>
          </cell>
          <cell r="E17">
            <v>1</v>
          </cell>
        </row>
        <row r="18">
          <cell r="A18" t="str">
            <v>M-12</v>
          </cell>
          <cell r="B18" t="str">
            <v>Binding wire</v>
          </cell>
          <cell r="C18" t="str">
            <v>kg</v>
          </cell>
          <cell r="D18">
            <v>115</v>
          </cell>
          <cell r="E18">
            <v>1</v>
          </cell>
        </row>
        <row r="19">
          <cell r="A19" t="str">
            <v>M-13</v>
          </cell>
          <cell r="B19" t="str">
            <v>Plain wire (3.5 mm dia)</v>
          </cell>
          <cell r="C19" t="str">
            <v>kg</v>
          </cell>
          <cell r="D19">
            <v>103</v>
          </cell>
          <cell r="E19">
            <v>1</v>
          </cell>
        </row>
        <row r="20">
          <cell r="A20" t="str">
            <v>M-14</v>
          </cell>
          <cell r="B20" t="str">
            <v>Chicken wire mesh (3 Ft wide)</v>
          </cell>
          <cell r="C20" t="str">
            <v>m</v>
          </cell>
          <cell r="D20">
            <v>282.5</v>
          </cell>
          <cell r="E20">
            <v>0.45</v>
          </cell>
        </row>
        <row r="21">
          <cell r="A21" t="str">
            <v>M-15</v>
          </cell>
          <cell r="B21" t="str">
            <v>Bamboo</v>
          </cell>
          <cell r="C21" t="str">
            <v>pc</v>
          </cell>
          <cell r="D21">
            <v>375</v>
          </cell>
        </row>
        <row r="22">
          <cell r="A22" t="str">
            <v>M-16</v>
          </cell>
          <cell r="B22" t="str">
            <v>Angle Pole</v>
          </cell>
          <cell r="C22" t="str">
            <v>pc</v>
          </cell>
          <cell r="E22">
            <v>6.5</v>
          </cell>
        </row>
        <row r="23">
          <cell r="A23" t="str">
            <v>M-17</v>
          </cell>
          <cell r="B23" t="str">
            <v>Angle Pole for Gate</v>
          </cell>
          <cell r="C23" t="str">
            <v>pc</v>
          </cell>
          <cell r="E23">
            <v>6.5</v>
          </cell>
        </row>
        <row r="24">
          <cell r="A24" t="str">
            <v>M-18</v>
          </cell>
          <cell r="B24" t="str">
            <v>Corner Angle Pole</v>
          </cell>
          <cell r="C24" t="str">
            <v>pc</v>
          </cell>
          <cell r="E24">
            <v>6.5</v>
          </cell>
        </row>
        <row r="25">
          <cell r="A25" t="str">
            <v>M-19</v>
          </cell>
          <cell r="B25" t="str">
            <v>Bracing Angle Pole</v>
          </cell>
          <cell r="C25" t="str">
            <v>pc</v>
          </cell>
          <cell r="E25">
            <v>6</v>
          </cell>
        </row>
        <row r="26">
          <cell r="A26" t="str">
            <v>M-20</v>
          </cell>
          <cell r="B26" t="str">
            <v>Polythene Sheet</v>
          </cell>
          <cell r="C26" t="str">
            <v>m</v>
          </cell>
          <cell r="D26">
            <v>48.24</v>
          </cell>
          <cell r="E26">
            <v>0.05</v>
          </cell>
        </row>
        <row r="27">
          <cell r="A27" t="str">
            <v>M-21</v>
          </cell>
          <cell r="B27" t="str">
            <v>Barbed Wire</v>
          </cell>
          <cell r="C27" t="str">
            <v>kg</v>
          </cell>
          <cell r="D27">
            <v>110</v>
          </cell>
          <cell r="E27">
            <v>1</v>
          </cell>
        </row>
        <row r="28">
          <cell r="A28" t="str">
            <v>M-22</v>
          </cell>
          <cell r="B28" t="str">
            <v>Fencing Post</v>
          </cell>
          <cell r="C28" t="str">
            <v>pc</v>
          </cell>
          <cell r="E28">
            <v>1</v>
          </cell>
        </row>
        <row r="29">
          <cell r="A29" t="str">
            <v>M-23</v>
          </cell>
          <cell r="B29" t="str">
            <v>Angle Gate</v>
          </cell>
          <cell r="C29" t="str">
            <v>pc</v>
          </cell>
          <cell r="D29">
            <v>1830</v>
          </cell>
          <cell r="E29">
            <v>8.5</v>
          </cell>
        </row>
        <row r="30">
          <cell r="A30" t="str">
            <v>M-24</v>
          </cell>
          <cell r="B30" t="str">
            <v>4" Hinges</v>
          </cell>
          <cell r="C30" t="str">
            <v>pc</v>
          </cell>
          <cell r="D30">
            <v>45.2</v>
          </cell>
          <cell r="E30">
            <v>0.2</v>
          </cell>
        </row>
        <row r="31">
          <cell r="A31" t="str">
            <v>M-25</v>
          </cell>
          <cell r="B31" t="str">
            <v>10" Aldrop</v>
          </cell>
          <cell r="C31" t="str">
            <v>pc</v>
          </cell>
          <cell r="E31">
            <v>0.2</v>
          </cell>
        </row>
        <row r="32">
          <cell r="A32" t="str">
            <v>M-26</v>
          </cell>
          <cell r="B32" t="str">
            <v>Gate Lock Key</v>
          </cell>
          <cell r="C32" t="str">
            <v>pc</v>
          </cell>
          <cell r="E32">
            <v>0.06</v>
          </cell>
        </row>
        <row r="33">
          <cell r="A33" t="str">
            <v>M-27</v>
          </cell>
          <cell r="B33" t="str">
            <v>Nut with bolt (8mm dia)</v>
          </cell>
          <cell r="C33" t="str">
            <v>pc</v>
          </cell>
          <cell r="D33">
            <v>8.43</v>
          </cell>
          <cell r="E33">
            <v>0.01</v>
          </cell>
        </row>
        <row r="34">
          <cell r="A34" t="str">
            <v>M-28</v>
          </cell>
          <cell r="B34" t="str">
            <v>Screws</v>
          </cell>
          <cell r="C34" t="str">
            <v>pc</v>
          </cell>
          <cell r="D34">
            <v>3.96</v>
          </cell>
          <cell r="E34">
            <v>0.01</v>
          </cell>
        </row>
        <row r="35">
          <cell r="A35" t="str">
            <v>M-29</v>
          </cell>
          <cell r="B35" t="str">
            <v>GI sheet Plain (3'x7')</v>
          </cell>
          <cell r="C35" t="str">
            <v>pc</v>
          </cell>
          <cell r="E35">
            <v>1</v>
          </cell>
        </row>
        <row r="36">
          <cell r="A36" t="str">
            <v>M-30</v>
          </cell>
          <cell r="B36" t="str">
            <v>Manhole Cover (Circular)</v>
          </cell>
          <cell r="C36" t="str">
            <v>pc</v>
          </cell>
          <cell r="D36">
            <v>2050</v>
          </cell>
          <cell r="E36">
            <v>5</v>
          </cell>
        </row>
        <row r="37">
          <cell r="A37" t="str">
            <v>M-31</v>
          </cell>
          <cell r="B37" t="str">
            <v>Manhole Cover (Square)</v>
          </cell>
          <cell r="C37" t="str">
            <v>pc</v>
          </cell>
          <cell r="E37">
            <v>5</v>
          </cell>
        </row>
        <row r="38">
          <cell r="A38" t="str">
            <v>M-32</v>
          </cell>
          <cell r="B38" t="str">
            <v>Manhole Cover (Rectangle)</v>
          </cell>
          <cell r="C38" t="str">
            <v>pc</v>
          </cell>
          <cell r="E38">
            <v>5</v>
          </cell>
        </row>
        <row r="39">
          <cell r="A39" t="str">
            <v>M-33</v>
          </cell>
          <cell r="B39" t="str">
            <v>Small Slab Frame (55x55)</v>
          </cell>
          <cell r="C39" t="str">
            <v>pc</v>
          </cell>
          <cell r="E39">
            <v>11</v>
          </cell>
        </row>
        <row r="40">
          <cell r="A40" t="str">
            <v>M-34</v>
          </cell>
          <cell r="B40" t="str">
            <v>Big Slab Frame (75x75)</v>
          </cell>
          <cell r="C40" t="str">
            <v>pc</v>
          </cell>
          <cell r="E40">
            <v>14</v>
          </cell>
        </row>
        <row r="41">
          <cell r="A41" t="str">
            <v>M-35</v>
          </cell>
          <cell r="B41" t="str">
            <v>Cement Paint</v>
          </cell>
          <cell r="C41" t="str">
            <v>kg</v>
          </cell>
          <cell r="E41">
            <v>1</v>
          </cell>
        </row>
        <row r="42">
          <cell r="A42" t="str">
            <v>M-36</v>
          </cell>
          <cell r="B42" t="str">
            <v>Lime</v>
          </cell>
          <cell r="C42" t="str">
            <v>kg</v>
          </cell>
          <cell r="E42">
            <v>1</v>
          </cell>
        </row>
        <row r="43">
          <cell r="A43" t="str">
            <v>M-37</v>
          </cell>
          <cell r="B43" t="str">
            <v>GI Selwage Wire (8g)</v>
          </cell>
          <cell r="C43" t="str">
            <v>kg</v>
          </cell>
          <cell r="D43">
            <v>88</v>
          </cell>
          <cell r="E43">
            <v>1</v>
          </cell>
        </row>
        <row r="44">
          <cell r="A44" t="str">
            <v>M-38</v>
          </cell>
          <cell r="B44" t="str">
            <v>GI Mesh Wire (10g)</v>
          </cell>
          <cell r="C44" t="str">
            <v>kg</v>
          </cell>
          <cell r="D44">
            <v>88</v>
          </cell>
          <cell r="E44">
            <v>1</v>
          </cell>
        </row>
        <row r="45">
          <cell r="A45" t="str">
            <v>M-39</v>
          </cell>
          <cell r="B45" t="str">
            <v>Wood for Formwork</v>
          </cell>
          <cell r="C45" t="str">
            <v>m3</v>
          </cell>
          <cell r="D45">
            <v>20000</v>
          </cell>
        </row>
        <row r="46">
          <cell r="A46" t="str">
            <v>M-40</v>
          </cell>
          <cell r="B46" t="str">
            <v>Nails</v>
          </cell>
          <cell r="C46" t="str">
            <v>kg</v>
          </cell>
          <cell r="D46">
            <v>115</v>
          </cell>
          <cell r="E46">
            <v>1</v>
          </cell>
        </row>
        <row r="47">
          <cell r="A47" t="str">
            <v>M-41</v>
          </cell>
          <cell r="B47" t="str">
            <v>Suspension Cable (8mm)</v>
          </cell>
          <cell r="C47" t="str">
            <v>m</v>
          </cell>
          <cell r="D47">
            <v>210.69</v>
          </cell>
          <cell r="E47">
            <v>0.2</v>
          </cell>
        </row>
        <row r="48">
          <cell r="A48" t="str">
            <v>M-42</v>
          </cell>
          <cell r="B48" t="str">
            <v>Suspension Cable (13mm)</v>
          </cell>
          <cell r="C48" t="str">
            <v>m</v>
          </cell>
          <cell r="D48">
            <v>268.14999999999998</v>
          </cell>
          <cell r="E48">
            <v>0.25</v>
          </cell>
        </row>
        <row r="49">
          <cell r="A49" t="str">
            <v>M-43</v>
          </cell>
          <cell r="B49" t="str">
            <v>Bulldog Grips (8mm)</v>
          </cell>
          <cell r="C49" t="str">
            <v>pc</v>
          </cell>
          <cell r="E49">
            <v>0.06</v>
          </cell>
        </row>
        <row r="50">
          <cell r="A50" t="str">
            <v>M-44</v>
          </cell>
          <cell r="B50" t="str">
            <v>Bulldog Grips (13mm)</v>
          </cell>
          <cell r="C50" t="str">
            <v>pc</v>
          </cell>
          <cell r="E50">
            <v>0.1</v>
          </cell>
        </row>
        <row r="51">
          <cell r="A51" t="str">
            <v>M-45</v>
          </cell>
          <cell r="B51" t="str">
            <v>PE Tank 200 ltrs.</v>
          </cell>
          <cell r="C51" t="str">
            <v>pc</v>
          </cell>
          <cell r="D51">
            <v>2500</v>
          </cell>
          <cell r="E51">
            <v>7</v>
          </cell>
        </row>
        <row r="52">
          <cell r="A52" t="str">
            <v>M-46</v>
          </cell>
          <cell r="B52" t="str">
            <v>Tapstand Grid</v>
          </cell>
          <cell r="C52" t="str">
            <v>pc</v>
          </cell>
          <cell r="D52">
            <v>750</v>
          </cell>
          <cell r="E52">
            <v>2</v>
          </cell>
        </row>
        <row r="53">
          <cell r="A53" t="str">
            <v>M-47</v>
          </cell>
          <cell r="B53" t="str">
            <v>Anchor Bolt (1/2")</v>
          </cell>
          <cell r="C53" t="str">
            <v>pc</v>
          </cell>
          <cell r="E53">
            <v>0</v>
          </cell>
        </row>
        <row r="54">
          <cell r="A54" t="str">
            <v>M-48</v>
          </cell>
          <cell r="B54" t="str">
            <v>Anchor Bolt (1")</v>
          </cell>
          <cell r="C54" t="str">
            <v>pc</v>
          </cell>
          <cell r="E54">
            <v>0</v>
          </cell>
        </row>
        <row r="55">
          <cell r="A55" t="str">
            <v>M-49</v>
          </cell>
          <cell r="B55" t="str">
            <v>Anchor Bolt (1 1/2")</v>
          </cell>
          <cell r="C55" t="str">
            <v>pc</v>
          </cell>
          <cell r="E55">
            <v>0</v>
          </cell>
        </row>
        <row r="56">
          <cell r="A56" t="str">
            <v>M-50</v>
          </cell>
          <cell r="B56" t="str">
            <v>Anchor Bolt (2")</v>
          </cell>
          <cell r="C56" t="str">
            <v>pc</v>
          </cell>
          <cell r="E56">
            <v>0</v>
          </cell>
        </row>
        <row r="57">
          <cell r="A57" t="str">
            <v>M-51</v>
          </cell>
          <cell r="B57" t="str">
            <v>Bulldog Grips ( 20 mm)</v>
          </cell>
          <cell r="C57" t="str">
            <v>pc</v>
          </cell>
          <cell r="D57">
            <v>56.5</v>
          </cell>
          <cell r="E57">
            <v>0</v>
          </cell>
        </row>
        <row r="58">
          <cell r="A58" t="str">
            <v>M-52</v>
          </cell>
          <cell r="B58" t="str">
            <v>Bulldog Grips ( 32 mm)</v>
          </cell>
          <cell r="C58" t="str">
            <v>pc</v>
          </cell>
          <cell r="D58">
            <v>39.662999999999997</v>
          </cell>
          <cell r="E58">
            <v>0</v>
          </cell>
        </row>
        <row r="59">
          <cell r="A59" t="str">
            <v>M-53</v>
          </cell>
          <cell r="B59" t="str">
            <v>Rainforcement ( 20mm)</v>
          </cell>
          <cell r="C59" t="str">
            <v>kg</v>
          </cell>
          <cell r="D59">
            <v>72.421700000000001</v>
          </cell>
          <cell r="E59">
            <v>0</v>
          </cell>
        </row>
        <row r="60">
          <cell r="A60" t="str">
            <v>M-54</v>
          </cell>
          <cell r="B60" t="str">
            <v>Fibre Glass Pan</v>
          </cell>
          <cell r="C60" t="str">
            <v>Set</v>
          </cell>
          <cell r="E60">
            <v>1.4</v>
          </cell>
        </row>
        <row r="61">
          <cell r="A61" t="str">
            <v>M-55</v>
          </cell>
          <cell r="B61" t="str">
            <v>HDPE Bend (syphon)</v>
          </cell>
          <cell r="C61" t="str">
            <v>pc</v>
          </cell>
          <cell r="E61">
            <v>0</v>
          </cell>
        </row>
        <row r="62">
          <cell r="A62" t="str">
            <v>M-56</v>
          </cell>
          <cell r="B62" t="str">
            <v>Ceramic Pan Set</v>
          </cell>
          <cell r="C62" t="str">
            <v>Set</v>
          </cell>
          <cell r="E62">
            <v>0</v>
          </cell>
        </row>
        <row r="63">
          <cell r="A63" t="str">
            <v>M-57</v>
          </cell>
          <cell r="B63" t="str">
            <v>PE Tank 500 ltrs.</v>
          </cell>
          <cell r="C63" t="str">
            <v>pc</v>
          </cell>
          <cell r="D63">
            <v>6250</v>
          </cell>
          <cell r="E63">
            <v>0</v>
          </cell>
        </row>
        <row r="64">
          <cell r="A64" t="str">
            <v>M-58</v>
          </cell>
          <cell r="B64" t="str">
            <v>Enamel Paint</v>
          </cell>
          <cell r="C64" t="str">
            <v>Ltr</v>
          </cell>
          <cell r="D64">
            <v>578.55999999999995</v>
          </cell>
          <cell r="E64">
            <v>0.5</v>
          </cell>
        </row>
        <row r="65">
          <cell r="A65" t="str">
            <v>M-59</v>
          </cell>
          <cell r="B65" t="str">
            <v>U-Hook</v>
          </cell>
          <cell r="C65" t="str">
            <v>pc</v>
          </cell>
          <cell r="D65">
            <v>16.8</v>
          </cell>
          <cell r="E65">
            <v>0</v>
          </cell>
        </row>
        <row r="66">
          <cell r="A66" t="str">
            <v>M-60</v>
          </cell>
          <cell r="B66" t="str">
            <v>Hilltake Metal Cover</v>
          </cell>
          <cell r="C66" t="str">
            <v>pc</v>
          </cell>
          <cell r="E66">
            <v>0</v>
          </cell>
        </row>
        <row r="67">
          <cell r="A67" t="str">
            <v>M-61</v>
          </cell>
          <cell r="B67" t="str">
            <v>CGI Nails</v>
          </cell>
          <cell r="C67" t="str">
            <v>kg</v>
          </cell>
          <cell r="D67">
            <v>130</v>
          </cell>
          <cell r="E67">
            <v>1</v>
          </cell>
        </row>
        <row r="68">
          <cell r="A68" t="str">
            <v>M-62</v>
          </cell>
          <cell r="B68" t="str">
            <v>CGI Sheet 26#</v>
          </cell>
          <cell r="C68" t="str">
            <v>pc</v>
          </cell>
          <cell r="D68">
            <v>1350</v>
          </cell>
          <cell r="E68">
            <v>6</v>
          </cell>
        </row>
        <row r="69">
          <cell r="A69" t="str">
            <v>M-63</v>
          </cell>
          <cell r="B69" t="str">
            <v>CGI Plain Sheet 26#</v>
          </cell>
          <cell r="C69" t="str">
            <v>pc</v>
          </cell>
          <cell r="D69">
            <v>717.3</v>
          </cell>
          <cell r="E69">
            <v>6</v>
          </cell>
        </row>
        <row r="70">
          <cell r="A70" t="str">
            <v>M-64</v>
          </cell>
          <cell r="B70" t="str">
            <v>PVC Net</v>
          </cell>
          <cell r="C70" t="str">
            <v>m</v>
          </cell>
          <cell r="E70">
            <v>0</v>
          </cell>
        </row>
        <row r="71">
          <cell r="A71" t="str">
            <v>M-65</v>
          </cell>
          <cell r="B71" t="str">
            <v>Binding Wire (Galvenized)</v>
          </cell>
          <cell r="C71" t="str">
            <v>Kg</v>
          </cell>
          <cell r="D71">
            <v>99.507799999999989</v>
          </cell>
          <cell r="E71">
            <v>0</v>
          </cell>
        </row>
        <row r="72">
          <cell r="A72" t="str">
            <v>M-66</v>
          </cell>
          <cell r="B72" t="str">
            <v>Metal Cover 22#</v>
          </cell>
          <cell r="C72" t="str">
            <v>pc</v>
          </cell>
          <cell r="E72">
            <v>7</v>
          </cell>
        </row>
        <row r="73">
          <cell r="A73" t="str">
            <v>M-67</v>
          </cell>
          <cell r="B73" t="str">
            <v>Plastic Tirpal</v>
          </cell>
          <cell r="C73" t="str">
            <v>pc</v>
          </cell>
          <cell r="E73">
            <v>0</v>
          </cell>
        </row>
        <row r="74">
          <cell r="A74" t="str">
            <v>M-68</v>
          </cell>
          <cell r="B74" t="str">
            <v>Gasket for Flange set</v>
          </cell>
          <cell r="C74" t="str">
            <v>pc</v>
          </cell>
          <cell r="E74">
            <v>0</v>
          </cell>
        </row>
        <row r="77">
          <cell r="A77" t="str">
            <v>Code</v>
          </cell>
          <cell r="B77" t="str">
            <v>Labours</v>
          </cell>
          <cell r="C77" t="str">
            <v>Unit</v>
          </cell>
          <cell r="D77" t="str">
            <v>Unit Rate</v>
          </cell>
        </row>
        <row r="78">
          <cell r="A78" t="str">
            <v>L-1</v>
          </cell>
          <cell r="B78" t="str">
            <v>Skilled Labour</v>
          </cell>
          <cell r="C78" t="str">
            <v>md</v>
          </cell>
          <cell r="D78">
            <v>630</v>
          </cell>
        </row>
        <row r="79">
          <cell r="A79" t="str">
            <v>L-2</v>
          </cell>
          <cell r="B79" t="str">
            <v>Unskilled Labour</v>
          </cell>
          <cell r="C79" t="str">
            <v>md</v>
          </cell>
          <cell r="D79">
            <v>440</v>
          </cell>
        </row>
        <row r="85">
          <cell r="A85" t="str">
            <v>HP2.5-75</v>
          </cell>
          <cell r="B85" t="str">
            <v>HDPE Pipe(75mm) - 2.5 kgf/cm2</v>
          </cell>
          <cell r="C85" t="str">
            <v>m</v>
          </cell>
          <cell r="D85">
            <v>118.68</v>
          </cell>
          <cell r="E85">
            <v>0.55000000000000004</v>
          </cell>
        </row>
        <row r="86">
          <cell r="A86" t="str">
            <v>HP2.5-90</v>
          </cell>
          <cell r="B86" t="str">
            <v>HDPE Pipe(90mm) - 2.5 kgf/cm2</v>
          </cell>
          <cell r="C86" t="str">
            <v>m</v>
          </cell>
          <cell r="D86">
            <v>167.7</v>
          </cell>
          <cell r="E86">
            <v>0.84000000000000008</v>
          </cell>
        </row>
        <row r="87">
          <cell r="A87" t="str">
            <v>HP2.5-110</v>
          </cell>
          <cell r="B87" t="str">
            <v>HDPE Pipe(110mm) - 2.5 kgf/cm2</v>
          </cell>
          <cell r="C87" t="str">
            <v>m</v>
          </cell>
          <cell r="D87">
            <v>247.67999999999998</v>
          </cell>
          <cell r="E87">
            <v>1.18</v>
          </cell>
        </row>
        <row r="88">
          <cell r="A88" t="str">
            <v>HP2.5-140</v>
          </cell>
          <cell r="B88" t="str">
            <v>HDPE Pipe(140mm) - 2.5 kgf/cm2</v>
          </cell>
          <cell r="C88" t="str">
            <v>m</v>
          </cell>
          <cell r="D88">
            <v>412.8</v>
          </cell>
          <cell r="E88">
            <v>0.55700000000000005</v>
          </cell>
        </row>
        <row r="89">
          <cell r="A89" t="str">
            <v>HP2.5-160</v>
          </cell>
          <cell r="B89" t="str">
            <v>HDPE Pipe(160mm) - 2.5 kgf/cm2</v>
          </cell>
          <cell r="C89" t="str">
            <v>m</v>
          </cell>
          <cell r="D89">
            <v>516</v>
          </cell>
          <cell r="E89">
            <v>0.55700000000000005</v>
          </cell>
        </row>
        <row r="90">
          <cell r="A90" t="str">
            <v>HP4-40</v>
          </cell>
          <cell r="B90" t="str">
            <v>HDPE Pipe(40mm) - 4 kgf/cm2</v>
          </cell>
          <cell r="C90" t="str">
            <v>m</v>
          </cell>
          <cell r="D90">
            <v>54.18</v>
          </cell>
          <cell r="E90">
            <v>0.251</v>
          </cell>
        </row>
        <row r="91">
          <cell r="A91" t="str">
            <v>HP4-50</v>
          </cell>
          <cell r="B91" t="str">
            <v>HDPE Pipe(50mm) - 4 kgf/cm2</v>
          </cell>
          <cell r="C91" t="str">
            <v>m</v>
          </cell>
          <cell r="D91">
            <v>82.56</v>
          </cell>
          <cell r="E91">
            <v>0.378</v>
          </cell>
        </row>
        <row r="92">
          <cell r="A92" t="str">
            <v>HP4-63</v>
          </cell>
          <cell r="B92" t="str">
            <v>HDPE Pipe(63mm) - 4 kgf/cm2</v>
          </cell>
          <cell r="C92" t="str">
            <v>m</v>
          </cell>
          <cell r="D92">
            <v>123.83999999999999</v>
          </cell>
          <cell r="E92">
            <v>0.58499999999999996</v>
          </cell>
        </row>
        <row r="93">
          <cell r="A93" t="str">
            <v>HP4-75</v>
          </cell>
          <cell r="B93" t="str">
            <v>HDPE Pipe(75mm) - 4 kgf/cm2</v>
          </cell>
          <cell r="C93" t="str">
            <v>m</v>
          </cell>
          <cell r="D93">
            <v>178.01999999999998</v>
          </cell>
          <cell r="E93">
            <v>0.84599999999999997</v>
          </cell>
        </row>
        <row r="94">
          <cell r="A94" t="str">
            <v>HP4-90</v>
          </cell>
          <cell r="B94" t="str">
            <v>HDPE Pipe(90mm) - 4 kgf/cm2</v>
          </cell>
          <cell r="C94" t="str">
            <v>m</v>
          </cell>
          <cell r="D94">
            <v>255.42</v>
          </cell>
          <cell r="E94">
            <v>1.22</v>
          </cell>
        </row>
        <row r="95">
          <cell r="A95" t="str">
            <v>HP6-32</v>
          </cell>
          <cell r="B95" t="str">
            <v>HDPE Pipe(32mm) - 6 kgf/cm2</v>
          </cell>
          <cell r="C95" t="str">
            <v>m</v>
          </cell>
          <cell r="D95">
            <v>49.02</v>
          </cell>
          <cell r="E95">
            <v>0.23</v>
          </cell>
        </row>
        <row r="96">
          <cell r="A96" t="str">
            <v>HP6-40</v>
          </cell>
          <cell r="B96" t="str">
            <v>HDPE Pipe(40mm) - 6 kgf/cm2</v>
          </cell>
          <cell r="C96" t="str">
            <v>m</v>
          </cell>
          <cell r="D96">
            <v>74.819999999999993</v>
          </cell>
          <cell r="E96">
            <v>0.35</v>
          </cell>
        </row>
        <row r="97">
          <cell r="A97" t="str">
            <v>HP6-50</v>
          </cell>
          <cell r="B97" t="str">
            <v>HDPE Pipe(50mm) - 6 kgf/cm2</v>
          </cell>
          <cell r="C97" t="str">
            <v>m</v>
          </cell>
          <cell r="D97">
            <v>116.10000000000001</v>
          </cell>
          <cell r="E97">
            <v>0.54</v>
          </cell>
        </row>
        <row r="98">
          <cell r="A98" t="str">
            <v>HP6-63</v>
          </cell>
          <cell r="B98" t="str">
            <v>HDPE Pipe(63mm) - 6 kgf/cm2</v>
          </cell>
          <cell r="C98" t="str">
            <v>m</v>
          </cell>
          <cell r="D98">
            <v>180.6</v>
          </cell>
          <cell r="E98">
            <v>0.85</v>
          </cell>
        </row>
        <row r="99">
          <cell r="A99" t="str">
            <v>HP6-75</v>
          </cell>
          <cell r="B99" t="str">
            <v>HDPE Pipe(75mm) - 6 kgf/cm2</v>
          </cell>
          <cell r="C99" t="str">
            <v>m</v>
          </cell>
          <cell r="D99">
            <v>232.20000000000002</v>
          </cell>
          <cell r="E99">
            <v>0.9</v>
          </cell>
        </row>
        <row r="100">
          <cell r="A100" t="str">
            <v>HP6-90</v>
          </cell>
          <cell r="B100" t="str">
            <v>HDPE Pipe(90mm) - 6 kgf/cm2</v>
          </cell>
          <cell r="C100" t="str">
            <v>m</v>
          </cell>
          <cell r="D100">
            <v>361.2</v>
          </cell>
          <cell r="E100">
            <v>0.9</v>
          </cell>
        </row>
        <row r="101">
          <cell r="A101" t="str">
            <v>HP10-16</v>
          </cell>
          <cell r="B101" t="str">
            <v>HDPE Pipe(16mm) - 10 kgf/cm2</v>
          </cell>
          <cell r="C101" t="str">
            <v>m</v>
          </cell>
          <cell r="D101">
            <v>23.66</v>
          </cell>
          <cell r="E101">
            <v>0.09</v>
          </cell>
        </row>
        <row r="102">
          <cell r="A102" t="str">
            <v>HP10-20</v>
          </cell>
          <cell r="B102" t="str">
            <v>HDPE Pipe(20mm) - 10 kgf/cm2</v>
          </cell>
          <cell r="C102" t="str">
            <v>m</v>
          </cell>
          <cell r="D102">
            <v>28.38</v>
          </cell>
          <cell r="E102">
            <v>0.13</v>
          </cell>
        </row>
        <row r="103">
          <cell r="A103" t="str">
            <v>HP10-25</v>
          </cell>
          <cell r="B103" t="str">
            <v>HDPE Pipe(25mm) - 10 kgf/cm2</v>
          </cell>
          <cell r="C103" t="str">
            <v>m</v>
          </cell>
          <cell r="D103">
            <v>43.860000000000007</v>
          </cell>
          <cell r="E103">
            <v>0.2</v>
          </cell>
        </row>
        <row r="104">
          <cell r="A104" t="str">
            <v>HP10-32</v>
          </cell>
          <cell r="B104" t="str">
            <v>HDPE Pipe(32mm) - 10 kgf/cm2</v>
          </cell>
          <cell r="C104" t="str">
            <v>m</v>
          </cell>
          <cell r="D104">
            <v>72.240000000000009</v>
          </cell>
          <cell r="E104">
            <v>0.33</v>
          </cell>
        </row>
        <row r="105">
          <cell r="A105" t="str">
            <v>HP10-40</v>
          </cell>
          <cell r="B105" t="str">
            <v>HDPE Pipe(40mm) - 10 kgf/cm2</v>
          </cell>
          <cell r="C105" t="str">
            <v>m</v>
          </cell>
          <cell r="D105">
            <v>113.52</v>
          </cell>
          <cell r="E105">
            <v>0.5</v>
          </cell>
        </row>
        <row r="106">
          <cell r="A106" t="str">
            <v>HP10-50</v>
          </cell>
          <cell r="B106" t="str">
            <v>HDPE Pipe(50mm) - 10 kgf/cm2</v>
          </cell>
          <cell r="C106" t="str">
            <v>m</v>
          </cell>
          <cell r="D106">
            <v>175.44000000000003</v>
          </cell>
          <cell r="E106">
            <v>0.78</v>
          </cell>
        </row>
        <row r="107">
          <cell r="A107" t="str">
            <v>HP10-63</v>
          </cell>
          <cell r="B107" t="str">
            <v>HDPE Pipe(63mm) - 10 kgf/cm2</v>
          </cell>
          <cell r="C107" t="str">
            <v>m</v>
          </cell>
          <cell r="D107">
            <v>283.8</v>
          </cell>
          <cell r="E107">
            <v>1.28</v>
          </cell>
        </row>
        <row r="108">
          <cell r="A108" t="str">
            <v>HP10-75</v>
          </cell>
          <cell r="B108" t="str">
            <v>HDPE Pipe(75mm) - 10 kgf/cm2</v>
          </cell>
          <cell r="C108" t="str">
            <v>m</v>
          </cell>
          <cell r="D108">
            <v>387</v>
          </cell>
          <cell r="E108">
            <v>1.782</v>
          </cell>
        </row>
        <row r="109">
          <cell r="A109" t="str">
            <v>HP10-90</v>
          </cell>
          <cell r="B109" t="str">
            <v>HDPE Pipe(90mm) - 10 kgf/cm2</v>
          </cell>
          <cell r="C109" t="str">
            <v>m</v>
          </cell>
          <cell r="D109">
            <v>567.6</v>
          </cell>
          <cell r="E109">
            <v>2.57</v>
          </cell>
        </row>
        <row r="110">
          <cell r="B110" t="str">
            <v>GI PIPES</v>
          </cell>
        </row>
        <row r="111">
          <cell r="A111" t="str">
            <v>GPM-15</v>
          </cell>
          <cell r="B111" t="str">
            <v>G.I. Pipe (1/2") - MC</v>
          </cell>
          <cell r="C111" t="str">
            <v>m</v>
          </cell>
          <cell r="D111">
            <v>123</v>
          </cell>
          <cell r="E111">
            <v>1.25</v>
          </cell>
        </row>
        <row r="112">
          <cell r="A112" t="str">
            <v>GPM-20</v>
          </cell>
          <cell r="B112" t="str">
            <v>G.I. Pipe (3/4") - MC</v>
          </cell>
          <cell r="C112" t="str">
            <v>m</v>
          </cell>
          <cell r="D112">
            <v>149</v>
          </cell>
          <cell r="E112">
            <v>1.56</v>
          </cell>
        </row>
        <row r="113">
          <cell r="A113" t="str">
            <v>GPM-25</v>
          </cell>
          <cell r="B113" t="str">
            <v>G.I. Pipe (1") - MC</v>
          </cell>
          <cell r="C113" t="str">
            <v>m</v>
          </cell>
          <cell r="D113">
            <v>227</v>
          </cell>
          <cell r="E113">
            <v>2.5</v>
          </cell>
        </row>
        <row r="114">
          <cell r="A114" t="str">
            <v>GPM-32</v>
          </cell>
          <cell r="B114" t="str">
            <v>G.I. Pipe (1-1/4") - MC</v>
          </cell>
          <cell r="C114" t="str">
            <v>m</v>
          </cell>
          <cell r="D114">
            <v>295</v>
          </cell>
          <cell r="E114">
            <v>3.1</v>
          </cell>
        </row>
        <row r="115">
          <cell r="A115" t="str">
            <v>GPM-40</v>
          </cell>
          <cell r="B115" t="str">
            <v>G.I. Pipe (1-1/2") - MC</v>
          </cell>
          <cell r="C115" t="str">
            <v>m</v>
          </cell>
          <cell r="D115">
            <v>340</v>
          </cell>
          <cell r="E115">
            <v>3.65</v>
          </cell>
        </row>
        <row r="116">
          <cell r="A116" t="str">
            <v>GPM-50</v>
          </cell>
          <cell r="B116" t="str">
            <v>G.I. Pipe (2") - MC</v>
          </cell>
          <cell r="C116" t="str">
            <v>m</v>
          </cell>
          <cell r="D116">
            <v>467</v>
          </cell>
          <cell r="E116">
            <v>5.25</v>
          </cell>
        </row>
        <row r="117">
          <cell r="A117" t="str">
            <v>GPM-63</v>
          </cell>
          <cell r="B117" t="str">
            <v>G.I. Pipe (2-1/2") - MC</v>
          </cell>
          <cell r="C117" t="str">
            <v>m</v>
          </cell>
          <cell r="D117">
            <v>596</v>
          </cell>
          <cell r="E117">
            <v>0</v>
          </cell>
        </row>
        <row r="118">
          <cell r="A118" t="str">
            <v>GPM-75</v>
          </cell>
          <cell r="B118" t="str">
            <v>G.I. Pipe (3") - MC</v>
          </cell>
          <cell r="C118" t="str">
            <v>m</v>
          </cell>
          <cell r="D118">
            <v>741</v>
          </cell>
          <cell r="E118">
            <v>8.75</v>
          </cell>
        </row>
        <row r="119">
          <cell r="A119" t="str">
            <v>GPH-15</v>
          </cell>
          <cell r="B119" t="str">
            <v>G.I. Pipe (1/2") - HC</v>
          </cell>
          <cell r="C119" t="str">
            <v>m</v>
          </cell>
          <cell r="D119">
            <v>147</v>
          </cell>
        </row>
        <row r="120">
          <cell r="A120" t="str">
            <v>GPH-20</v>
          </cell>
          <cell r="B120" t="str">
            <v>G.I. Pipe (3/4") - HC</v>
          </cell>
          <cell r="C120" t="str">
            <v>m</v>
          </cell>
          <cell r="D120">
            <v>167</v>
          </cell>
        </row>
        <row r="121">
          <cell r="A121" t="str">
            <v>GPH-25</v>
          </cell>
          <cell r="B121" t="str">
            <v>G.I. Pipe (1") - HC</v>
          </cell>
          <cell r="C121" t="str">
            <v>m</v>
          </cell>
          <cell r="D121">
            <v>255</v>
          </cell>
        </row>
        <row r="122">
          <cell r="A122" t="str">
            <v>GPH-32</v>
          </cell>
          <cell r="B122" t="str">
            <v>G.I. Pipe (1-1/4") - HC</v>
          </cell>
          <cell r="C122" t="str">
            <v>m</v>
          </cell>
          <cell r="D122">
            <v>322</v>
          </cell>
        </row>
        <row r="123">
          <cell r="A123" t="str">
            <v>GPH-40</v>
          </cell>
          <cell r="B123" t="str">
            <v>G.I. Pipe (1-1/2") - HC</v>
          </cell>
          <cell r="C123" t="str">
            <v>m</v>
          </cell>
          <cell r="D123">
            <v>374</v>
          </cell>
        </row>
        <row r="124">
          <cell r="A124" t="str">
            <v>GPH-50</v>
          </cell>
          <cell r="B124" t="str">
            <v>G.I. Pipe (2") - HC</v>
          </cell>
          <cell r="C124" t="str">
            <v>m</v>
          </cell>
          <cell r="D124">
            <v>550</v>
          </cell>
        </row>
        <row r="125">
          <cell r="A125" t="str">
            <v>GPH-63</v>
          </cell>
          <cell r="B125" t="str">
            <v>G.I. Pipe (2-1/2") - HC</v>
          </cell>
          <cell r="C125" t="str">
            <v>m</v>
          </cell>
          <cell r="D125">
            <v>668</v>
          </cell>
        </row>
        <row r="126">
          <cell r="A126" t="str">
            <v>GPH-75</v>
          </cell>
          <cell r="B126" t="str">
            <v>G.I. Pipe (3") - HC</v>
          </cell>
          <cell r="C126" t="str">
            <v>m</v>
          </cell>
          <cell r="D126">
            <v>807</v>
          </cell>
        </row>
        <row r="127">
          <cell r="A127" t="str">
            <v>PVC-20</v>
          </cell>
          <cell r="B127" t="str">
            <v>PVC Pipe ½" (20mm)</v>
          </cell>
          <cell r="C127" t="str">
            <v>m</v>
          </cell>
        </row>
        <row r="128">
          <cell r="A128" t="str">
            <v>PVC-32</v>
          </cell>
          <cell r="B128" t="str">
            <v>PVC Pipe 1" (32mm)</v>
          </cell>
          <cell r="C128" t="str">
            <v>m</v>
          </cell>
        </row>
        <row r="129">
          <cell r="A129" t="str">
            <v>PVC-50</v>
          </cell>
          <cell r="B129" t="str">
            <v>PVC Pipe 1½" (50mm)</v>
          </cell>
          <cell r="C129" t="str">
            <v>m</v>
          </cell>
        </row>
        <row r="130">
          <cell r="A130" t="str">
            <v>PVC-63</v>
          </cell>
          <cell r="B130" t="str">
            <v>PVC Pipe 2" (63mm)</v>
          </cell>
          <cell r="C130" t="str">
            <v>m</v>
          </cell>
        </row>
        <row r="131">
          <cell r="A131" t="str">
            <v>PVC-90</v>
          </cell>
          <cell r="B131" t="str">
            <v>PVC Pipe 3" (90mm)</v>
          </cell>
          <cell r="C131" t="str">
            <v>m</v>
          </cell>
          <cell r="D131">
            <v>1374</v>
          </cell>
        </row>
        <row r="132">
          <cell r="B132" t="str">
            <v>FITTINGS AND VALVES</v>
          </cell>
          <cell r="D132" t="str">
            <v>.</v>
          </cell>
        </row>
        <row r="133">
          <cell r="B133" t="str">
            <v>HDPE Fittings</v>
          </cell>
        </row>
        <row r="134">
          <cell r="A134" t="str">
            <v>HR-20x16</v>
          </cell>
          <cell r="B134" t="str">
            <v>HDPE Reducer-20x16</v>
          </cell>
          <cell r="C134" t="str">
            <v>pc</v>
          </cell>
          <cell r="D134">
            <v>48.024999999999999</v>
          </cell>
          <cell r="E134">
            <v>0.09</v>
          </cell>
        </row>
        <row r="135">
          <cell r="A135" t="str">
            <v>HR-25x16</v>
          </cell>
          <cell r="B135" t="str">
            <v>HDPE Reducer-25x16</v>
          </cell>
          <cell r="C135" t="str">
            <v>pc</v>
          </cell>
          <cell r="D135">
            <v>53.787999999999997</v>
          </cell>
          <cell r="E135">
            <v>0.09</v>
          </cell>
        </row>
        <row r="136">
          <cell r="A136" t="str">
            <v>HR-25x20</v>
          </cell>
          <cell r="B136" t="str">
            <v>HDPE Reducer-25x20</v>
          </cell>
          <cell r="C136" t="str">
            <v>pc</v>
          </cell>
          <cell r="D136">
            <v>57.629999999999995</v>
          </cell>
          <cell r="E136">
            <v>0.125</v>
          </cell>
        </row>
        <row r="137">
          <cell r="A137" t="str">
            <v>HR-32x16</v>
          </cell>
          <cell r="B137" t="str">
            <v>HDPE Reducer-32x16</v>
          </cell>
          <cell r="C137" t="str">
            <v>pc</v>
          </cell>
          <cell r="D137">
            <v>61.471999999999994</v>
          </cell>
          <cell r="E137">
            <v>0.125</v>
          </cell>
        </row>
        <row r="138">
          <cell r="A138" t="str">
            <v>HR-32x20</v>
          </cell>
          <cell r="B138" t="str">
            <v>HDPE Reducer-32x20</v>
          </cell>
          <cell r="C138" t="str">
            <v>pc</v>
          </cell>
          <cell r="D138">
            <v>46.103999999999999</v>
          </cell>
          <cell r="E138">
            <v>0.125</v>
          </cell>
        </row>
        <row r="139">
          <cell r="A139" t="str">
            <v>HR-32x25</v>
          </cell>
          <cell r="B139" t="str">
            <v>HDPE Reducer-32x25</v>
          </cell>
          <cell r="C139" t="str">
            <v>pc</v>
          </cell>
          <cell r="D139">
            <v>44.182999999999993</v>
          </cell>
          <cell r="E139">
            <v>0.2</v>
          </cell>
        </row>
        <row r="140">
          <cell r="A140" t="str">
            <v>HR-40x16</v>
          </cell>
          <cell r="B140" t="str">
            <v>HDPE Reducer-40x16</v>
          </cell>
          <cell r="C140" t="str">
            <v>pc</v>
          </cell>
          <cell r="D140">
            <v>46.103999999999999</v>
          </cell>
          <cell r="E140">
            <v>0.2</v>
          </cell>
        </row>
        <row r="141">
          <cell r="A141" t="str">
            <v>HR-40x20</v>
          </cell>
          <cell r="B141" t="str">
            <v>HDPE Reducer-40x20</v>
          </cell>
          <cell r="C141" t="str">
            <v>pc</v>
          </cell>
          <cell r="D141">
            <v>42.262</v>
          </cell>
          <cell r="E141">
            <v>0.2</v>
          </cell>
        </row>
        <row r="142">
          <cell r="A142" t="str">
            <v>HR-40x25</v>
          </cell>
          <cell r="B142" t="str">
            <v>HDPE Reducer-40x25</v>
          </cell>
          <cell r="C142" t="str">
            <v>pc</v>
          </cell>
          <cell r="D142">
            <v>44.182999999999993</v>
          </cell>
          <cell r="E142">
            <v>0.2</v>
          </cell>
        </row>
        <row r="143">
          <cell r="A143" t="str">
            <v>HR-40x32</v>
          </cell>
          <cell r="B143" t="str">
            <v>HDPE Reducer-40x32</v>
          </cell>
          <cell r="C143" t="str">
            <v>pc</v>
          </cell>
          <cell r="D143">
            <v>36.960039999999992</v>
          </cell>
          <cell r="E143">
            <v>0.28000000000000003</v>
          </cell>
        </row>
        <row r="144">
          <cell r="A144" t="str">
            <v>HR-50x16</v>
          </cell>
          <cell r="B144" t="str">
            <v>HDPE Reducer-50x16</v>
          </cell>
          <cell r="C144" t="str">
            <v>pc</v>
          </cell>
          <cell r="D144">
            <v>38.42</v>
          </cell>
          <cell r="E144">
            <v>0.28000000000000003</v>
          </cell>
        </row>
        <row r="145">
          <cell r="A145" t="str">
            <v>HR-50x20</v>
          </cell>
          <cell r="B145" t="str">
            <v>HDPE Reducer-50x20</v>
          </cell>
          <cell r="C145" t="str">
            <v>pc</v>
          </cell>
          <cell r="D145">
            <v>34.577999999999996</v>
          </cell>
          <cell r="E145">
            <v>0.28000000000000003</v>
          </cell>
        </row>
        <row r="146">
          <cell r="A146" t="str">
            <v>HR-50x25</v>
          </cell>
          <cell r="B146" t="str">
            <v>HDPE Reducer-50x25</v>
          </cell>
          <cell r="C146" t="str">
            <v>pc</v>
          </cell>
          <cell r="D146">
            <v>42.262</v>
          </cell>
          <cell r="E146">
            <v>0.28000000000000003</v>
          </cell>
        </row>
        <row r="147">
          <cell r="A147" t="str">
            <v>HR-50x32</v>
          </cell>
          <cell r="B147" t="str">
            <v>HDPE Reducer-50x32</v>
          </cell>
          <cell r="C147" t="str">
            <v>pc</v>
          </cell>
          <cell r="D147">
            <v>81.853809999999996</v>
          </cell>
          <cell r="E147">
            <v>0.28000000000000003</v>
          </cell>
        </row>
        <row r="148">
          <cell r="A148" t="str">
            <v>HR-50x40</v>
          </cell>
          <cell r="B148" t="str">
            <v>HDPE Reducer-50x40</v>
          </cell>
          <cell r="C148" t="str">
            <v>pc</v>
          </cell>
          <cell r="D148">
            <v>36.960039999999992</v>
          </cell>
          <cell r="E148">
            <v>0.28000000000000003</v>
          </cell>
        </row>
        <row r="149">
          <cell r="A149" t="str">
            <v>HR-63x16</v>
          </cell>
          <cell r="B149" t="str">
            <v>HDPE Reducer-63x16</v>
          </cell>
          <cell r="C149" t="str">
            <v>pc</v>
          </cell>
          <cell r="D149">
            <v>46.103999999999999</v>
          </cell>
          <cell r="E149">
            <v>0.435</v>
          </cell>
        </row>
        <row r="150">
          <cell r="A150" t="str">
            <v>HR-63x20</v>
          </cell>
          <cell r="B150" t="str">
            <v>HDPE Reducer-63x20</v>
          </cell>
          <cell r="C150" t="str">
            <v>pc</v>
          </cell>
          <cell r="D150">
            <v>42.262</v>
          </cell>
          <cell r="E150">
            <v>0.435</v>
          </cell>
        </row>
        <row r="151">
          <cell r="A151" t="str">
            <v>HR-63x25</v>
          </cell>
          <cell r="B151" t="str">
            <v>HDPE Reducer-63x25</v>
          </cell>
          <cell r="C151" t="str">
            <v>pc</v>
          </cell>
          <cell r="D151">
            <v>49.945999999999998</v>
          </cell>
          <cell r="E151">
            <v>0.435</v>
          </cell>
        </row>
        <row r="152">
          <cell r="A152" t="str">
            <v>HR-63x32</v>
          </cell>
          <cell r="B152" t="str">
            <v>HDPE Reducer-63x32</v>
          </cell>
          <cell r="C152" t="str">
            <v>pc</v>
          </cell>
          <cell r="D152">
            <v>61.471999999999994</v>
          </cell>
          <cell r="E152">
            <v>0.435</v>
          </cell>
        </row>
        <row r="153">
          <cell r="A153" t="str">
            <v>HR-63x40</v>
          </cell>
          <cell r="B153" t="str">
            <v>HDPE Reducer-63x40</v>
          </cell>
          <cell r="C153" t="str">
            <v>pc</v>
          </cell>
          <cell r="D153">
            <v>69.155999999999992</v>
          </cell>
          <cell r="E153">
            <v>0.435</v>
          </cell>
        </row>
        <row r="154">
          <cell r="A154" t="str">
            <v>HR-63x50</v>
          </cell>
          <cell r="B154" t="str">
            <v>HDPE Reducer-63x50</v>
          </cell>
          <cell r="C154" t="str">
            <v>pc</v>
          </cell>
          <cell r="D154">
            <v>136.31415999999996</v>
          </cell>
          <cell r="E154">
            <v>0.435</v>
          </cell>
        </row>
        <row r="155">
          <cell r="A155" t="str">
            <v>HR-75x16</v>
          </cell>
          <cell r="B155" t="str">
            <v>HDPE Reducer-75x16</v>
          </cell>
          <cell r="C155" t="str">
            <v>pc</v>
          </cell>
          <cell r="D155">
            <v>82.603000000000009</v>
          </cell>
          <cell r="E155">
            <v>0.54500000000000004</v>
          </cell>
        </row>
        <row r="156">
          <cell r="A156" t="str">
            <v>HR-75x20</v>
          </cell>
          <cell r="B156" t="str">
            <v>HDPE Reducer-75x20</v>
          </cell>
          <cell r="C156" t="str">
            <v>pc</v>
          </cell>
          <cell r="D156">
            <v>80.682000000000002</v>
          </cell>
          <cell r="E156">
            <v>0.54500000000000004</v>
          </cell>
        </row>
        <row r="157">
          <cell r="A157" t="str">
            <v>HR-75x25</v>
          </cell>
          <cell r="B157" t="str">
            <v>HDPE Reducer-75x25</v>
          </cell>
          <cell r="C157" t="str">
            <v>pc</v>
          </cell>
          <cell r="D157">
            <v>82.603000000000009</v>
          </cell>
          <cell r="E157">
            <v>0.54500000000000004</v>
          </cell>
        </row>
        <row r="158">
          <cell r="A158" t="str">
            <v>HR-75x32</v>
          </cell>
          <cell r="B158" t="str">
            <v>HDPE Reducer-75x32</v>
          </cell>
          <cell r="C158" t="str">
            <v>pc</v>
          </cell>
          <cell r="D158">
            <v>92.207999999999998</v>
          </cell>
          <cell r="E158">
            <v>0.54500000000000004</v>
          </cell>
        </row>
        <row r="159">
          <cell r="A159" t="str">
            <v>HR-75x40</v>
          </cell>
          <cell r="B159" t="str">
            <v>HDPE Reducer-75x40</v>
          </cell>
          <cell r="C159" t="str">
            <v>pc</v>
          </cell>
          <cell r="D159">
            <v>94.128999999999991</v>
          </cell>
          <cell r="E159">
            <v>0.54500000000000004</v>
          </cell>
        </row>
        <row r="160">
          <cell r="A160" t="str">
            <v>HR-75x50</v>
          </cell>
          <cell r="B160" t="str">
            <v>HDPE Reducer-75x50</v>
          </cell>
          <cell r="C160" t="str">
            <v>pc</v>
          </cell>
          <cell r="D160">
            <v>92.207999999999998</v>
          </cell>
          <cell r="E160">
            <v>0.54500000000000004</v>
          </cell>
        </row>
        <row r="161">
          <cell r="A161" t="str">
            <v>HR-75x63</v>
          </cell>
          <cell r="B161" t="str">
            <v>HDPE Reducer-75x63</v>
          </cell>
          <cell r="C161" t="str">
            <v>pc</v>
          </cell>
          <cell r="D161">
            <v>97.971000000000004</v>
          </cell>
          <cell r="E161">
            <v>0.54500000000000004</v>
          </cell>
        </row>
        <row r="162">
          <cell r="A162" t="str">
            <v>HR-90x16</v>
          </cell>
          <cell r="B162" t="str">
            <v>HDPE Reducer-90x16</v>
          </cell>
          <cell r="C162" t="str">
            <v>pc</v>
          </cell>
          <cell r="D162">
            <v>105.655</v>
          </cell>
          <cell r="E162">
            <v>0.54500000000000004</v>
          </cell>
        </row>
        <row r="163">
          <cell r="A163" t="str">
            <v>HR-90x20</v>
          </cell>
          <cell r="B163" t="str">
            <v>HDPE Reducer-90x20</v>
          </cell>
          <cell r="C163" t="str">
            <v>pc</v>
          </cell>
          <cell r="D163">
            <v>107.57599999999999</v>
          </cell>
          <cell r="E163">
            <v>0.54500000000000004</v>
          </cell>
        </row>
        <row r="164">
          <cell r="A164" t="str">
            <v>HR-90x25</v>
          </cell>
          <cell r="B164" t="str">
            <v>HDPE Reducer-90x25</v>
          </cell>
          <cell r="C164" t="str">
            <v>pc</v>
          </cell>
          <cell r="D164">
            <v>109.49699999999999</v>
          </cell>
          <cell r="E164">
            <v>0.54500000000000004</v>
          </cell>
        </row>
        <row r="165">
          <cell r="A165" t="str">
            <v>HR-90x32</v>
          </cell>
          <cell r="B165" t="str">
            <v>HDPE Reducer-90x32</v>
          </cell>
          <cell r="C165" t="str">
            <v>pc</v>
          </cell>
          <cell r="D165">
            <v>97.971000000000004</v>
          </cell>
          <cell r="E165">
            <v>0.54500000000000004</v>
          </cell>
        </row>
        <row r="166">
          <cell r="A166" t="str">
            <v>HR-90x40</v>
          </cell>
          <cell r="B166" t="str">
            <v>HDPE Reducer-90x40</v>
          </cell>
          <cell r="C166" t="str">
            <v>pc</v>
          </cell>
          <cell r="D166">
            <v>121.023</v>
          </cell>
          <cell r="E166">
            <v>0.54500000000000004</v>
          </cell>
        </row>
        <row r="167">
          <cell r="A167" t="str">
            <v>HR-90x50</v>
          </cell>
          <cell r="B167" t="str">
            <v>HDPE Reducer-90x50</v>
          </cell>
          <cell r="C167" t="str">
            <v>pc</v>
          </cell>
          <cell r="D167">
            <v>370.86825999999996</v>
          </cell>
          <cell r="E167">
            <v>0.54500000000000004</v>
          </cell>
        </row>
        <row r="168">
          <cell r="A168" t="str">
            <v>HR-90x63</v>
          </cell>
          <cell r="B168" t="str">
            <v>HDPE Reducer-90x63</v>
          </cell>
          <cell r="C168" t="str">
            <v>pc</v>
          </cell>
          <cell r="D168">
            <v>253.57199999999997</v>
          </cell>
          <cell r="E168">
            <v>0.54500000000000004</v>
          </cell>
        </row>
        <row r="169">
          <cell r="A169" t="str">
            <v>HR-90x75</v>
          </cell>
          <cell r="B169" t="str">
            <v>HDPE Reducer-90x75</v>
          </cell>
          <cell r="C169" t="str">
            <v>pc</v>
          </cell>
          <cell r="D169">
            <v>370.86825999999996</v>
          </cell>
          <cell r="E169">
            <v>0.54500000000000004</v>
          </cell>
        </row>
        <row r="170">
          <cell r="A170" t="str">
            <v>HET-16</v>
          </cell>
          <cell r="B170" t="str">
            <v>HDPE Equal Tee (16mm)</v>
          </cell>
          <cell r="C170" t="str">
            <v>pc</v>
          </cell>
          <cell r="D170">
            <v>172.89</v>
          </cell>
          <cell r="E170">
            <v>0.01</v>
          </cell>
        </row>
        <row r="171">
          <cell r="A171" t="str">
            <v>HET-20</v>
          </cell>
          <cell r="B171" t="str">
            <v>HDPE Equal Tee (20mm)</v>
          </cell>
          <cell r="C171" t="str">
            <v>pc</v>
          </cell>
          <cell r="D171">
            <v>182.49499999999998</v>
          </cell>
          <cell r="E171">
            <v>0.01</v>
          </cell>
        </row>
        <row r="172">
          <cell r="A172" t="str">
            <v>HET-25</v>
          </cell>
          <cell r="B172" t="str">
            <v>HDPE Equal Tee (25mm)</v>
          </cell>
          <cell r="C172" t="str">
            <v>pc</v>
          </cell>
          <cell r="D172">
            <v>195.94200000000001</v>
          </cell>
          <cell r="E172">
            <v>0.02</v>
          </cell>
        </row>
        <row r="173">
          <cell r="A173" t="str">
            <v>HET-32</v>
          </cell>
          <cell r="B173" t="str">
            <v>HDPE Equal Tee (32mm)</v>
          </cell>
          <cell r="C173" t="str">
            <v>pc</v>
          </cell>
          <cell r="D173">
            <v>199.78399999999999</v>
          </cell>
          <cell r="E173">
            <v>0.06</v>
          </cell>
        </row>
        <row r="174">
          <cell r="A174" t="str">
            <v>HET-40</v>
          </cell>
          <cell r="B174" t="str">
            <v>HDPE Equal Tee (40mm)</v>
          </cell>
          <cell r="C174" t="str">
            <v>pc</v>
          </cell>
          <cell r="D174">
            <v>203.626</v>
          </cell>
          <cell r="E174">
            <v>0.11</v>
          </cell>
        </row>
        <row r="175">
          <cell r="A175" t="str">
            <v>HET-50</v>
          </cell>
          <cell r="B175" t="str">
            <v>HDPE Equal Tee (50mm)</v>
          </cell>
          <cell r="C175" t="str">
            <v>pc</v>
          </cell>
          <cell r="D175">
            <v>205.547</v>
          </cell>
          <cell r="E175">
            <v>0.16</v>
          </cell>
        </row>
        <row r="176">
          <cell r="A176" t="str">
            <v>HET-63</v>
          </cell>
          <cell r="B176" t="str">
            <v>HDPE Equal Tee (63mm)</v>
          </cell>
          <cell r="C176" t="str">
            <v>pc</v>
          </cell>
          <cell r="D176">
            <v>207.46800000000002</v>
          </cell>
          <cell r="E176">
            <v>0.32</v>
          </cell>
        </row>
        <row r="177">
          <cell r="A177" t="str">
            <v>HET-75</v>
          </cell>
          <cell r="B177" t="str">
            <v>HDPE Equal Tee (75mm)</v>
          </cell>
          <cell r="C177" t="str">
            <v>pc</v>
          </cell>
          <cell r="D177">
            <v>209.38900000000001</v>
          </cell>
          <cell r="E177">
            <v>0.5</v>
          </cell>
        </row>
        <row r="178">
          <cell r="A178" t="str">
            <v>HET-90</v>
          </cell>
          <cell r="B178" t="str">
            <v>HDPE Equal Tee (90mm)</v>
          </cell>
          <cell r="C178" t="str">
            <v>pc</v>
          </cell>
          <cell r="D178">
            <v>213.23099999999999</v>
          </cell>
          <cell r="E178">
            <v>0.5</v>
          </cell>
        </row>
        <row r="179">
          <cell r="A179" t="str">
            <v>HET-110</v>
          </cell>
          <cell r="B179" t="str">
            <v>HDPE Equal Tee (110mm)</v>
          </cell>
          <cell r="C179" t="str">
            <v>pc</v>
          </cell>
          <cell r="D179">
            <v>178.5</v>
          </cell>
        </row>
        <row r="180">
          <cell r="A180" t="str">
            <v>HUT-110×90</v>
          </cell>
          <cell r="B180" t="str">
            <v>HDPE Unequal Tee (110×110×90)</v>
          </cell>
          <cell r="C180" t="str">
            <v>pc</v>
          </cell>
          <cell r="D180">
            <v>201.70500000000001</v>
          </cell>
        </row>
        <row r="181">
          <cell r="A181" t="str">
            <v>HUT-110×75</v>
          </cell>
          <cell r="B181" t="str">
            <v>HDPE Unequal Tee (110×110×75)</v>
          </cell>
          <cell r="C181" t="str">
            <v>pc</v>
          </cell>
          <cell r="D181">
            <v>201.70500000000001</v>
          </cell>
        </row>
        <row r="182">
          <cell r="A182" t="str">
            <v>HEL-16</v>
          </cell>
          <cell r="B182" t="str">
            <v>HDPE Elbow (16mm)</v>
          </cell>
          <cell r="C182" t="str">
            <v>pc</v>
          </cell>
          <cell r="D182">
            <v>163.285</v>
          </cell>
          <cell r="E182">
            <v>6.5000000000000002E-2</v>
          </cell>
        </row>
        <row r="183">
          <cell r="A183" t="str">
            <v>HEL-20</v>
          </cell>
          <cell r="B183" t="str">
            <v>HDPE Elbow (20mm)</v>
          </cell>
          <cell r="C183" t="str">
            <v>pc</v>
          </cell>
          <cell r="D183">
            <v>167.12700000000001</v>
          </cell>
          <cell r="E183">
            <v>0.09</v>
          </cell>
        </row>
        <row r="184">
          <cell r="A184" t="str">
            <v>HEL-25</v>
          </cell>
          <cell r="B184" t="str">
            <v>HDPE Elbow (25mm)</v>
          </cell>
          <cell r="C184" t="str">
            <v>pc</v>
          </cell>
          <cell r="D184">
            <v>170.96899999999999</v>
          </cell>
          <cell r="E184">
            <v>0.125</v>
          </cell>
        </row>
        <row r="185">
          <cell r="A185" t="str">
            <v>HEL-32</v>
          </cell>
          <cell r="B185" t="str">
            <v>HDPE Elbow (32mm)</v>
          </cell>
          <cell r="C185" t="str">
            <v>pc</v>
          </cell>
          <cell r="D185">
            <v>174.81099999999998</v>
          </cell>
          <cell r="E185">
            <v>0.1</v>
          </cell>
        </row>
        <row r="186">
          <cell r="A186" t="str">
            <v>HEL-40</v>
          </cell>
          <cell r="B186" t="str">
            <v>HDPE Elbow (40mm)</v>
          </cell>
          <cell r="C186" t="str">
            <v>pc</v>
          </cell>
          <cell r="D186">
            <v>178.65299999999999</v>
          </cell>
          <cell r="E186">
            <v>0.1</v>
          </cell>
        </row>
        <row r="187">
          <cell r="A187" t="str">
            <v>HEL-50</v>
          </cell>
          <cell r="B187" t="str">
            <v>HDPE Elbow (50mm)</v>
          </cell>
          <cell r="C187" t="str">
            <v>pc</v>
          </cell>
          <cell r="D187">
            <v>182.49499999999998</v>
          </cell>
          <cell r="E187">
            <v>0.15</v>
          </cell>
        </row>
        <row r="188">
          <cell r="A188" t="str">
            <v>HEL-63</v>
          </cell>
          <cell r="B188" t="str">
            <v>HDPE Elbow (63mm)</v>
          </cell>
          <cell r="C188" t="str">
            <v>pc</v>
          </cell>
          <cell r="D188">
            <v>186.33699999999999</v>
          </cell>
          <cell r="E188">
            <v>0.875</v>
          </cell>
        </row>
        <row r="189">
          <cell r="A189" t="str">
            <v>HEL-75</v>
          </cell>
          <cell r="B189" t="str">
            <v>HDPE Elbow (75mm)</v>
          </cell>
          <cell r="C189" t="str">
            <v>pc</v>
          </cell>
          <cell r="D189">
            <v>188.25799999999998</v>
          </cell>
          <cell r="E189">
            <v>0.875</v>
          </cell>
        </row>
        <row r="190">
          <cell r="A190" t="str">
            <v>HEL-90</v>
          </cell>
          <cell r="B190" t="str">
            <v>HDPE Elbow (90mm)</v>
          </cell>
          <cell r="C190" t="str">
            <v>pc</v>
          </cell>
          <cell r="D190">
            <v>194.02099999999999</v>
          </cell>
          <cell r="E190">
            <v>0.875</v>
          </cell>
        </row>
        <row r="191">
          <cell r="A191" t="str">
            <v>HEL-110</v>
          </cell>
          <cell r="B191" t="str">
            <v>HDPE Elbow (110mm)</v>
          </cell>
          <cell r="C191" t="str">
            <v>pc</v>
          </cell>
          <cell r="D191">
            <v>122.39999999999999</v>
          </cell>
        </row>
        <row r="192">
          <cell r="A192" t="str">
            <v>HST-32</v>
          </cell>
          <cell r="B192" t="str">
            <v>HDP Strainer (32mm)</v>
          </cell>
          <cell r="C192" t="str">
            <v>pc</v>
          </cell>
          <cell r="D192">
            <v>101.37116999999999</v>
          </cell>
          <cell r="E192">
            <v>0.15</v>
          </cell>
        </row>
        <row r="193">
          <cell r="A193" t="str">
            <v>HST-40</v>
          </cell>
          <cell r="B193" t="str">
            <v>HDP Strainer (40mm)</v>
          </cell>
          <cell r="C193" t="str">
            <v>pc</v>
          </cell>
          <cell r="D193">
            <v>336.17500000000001</v>
          </cell>
          <cell r="E193">
            <v>0.25</v>
          </cell>
        </row>
        <row r="194">
          <cell r="A194" t="str">
            <v>HST-50</v>
          </cell>
          <cell r="B194" t="str">
            <v>HDP Strainer (50mm)</v>
          </cell>
          <cell r="C194" t="str">
            <v>pc</v>
          </cell>
          <cell r="D194">
            <v>379.1861899999999</v>
          </cell>
          <cell r="E194">
            <v>0.35</v>
          </cell>
        </row>
        <row r="195">
          <cell r="A195" t="str">
            <v>HST-63</v>
          </cell>
          <cell r="B195" t="str">
            <v>HDP Strainer (63mm)</v>
          </cell>
          <cell r="C195" t="str">
            <v>pc</v>
          </cell>
          <cell r="D195">
            <v>144.26709999999997</v>
          </cell>
          <cell r="E195">
            <v>1.35</v>
          </cell>
        </row>
        <row r="196">
          <cell r="A196" t="str">
            <v>HST-75</v>
          </cell>
          <cell r="B196" t="str">
            <v>HDP Strainer (75mm)</v>
          </cell>
          <cell r="C196" t="str">
            <v>pc</v>
          </cell>
          <cell r="D196">
            <v>157.52199999999999</v>
          </cell>
          <cell r="E196">
            <v>1.6</v>
          </cell>
        </row>
        <row r="197">
          <cell r="A197" t="str">
            <v>HST-90</v>
          </cell>
          <cell r="B197" t="str">
            <v>HDP Strainer (90mm)</v>
          </cell>
          <cell r="C197" t="str">
            <v>pc</v>
          </cell>
          <cell r="D197">
            <v>157.52199999999999</v>
          </cell>
          <cell r="E197">
            <v>1.9</v>
          </cell>
        </row>
        <row r="198">
          <cell r="A198" t="str">
            <v>HEC-16</v>
          </cell>
          <cell r="B198" t="str">
            <v>HDPE End Cap (16mm)</v>
          </cell>
          <cell r="C198" t="str">
            <v>pc</v>
          </cell>
          <cell r="D198">
            <v>154.69999999999999</v>
          </cell>
          <cell r="E198">
            <v>1.9</v>
          </cell>
        </row>
        <row r="199">
          <cell r="A199" t="str">
            <v>HEC-20</v>
          </cell>
          <cell r="B199" t="str">
            <v>HDPE End Cap (20mm)</v>
          </cell>
          <cell r="C199" t="str">
            <v>pc</v>
          </cell>
          <cell r="D199">
            <v>161.5</v>
          </cell>
          <cell r="E199">
            <v>1.9</v>
          </cell>
        </row>
        <row r="200">
          <cell r="A200" t="str">
            <v>HEC-25</v>
          </cell>
          <cell r="B200" t="str">
            <v>HDPE End Cap (25mm)</v>
          </cell>
          <cell r="C200" t="str">
            <v>pc</v>
          </cell>
          <cell r="D200">
            <v>164.9</v>
          </cell>
          <cell r="E200">
            <v>1.9</v>
          </cell>
        </row>
        <row r="201">
          <cell r="A201" t="str">
            <v>HEC-32</v>
          </cell>
          <cell r="B201" t="str">
            <v>HDPE End Cap (32mm)</v>
          </cell>
          <cell r="C201" t="str">
            <v>pc</v>
          </cell>
          <cell r="D201">
            <v>168.29999999999998</v>
          </cell>
          <cell r="E201">
            <v>0.25</v>
          </cell>
        </row>
        <row r="202">
          <cell r="A202" t="str">
            <v>HEC-40</v>
          </cell>
          <cell r="B202" t="str">
            <v>HDPE End Cap (40mm)</v>
          </cell>
          <cell r="C202" t="str">
            <v>pc</v>
          </cell>
          <cell r="D202">
            <v>175.1</v>
          </cell>
          <cell r="E202">
            <v>0.3</v>
          </cell>
        </row>
        <row r="203">
          <cell r="A203" t="str">
            <v>HEC-50</v>
          </cell>
          <cell r="B203" t="str">
            <v>HDPE End Cap (50mm)</v>
          </cell>
          <cell r="C203" t="str">
            <v>pc</v>
          </cell>
          <cell r="D203">
            <v>178.5</v>
          </cell>
          <cell r="E203">
            <v>0.25</v>
          </cell>
        </row>
        <row r="204">
          <cell r="A204" t="str">
            <v>HEC-63</v>
          </cell>
          <cell r="B204" t="str">
            <v>HDPE End Cap (63mm)</v>
          </cell>
          <cell r="C204" t="str">
            <v>pc</v>
          </cell>
          <cell r="D204">
            <v>195.5</v>
          </cell>
          <cell r="E204">
            <v>0.3</v>
          </cell>
        </row>
        <row r="205">
          <cell r="A205" t="str">
            <v>HEC-75</v>
          </cell>
          <cell r="B205" t="str">
            <v>HDPE End Cap (75mm)</v>
          </cell>
          <cell r="C205" t="str">
            <v>pc</v>
          </cell>
          <cell r="D205">
            <v>212.5</v>
          </cell>
          <cell r="E205">
            <v>0.35</v>
          </cell>
        </row>
        <row r="206">
          <cell r="A206" t="str">
            <v>HEC-90</v>
          </cell>
          <cell r="B206" t="str">
            <v>HDPE End Cap (90mm)</v>
          </cell>
          <cell r="C206" t="str">
            <v>pc</v>
          </cell>
          <cell r="D206">
            <v>221</v>
          </cell>
          <cell r="E206">
            <v>0.35</v>
          </cell>
        </row>
        <row r="207">
          <cell r="B207" t="str">
            <v>GI FITTINGS</v>
          </cell>
          <cell r="D207">
            <v>0</v>
          </cell>
        </row>
        <row r="208">
          <cell r="A208" t="str">
            <v>GST-15</v>
          </cell>
          <cell r="B208" t="str">
            <v>G.I. Strainer (1/2")</v>
          </cell>
          <cell r="C208" t="str">
            <v>pc</v>
          </cell>
          <cell r="D208">
            <v>364.98999999999995</v>
          </cell>
          <cell r="E208">
            <v>0</v>
          </cell>
        </row>
        <row r="209">
          <cell r="A209" t="str">
            <v>GST-25</v>
          </cell>
          <cell r="B209" t="str">
            <v>G.I. Strainer (1")</v>
          </cell>
          <cell r="C209" t="str">
            <v>pc</v>
          </cell>
          <cell r="D209">
            <v>512.90699999999993</v>
          </cell>
          <cell r="E209">
            <v>0.85</v>
          </cell>
        </row>
        <row r="210">
          <cell r="A210" t="str">
            <v>GST-40</v>
          </cell>
          <cell r="B210" t="str">
            <v>G.I. Strainer (1-1/2")</v>
          </cell>
          <cell r="C210" t="str">
            <v>pc</v>
          </cell>
          <cell r="D210">
            <v>812.58299999999997</v>
          </cell>
          <cell r="E210">
            <v>1.25</v>
          </cell>
        </row>
        <row r="211">
          <cell r="A211" t="str">
            <v>GST-50</v>
          </cell>
          <cell r="B211" t="str">
            <v>G.I. Strainer (2")</v>
          </cell>
          <cell r="C211" t="str">
            <v>pc</v>
          </cell>
          <cell r="D211">
            <v>758.79500000000007</v>
          </cell>
          <cell r="E211">
            <v>1.65</v>
          </cell>
        </row>
        <row r="212">
          <cell r="A212" t="str">
            <v>GST-63</v>
          </cell>
          <cell r="B212" t="str">
            <v>G.I. Strainer (2-1/2")</v>
          </cell>
          <cell r="C212" t="str">
            <v>pc</v>
          </cell>
          <cell r="D212">
            <v>1484.933</v>
          </cell>
          <cell r="E212">
            <v>0</v>
          </cell>
        </row>
        <row r="213">
          <cell r="A213" t="str">
            <v>GST-75</v>
          </cell>
          <cell r="B213" t="str">
            <v>G.I. Strainer (3")</v>
          </cell>
          <cell r="C213" t="str">
            <v>pc</v>
          </cell>
          <cell r="D213">
            <v>1976.7089999999998</v>
          </cell>
          <cell r="E213">
            <v>0</v>
          </cell>
        </row>
        <row r="214">
          <cell r="A214" t="str">
            <v>GC- 63</v>
          </cell>
          <cell r="B214" t="str">
            <v>G.I. Cross (2")</v>
          </cell>
          <cell r="C214" t="str">
            <v>pc</v>
          </cell>
          <cell r="D214">
            <v>255</v>
          </cell>
        </row>
        <row r="215">
          <cell r="A215" t="str">
            <v>GEL-15</v>
          </cell>
          <cell r="B215" t="str">
            <v xml:space="preserve">G.I. Elbow (1/2") </v>
          </cell>
          <cell r="C215" t="str">
            <v>pc</v>
          </cell>
          <cell r="D215">
            <v>27.201359999999998</v>
          </cell>
          <cell r="E215">
            <v>0.09</v>
          </cell>
        </row>
        <row r="216">
          <cell r="A216" t="str">
            <v>GEL-20</v>
          </cell>
          <cell r="B216" t="str">
            <v xml:space="preserve">G.I. Elbow (3/4") </v>
          </cell>
          <cell r="C216" t="str">
            <v>pc</v>
          </cell>
          <cell r="D216">
            <v>89.902799999999985</v>
          </cell>
          <cell r="E216">
            <v>0.15</v>
          </cell>
        </row>
        <row r="217">
          <cell r="A217" t="str">
            <v>GEL-25</v>
          </cell>
          <cell r="B217" t="str">
            <v xml:space="preserve">G.I. Elbow (1") </v>
          </cell>
          <cell r="C217" t="str">
            <v>pc</v>
          </cell>
          <cell r="D217">
            <v>72.421700000000001</v>
          </cell>
          <cell r="E217">
            <v>0.2</v>
          </cell>
        </row>
        <row r="218">
          <cell r="A218" t="str">
            <v>GEL-32</v>
          </cell>
          <cell r="B218" t="str">
            <v xml:space="preserve">G.I. Elbow (1-1/4") </v>
          </cell>
          <cell r="C218" t="str">
            <v>pc</v>
          </cell>
          <cell r="D218">
            <v>108.9207</v>
          </cell>
          <cell r="E218">
            <v>0</v>
          </cell>
        </row>
        <row r="219">
          <cell r="A219" t="str">
            <v>GEL-40</v>
          </cell>
          <cell r="B219" t="str">
            <v xml:space="preserve">G.I. Elbow (1-1/2") </v>
          </cell>
          <cell r="C219" t="str">
            <v>pc</v>
          </cell>
          <cell r="D219">
            <v>155.19758999999999</v>
          </cell>
          <cell r="E219">
            <v>0.43</v>
          </cell>
        </row>
        <row r="220">
          <cell r="A220" t="str">
            <v>GEL-50</v>
          </cell>
          <cell r="B220" t="str">
            <v xml:space="preserve">G.I. Elbow (2") </v>
          </cell>
          <cell r="C220" t="str">
            <v>pc</v>
          </cell>
          <cell r="D220">
            <v>248.11635999999996</v>
          </cell>
          <cell r="E220">
            <v>0.65</v>
          </cell>
        </row>
        <row r="221">
          <cell r="A221" t="str">
            <v>GEL-63</v>
          </cell>
          <cell r="B221" t="str">
            <v xml:space="preserve">G.I. Elbow (2-1/2") </v>
          </cell>
          <cell r="C221" t="str">
            <v>pc</v>
          </cell>
          <cell r="D221">
            <v>562.85299999999995</v>
          </cell>
          <cell r="E221">
            <v>0</v>
          </cell>
        </row>
        <row r="222">
          <cell r="A222" t="str">
            <v>GEL-75</v>
          </cell>
          <cell r="B222" t="str">
            <v xml:space="preserve">G.I. Elbow (3") </v>
          </cell>
          <cell r="C222" t="str">
            <v>pc</v>
          </cell>
          <cell r="D222">
            <v>915.41412999999989</v>
          </cell>
          <cell r="E222">
            <v>0</v>
          </cell>
        </row>
        <row r="223">
          <cell r="A223" t="str">
            <v>GNI-15</v>
          </cell>
          <cell r="B223" t="str">
            <v>G.I. Nipple (1/2")</v>
          </cell>
          <cell r="C223" t="str">
            <v>pc</v>
          </cell>
          <cell r="D223">
            <v>77</v>
          </cell>
          <cell r="E223">
            <v>0.04</v>
          </cell>
        </row>
        <row r="224">
          <cell r="A224" t="str">
            <v>GNI-20</v>
          </cell>
          <cell r="B224" t="str">
            <v>G.I. Nipple (3/4")</v>
          </cell>
          <cell r="C224" t="str">
            <v>pc</v>
          </cell>
          <cell r="D224">
            <v>110</v>
          </cell>
          <cell r="E224">
            <v>0.05</v>
          </cell>
        </row>
        <row r="225">
          <cell r="A225" t="str">
            <v>GNI-25</v>
          </cell>
          <cell r="B225" t="str">
            <v>G.I. Nipple (1")</v>
          </cell>
          <cell r="C225" t="str">
            <v>pc</v>
          </cell>
          <cell r="D225">
            <v>150</v>
          </cell>
          <cell r="E225">
            <v>7.0000000000000007E-2</v>
          </cell>
        </row>
        <row r="226">
          <cell r="A226" t="str">
            <v>GNI-32</v>
          </cell>
          <cell r="B226" t="str">
            <v>G.I. Nipple (1-1/4")</v>
          </cell>
          <cell r="C226" t="str">
            <v>pc</v>
          </cell>
          <cell r="D226">
            <v>210</v>
          </cell>
          <cell r="E226">
            <v>0.08</v>
          </cell>
        </row>
        <row r="227">
          <cell r="A227" t="str">
            <v>GNI-40</v>
          </cell>
          <cell r="B227" t="str">
            <v>G.I. Nipple (1-1/2")</v>
          </cell>
          <cell r="C227" t="str">
            <v>pc</v>
          </cell>
          <cell r="D227">
            <v>260</v>
          </cell>
          <cell r="E227">
            <v>0.14000000000000001</v>
          </cell>
        </row>
        <row r="228">
          <cell r="A228" t="str">
            <v>GNI-50</v>
          </cell>
          <cell r="B228" t="str">
            <v>G.I. Nipple (2")</v>
          </cell>
          <cell r="C228" t="str">
            <v>pc</v>
          </cell>
          <cell r="D228">
            <v>315</v>
          </cell>
          <cell r="E228">
            <v>0.18</v>
          </cell>
        </row>
        <row r="229">
          <cell r="A229" t="str">
            <v>GNI-63</v>
          </cell>
          <cell r="B229" t="str">
            <v>G.I. Nipple (2-1/2")</v>
          </cell>
          <cell r="C229" t="str">
            <v>pc</v>
          </cell>
          <cell r="D229">
            <v>353.82099999999997</v>
          </cell>
        </row>
        <row r="230">
          <cell r="A230" t="str">
            <v>GNI-75</v>
          </cell>
          <cell r="B230" t="str">
            <v>G.I. Nipple (3")</v>
          </cell>
          <cell r="C230" t="str">
            <v>pc</v>
          </cell>
          <cell r="D230">
            <v>301.59699999999998</v>
          </cell>
          <cell r="E230">
            <v>0.32</v>
          </cell>
        </row>
        <row r="231">
          <cell r="A231" t="str">
            <v>GNI150-15</v>
          </cell>
          <cell r="B231" t="str">
            <v>GI Nipple 15cm (1/2")</v>
          </cell>
          <cell r="C231" t="str">
            <v>pc</v>
          </cell>
          <cell r="D231">
            <v>47.77</v>
          </cell>
          <cell r="E231">
            <v>0.15</v>
          </cell>
        </row>
        <row r="232">
          <cell r="A232" t="str">
            <v>GNH-15</v>
          </cell>
          <cell r="B232" t="str">
            <v>G.I. Nipple Hexagonal (1/2")</v>
          </cell>
          <cell r="C232" t="str">
            <v>pc</v>
          </cell>
          <cell r="D232">
            <v>52.699999999999996</v>
          </cell>
        </row>
        <row r="233">
          <cell r="A233" t="str">
            <v>GNH-63</v>
          </cell>
          <cell r="B233" t="str">
            <v>G.I. Nipple Hexagonal (2")</v>
          </cell>
          <cell r="C233" t="str">
            <v>pc</v>
          </cell>
          <cell r="D233">
            <v>69.7</v>
          </cell>
        </row>
        <row r="234">
          <cell r="A234" t="str">
            <v>GSO-15</v>
          </cell>
          <cell r="B234" t="str">
            <v>G.I. Socket (1/2")</v>
          </cell>
          <cell r="C234" t="str">
            <v>pc</v>
          </cell>
          <cell r="D234">
            <v>40</v>
          </cell>
          <cell r="E234">
            <v>0.06</v>
          </cell>
        </row>
        <row r="235">
          <cell r="A235" t="str">
            <v>GSO-20</v>
          </cell>
          <cell r="B235" t="str">
            <v>G.I. Socket (3/4")</v>
          </cell>
          <cell r="C235" t="str">
            <v>pc</v>
          </cell>
          <cell r="D235">
            <v>65</v>
          </cell>
          <cell r="E235">
            <v>0.09</v>
          </cell>
        </row>
        <row r="236">
          <cell r="A236" t="str">
            <v>GSO-25</v>
          </cell>
          <cell r="B236" t="str">
            <v>G.I. Socket (1")</v>
          </cell>
          <cell r="C236" t="str">
            <v>pc</v>
          </cell>
          <cell r="D236">
            <v>80</v>
          </cell>
          <cell r="E236">
            <v>0.13</v>
          </cell>
        </row>
        <row r="237">
          <cell r="A237" t="str">
            <v>GSO-32</v>
          </cell>
          <cell r="B237" t="str">
            <v>G.I. Socket (1-1/4")</v>
          </cell>
          <cell r="C237" t="str">
            <v>pc</v>
          </cell>
          <cell r="D237">
            <v>120</v>
          </cell>
          <cell r="E237">
            <v>0.15</v>
          </cell>
        </row>
        <row r="238">
          <cell r="A238" t="str">
            <v>GSO-40</v>
          </cell>
          <cell r="B238" t="str">
            <v>G.I. Socket (1-1/2")</v>
          </cell>
          <cell r="C238" t="str">
            <v>pc</v>
          </cell>
          <cell r="D238">
            <v>170</v>
          </cell>
          <cell r="E238">
            <v>0.27</v>
          </cell>
        </row>
        <row r="239">
          <cell r="A239" t="str">
            <v>GSO-50</v>
          </cell>
          <cell r="B239" t="str">
            <v>G.I. Socket (2")</v>
          </cell>
          <cell r="C239" t="str">
            <v>pc</v>
          </cell>
          <cell r="D239">
            <v>268</v>
          </cell>
          <cell r="E239">
            <v>0.44</v>
          </cell>
        </row>
        <row r="240">
          <cell r="A240" t="str">
            <v>GSO-63</v>
          </cell>
          <cell r="B240" t="str">
            <v>G.I. Socket (2-1/2")</v>
          </cell>
          <cell r="C240" t="str">
            <v>pc</v>
          </cell>
          <cell r="D240">
            <v>375</v>
          </cell>
          <cell r="E240">
            <v>0</v>
          </cell>
        </row>
        <row r="241">
          <cell r="A241" t="str">
            <v>GSO-75</v>
          </cell>
          <cell r="B241" t="str">
            <v>G.I. Socket (3")</v>
          </cell>
          <cell r="C241" t="str">
            <v>pc</v>
          </cell>
          <cell r="D241">
            <v>565</v>
          </cell>
          <cell r="E241">
            <v>1.1299999999999999</v>
          </cell>
        </row>
        <row r="242">
          <cell r="A242" t="str">
            <v>GET-15</v>
          </cell>
          <cell r="B242" t="str">
            <v>G.I. Equal Tee (1/2")</v>
          </cell>
          <cell r="C242" t="str">
            <v>pc</v>
          </cell>
          <cell r="D242">
            <v>106</v>
          </cell>
          <cell r="E242">
            <v>0.13</v>
          </cell>
        </row>
        <row r="243">
          <cell r="A243" t="str">
            <v>GET-20</v>
          </cell>
          <cell r="B243" t="str">
            <v>G.I. Equal Tee (3/4")</v>
          </cell>
          <cell r="C243" t="str">
            <v>pc</v>
          </cell>
          <cell r="D243">
            <v>77.224199999999996</v>
          </cell>
          <cell r="E243">
            <v>0.15</v>
          </cell>
        </row>
        <row r="244">
          <cell r="A244" t="str">
            <v>GET-25</v>
          </cell>
          <cell r="B244" t="str">
            <v>G.I. Equal Tee (1")</v>
          </cell>
          <cell r="C244" t="str">
            <v>pc</v>
          </cell>
          <cell r="D244">
            <v>226</v>
          </cell>
          <cell r="E244">
            <v>0.28000000000000003</v>
          </cell>
        </row>
        <row r="245">
          <cell r="A245" t="str">
            <v>GET-32</v>
          </cell>
          <cell r="B245" t="str">
            <v>G.I. Equal Tee (1-1/4")</v>
          </cell>
          <cell r="C245" t="str">
            <v>pc</v>
          </cell>
          <cell r="D245">
            <v>275</v>
          </cell>
          <cell r="E245">
            <v>0.32</v>
          </cell>
        </row>
        <row r="246">
          <cell r="A246" t="str">
            <v>GET-40</v>
          </cell>
          <cell r="B246" t="str">
            <v>G.I. Equal Tee (1-1/2")</v>
          </cell>
          <cell r="C246" t="str">
            <v>pc</v>
          </cell>
          <cell r="D246">
            <v>431</v>
          </cell>
          <cell r="E246">
            <v>0.56999999999999995</v>
          </cell>
        </row>
        <row r="247">
          <cell r="A247" t="str">
            <v>GET-50</v>
          </cell>
          <cell r="B247" t="str">
            <v>G.I. Equal Tee (2")</v>
          </cell>
          <cell r="C247" t="str">
            <v>pc</v>
          </cell>
          <cell r="D247">
            <v>475</v>
          </cell>
          <cell r="E247">
            <v>0.88</v>
          </cell>
        </row>
        <row r="248">
          <cell r="A248" t="str">
            <v>GET-63</v>
          </cell>
          <cell r="B248" t="str">
            <v>G.I. Equal Tee (2-1/2")</v>
          </cell>
          <cell r="C248" t="str">
            <v>pc</v>
          </cell>
          <cell r="D248">
            <v>918.00747999999987</v>
          </cell>
          <cell r="E248">
            <v>0</v>
          </cell>
        </row>
        <row r="249">
          <cell r="A249" t="str">
            <v>GET-75</v>
          </cell>
          <cell r="B249" t="str">
            <v>G.I. Equal Tee (3")</v>
          </cell>
          <cell r="C249" t="str">
            <v>pc</v>
          </cell>
          <cell r="D249">
            <v>159.44300000000001</v>
          </cell>
          <cell r="E249">
            <v>0</v>
          </cell>
        </row>
        <row r="250">
          <cell r="A250" t="str">
            <v>GUT-20x15</v>
          </cell>
          <cell r="B250" t="str">
            <v>G.I. Unequal Tee 3/4" X 3/4" X 1/2"</v>
          </cell>
          <cell r="C250" t="str">
            <v>pc</v>
          </cell>
          <cell r="D250">
            <v>141.53927999999999</v>
          </cell>
          <cell r="E250">
            <v>0</v>
          </cell>
        </row>
        <row r="251">
          <cell r="A251" t="str">
            <v>GUT-25x15</v>
          </cell>
          <cell r="B251" t="str">
            <v>G.I. Unequal Tee 1" X 1" X 1/2"</v>
          </cell>
          <cell r="C251" t="str">
            <v>pc</v>
          </cell>
          <cell r="D251">
            <v>139.81037999999998</v>
          </cell>
          <cell r="E251">
            <v>0.13</v>
          </cell>
        </row>
        <row r="252">
          <cell r="A252" t="str">
            <v>GUT-25x20</v>
          </cell>
          <cell r="B252" t="str">
            <v>G.I. Unequal Tee 1" X 1" X 3/4"</v>
          </cell>
          <cell r="C252" t="str">
            <v>pc</v>
          </cell>
          <cell r="D252">
            <v>51.867000000000004</v>
          </cell>
          <cell r="E252">
            <v>0.24</v>
          </cell>
        </row>
        <row r="253">
          <cell r="A253" t="str">
            <v>GUT-32x15</v>
          </cell>
          <cell r="B253" t="str">
            <v>G.I. Unequal Tee 1-1/4" X 1-1/4" X 1/2"</v>
          </cell>
          <cell r="C253" t="str">
            <v>pc</v>
          </cell>
          <cell r="D253">
            <v>165.35968</v>
          </cell>
          <cell r="E253">
            <v>0.28000000000000003</v>
          </cell>
        </row>
        <row r="254">
          <cell r="A254" t="str">
            <v>GUT-32x20</v>
          </cell>
          <cell r="B254" t="str">
            <v>G.I. Unequal Tee 1-1/4" X 1-1/4" X 3/4"</v>
          </cell>
          <cell r="C254" t="str">
            <v>pc</v>
          </cell>
          <cell r="D254">
            <v>69.155999999999992</v>
          </cell>
          <cell r="E254">
            <v>0</v>
          </cell>
        </row>
        <row r="255">
          <cell r="A255" t="str">
            <v>GUT-32x25</v>
          </cell>
          <cell r="B255" t="str">
            <v>G.I. Unequal Tee 1-1/4" X 1-1/4" X 1"</v>
          </cell>
          <cell r="C255" t="str">
            <v>pc</v>
          </cell>
          <cell r="D255">
            <v>80.682000000000002</v>
          </cell>
          <cell r="E255">
            <v>0</v>
          </cell>
        </row>
        <row r="256">
          <cell r="A256" t="str">
            <v>GUT-40x15</v>
          </cell>
          <cell r="B256" t="str">
            <v>G.I. Unequal Tee 1-1/2" X 1-1/2" X 1/2"</v>
          </cell>
          <cell r="C256" t="str">
            <v>pc</v>
          </cell>
          <cell r="D256">
            <v>217.63008999999997</v>
          </cell>
          <cell r="E256">
            <v>0.4</v>
          </cell>
        </row>
        <row r="257">
          <cell r="A257" t="str">
            <v>GUT-40x20</v>
          </cell>
          <cell r="B257" t="str">
            <v>G.I. Unequal Tee 1-1/2" X 1-1/2" X 3/4"</v>
          </cell>
          <cell r="C257" t="str">
            <v>pc</v>
          </cell>
          <cell r="D257">
            <v>105.655</v>
          </cell>
          <cell r="E257">
            <v>0.4</v>
          </cell>
        </row>
        <row r="258">
          <cell r="A258" t="str">
            <v>GUT-40x25</v>
          </cell>
          <cell r="B258" t="str">
            <v>G.I. Unequal Tee 1-1/2" X 1-1/2" X 1"</v>
          </cell>
          <cell r="C258" t="str">
            <v>pc</v>
          </cell>
          <cell r="D258">
            <v>109.49699999999999</v>
          </cell>
          <cell r="E258">
            <v>0</v>
          </cell>
        </row>
        <row r="259">
          <cell r="A259" t="str">
            <v>GUT-40x30</v>
          </cell>
          <cell r="B259" t="str">
            <v>G.I. Unequal Tee 1-1/2" X 1-1/2" X 1-1/4"</v>
          </cell>
          <cell r="C259" t="str">
            <v>pc</v>
          </cell>
          <cell r="D259">
            <v>113.339</v>
          </cell>
          <cell r="E259">
            <v>0</v>
          </cell>
        </row>
        <row r="260">
          <cell r="A260" t="str">
            <v>GUT-50x15</v>
          </cell>
          <cell r="B260" t="str">
            <v>G.I. Unequal Tee 2" X 2" X 1/2"</v>
          </cell>
          <cell r="C260" t="str">
            <v>pc</v>
          </cell>
          <cell r="D260">
            <v>351.00511999999998</v>
          </cell>
          <cell r="E260">
            <v>0.38</v>
          </cell>
        </row>
        <row r="261">
          <cell r="A261" t="str">
            <v>GUT-50x20</v>
          </cell>
          <cell r="B261" t="str">
            <v>G.I. Unequal Tee 2" X 2" X 3/4"</v>
          </cell>
          <cell r="C261" t="str">
            <v>pc</v>
          </cell>
          <cell r="D261">
            <v>192.00394999999997</v>
          </cell>
          <cell r="E261">
            <v>0.41</v>
          </cell>
        </row>
        <row r="262">
          <cell r="A262" t="str">
            <v>GUT-50x25</v>
          </cell>
          <cell r="B262" t="str">
            <v>G.I. Unequal Tee 2" X 2" X 1"</v>
          </cell>
          <cell r="C262" t="str">
            <v>pc</v>
          </cell>
          <cell r="D262">
            <v>126.78599999999999</v>
          </cell>
          <cell r="E262">
            <v>0.84</v>
          </cell>
        </row>
        <row r="263">
          <cell r="A263" t="str">
            <v>GUT-50x32</v>
          </cell>
          <cell r="B263" t="str">
            <v>G.I. Unequal Tee 2" X 2" X 1-1/4"</v>
          </cell>
          <cell r="C263" t="str">
            <v>pc</v>
          </cell>
          <cell r="D263">
            <v>122.94399999999999</v>
          </cell>
          <cell r="E263">
            <v>0</v>
          </cell>
        </row>
        <row r="264">
          <cell r="A264" t="str">
            <v>GUT-50x40</v>
          </cell>
          <cell r="B264" t="str">
            <v>G.I. Unequal Tee 2" X 2" X 1-1/2"</v>
          </cell>
          <cell r="C264" t="str">
            <v>pc</v>
          </cell>
          <cell r="D264">
            <v>279.40944999999994</v>
          </cell>
          <cell r="E264">
            <v>0</v>
          </cell>
        </row>
        <row r="265">
          <cell r="A265" t="str">
            <v>GUT-63x15</v>
          </cell>
          <cell r="B265" t="str">
            <v>G.I. Unequal Tee 2-1/2" X 2-1/2" X 1/2"</v>
          </cell>
          <cell r="C265" t="str">
            <v>pc</v>
          </cell>
          <cell r="D265">
            <v>297.755</v>
          </cell>
          <cell r="E265">
            <v>0</v>
          </cell>
        </row>
        <row r="266">
          <cell r="A266" t="str">
            <v>GUT-63x20</v>
          </cell>
          <cell r="B266" t="str">
            <v>G.I. Unequal Tee 2-1/2" X 2-1/2" X 3/4"</v>
          </cell>
          <cell r="C266" t="str">
            <v>pc</v>
          </cell>
          <cell r="D266">
            <v>297.755</v>
          </cell>
          <cell r="E266">
            <v>0</v>
          </cell>
        </row>
        <row r="267">
          <cell r="A267" t="str">
            <v>GUT-63x25</v>
          </cell>
          <cell r="B267" t="str">
            <v>G.I. Unequal Tee 2-1/2" X 2-1/2" X 1"</v>
          </cell>
          <cell r="C267" t="str">
            <v>pc</v>
          </cell>
          <cell r="D267">
            <v>297.755</v>
          </cell>
          <cell r="E267">
            <v>0</v>
          </cell>
        </row>
        <row r="268">
          <cell r="A268" t="str">
            <v>GUT-63x32</v>
          </cell>
          <cell r="B268" t="str">
            <v>G.I. Unequal Tee 2-1/2" X 2-1/2" X 1-1/4"</v>
          </cell>
          <cell r="C268" t="str">
            <v>pc</v>
          </cell>
          <cell r="D268">
            <v>297.755</v>
          </cell>
          <cell r="E268">
            <v>0</v>
          </cell>
        </row>
        <row r="269">
          <cell r="A269" t="str">
            <v>GUT-63x40</v>
          </cell>
          <cell r="B269" t="str">
            <v>G.I. Unequal Tee 2-1/2" X 2-1/2" X 1-1/2"</v>
          </cell>
          <cell r="C269" t="str">
            <v>pc</v>
          </cell>
          <cell r="D269">
            <v>297.755</v>
          </cell>
          <cell r="E269">
            <v>0</v>
          </cell>
        </row>
        <row r="270">
          <cell r="A270" t="str">
            <v>GUT-63x50</v>
          </cell>
          <cell r="B270" t="str">
            <v>G.I. Unequal Tee 2-1/2" X 2-1/2" X 2"</v>
          </cell>
          <cell r="C270" t="str">
            <v>pc</v>
          </cell>
          <cell r="D270">
            <v>297.755</v>
          </cell>
          <cell r="E270">
            <v>0</v>
          </cell>
        </row>
        <row r="271">
          <cell r="A271" t="str">
            <v>GUT-75x15</v>
          </cell>
          <cell r="B271" t="str">
            <v>G.I. Unequal Tee 3" X 3" X 1/2"</v>
          </cell>
          <cell r="C271" t="str">
            <v>pc</v>
          </cell>
          <cell r="D271">
            <v>1206.3879999999999</v>
          </cell>
          <cell r="E271">
            <v>0.65</v>
          </cell>
        </row>
        <row r="272">
          <cell r="A272" t="str">
            <v>GUT-75x20</v>
          </cell>
          <cell r="B272" t="str">
            <v>G.I. Unequal Tee 3" X 3" X 3/4"</v>
          </cell>
          <cell r="C272" t="str">
            <v>pc</v>
          </cell>
          <cell r="D272">
            <v>493.62015999999988</v>
          </cell>
          <cell r="E272">
            <v>0.7</v>
          </cell>
        </row>
        <row r="273">
          <cell r="A273" t="str">
            <v>GUT-75x25</v>
          </cell>
          <cell r="B273" t="str">
            <v>G.I. Unequal Tee 3" X 3" X 1"</v>
          </cell>
          <cell r="C273" t="str">
            <v>pc</v>
          </cell>
          <cell r="D273">
            <v>501.38099999999997</v>
          </cell>
          <cell r="E273">
            <v>0</v>
          </cell>
        </row>
        <row r="274">
          <cell r="A274" t="str">
            <v>GUT-75x32</v>
          </cell>
          <cell r="B274" t="str">
            <v>G.I. Unequal Tee 3" X 3" X 1-1/4"</v>
          </cell>
          <cell r="C274" t="str">
            <v>pc</v>
          </cell>
          <cell r="D274">
            <v>505.22299999999996</v>
          </cell>
          <cell r="E274">
            <v>0</v>
          </cell>
        </row>
        <row r="275">
          <cell r="A275" t="str">
            <v>GUT-75x40</v>
          </cell>
          <cell r="B275" t="str">
            <v>G.I. Unequal Tee 3" X 3" X 1-1/2"</v>
          </cell>
          <cell r="C275" t="str">
            <v>pc</v>
          </cell>
          <cell r="D275">
            <v>509.06499999999994</v>
          </cell>
          <cell r="E275">
            <v>0</v>
          </cell>
        </row>
        <row r="276">
          <cell r="A276" t="str">
            <v>GUT-75x50</v>
          </cell>
          <cell r="B276" t="str">
            <v>G.I. Unequal Tee 3" X 3" X 2"</v>
          </cell>
          <cell r="C276" t="str">
            <v>pc</v>
          </cell>
          <cell r="D276">
            <v>514.82799999999997</v>
          </cell>
          <cell r="E276">
            <v>0</v>
          </cell>
        </row>
        <row r="277">
          <cell r="A277" t="str">
            <v>GUT-75x63</v>
          </cell>
          <cell r="B277" t="str">
            <v>G.I. Unequal Tee 3" X 3" X 2-1/2"</v>
          </cell>
          <cell r="C277" t="str">
            <v>pc</v>
          </cell>
          <cell r="D277">
            <v>520.59100000000001</v>
          </cell>
          <cell r="E277">
            <v>0</v>
          </cell>
        </row>
        <row r="278">
          <cell r="A278" t="str">
            <v>GEC-15</v>
          </cell>
          <cell r="B278" t="str">
            <v>G.I. End Cap (1/2")</v>
          </cell>
          <cell r="C278" t="str">
            <v>pc</v>
          </cell>
          <cell r="D278">
            <v>24.435119999999998</v>
          </cell>
          <cell r="E278">
            <v>0.1</v>
          </cell>
        </row>
        <row r="279">
          <cell r="A279" t="str">
            <v>GEC-20</v>
          </cell>
          <cell r="B279" t="str">
            <v>G.I. End Cap (3/4")</v>
          </cell>
          <cell r="C279" t="str">
            <v>pc</v>
          </cell>
          <cell r="D279">
            <v>13.446999999999999</v>
          </cell>
          <cell r="E279">
            <v>0</v>
          </cell>
        </row>
        <row r="280">
          <cell r="A280" t="str">
            <v>GEC-25</v>
          </cell>
          <cell r="B280" t="str">
            <v>G.I. End Cap (1")</v>
          </cell>
          <cell r="C280" t="str">
            <v>pc</v>
          </cell>
          <cell r="D280">
            <v>15.944299999999998</v>
          </cell>
          <cell r="E280">
            <v>0.1</v>
          </cell>
        </row>
        <row r="281">
          <cell r="A281" t="str">
            <v>GEC-32</v>
          </cell>
          <cell r="B281" t="str">
            <v>G.I. End Cap (1-1/4")</v>
          </cell>
          <cell r="C281" t="str">
            <v>pc</v>
          </cell>
          <cell r="D281">
            <v>34.577999999999996</v>
          </cell>
          <cell r="E281">
            <v>0</v>
          </cell>
        </row>
        <row r="282">
          <cell r="A282" t="str">
            <v>GEC-40</v>
          </cell>
          <cell r="B282" t="str">
            <v>G.I. End Cap (1-1/2")</v>
          </cell>
          <cell r="C282" t="str">
            <v>pc</v>
          </cell>
          <cell r="D282">
            <v>49.945999999999998</v>
          </cell>
          <cell r="E282">
            <v>0.16</v>
          </cell>
        </row>
        <row r="283">
          <cell r="A283" t="str">
            <v>GEC-50</v>
          </cell>
          <cell r="B283" t="str">
            <v>G.I. End Cap (2")</v>
          </cell>
          <cell r="C283" t="str">
            <v>pc</v>
          </cell>
          <cell r="D283">
            <v>119.44777999999998</v>
          </cell>
          <cell r="E283">
            <v>0.2</v>
          </cell>
        </row>
        <row r="284">
          <cell r="A284" t="str">
            <v>GEC-63</v>
          </cell>
          <cell r="B284" t="str">
            <v>G.I. End Cap (2-1/2")</v>
          </cell>
          <cell r="C284" t="str">
            <v>pc</v>
          </cell>
          <cell r="D284">
            <v>51.867000000000004</v>
          </cell>
          <cell r="E284">
            <v>0</v>
          </cell>
        </row>
        <row r="285">
          <cell r="A285" t="str">
            <v>GEC-75</v>
          </cell>
          <cell r="B285" t="str">
            <v>G.I. End Cap (3")</v>
          </cell>
          <cell r="C285" t="str">
            <v>pc</v>
          </cell>
          <cell r="D285">
            <v>389.59800999999999</v>
          </cell>
          <cell r="E285">
            <v>0.41</v>
          </cell>
        </row>
        <row r="286">
          <cell r="A286" t="str">
            <v>GFL-32</v>
          </cell>
          <cell r="B286" t="str">
            <v>G.I. G.I. Flange (1")</v>
          </cell>
          <cell r="C286" t="str">
            <v>pc</v>
          </cell>
          <cell r="D286">
            <v>355.3</v>
          </cell>
        </row>
        <row r="287">
          <cell r="A287" t="str">
            <v>GEP-15</v>
          </cell>
          <cell r="B287" t="str">
            <v>G.I. End Plug (1/2")</v>
          </cell>
          <cell r="C287" t="str">
            <v>pc</v>
          </cell>
          <cell r="D287">
            <v>24.435119999999998</v>
          </cell>
          <cell r="E287">
            <v>0.1</v>
          </cell>
        </row>
        <row r="288">
          <cell r="A288" t="str">
            <v>GEP-20</v>
          </cell>
          <cell r="B288" t="str">
            <v>G.I. End Plug (3/4")</v>
          </cell>
          <cell r="C288" t="str">
            <v>pc</v>
          </cell>
          <cell r="D288">
            <v>13.446999999999999</v>
          </cell>
        </row>
        <row r="289">
          <cell r="A289" t="str">
            <v>GEP-25</v>
          </cell>
          <cell r="B289" t="str">
            <v>G.I. End Plug (1")</v>
          </cell>
          <cell r="C289" t="str">
            <v>pc</v>
          </cell>
          <cell r="D289">
            <v>15.944299999999998</v>
          </cell>
          <cell r="E289">
            <v>0.15</v>
          </cell>
        </row>
        <row r="290">
          <cell r="A290" t="str">
            <v>GEP-32</v>
          </cell>
          <cell r="B290" t="str">
            <v>G.I. End Plug (1-1/4")</v>
          </cell>
          <cell r="C290" t="str">
            <v>pc</v>
          </cell>
          <cell r="D290">
            <v>34.577999999999996</v>
          </cell>
        </row>
        <row r="291">
          <cell r="A291" t="str">
            <v>GEP-40</v>
          </cell>
          <cell r="B291" t="str">
            <v>G.I. End Plug (1-1/2")</v>
          </cell>
          <cell r="C291" t="str">
            <v>pc</v>
          </cell>
          <cell r="D291">
            <v>49.945999999999998</v>
          </cell>
          <cell r="E291">
            <v>0.25</v>
          </cell>
        </row>
        <row r="292">
          <cell r="A292" t="str">
            <v>GEP-50</v>
          </cell>
          <cell r="B292" t="str">
            <v>G.I. End Plug (2")</v>
          </cell>
          <cell r="C292" t="str">
            <v>pc</v>
          </cell>
          <cell r="D292">
            <v>119.44777999999998</v>
          </cell>
          <cell r="E292">
            <v>0.32</v>
          </cell>
        </row>
        <row r="293">
          <cell r="A293" t="str">
            <v>GEP-63</v>
          </cell>
          <cell r="B293" t="str">
            <v>G.I. End Plug (2")</v>
          </cell>
          <cell r="C293" t="str">
            <v>pc</v>
          </cell>
          <cell r="D293">
            <v>51.867000000000004</v>
          </cell>
        </row>
        <row r="294">
          <cell r="A294" t="str">
            <v>GEP-75</v>
          </cell>
          <cell r="B294" t="str">
            <v>G.I. End Plug (3")</v>
          </cell>
          <cell r="C294" t="str">
            <v>pc</v>
          </cell>
          <cell r="D294">
            <v>389.59800999999999</v>
          </cell>
        </row>
        <row r="295">
          <cell r="A295" t="str">
            <v>GFL-40</v>
          </cell>
          <cell r="B295" t="str">
            <v>G.I. G.I. Flange (1-1/2")</v>
          </cell>
          <cell r="C295" t="str">
            <v>pc</v>
          </cell>
          <cell r="D295">
            <v>424.541</v>
          </cell>
          <cell r="E295">
            <v>2.2000000000000002</v>
          </cell>
        </row>
        <row r="296">
          <cell r="A296" t="str">
            <v>GFL-50</v>
          </cell>
          <cell r="B296" t="str">
            <v>G.I. G.I. Flange (2")</v>
          </cell>
          <cell r="C296" t="str">
            <v>pc</v>
          </cell>
          <cell r="D296">
            <v>1324.164</v>
          </cell>
          <cell r="E296">
            <v>2.4</v>
          </cell>
        </row>
        <row r="297">
          <cell r="A297" t="str">
            <v>GFL-63</v>
          </cell>
          <cell r="B297" t="str">
            <v>G.I. G.I. Flange (2-1/2")</v>
          </cell>
          <cell r="C297" t="str">
            <v>pc</v>
          </cell>
          <cell r="D297">
            <v>672.35</v>
          </cell>
        </row>
        <row r="298">
          <cell r="A298" t="str">
            <v>GFL-75</v>
          </cell>
          <cell r="B298" t="str">
            <v>G.I. G.I. Flange (3")</v>
          </cell>
          <cell r="C298" t="str">
            <v>pc</v>
          </cell>
          <cell r="D298">
            <v>864.44999999999993</v>
          </cell>
        </row>
        <row r="299">
          <cell r="A299" t="str">
            <v>GRS-20x15</v>
          </cell>
          <cell r="B299" t="str">
            <v>GI Reducer  3/4"  x  1/2"</v>
          </cell>
          <cell r="C299" t="str">
            <v>pc</v>
          </cell>
          <cell r="D299">
            <v>38</v>
          </cell>
        </row>
        <row r="300">
          <cell r="A300" t="str">
            <v>GRS-25x20</v>
          </cell>
          <cell r="B300" t="str">
            <v>GI Reducer  1"  x  3/4"</v>
          </cell>
          <cell r="C300" t="str">
            <v>pc</v>
          </cell>
          <cell r="D300">
            <v>53</v>
          </cell>
        </row>
        <row r="301">
          <cell r="A301" t="str">
            <v>GRS-25x15</v>
          </cell>
          <cell r="B301" t="str">
            <v>GI Reducer  1"  x  1/2"</v>
          </cell>
          <cell r="C301" t="str">
            <v>pc</v>
          </cell>
          <cell r="D301">
            <v>51.985999999999997</v>
          </cell>
          <cell r="E301">
            <v>0.12</v>
          </cell>
        </row>
        <row r="302">
          <cell r="A302" t="str">
            <v>GRS-32x25</v>
          </cell>
          <cell r="B302" t="str">
            <v>GI Reducer  1-1/4"  x  1"</v>
          </cell>
          <cell r="C302" t="str">
            <v>pc</v>
          </cell>
          <cell r="D302">
            <v>82</v>
          </cell>
        </row>
        <row r="303">
          <cell r="A303" t="str">
            <v>GRS-32x20</v>
          </cell>
          <cell r="B303" t="str">
            <v>GI Reducer  1-1/4"  x  3/4"</v>
          </cell>
          <cell r="C303" t="str">
            <v>pc</v>
          </cell>
          <cell r="D303">
            <v>32.657000000000004</v>
          </cell>
        </row>
        <row r="304">
          <cell r="A304" t="str">
            <v>GRS-32x15</v>
          </cell>
          <cell r="B304" t="str">
            <v>GI Reducer  1-1/4"  x  1/2"</v>
          </cell>
          <cell r="C304" t="str">
            <v>pc</v>
          </cell>
          <cell r="D304">
            <v>107.57599999999999</v>
          </cell>
        </row>
        <row r="305">
          <cell r="A305" t="str">
            <v>GRS-40x32</v>
          </cell>
          <cell r="B305" t="str">
            <v>GI Reducer  1-1/2"  x  1 1/4"</v>
          </cell>
          <cell r="C305" t="str">
            <v>pc</v>
          </cell>
          <cell r="D305">
            <v>112</v>
          </cell>
        </row>
        <row r="306">
          <cell r="A306" t="str">
            <v>GRS-40x25</v>
          </cell>
          <cell r="B306" t="str">
            <v>GI Reducer  1-1/2"  x  1"</v>
          </cell>
          <cell r="C306" t="str">
            <v>pc</v>
          </cell>
          <cell r="D306">
            <v>103.87</v>
          </cell>
          <cell r="E306">
            <v>0.24</v>
          </cell>
        </row>
        <row r="307">
          <cell r="A307" t="str">
            <v>GRS-40x20</v>
          </cell>
          <cell r="B307" t="str">
            <v>GI Reducer  1-1/2"  x  3/4"</v>
          </cell>
          <cell r="C307" t="str">
            <v>pc</v>
          </cell>
          <cell r="D307">
            <v>54.094000000000001</v>
          </cell>
          <cell r="E307">
            <v>0.2</v>
          </cell>
        </row>
        <row r="308">
          <cell r="A308" t="str">
            <v>GRS-40x15</v>
          </cell>
          <cell r="B308" t="str">
            <v>GI Reducer  1-1/2"  x  1/2"</v>
          </cell>
          <cell r="C308" t="str">
            <v>pc</v>
          </cell>
          <cell r="D308">
            <v>88.365999999999985</v>
          </cell>
          <cell r="E308">
            <v>0.18</v>
          </cell>
        </row>
        <row r="309">
          <cell r="A309" t="str">
            <v>GRS-50x40</v>
          </cell>
          <cell r="B309" t="str">
            <v>GI Reducer  2"  x  1-1/2"</v>
          </cell>
          <cell r="C309" t="str">
            <v>pc</v>
          </cell>
          <cell r="D309">
            <v>270</v>
          </cell>
          <cell r="E309">
            <v>0.45</v>
          </cell>
        </row>
        <row r="310">
          <cell r="A310" t="str">
            <v>GRS-50x32</v>
          </cell>
          <cell r="B310" t="str">
            <v>GI Reducer  2"  x  1-1/4"</v>
          </cell>
          <cell r="C310" t="str">
            <v>pc</v>
          </cell>
          <cell r="D310">
            <v>115.25999999999999</v>
          </cell>
        </row>
        <row r="311">
          <cell r="A311" t="str">
            <v>GRS-50x25</v>
          </cell>
          <cell r="B311" t="str">
            <v>GI Reducer  2"  x  1"</v>
          </cell>
          <cell r="C311" t="str">
            <v>pc</v>
          </cell>
          <cell r="D311">
            <v>109.55462999999999</v>
          </cell>
          <cell r="E311">
            <v>0.45</v>
          </cell>
        </row>
        <row r="312">
          <cell r="A312" t="str">
            <v>GRS-50x20</v>
          </cell>
          <cell r="B312" t="str">
            <v>GI Reducer  2"  x  3/4"</v>
          </cell>
          <cell r="C312" t="str">
            <v>pc</v>
          </cell>
          <cell r="D312">
            <v>84.524000000000001</v>
          </cell>
          <cell r="E312">
            <v>0.41</v>
          </cell>
        </row>
        <row r="313">
          <cell r="A313" t="str">
            <v>GRS-50x15</v>
          </cell>
          <cell r="B313" t="str">
            <v>GI Reducer  2"  x  1/2"</v>
          </cell>
          <cell r="C313" t="str">
            <v>pc</v>
          </cell>
          <cell r="D313">
            <v>117.91199999999999</v>
          </cell>
          <cell r="E313">
            <v>0.38</v>
          </cell>
        </row>
        <row r="314">
          <cell r="A314" t="str">
            <v>GRS-63x50</v>
          </cell>
          <cell r="B314" t="str">
            <v>GI Reducer  2-1/2"  x 2"</v>
          </cell>
          <cell r="C314" t="str">
            <v>pc</v>
          </cell>
          <cell r="D314">
            <v>72.99799999999999</v>
          </cell>
        </row>
        <row r="315">
          <cell r="A315" t="str">
            <v>GRS-63x40</v>
          </cell>
          <cell r="B315" t="str">
            <v>GI Reducer  2-1/2"  x 1-1/2"</v>
          </cell>
          <cell r="C315" t="str">
            <v>pc</v>
          </cell>
          <cell r="D315">
            <v>76.84</v>
          </cell>
        </row>
        <row r="316">
          <cell r="A316" t="str">
            <v>GRS-63x32</v>
          </cell>
          <cell r="B316" t="str">
            <v>GI Reducer  2-1/2"  x 1-1/4"</v>
          </cell>
          <cell r="C316" t="str">
            <v>pc</v>
          </cell>
          <cell r="D316">
            <v>96.05</v>
          </cell>
        </row>
        <row r="317">
          <cell r="A317" t="str">
            <v>GRS-63x25</v>
          </cell>
          <cell r="B317" t="str">
            <v>GI Reducer  2-1/2"  x 1"</v>
          </cell>
          <cell r="C317" t="str">
            <v>pc</v>
          </cell>
          <cell r="D317">
            <v>82.603000000000009</v>
          </cell>
        </row>
        <row r="318">
          <cell r="A318" t="str">
            <v>GRS-63x20</v>
          </cell>
          <cell r="B318" t="str">
            <v>GI Reducer  2-1/2"  x 3/4"</v>
          </cell>
          <cell r="C318" t="str">
            <v>pc</v>
          </cell>
          <cell r="D318">
            <v>105.655</v>
          </cell>
        </row>
        <row r="319">
          <cell r="A319" t="str">
            <v>GRS-63x15</v>
          </cell>
          <cell r="B319" t="str">
            <v>GI Reducer  2-1/2"  x 1/2"</v>
          </cell>
          <cell r="C319" t="str">
            <v>pc</v>
          </cell>
          <cell r="D319">
            <v>138.31199999999998</v>
          </cell>
        </row>
        <row r="320">
          <cell r="A320" t="str">
            <v>GRS-75x63</v>
          </cell>
          <cell r="B320" t="str">
            <v>GI Reducer  3"  x 2-1/2"</v>
          </cell>
          <cell r="C320" t="str">
            <v>pc</v>
          </cell>
          <cell r="D320">
            <v>395</v>
          </cell>
        </row>
        <row r="321">
          <cell r="A321" t="str">
            <v>GRS-75x50</v>
          </cell>
          <cell r="B321" t="str">
            <v>GI Reducer  3"  x 2"</v>
          </cell>
          <cell r="C321" t="str">
            <v>pc</v>
          </cell>
          <cell r="D321">
            <v>260.01499999999999</v>
          </cell>
          <cell r="E321">
            <v>0.89</v>
          </cell>
        </row>
        <row r="322">
          <cell r="A322" t="str">
            <v>GRS-75x40</v>
          </cell>
          <cell r="B322" t="str">
            <v>GI Reducer  3"  x 1-1/2"</v>
          </cell>
          <cell r="C322" t="str">
            <v>pc</v>
          </cell>
          <cell r="D322">
            <v>243.96699999999998</v>
          </cell>
          <cell r="E322">
            <v>0.89</v>
          </cell>
        </row>
        <row r="323">
          <cell r="A323" t="str">
            <v>GRS-75x32</v>
          </cell>
          <cell r="B323" t="str">
            <v>GI Reducer  3"  x 1-1/4"</v>
          </cell>
          <cell r="C323" t="str">
            <v>pc</v>
          </cell>
          <cell r="D323">
            <v>247.809</v>
          </cell>
        </row>
        <row r="324">
          <cell r="A324" t="str">
            <v>GRS-75x25</v>
          </cell>
          <cell r="B324" t="str">
            <v>GI Reducer  3"  x 1"</v>
          </cell>
          <cell r="C324" t="str">
            <v>pc</v>
          </cell>
          <cell r="D324">
            <v>251.65099999999998</v>
          </cell>
        </row>
        <row r="325">
          <cell r="A325" t="str">
            <v>GRS-75x20</v>
          </cell>
          <cell r="B325" t="str">
            <v>GI Reducer  3"  x 3/4"</v>
          </cell>
          <cell r="C325" t="str">
            <v>pc</v>
          </cell>
          <cell r="D325">
            <v>259.33500000000004</v>
          </cell>
        </row>
        <row r="326">
          <cell r="A326" t="str">
            <v>GRS-75x15</v>
          </cell>
          <cell r="B326" t="str">
            <v>GI Reducer  3"  x  1/2"</v>
          </cell>
          <cell r="C326" t="str">
            <v>pc</v>
          </cell>
          <cell r="D326">
            <v>270.86099999999999</v>
          </cell>
        </row>
        <row r="327">
          <cell r="A327" t="str">
            <v>GUN-15</v>
          </cell>
          <cell r="B327" t="str">
            <v>G.I. Union  1/2"</v>
          </cell>
          <cell r="C327" t="str">
            <v>pc</v>
          </cell>
          <cell r="D327">
            <v>115</v>
          </cell>
          <cell r="E327">
            <v>0.2</v>
          </cell>
        </row>
        <row r="328">
          <cell r="A328" t="str">
            <v>GUN-20</v>
          </cell>
          <cell r="B328" t="str">
            <v>G.I. Union  3/4"</v>
          </cell>
          <cell r="C328" t="str">
            <v>pc</v>
          </cell>
          <cell r="D328">
            <v>165</v>
          </cell>
          <cell r="E328">
            <v>0.2</v>
          </cell>
        </row>
        <row r="329">
          <cell r="A329" t="str">
            <v>GUN-25</v>
          </cell>
          <cell r="B329" t="str">
            <v>G.I. Union  1"</v>
          </cell>
          <cell r="C329" t="str">
            <v>pc</v>
          </cell>
          <cell r="D329">
            <v>220</v>
          </cell>
          <cell r="E329">
            <v>0.35</v>
          </cell>
        </row>
        <row r="330">
          <cell r="A330" t="str">
            <v>GUN-32</v>
          </cell>
          <cell r="B330" t="str">
            <v>G.I. Union  1-1/4"</v>
          </cell>
          <cell r="C330" t="str">
            <v>pc</v>
          </cell>
          <cell r="D330">
            <v>315</v>
          </cell>
          <cell r="E330">
            <v>0.9</v>
          </cell>
        </row>
        <row r="331">
          <cell r="A331" t="str">
            <v>GUN-40</v>
          </cell>
          <cell r="B331" t="str">
            <v>G.I. Union 1-1/2"</v>
          </cell>
          <cell r="C331" t="str">
            <v>pc</v>
          </cell>
          <cell r="D331">
            <v>430</v>
          </cell>
          <cell r="E331">
            <v>0.73</v>
          </cell>
        </row>
        <row r="332">
          <cell r="A332" t="str">
            <v>GUN-50</v>
          </cell>
          <cell r="B332" t="str">
            <v>G.I. Union 2"</v>
          </cell>
          <cell r="C332" t="str">
            <v>pc</v>
          </cell>
          <cell r="D332">
            <v>580</v>
          </cell>
          <cell r="E332">
            <v>1.0900000000000001</v>
          </cell>
        </row>
        <row r="333">
          <cell r="A333" t="str">
            <v>GUN-63</v>
          </cell>
          <cell r="B333" t="str">
            <v>G.I. Union 2-1/2"</v>
          </cell>
          <cell r="C333" t="str">
            <v>pc</v>
          </cell>
          <cell r="D333">
            <v>1090</v>
          </cell>
          <cell r="E333">
            <v>0</v>
          </cell>
        </row>
        <row r="334">
          <cell r="A334" t="str">
            <v>GUN-75</v>
          </cell>
          <cell r="B334" t="str">
            <v>G.I. Union 3"</v>
          </cell>
          <cell r="C334" t="str">
            <v>pc</v>
          </cell>
          <cell r="D334">
            <v>1560</v>
          </cell>
          <cell r="E334">
            <v>0</v>
          </cell>
        </row>
        <row r="335">
          <cell r="A335" t="str">
            <v>GBR-15</v>
          </cell>
          <cell r="B335" t="str">
            <v>G.I. Bracket 1/2"</v>
          </cell>
          <cell r="C335" t="str">
            <v>pc</v>
          </cell>
          <cell r="D335">
            <v>300.19466999999997</v>
          </cell>
          <cell r="E335">
            <v>0.14000000000000001</v>
          </cell>
        </row>
        <row r="336">
          <cell r="A336" t="str">
            <v>GBR-20</v>
          </cell>
          <cell r="B336" t="str">
            <v>G.I. Bracket 3/4"</v>
          </cell>
          <cell r="C336" t="str">
            <v>pc</v>
          </cell>
          <cell r="D336">
            <v>432.22499999999997</v>
          </cell>
          <cell r="E336">
            <v>0</v>
          </cell>
        </row>
        <row r="337">
          <cell r="A337" t="str">
            <v>GBR-25</v>
          </cell>
          <cell r="B337" t="str">
            <v>G.I. Bracket 1"</v>
          </cell>
          <cell r="C337" t="str">
            <v>pc</v>
          </cell>
          <cell r="D337">
            <v>100.98696999999999</v>
          </cell>
          <cell r="E337">
            <v>0.18</v>
          </cell>
        </row>
        <row r="338">
          <cell r="A338" t="str">
            <v>GBR-32</v>
          </cell>
          <cell r="B338" t="str">
            <v>G.I. Bracket 1-1/4"</v>
          </cell>
          <cell r="C338" t="str">
            <v>pc</v>
          </cell>
          <cell r="D338">
            <v>480.25</v>
          </cell>
          <cell r="E338">
            <v>0</v>
          </cell>
        </row>
        <row r="339">
          <cell r="A339" t="str">
            <v>GBR-40</v>
          </cell>
          <cell r="B339" t="str">
            <v>G.I. Bracket 1-1/2"</v>
          </cell>
          <cell r="C339" t="str">
            <v>pc</v>
          </cell>
          <cell r="D339">
            <v>98.777819999999991</v>
          </cell>
          <cell r="E339">
            <v>0.2</v>
          </cell>
        </row>
        <row r="340">
          <cell r="A340" t="str">
            <v>GBR-50</v>
          </cell>
          <cell r="B340" t="str">
            <v>G.I. Bracket 2"</v>
          </cell>
          <cell r="C340" t="str">
            <v>pc</v>
          </cell>
          <cell r="D340">
            <v>86.252899999999983</v>
          </cell>
          <cell r="E340">
            <v>0.21</v>
          </cell>
        </row>
        <row r="341">
          <cell r="A341" t="str">
            <v>GBR-63</v>
          </cell>
          <cell r="B341" t="str">
            <v>G.I. Bracket 2-1/2"</v>
          </cell>
          <cell r="C341" t="str">
            <v>pc</v>
          </cell>
          <cell r="D341">
            <v>30.735999999999997</v>
          </cell>
          <cell r="E341">
            <v>0</v>
          </cell>
        </row>
        <row r="342">
          <cell r="A342" t="str">
            <v>GBR-75</v>
          </cell>
          <cell r="B342" t="str">
            <v>G.I. Bracket 3"</v>
          </cell>
          <cell r="C342" t="str">
            <v>pc</v>
          </cell>
          <cell r="D342">
            <v>34.577999999999996</v>
          </cell>
          <cell r="E342">
            <v>0</v>
          </cell>
        </row>
        <row r="343">
          <cell r="A343" t="str">
            <v>GBN-15</v>
          </cell>
          <cell r="B343" t="str">
            <v>G.I. Back Nut (1/2")</v>
          </cell>
          <cell r="C343" t="str">
            <v>pc</v>
          </cell>
          <cell r="D343">
            <v>48.870239999999995</v>
          </cell>
          <cell r="E343">
            <v>0.16</v>
          </cell>
        </row>
        <row r="344">
          <cell r="A344" t="str">
            <v>GBN-20</v>
          </cell>
          <cell r="B344" t="str">
            <v>G.I. Back Nut (3/4")</v>
          </cell>
          <cell r="C344" t="str">
            <v>pc</v>
          </cell>
          <cell r="D344">
            <v>110.66880999999999</v>
          </cell>
          <cell r="E344">
            <v>0.2</v>
          </cell>
        </row>
        <row r="345">
          <cell r="A345" t="str">
            <v>GBN-25</v>
          </cell>
          <cell r="B345" t="str">
            <v>G.I. Back Nut (1")</v>
          </cell>
          <cell r="C345" t="str">
            <v>pc</v>
          </cell>
          <cell r="D345">
            <v>149.01196999999996</v>
          </cell>
          <cell r="E345">
            <v>0.27</v>
          </cell>
        </row>
        <row r="346">
          <cell r="A346" t="str">
            <v>GBN-32</v>
          </cell>
          <cell r="B346" t="str">
            <v>G.I. Back Nut (1-1/4")</v>
          </cell>
          <cell r="C346" t="str">
            <v>pc</v>
          </cell>
          <cell r="D346">
            <v>271.32204000000002</v>
          </cell>
          <cell r="E346">
            <v>0</v>
          </cell>
        </row>
        <row r="347">
          <cell r="A347" t="str">
            <v>GBN-40</v>
          </cell>
          <cell r="B347" t="str">
            <v>G.I. Back Nut (1-1/2")</v>
          </cell>
          <cell r="C347" t="str">
            <v>pc</v>
          </cell>
          <cell r="D347">
            <v>322.07485999999994</v>
          </cell>
          <cell r="E347">
            <v>0.62</v>
          </cell>
        </row>
        <row r="348">
          <cell r="A348" t="str">
            <v>GBN-50</v>
          </cell>
          <cell r="B348" t="str">
            <v>G.I. Back Nut (2")</v>
          </cell>
          <cell r="C348" t="str">
            <v>pc</v>
          </cell>
          <cell r="D348">
            <v>858.36042999999984</v>
          </cell>
          <cell r="E348">
            <v>0</v>
          </cell>
        </row>
        <row r="349">
          <cell r="A349" t="str">
            <v>GBN-63</v>
          </cell>
          <cell r="B349" t="str">
            <v>G.I. Back Nut (2-1/2")</v>
          </cell>
          <cell r="C349" t="str">
            <v>pc</v>
          </cell>
          <cell r="D349">
            <v>78.760999999999996</v>
          </cell>
          <cell r="E349">
            <v>0</v>
          </cell>
        </row>
        <row r="350">
          <cell r="A350" t="str">
            <v>GBN-75</v>
          </cell>
          <cell r="B350" t="str">
            <v>G.I. Back Nut (3")</v>
          </cell>
          <cell r="C350" t="str">
            <v>pc</v>
          </cell>
          <cell r="D350">
            <v>86.444999999999993</v>
          </cell>
          <cell r="E350">
            <v>0</v>
          </cell>
        </row>
        <row r="351">
          <cell r="A351" t="str">
            <v>GB-63</v>
          </cell>
          <cell r="B351" t="str">
            <v>G.I. Bend dia. 2" (120 Degree)</v>
          </cell>
          <cell r="C351" t="str">
            <v>pc</v>
          </cell>
          <cell r="D351">
            <v>858.36042999999984</v>
          </cell>
        </row>
        <row r="352">
          <cell r="A352" t="str">
            <v>GB-50</v>
          </cell>
          <cell r="B352" t="str">
            <v>G.I. Bend dia. 1½" (120 Degree)</v>
          </cell>
          <cell r="C352" t="str">
            <v>pc</v>
          </cell>
          <cell r="D352">
            <v>78.760999999999996</v>
          </cell>
        </row>
        <row r="353">
          <cell r="A353" t="str">
            <v>GMP-63</v>
          </cell>
          <cell r="B353" t="str">
            <v>G.I. Mouth Piece (2")</v>
          </cell>
          <cell r="C353" t="str">
            <v>pc</v>
          </cell>
          <cell r="D353">
            <v>807.95899999999995</v>
          </cell>
        </row>
        <row r="354">
          <cell r="A354" t="str">
            <v>GTL-25</v>
          </cell>
          <cell r="B354" t="str">
            <v>G.I. Thimbl 25mm</v>
          </cell>
          <cell r="C354" t="str">
            <v>pc</v>
          </cell>
          <cell r="D354">
            <v>170</v>
          </cell>
        </row>
        <row r="355">
          <cell r="A355" t="str">
            <v>GTL-13</v>
          </cell>
          <cell r="B355" t="str">
            <v>G.I. Thimbl 13mm</v>
          </cell>
          <cell r="C355" t="str">
            <v>pc</v>
          </cell>
          <cell r="D355">
            <v>170</v>
          </cell>
        </row>
        <row r="356">
          <cell r="B356" t="str">
            <v>BRASS FITTINGS</v>
          </cell>
        </row>
        <row r="357">
          <cell r="A357" t="str">
            <v>BGAV-15</v>
          </cell>
          <cell r="B357" t="str">
            <v>Gate Valve (1/2")</v>
          </cell>
          <cell r="C357" t="str">
            <v>pc</v>
          </cell>
          <cell r="D357">
            <v>832</v>
          </cell>
          <cell r="E357">
            <v>0.75</v>
          </cell>
        </row>
        <row r="358">
          <cell r="A358" t="str">
            <v>BGAV-20</v>
          </cell>
          <cell r="B358" t="str">
            <v>Gate Valve (3/4")</v>
          </cell>
          <cell r="C358" t="str">
            <v>pc</v>
          </cell>
          <cell r="D358">
            <v>1143</v>
          </cell>
          <cell r="E358">
            <v>1.2</v>
          </cell>
        </row>
        <row r="359">
          <cell r="A359" t="str">
            <v>BGAV-25</v>
          </cell>
          <cell r="B359" t="str">
            <v>Gate Valve (1")</v>
          </cell>
          <cell r="C359" t="str">
            <v>pc</v>
          </cell>
          <cell r="D359">
            <v>1744</v>
          </cell>
          <cell r="E359">
            <v>1.67</v>
          </cell>
        </row>
        <row r="360">
          <cell r="A360" t="str">
            <v>BGAV-32</v>
          </cell>
          <cell r="B360" t="str">
            <v>Gate Valve (1-1/4")</v>
          </cell>
          <cell r="C360" t="str">
            <v>pc</v>
          </cell>
          <cell r="D360">
            <v>2624</v>
          </cell>
          <cell r="E360">
            <v>1.8</v>
          </cell>
        </row>
        <row r="361">
          <cell r="A361" t="str">
            <v>BGAV-40</v>
          </cell>
          <cell r="B361" t="str">
            <v>Gate Valve (1-1/2")</v>
          </cell>
          <cell r="C361" t="str">
            <v>pc</v>
          </cell>
          <cell r="D361">
            <v>3537</v>
          </cell>
          <cell r="E361">
            <v>1.9</v>
          </cell>
        </row>
        <row r="362">
          <cell r="A362" t="str">
            <v>BGAV-50</v>
          </cell>
          <cell r="B362" t="str">
            <v>Gate Valve (2")</v>
          </cell>
          <cell r="C362" t="str">
            <v>pc</v>
          </cell>
          <cell r="D362">
            <v>5500</v>
          </cell>
          <cell r="E362">
            <v>2.7</v>
          </cell>
        </row>
        <row r="363">
          <cell r="A363" t="str">
            <v>BGAV-63</v>
          </cell>
          <cell r="B363" t="str">
            <v>Gate Valve (2-1/2")</v>
          </cell>
          <cell r="C363" t="str">
            <v>pc</v>
          </cell>
          <cell r="D363">
            <v>7299.8</v>
          </cell>
          <cell r="E363">
            <v>0</v>
          </cell>
        </row>
        <row r="364">
          <cell r="A364" t="str">
            <v>BGAV-75</v>
          </cell>
          <cell r="B364" t="str">
            <v>Gate Valve (3")</v>
          </cell>
          <cell r="C364" t="str">
            <v>pc</v>
          </cell>
          <cell r="D364">
            <v>20400.001869999996</v>
          </cell>
          <cell r="E364">
            <v>0</v>
          </cell>
        </row>
        <row r="365">
          <cell r="A365" t="str">
            <v>BGLV-15</v>
          </cell>
          <cell r="B365" t="str">
            <v>Glove Valve (1/2")</v>
          </cell>
          <cell r="C365" t="str">
            <v>pc</v>
          </cell>
          <cell r="D365">
            <v>742</v>
          </cell>
          <cell r="E365">
            <v>0.46</v>
          </cell>
        </row>
        <row r="366">
          <cell r="A366" t="str">
            <v>BGLV-20</v>
          </cell>
          <cell r="B366" t="str">
            <v>Glove Valve (3/4")</v>
          </cell>
          <cell r="C366" t="str">
            <v>pc</v>
          </cell>
          <cell r="D366">
            <v>1262</v>
          </cell>
          <cell r="E366">
            <v>0</v>
          </cell>
        </row>
        <row r="367">
          <cell r="A367" t="str">
            <v>BGLV-25</v>
          </cell>
          <cell r="B367" t="str">
            <v>Glove Valve (1")</v>
          </cell>
          <cell r="C367" t="str">
            <v>pc</v>
          </cell>
          <cell r="D367">
            <v>1762</v>
          </cell>
          <cell r="E367">
            <v>0.96</v>
          </cell>
        </row>
        <row r="368">
          <cell r="A368" t="str">
            <v>BGLV-32</v>
          </cell>
          <cell r="B368" t="str">
            <v>Glove Valve (1-1/4")</v>
          </cell>
          <cell r="C368" t="str">
            <v>pc</v>
          </cell>
          <cell r="D368">
            <v>3564</v>
          </cell>
          <cell r="E368">
            <v>0</v>
          </cell>
        </row>
        <row r="369">
          <cell r="A369" t="str">
            <v>BGLV-40</v>
          </cell>
          <cell r="B369" t="str">
            <v>Glove Valve (1-1/2")</v>
          </cell>
          <cell r="C369" t="str">
            <v>pc</v>
          </cell>
          <cell r="D369">
            <v>4520</v>
          </cell>
          <cell r="E369">
            <v>2.15</v>
          </cell>
        </row>
        <row r="370">
          <cell r="A370" t="str">
            <v>BGLV-50</v>
          </cell>
          <cell r="B370" t="str">
            <v>Glove Valve (2")</v>
          </cell>
          <cell r="C370" t="str">
            <v>pc</v>
          </cell>
          <cell r="D370">
            <v>6304</v>
          </cell>
          <cell r="E370">
            <v>0</v>
          </cell>
        </row>
        <row r="371">
          <cell r="A371" t="str">
            <v>BGLV-63</v>
          </cell>
          <cell r="B371" t="str">
            <v>Glove Valve (2-1/2")</v>
          </cell>
          <cell r="C371" t="str">
            <v>pc</v>
          </cell>
          <cell r="D371">
            <v>2017.05</v>
          </cell>
          <cell r="E371">
            <v>0</v>
          </cell>
        </row>
        <row r="372">
          <cell r="A372" t="str">
            <v>BGLV-75</v>
          </cell>
          <cell r="B372" t="str">
            <v>Glove Valve (3")</v>
          </cell>
          <cell r="C372" t="str">
            <v>pc</v>
          </cell>
          <cell r="D372">
            <v>2689.4</v>
          </cell>
          <cell r="E372">
            <v>0</v>
          </cell>
        </row>
        <row r="373">
          <cell r="A373" t="str">
            <v>BFLV-15</v>
          </cell>
          <cell r="B373" t="str">
            <v>Float Valve (1/2")</v>
          </cell>
          <cell r="C373" t="str">
            <v>pc</v>
          </cell>
          <cell r="D373">
            <v>1300</v>
          </cell>
          <cell r="E373">
            <v>1.4</v>
          </cell>
        </row>
        <row r="374">
          <cell r="A374" t="str">
            <v>BFLV-20</v>
          </cell>
          <cell r="B374" t="str">
            <v>Float Valve (3/4")</v>
          </cell>
          <cell r="C374" t="str">
            <v>pc</v>
          </cell>
          <cell r="D374">
            <v>1800</v>
          </cell>
          <cell r="E374">
            <v>0</v>
          </cell>
        </row>
        <row r="375">
          <cell r="A375" t="str">
            <v>BFLV-25</v>
          </cell>
          <cell r="B375" t="str">
            <v>Float Valve (1")</v>
          </cell>
          <cell r="C375" t="str">
            <v>pc</v>
          </cell>
          <cell r="D375">
            <v>3200</v>
          </cell>
          <cell r="E375">
            <v>1.67</v>
          </cell>
        </row>
        <row r="376">
          <cell r="A376" t="str">
            <v>BFLV-32</v>
          </cell>
          <cell r="B376" t="str">
            <v>Float Valve (1-1/4")</v>
          </cell>
          <cell r="C376" t="str">
            <v>pc</v>
          </cell>
          <cell r="D376">
            <v>7000</v>
          </cell>
          <cell r="E376">
            <v>0</v>
          </cell>
        </row>
        <row r="377">
          <cell r="A377" t="str">
            <v>BFLV-40</v>
          </cell>
          <cell r="B377" t="str">
            <v>Float Valve (1-1/2")</v>
          </cell>
          <cell r="C377" t="str">
            <v>pc</v>
          </cell>
          <cell r="D377">
            <v>8500</v>
          </cell>
          <cell r="E377">
            <v>2</v>
          </cell>
        </row>
        <row r="378">
          <cell r="A378" t="str">
            <v>BFLV-50</v>
          </cell>
          <cell r="B378" t="str">
            <v>Float Valve (2")</v>
          </cell>
          <cell r="C378" t="str">
            <v>pc</v>
          </cell>
          <cell r="D378">
            <v>11000</v>
          </cell>
          <cell r="E378">
            <v>0</v>
          </cell>
        </row>
        <row r="379">
          <cell r="A379" t="str">
            <v>BFLV-63</v>
          </cell>
          <cell r="B379" t="str">
            <v>Float Valve (2-1/2")</v>
          </cell>
          <cell r="C379" t="str">
            <v>pc</v>
          </cell>
          <cell r="D379">
            <v>7876.0999999999995</v>
          </cell>
          <cell r="E379">
            <v>2</v>
          </cell>
        </row>
        <row r="380">
          <cell r="A380" t="str">
            <v>BFLV-75</v>
          </cell>
          <cell r="B380" t="str">
            <v>Float Valve (3")</v>
          </cell>
          <cell r="C380" t="str">
            <v>pc</v>
          </cell>
          <cell r="D380">
            <v>7820</v>
          </cell>
        </row>
        <row r="381">
          <cell r="A381" t="str">
            <v>BFLVC-32</v>
          </cell>
          <cell r="B381" t="str">
            <v>Float Valve Cage</v>
          </cell>
          <cell r="C381" t="str">
            <v>pc</v>
          </cell>
          <cell r="D381">
            <v>340</v>
          </cell>
        </row>
        <row r="382">
          <cell r="A382" t="str">
            <v>BRT-15</v>
          </cell>
          <cell r="B382" t="str">
            <v>Regulating Tee (1/2")</v>
          </cell>
          <cell r="C382" t="str">
            <v>pc</v>
          </cell>
          <cell r="D382">
            <v>1010.395</v>
          </cell>
          <cell r="E382">
            <v>0.4</v>
          </cell>
        </row>
        <row r="383">
          <cell r="A383" t="str">
            <v>AV-15</v>
          </cell>
          <cell r="B383" t="str">
            <v>Air Valve (1/2")</v>
          </cell>
          <cell r="C383" t="str">
            <v>pc</v>
          </cell>
          <cell r="D383">
            <v>2460</v>
          </cell>
          <cell r="E383">
            <v>1</v>
          </cell>
        </row>
        <row r="384">
          <cell r="A384" t="str">
            <v>AV-20</v>
          </cell>
          <cell r="B384" t="str">
            <v>Air Valve (3/4")</v>
          </cell>
          <cell r="C384" t="str">
            <v>pc</v>
          </cell>
          <cell r="D384">
            <v>3135</v>
          </cell>
          <cell r="E384">
            <v>1.08</v>
          </cell>
        </row>
        <row r="385">
          <cell r="A385" t="str">
            <v>AV-20c</v>
          </cell>
          <cell r="B385" t="str">
            <v>Air Valve (3/4") Cast Iron</v>
          </cell>
          <cell r="C385" t="str">
            <v>pc</v>
          </cell>
          <cell r="D385">
            <v>624.32499999999993</v>
          </cell>
          <cell r="E385">
            <v>1</v>
          </cell>
        </row>
        <row r="386">
          <cell r="B386" t="str">
            <v>GI/HDPE CONNECTORS</v>
          </cell>
        </row>
        <row r="387">
          <cell r="A387" t="str">
            <v>GHF-20</v>
          </cell>
          <cell r="B387" t="str">
            <v>GI/HDPE Flange (20mm x 1/2")</v>
          </cell>
          <cell r="C387" t="str">
            <v>pc</v>
          </cell>
          <cell r="D387">
            <v>780</v>
          </cell>
          <cell r="E387">
            <v>0</v>
          </cell>
        </row>
        <row r="388">
          <cell r="A388" t="str">
            <v>GHF-25</v>
          </cell>
          <cell r="B388" t="str">
            <v>GI/HDPE Flange (25mm x 3/4")</v>
          </cell>
          <cell r="C388" t="str">
            <v>pc</v>
          </cell>
          <cell r="D388">
            <v>925</v>
          </cell>
          <cell r="E388">
            <v>0</v>
          </cell>
        </row>
        <row r="389">
          <cell r="A389" t="str">
            <v>GHF-32</v>
          </cell>
          <cell r="B389" t="str">
            <v>GI/HDPE Flange (32mm x 1")</v>
          </cell>
          <cell r="C389" t="str">
            <v>pc</v>
          </cell>
          <cell r="D389">
            <v>1025</v>
          </cell>
          <cell r="E389">
            <v>0</v>
          </cell>
        </row>
        <row r="390">
          <cell r="A390" t="str">
            <v>GHF-40</v>
          </cell>
          <cell r="B390" t="str">
            <v>GI/HDPE Flange (40mm x 1-1/4")</v>
          </cell>
          <cell r="C390" t="str">
            <v>pc</v>
          </cell>
          <cell r="D390">
            <v>1205</v>
          </cell>
          <cell r="E390">
            <v>2</v>
          </cell>
        </row>
        <row r="391">
          <cell r="A391" t="str">
            <v>GHF-50</v>
          </cell>
          <cell r="B391" t="str">
            <v>GI/HDPE Flange (50mm x 1-1/2")</v>
          </cell>
          <cell r="C391" t="str">
            <v>pc</v>
          </cell>
          <cell r="D391">
            <v>1500</v>
          </cell>
          <cell r="E391">
            <v>2.2000000000000002</v>
          </cell>
        </row>
        <row r="392">
          <cell r="A392" t="str">
            <v>GHF-63</v>
          </cell>
          <cell r="B392" t="str">
            <v>GI/HDPE Flange (63mm x 2")</v>
          </cell>
          <cell r="C392" t="str">
            <v>pc</v>
          </cell>
          <cell r="D392">
            <v>1800</v>
          </cell>
          <cell r="E392">
            <v>2.4</v>
          </cell>
        </row>
        <row r="393">
          <cell r="A393" t="str">
            <v>GHF-75</v>
          </cell>
          <cell r="B393" t="str">
            <v>GI/HDPE Flange (75mm x 2-1/2")</v>
          </cell>
          <cell r="C393" t="str">
            <v>pc</v>
          </cell>
          <cell r="D393">
            <v>2050</v>
          </cell>
          <cell r="E393">
            <v>0</v>
          </cell>
        </row>
        <row r="394">
          <cell r="A394" t="str">
            <v>GHF-90</v>
          </cell>
          <cell r="B394" t="str">
            <v>GI/HDPE Flange (90mm x 3")</v>
          </cell>
          <cell r="C394" t="str">
            <v>pc</v>
          </cell>
          <cell r="D394">
            <v>2800</v>
          </cell>
          <cell r="E394">
            <v>3.2</v>
          </cell>
        </row>
        <row r="395">
          <cell r="A395" t="str">
            <v>BU-20</v>
          </cell>
          <cell r="B395" t="str">
            <v>Brass Union  (20mm x 1/2")</v>
          </cell>
          <cell r="C395" t="str">
            <v>pc</v>
          </cell>
          <cell r="D395">
            <v>180</v>
          </cell>
          <cell r="E395">
            <v>0.09</v>
          </cell>
        </row>
        <row r="396">
          <cell r="A396" t="str">
            <v>BU-25</v>
          </cell>
          <cell r="B396" t="str">
            <v>Brass Union  (25mm x 3/4")</v>
          </cell>
          <cell r="C396" t="str">
            <v>pc</v>
          </cell>
          <cell r="D396">
            <v>383</v>
          </cell>
          <cell r="E396">
            <v>0.15</v>
          </cell>
        </row>
        <row r="397">
          <cell r="A397" t="str">
            <v>BU-32</v>
          </cell>
          <cell r="B397" t="str">
            <v>Brass Union  (32mm x 1")</v>
          </cell>
          <cell r="C397" t="str">
            <v>pc</v>
          </cell>
          <cell r="D397">
            <v>474</v>
          </cell>
          <cell r="E397">
            <v>0.22</v>
          </cell>
        </row>
        <row r="398">
          <cell r="A398" t="str">
            <v>BU-40</v>
          </cell>
          <cell r="B398" t="str">
            <v>Brass Union  (40mm x 1-1/4")</v>
          </cell>
          <cell r="C398" t="str">
            <v>pc</v>
          </cell>
          <cell r="D398">
            <v>670</v>
          </cell>
          <cell r="E398">
            <v>0.37</v>
          </cell>
        </row>
        <row r="399">
          <cell r="A399" t="str">
            <v>BU-50</v>
          </cell>
          <cell r="B399" t="str">
            <v>Brass Union  (50mm x 1-1/2")</v>
          </cell>
          <cell r="C399" t="str">
            <v>pc</v>
          </cell>
          <cell r="D399">
            <v>966</v>
          </cell>
          <cell r="E399">
            <v>0.56000000000000005</v>
          </cell>
        </row>
        <row r="400">
          <cell r="A400" t="str">
            <v>BU-63</v>
          </cell>
          <cell r="B400" t="str">
            <v>Brass Union  (63mm x 2")</v>
          </cell>
          <cell r="C400" t="str">
            <v>pc</v>
          </cell>
          <cell r="D400">
            <v>1665</v>
          </cell>
          <cell r="E400">
            <v>0.68</v>
          </cell>
        </row>
        <row r="401">
          <cell r="A401" t="str">
            <v>BU-75</v>
          </cell>
          <cell r="B401" t="str">
            <v>Brass Union  (75mm x 2-1/2")</v>
          </cell>
          <cell r="C401" t="str">
            <v>pc</v>
          </cell>
          <cell r="D401">
            <v>3500</v>
          </cell>
          <cell r="E401">
            <v>0</v>
          </cell>
        </row>
        <row r="402">
          <cell r="A402" t="str">
            <v>BU-90</v>
          </cell>
          <cell r="B402" t="str">
            <v>Brass Union  (90mm x 3")</v>
          </cell>
          <cell r="C402" t="str">
            <v>pc</v>
          </cell>
          <cell r="D402">
            <v>5750</v>
          </cell>
          <cell r="E402">
            <v>0</v>
          </cell>
        </row>
        <row r="403">
          <cell r="B403" t="str">
            <v>PVC FITTINGS</v>
          </cell>
        </row>
        <row r="404">
          <cell r="A404" t="str">
            <v>PSO-20</v>
          </cell>
          <cell r="B404" t="str">
            <v>PVC Socket (20mm)</v>
          </cell>
          <cell r="C404" t="str">
            <v>pc</v>
          </cell>
          <cell r="E404">
            <v>0.02</v>
          </cell>
        </row>
        <row r="405">
          <cell r="A405" t="str">
            <v>PSO-25</v>
          </cell>
          <cell r="B405" t="str">
            <v>PVC Socket (25mm)</v>
          </cell>
          <cell r="C405" t="str">
            <v>pc</v>
          </cell>
          <cell r="E405">
            <v>0.04</v>
          </cell>
        </row>
        <row r="406">
          <cell r="A406" t="str">
            <v>PSO-32</v>
          </cell>
          <cell r="B406" t="str">
            <v>PVC Socket (32mm)</v>
          </cell>
          <cell r="C406" t="str">
            <v>pc</v>
          </cell>
          <cell r="E406">
            <v>0.04</v>
          </cell>
        </row>
        <row r="407">
          <cell r="A407" t="str">
            <v>PSO-40</v>
          </cell>
          <cell r="B407" t="str">
            <v>PVC Socket (40mm)</v>
          </cell>
          <cell r="C407" t="str">
            <v>pc</v>
          </cell>
        </row>
        <row r="408">
          <cell r="A408" t="str">
            <v>PSO-50</v>
          </cell>
          <cell r="B408" t="str">
            <v>PVC Socket (50mm)</v>
          </cell>
          <cell r="C408" t="str">
            <v>pc</v>
          </cell>
          <cell r="E408">
            <v>0.09</v>
          </cell>
        </row>
        <row r="409">
          <cell r="A409" t="str">
            <v>PSO-63</v>
          </cell>
          <cell r="B409" t="str">
            <v>PVC Socket (63mm)</v>
          </cell>
          <cell r="C409" t="str">
            <v>pc</v>
          </cell>
        </row>
        <row r="410">
          <cell r="A410" t="str">
            <v>PSO-75</v>
          </cell>
          <cell r="B410" t="str">
            <v>PVC Socket (75mm)</v>
          </cell>
          <cell r="C410" t="str">
            <v>pc</v>
          </cell>
        </row>
        <row r="411">
          <cell r="A411" t="str">
            <v>PSO-90</v>
          </cell>
          <cell r="B411" t="str">
            <v>PVC Socket (90mm)</v>
          </cell>
          <cell r="C411" t="str">
            <v>pc</v>
          </cell>
        </row>
        <row r="412">
          <cell r="A412" t="str">
            <v>PBN-20</v>
          </cell>
          <cell r="B412" t="str">
            <v>PVC Back Nut (20mm)</v>
          </cell>
          <cell r="C412" t="str">
            <v>pc</v>
          </cell>
        </row>
        <row r="413">
          <cell r="A413" t="str">
            <v>PBN-25</v>
          </cell>
          <cell r="B413" t="str">
            <v>PVC Back Nut (25mm)</v>
          </cell>
          <cell r="C413" t="str">
            <v>pc</v>
          </cell>
        </row>
        <row r="414">
          <cell r="A414" t="str">
            <v>PBN-32</v>
          </cell>
          <cell r="B414" t="str">
            <v>PVC Back Nut (32mm)</v>
          </cell>
          <cell r="C414" t="str">
            <v>pc</v>
          </cell>
        </row>
        <row r="415">
          <cell r="A415" t="str">
            <v>PBN-40</v>
          </cell>
          <cell r="B415" t="str">
            <v>PVC Back Nut (40mm)</v>
          </cell>
          <cell r="C415" t="str">
            <v>pc</v>
          </cell>
        </row>
        <row r="416">
          <cell r="A416" t="str">
            <v>PBN-50</v>
          </cell>
          <cell r="B416" t="str">
            <v>PVC Back Nut (50mm)</v>
          </cell>
          <cell r="C416" t="str">
            <v>pc</v>
          </cell>
        </row>
        <row r="417">
          <cell r="A417" t="str">
            <v>PBN-63</v>
          </cell>
          <cell r="B417" t="str">
            <v>PVC Back Nut (63mm)</v>
          </cell>
          <cell r="C417" t="str">
            <v>pc</v>
          </cell>
        </row>
        <row r="418">
          <cell r="A418" t="str">
            <v>PBN-75</v>
          </cell>
          <cell r="B418" t="str">
            <v>PVC Back Nut (75mm)</v>
          </cell>
          <cell r="C418" t="str">
            <v>pc</v>
          </cell>
        </row>
        <row r="419">
          <cell r="A419" t="str">
            <v>PBN-90</v>
          </cell>
          <cell r="B419" t="str">
            <v>PVC Back Nut (90mm)</v>
          </cell>
          <cell r="C419" t="str">
            <v>pc</v>
          </cell>
        </row>
        <row r="420">
          <cell r="A420" t="str">
            <v>RW-20</v>
          </cell>
          <cell r="B420" t="str">
            <v>Rubber Washer (20mm)</v>
          </cell>
          <cell r="C420" t="str">
            <v>pc</v>
          </cell>
        </row>
        <row r="421">
          <cell r="A421" t="str">
            <v>RW-25</v>
          </cell>
          <cell r="B421" t="str">
            <v>Rubber Washer (25mm)</v>
          </cell>
          <cell r="C421" t="str">
            <v>pc</v>
          </cell>
        </row>
        <row r="422">
          <cell r="A422" t="str">
            <v>RW-32</v>
          </cell>
          <cell r="B422" t="str">
            <v>Rubber Washer (32mm)</v>
          </cell>
          <cell r="C422" t="str">
            <v>pc</v>
          </cell>
        </row>
        <row r="423">
          <cell r="A423" t="str">
            <v>RW-40</v>
          </cell>
          <cell r="B423" t="str">
            <v>Rubber Washer (40mm)</v>
          </cell>
          <cell r="C423" t="str">
            <v>pc</v>
          </cell>
        </row>
        <row r="424">
          <cell r="A424" t="str">
            <v>RW-50</v>
          </cell>
          <cell r="B424" t="str">
            <v>Rubber Washer (50mm)</v>
          </cell>
          <cell r="C424" t="str">
            <v>pc</v>
          </cell>
        </row>
        <row r="425">
          <cell r="A425" t="str">
            <v>RW-63</v>
          </cell>
          <cell r="B425" t="str">
            <v>Rubber Washer (63mm)</v>
          </cell>
          <cell r="C425" t="str">
            <v>pc</v>
          </cell>
        </row>
        <row r="426">
          <cell r="A426" t="str">
            <v>RW-75</v>
          </cell>
          <cell r="B426" t="str">
            <v>Rubber Washer (75mm)</v>
          </cell>
          <cell r="C426" t="str">
            <v>pc</v>
          </cell>
        </row>
        <row r="427">
          <cell r="A427" t="str">
            <v>RW-90</v>
          </cell>
          <cell r="B427" t="str">
            <v>Rubber Washer (90mm)</v>
          </cell>
          <cell r="C427" t="str">
            <v>pc</v>
          </cell>
        </row>
        <row r="428">
          <cell r="A428" t="str">
            <v>PNI-20FT</v>
          </cell>
          <cell r="B428" t="str">
            <v>PVC Nipple  Full Threaded (20mm)</v>
          </cell>
          <cell r="C428" t="str">
            <v>pc</v>
          </cell>
        </row>
        <row r="429">
          <cell r="A429" t="str">
            <v>PNI-25FT</v>
          </cell>
          <cell r="B429" t="str">
            <v>PVC Nipple  Full Threaded (25mm)</v>
          </cell>
          <cell r="C429" t="str">
            <v>pc</v>
          </cell>
        </row>
        <row r="430">
          <cell r="A430" t="str">
            <v>PNI-32FT</v>
          </cell>
          <cell r="B430" t="str">
            <v>PVC Nipple  Full Threaded (32mm)</v>
          </cell>
          <cell r="C430" t="str">
            <v>pc</v>
          </cell>
        </row>
        <row r="431">
          <cell r="A431" t="str">
            <v>PNI-40FT</v>
          </cell>
          <cell r="B431" t="str">
            <v>PVC Nipple  Full Threaded (40mm)</v>
          </cell>
          <cell r="C431" t="str">
            <v>pc</v>
          </cell>
        </row>
        <row r="432">
          <cell r="A432" t="str">
            <v>PNI-50FT</v>
          </cell>
          <cell r="B432" t="str">
            <v>PVC Nipple  Full Threaded (50mm)</v>
          </cell>
          <cell r="C432" t="str">
            <v>pc</v>
          </cell>
        </row>
        <row r="433">
          <cell r="A433" t="str">
            <v>PNI-63FT</v>
          </cell>
          <cell r="B433" t="str">
            <v>PVC Nipple  Full Threaded (63mm)</v>
          </cell>
          <cell r="C433" t="str">
            <v>pc</v>
          </cell>
        </row>
        <row r="434">
          <cell r="A434" t="str">
            <v>PNI-75FT</v>
          </cell>
          <cell r="B434" t="str">
            <v>PVC Nipple  Full Threaded (75mm)</v>
          </cell>
          <cell r="C434" t="str">
            <v>pc</v>
          </cell>
        </row>
        <row r="435">
          <cell r="A435" t="str">
            <v>PNI-90FT</v>
          </cell>
          <cell r="B435" t="str">
            <v>PVC Nipple  Full Threaded (90mm)</v>
          </cell>
          <cell r="C435" t="str">
            <v>pc</v>
          </cell>
        </row>
        <row r="436">
          <cell r="A436" t="str">
            <v>PNI-20</v>
          </cell>
          <cell r="B436" t="str">
            <v>PVC Nipple (20mm)</v>
          </cell>
          <cell r="C436" t="str">
            <v>pc</v>
          </cell>
          <cell r="E436">
            <v>0.03</v>
          </cell>
        </row>
        <row r="437">
          <cell r="A437" t="str">
            <v>PNI-25</v>
          </cell>
          <cell r="B437" t="str">
            <v>PVC Nipple (25mm)</v>
          </cell>
          <cell r="C437" t="str">
            <v>pc</v>
          </cell>
        </row>
        <row r="438">
          <cell r="A438" t="str">
            <v>PNI-32</v>
          </cell>
          <cell r="B438" t="str">
            <v>PVC Nipple (32mm)</v>
          </cell>
          <cell r="C438" t="str">
            <v>pc</v>
          </cell>
          <cell r="E438">
            <v>0.06</v>
          </cell>
        </row>
        <row r="439">
          <cell r="A439" t="str">
            <v>PNI-40</v>
          </cell>
          <cell r="B439" t="str">
            <v>PVC Nipple (40mm)</v>
          </cell>
          <cell r="C439" t="str">
            <v>pc</v>
          </cell>
        </row>
        <row r="440">
          <cell r="A440" t="str">
            <v>PNI-50</v>
          </cell>
          <cell r="B440" t="str">
            <v>PVC Nipple (50mm)</v>
          </cell>
          <cell r="C440" t="str">
            <v>pc</v>
          </cell>
          <cell r="E440">
            <v>0.1</v>
          </cell>
        </row>
        <row r="441">
          <cell r="A441" t="str">
            <v>PNI-63</v>
          </cell>
          <cell r="B441" t="str">
            <v>PVC Nipple (63mm)</v>
          </cell>
          <cell r="C441" t="str">
            <v>pc</v>
          </cell>
          <cell r="E441">
            <v>0.12</v>
          </cell>
        </row>
        <row r="442">
          <cell r="A442" t="str">
            <v>PNI-75</v>
          </cell>
          <cell r="B442" t="str">
            <v>PVC Nipple (75mm)</v>
          </cell>
          <cell r="C442" t="str">
            <v>pc</v>
          </cell>
        </row>
        <row r="443">
          <cell r="A443" t="str">
            <v>PNI-90</v>
          </cell>
          <cell r="B443" t="str">
            <v>PVC Nipple (90mm)</v>
          </cell>
          <cell r="C443" t="str">
            <v>pc</v>
          </cell>
        </row>
        <row r="444">
          <cell r="A444" t="str">
            <v>PNI25-20</v>
          </cell>
          <cell r="B444" t="str">
            <v>PVC Nipple 25cm long (20mm)</v>
          </cell>
          <cell r="C444" t="str">
            <v>pc</v>
          </cell>
        </row>
        <row r="445">
          <cell r="A445" t="str">
            <v>PNI25-25</v>
          </cell>
          <cell r="B445" t="str">
            <v>PVC Nipple 25cm long (25mm)</v>
          </cell>
          <cell r="C445" t="str">
            <v>pc</v>
          </cell>
        </row>
        <row r="446">
          <cell r="A446" t="str">
            <v>PNI25-32</v>
          </cell>
          <cell r="B446" t="str">
            <v>PVC Nipple 25cm long (32mm)</v>
          </cell>
          <cell r="C446" t="str">
            <v>pc</v>
          </cell>
        </row>
        <row r="447">
          <cell r="A447" t="str">
            <v>PNI25-40</v>
          </cell>
          <cell r="B447" t="str">
            <v>PVC Nipple 25cm long (40mm)</v>
          </cell>
          <cell r="C447" t="str">
            <v>pc</v>
          </cell>
        </row>
        <row r="448">
          <cell r="A448" t="str">
            <v>PNI25-50</v>
          </cell>
          <cell r="B448" t="str">
            <v>PVC Nipple 25cm long (50mm)</v>
          </cell>
          <cell r="C448" t="str">
            <v>pc</v>
          </cell>
        </row>
        <row r="449">
          <cell r="A449" t="str">
            <v>PNI25-63</v>
          </cell>
          <cell r="B449" t="str">
            <v>PVC Nipple 25cm long (63mm)</v>
          </cell>
          <cell r="C449" t="str">
            <v>pc</v>
          </cell>
        </row>
        <row r="450">
          <cell r="A450" t="str">
            <v>PNI25-75</v>
          </cell>
          <cell r="B450" t="str">
            <v>PVC Nipple 25cm long (75mm)</v>
          </cell>
          <cell r="C450" t="str">
            <v>pc</v>
          </cell>
        </row>
        <row r="451">
          <cell r="A451" t="str">
            <v>PNI25-90</v>
          </cell>
          <cell r="B451" t="str">
            <v>PVC Nipple 25cm long (90mm)</v>
          </cell>
          <cell r="C451" t="str">
            <v>pc</v>
          </cell>
        </row>
        <row r="452">
          <cell r="A452" t="str">
            <v>PEC-20</v>
          </cell>
          <cell r="B452" t="str">
            <v>PVC End Cap (20mm)</v>
          </cell>
          <cell r="C452" t="str">
            <v>pc</v>
          </cell>
        </row>
        <row r="453">
          <cell r="A453" t="str">
            <v>PEC-25</v>
          </cell>
          <cell r="B453" t="str">
            <v>PVC End Cap (25mm)</v>
          </cell>
          <cell r="C453" t="str">
            <v>pc</v>
          </cell>
        </row>
        <row r="454">
          <cell r="A454" t="str">
            <v>PEC-32</v>
          </cell>
          <cell r="B454" t="str">
            <v>PVC End Cap (32mm)</v>
          </cell>
          <cell r="C454" t="str">
            <v>pc</v>
          </cell>
          <cell r="E454">
            <v>0.02</v>
          </cell>
        </row>
        <row r="455">
          <cell r="A455" t="str">
            <v>PEC-40</v>
          </cell>
          <cell r="B455" t="str">
            <v>PVC End Cap (40mm)</v>
          </cell>
          <cell r="C455" t="str">
            <v>pc</v>
          </cell>
        </row>
        <row r="456">
          <cell r="A456" t="str">
            <v>PEC-50</v>
          </cell>
          <cell r="B456" t="str">
            <v>PVC End Cap (50mm)</v>
          </cell>
          <cell r="C456" t="str">
            <v>pc</v>
          </cell>
          <cell r="E456">
            <v>0.05</v>
          </cell>
        </row>
        <row r="457">
          <cell r="A457" t="str">
            <v>PEC-63</v>
          </cell>
          <cell r="B457" t="str">
            <v>PVC End Cap (63mm)</v>
          </cell>
          <cell r="C457" t="str">
            <v>pc</v>
          </cell>
          <cell r="E457">
            <v>7.0000000000000007E-2</v>
          </cell>
        </row>
        <row r="458">
          <cell r="A458" t="str">
            <v>PEC-75</v>
          </cell>
          <cell r="B458" t="str">
            <v>PVC End Cap (75mm)</v>
          </cell>
          <cell r="C458" t="str">
            <v>pc</v>
          </cell>
        </row>
        <row r="459">
          <cell r="A459" t="str">
            <v>PEC-90</v>
          </cell>
          <cell r="B459" t="str">
            <v>PVC End Cap (90mm)</v>
          </cell>
          <cell r="C459" t="str">
            <v>pc</v>
          </cell>
        </row>
        <row r="460">
          <cell r="A460" t="str">
            <v>PGAV-20</v>
          </cell>
          <cell r="B460" t="str">
            <v>PVC Gate Valve (20mm)</v>
          </cell>
          <cell r="C460" t="str">
            <v>pc</v>
          </cell>
        </row>
        <row r="461">
          <cell r="A461" t="str">
            <v>PGAV-25</v>
          </cell>
          <cell r="B461" t="str">
            <v>PVC Gate Valve (25mm)</v>
          </cell>
          <cell r="C461" t="str">
            <v>pc</v>
          </cell>
        </row>
        <row r="462">
          <cell r="A462" t="str">
            <v>PGAV-32</v>
          </cell>
          <cell r="B462" t="str">
            <v>PVC Gate Valve (32mm)</v>
          </cell>
          <cell r="C462" t="str">
            <v>pc</v>
          </cell>
          <cell r="E462">
            <v>0.26</v>
          </cell>
        </row>
        <row r="463">
          <cell r="A463" t="str">
            <v>PGAV-40</v>
          </cell>
          <cell r="B463" t="str">
            <v>PVC Gate Valve (40mm)</v>
          </cell>
          <cell r="C463" t="str">
            <v>pc</v>
          </cell>
        </row>
        <row r="464">
          <cell r="A464" t="str">
            <v>PGAV-50</v>
          </cell>
          <cell r="B464" t="str">
            <v>PVC Gate Valve (50mm)</v>
          </cell>
          <cell r="C464" t="str">
            <v>pc</v>
          </cell>
          <cell r="E464">
            <v>0.66</v>
          </cell>
        </row>
        <row r="465">
          <cell r="A465" t="str">
            <v>PGAV-63</v>
          </cell>
          <cell r="B465" t="str">
            <v>PVC Gate Valve (63mm)</v>
          </cell>
          <cell r="C465" t="str">
            <v>pc</v>
          </cell>
          <cell r="E465">
            <v>1.18</v>
          </cell>
        </row>
        <row r="466">
          <cell r="A466" t="str">
            <v>PGAV-75</v>
          </cell>
          <cell r="B466" t="str">
            <v>PVC Gate Valve (75mm)</v>
          </cell>
          <cell r="C466" t="str">
            <v>pc</v>
          </cell>
        </row>
        <row r="467">
          <cell r="A467" t="str">
            <v>PGAV-90</v>
          </cell>
          <cell r="B467" t="str">
            <v>PVC Gate Valve (90mm)</v>
          </cell>
          <cell r="C467" t="str">
            <v>pc</v>
          </cell>
        </row>
        <row r="468">
          <cell r="A468" t="str">
            <v>PET-20</v>
          </cell>
          <cell r="B468" t="str">
            <v>PVC Eequal Tee (20mm)</v>
          </cell>
          <cell r="C468" t="str">
            <v>pc</v>
          </cell>
        </row>
        <row r="469">
          <cell r="A469" t="str">
            <v>PET-50</v>
          </cell>
          <cell r="B469" t="str">
            <v>PVC Equal Tee (50mm)</v>
          </cell>
          <cell r="C469" t="str">
            <v>pc</v>
          </cell>
        </row>
        <row r="470">
          <cell r="A470" t="str">
            <v>PET-75</v>
          </cell>
          <cell r="B470" t="str">
            <v>PVC Tee 75mm×2.5 kg</v>
          </cell>
          <cell r="C470" t="str">
            <v>pc</v>
          </cell>
        </row>
        <row r="471">
          <cell r="A471" t="str">
            <v>PUT-25x20</v>
          </cell>
          <cell r="B471" t="str">
            <v>PVC Unequal Tee (25x20)</v>
          </cell>
          <cell r="C471" t="str">
            <v>pc</v>
          </cell>
        </row>
        <row r="472">
          <cell r="A472" t="str">
            <v>PUT-32x20</v>
          </cell>
          <cell r="B472" t="str">
            <v>PVC Unequal Tee (32x20)</v>
          </cell>
          <cell r="C472" t="str">
            <v>pc</v>
          </cell>
        </row>
        <row r="473">
          <cell r="A473" t="str">
            <v>PUT-40x20</v>
          </cell>
          <cell r="B473" t="str">
            <v>PVC Unequal Tee (40x20)</v>
          </cell>
          <cell r="C473" t="str">
            <v>pc</v>
          </cell>
        </row>
        <row r="474">
          <cell r="A474" t="str">
            <v>PUT-50x20</v>
          </cell>
          <cell r="B474" t="str">
            <v>PVC Unequal Tee (50x20)</v>
          </cell>
          <cell r="C474" t="str">
            <v>pc</v>
          </cell>
          <cell r="E474">
            <v>0.21</v>
          </cell>
        </row>
        <row r="475">
          <cell r="A475" t="str">
            <v>PUT-50x25</v>
          </cell>
          <cell r="B475" t="str">
            <v>PVC Unequal Tee (50x25)</v>
          </cell>
          <cell r="C475" t="str">
            <v>pc</v>
          </cell>
          <cell r="E475">
            <v>0.22</v>
          </cell>
        </row>
        <row r="476">
          <cell r="A476" t="str">
            <v>PUT-63x20</v>
          </cell>
          <cell r="B476" t="str">
            <v>PVC Unequal Tee (63x20)</v>
          </cell>
          <cell r="C476" t="str">
            <v>pc</v>
          </cell>
          <cell r="E476">
            <v>0.35</v>
          </cell>
        </row>
        <row r="477">
          <cell r="A477" t="str">
            <v>PUT-75x20</v>
          </cell>
          <cell r="B477" t="str">
            <v>PVC Unequal Tee (75x20)</v>
          </cell>
          <cell r="C477" t="str">
            <v>pc</v>
          </cell>
        </row>
        <row r="478">
          <cell r="A478" t="str">
            <v>PUT-90x20</v>
          </cell>
          <cell r="B478" t="str">
            <v>PVC Unequal Tee (90x20)</v>
          </cell>
          <cell r="C478" t="str">
            <v>pc</v>
          </cell>
        </row>
        <row r="479">
          <cell r="A479" t="str">
            <v>PUT-32x25</v>
          </cell>
          <cell r="B479" t="str">
            <v>PVC Unequal Tee (32x25)</v>
          </cell>
          <cell r="C479" t="str">
            <v>pc</v>
          </cell>
        </row>
        <row r="480">
          <cell r="A480" t="str">
            <v>PET-32</v>
          </cell>
          <cell r="B480" t="str">
            <v>PVC Equal Tee (32mm)</v>
          </cell>
          <cell r="C480" t="str">
            <v>pc</v>
          </cell>
        </row>
        <row r="481">
          <cell r="A481" t="str">
            <v>PUT-40x32</v>
          </cell>
          <cell r="B481" t="str">
            <v>PVC Unequal Tee (40x32)</v>
          </cell>
          <cell r="C481" t="str">
            <v>pc</v>
          </cell>
        </row>
        <row r="482">
          <cell r="A482" t="str">
            <v>PUT-50x32</v>
          </cell>
          <cell r="B482" t="str">
            <v>PVC Unequal Tee (50x32)</v>
          </cell>
          <cell r="C482" t="str">
            <v>pc</v>
          </cell>
          <cell r="E482">
            <v>0.21</v>
          </cell>
        </row>
        <row r="483">
          <cell r="A483" t="str">
            <v>PUT-63x32</v>
          </cell>
          <cell r="B483" t="str">
            <v>PVC Unequal Tee (63x32)</v>
          </cell>
          <cell r="C483" t="str">
            <v>pc</v>
          </cell>
          <cell r="E483">
            <v>0.33</v>
          </cell>
        </row>
        <row r="484">
          <cell r="A484" t="str">
            <v>PUT-75x32</v>
          </cell>
          <cell r="B484" t="str">
            <v>PVC Unequal Tee (75x32)</v>
          </cell>
          <cell r="C484" t="str">
            <v>pc</v>
          </cell>
        </row>
        <row r="485">
          <cell r="A485" t="str">
            <v>PUT-90x32</v>
          </cell>
          <cell r="B485" t="str">
            <v>PVC Unequal Tee (90x32)</v>
          </cell>
          <cell r="C485" t="str">
            <v>pc</v>
          </cell>
        </row>
        <row r="486">
          <cell r="A486" t="str">
            <v>PRS-25x20</v>
          </cell>
          <cell r="B486" t="str">
            <v>PVC Reducer (25x20)</v>
          </cell>
          <cell r="C486" t="str">
            <v>pc</v>
          </cell>
          <cell r="E486">
            <v>0.1</v>
          </cell>
        </row>
        <row r="487">
          <cell r="A487" t="str">
            <v>PRS-32x25</v>
          </cell>
          <cell r="B487" t="str">
            <v>PVC Reducer (32x25)</v>
          </cell>
          <cell r="C487" t="str">
            <v>pc</v>
          </cell>
        </row>
        <row r="488">
          <cell r="A488" t="str">
            <v>PRS-32x20</v>
          </cell>
          <cell r="B488" t="str">
            <v>PVC Reducer (32x20)</v>
          </cell>
          <cell r="C488" t="str">
            <v>pc</v>
          </cell>
        </row>
        <row r="489">
          <cell r="A489" t="str">
            <v>PRS-40x32</v>
          </cell>
          <cell r="B489" t="str">
            <v>PVC Reducer (40x32)</v>
          </cell>
          <cell r="C489" t="str">
            <v>pc</v>
          </cell>
        </row>
        <row r="490">
          <cell r="A490" t="str">
            <v>PRS-40x25</v>
          </cell>
          <cell r="B490" t="str">
            <v>PVC Reducer (40x25)</v>
          </cell>
          <cell r="C490" t="str">
            <v>pc</v>
          </cell>
        </row>
        <row r="491">
          <cell r="A491" t="str">
            <v>PRS-40x20</v>
          </cell>
          <cell r="B491" t="str">
            <v>PVC Reducer (40x20)</v>
          </cell>
          <cell r="C491" t="str">
            <v>pc</v>
          </cell>
        </row>
        <row r="492">
          <cell r="A492" t="str">
            <v>PRS-50x40</v>
          </cell>
          <cell r="B492" t="str">
            <v>PVC Reducer (50x40)</v>
          </cell>
          <cell r="C492" t="str">
            <v>pc</v>
          </cell>
        </row>
        <row r="493">
          <cell r="A493" t="str">
            <v>PRS-50x32</v>
          </cell>
          <cell r="B493" t="str">
            <v>PVC Reducer (50x32)</v>
          </cell>
          <cell r="C493" t="str">
            <v>pc</v>
          </cell>
        </row>
        <row r="494">
          <cell r="A494" t="str">
            <v>PRS-50x25</v>
          </cell>
          <cell r="B494" t="str">
            <v>PVC Reducer (50x25)</v>
          </cell>
          <cell r="C494" t="str">
            <v>pc</v>
          </cell>
        </row>
        <row r="495">
          <cell r="A495" t="str">
            <v>PRS-50x20</v>
          </cell>
          <cell r="B495" t="str">
            <v>PVC Reducer (50x20)</v>
          </cell>
          <cell r="C495" t="str">
            <v>pc</v>
          </cell>
        </row>
        <row r="496">
          <cell r="A496" t="str">
            <v>PRS-63x50</v>
          </cell>
          <cell r="B496" t="str">
            <v>PVC Reducer (63x50)</v>
          </cell>
          <cell r="C496" t="str">
            <v>pc</v>
          </cell>
        </row>
        <row r="497">
          <cell r="A497" t="str">
            <v>PRS-63x40</v>
          </cell>
          <cell r="B497" t="str">
            <v>PVC Reducer (63x40)</v>
          </cell>
          <cell r="C497" t="str">
            <v>pc</v>
          </cell>
        </row>
        <row r="498">
          <cell r="A498" t="str">
            <v>PRS-63x32</v>
          </cell>
          <cell r="B498" t="str">
            <v>PVC Reducer (63x32)</v>
          </cell>
          <cell r="C498" t="str">
            <v>pc</v>
          </cell>
        </row>
        <row r="499">
          <cell r="A499" t="str">
            <v>PRS-63x25</v>
          </cell>
          <cell r="B499" t="str">
            <v>PVC Reducer (63x25)</v>
          </cell>
          <cell r="C499" t="str">
            <v>pc</v>
          </cell>
        </row>
        <row r="500">
          <cell r="A500" t="str">
            <v>PRS-63x20</v>
          </cell>
          <cell r="B500" t="str">
            <v>PVC Reducer (63x20)</v>
          </cell>
          <cell r="C500" t="str">
            <v>pc</v>
          </cell>
        </row>
        <row r="501">
          <cell r="A501" t="str">
            <v>PRS-75x63</v>
          </cell>
          <cell r="B501" t="str">
            <v>PVC Reducer (75x63)</v>
          </cell>
          <cell r="C501" t="str">
            <v>pc</v>
          </cell>
        </row>
        <row r="502">
          <cell r="A502" t="str">
            <v>PRS-75x50</v>
          </cell>
          <cell r="B502" t="str">
            <v>PVC Reducer (75x50)</v>
          </cell>
          <cell r="C502" t="str">
            <v>pc</v>
          </cell>
        </row>
        <row r="503">
          <cell r="A503" t="str">
            <v>PRS-75x40</v>
          </cell>
          <cell r="B503" t="str">
            <v>PVC Reducer (75x40)</v>
          </cell>
          <cell r="C503" t="str">
            <v>pc</v>
          </cell>
        </row>
        <row r="504">
          <cell r="A504" t="str">
            <v>PRS-75x32</v>
          </cell>
          <cell r="B504" t="str">
            <v>PVC Reducer (75x32)</v>
          </cell>
          <cell r="C504" t="str">
            <v>pc</v>
          </cell>
        </row>
        <row r="505">
          <cell r="A505" t="str">
            <v>PRS-75x25</v>
          </cell>
          <cell r="B505" t="str">
            <v>PVC Reducer (75x25)</v>
          </cell>
          <cell r="C505" t="str">
            <v>pc</v>
          </cell>
        </row>
        <row r="506">
          <cell r="A506" t="str">
            <v>PRS-75x20</v>
          </cell>
          <cell r="B506" t="str">
            <v>PVC Reducer (75x20)</v>
          </cell>
          <cell r="C506" t="str">
            <v>pc</v>
          </cell>
        </row>
        <row r="507">
          <cell r="A507" t="str">
            <v>PRS-90x75</v>
          </cell>
          <cell r="B507" t="str">
            <v>PVC Reducer (90x75)</v>
          </cell>
          <cell r="C507" t="str">
            <v>pc</v>
          </cell>
        </row>
        <row r="508">
          <cell r="A508" t="str">
            <v>PRS-90x63</v>
          </cell>
          <cell r="B508" t="str">
            <v>PVC Reducer (90x63)</v>
          </cell>
          <cell r="C508" t="str">
            <v>pc</v>
          </cell>
        </row>
        <row r="509">
          <cell r="A509" t="str">
            <v>PRS-90x50</v>
          </cell>
          <cell r="B509" t="str">
            <v>PVC Reducer (90x50)</v>
          </cell>
          <cell r="C509" t="str">
            <v>pc</v>
          </cell>
        </row>
        <row r="510">
          <cell r="A510" t="str">
            <v>PRS-90x40</v>
          </cell>
          <cell r="B510" t="str">
            <v>PVC Reducer (90x40)</v>
          </cell>
          <cell r="C510" t="str">
            <v>pc</v>
          </cell>
        </row>
        <row r="511">
          <cell r="A511" t="str">
            <v>PRS-90x32</v>
          </cell>
          <cell r="B511" t="str">
            <v>PVC Reducer (90x32)</v>
          </cell>
          <cell r="C511" t="str">
            <v>pc</v>
          </cell>
        </row>
        <row r="512">
          <cell r="A512" t="str">
            <v>PRS-90x25</v>
          </cell>
          <cell r="B512" t="str">
            <v>PVC Reducer (90x25)</v>
          </cell>
          <cell r="C512" t="str">
            <v>pc</v>
          </cell>
        </row>
        <row r="513">
          <cell r="A513" t="str">
            <v>PRS-90x20</v>
          </cell>
          <cell r="B513" t="str">
            <v>PVC Reducer (90x20)</v>
          </cell>
          <cell r="C513" t="str">
            <v>pc</v>
          </cell>
        </row>
        <row r="514">
          <cell r="A514" t="str">
            <v>PEL-63</v>
          </cell>
          <cell r="B514" t="str">
            <v>PVC Elbow (63mm)</v>
          </cell>
          <cell r="C514" t="str">
            <v>pc</v>
          </cell>
          <cell r="E514">
            <v>0.18</v>
          </cell>
        </row>
        <row r="515">
          <cell r="A515" t="str">
            <v>PEL-50</v>
          </cell>
          <cell r="B515" t="str">
            <v>PVC Elbow (50mm)</v>
          </cell>
          <cell r="C515" t="str">
            <v>pc</v>
          </cell>
        </row>
        <row r="516">
          <cell r="A516" t="str">
            <v>PEL-40</v>
          </cell>
          <cell r="B516" t="str">
            <v>PVC Elbow (40mm)</v>
          </cell>
          <cell r="C516" t="str">
            <v>pc</v>
          </cell>
        </row>
        <row r="517">
          <cell r="A517" t="str">
            <v>PEL-32</v>
          </cell>
          <cell r="B517" t="str">
            <v>PVC Elbow (32mm)</v>
          </cell>
          <cell r="C517" t="str">
            <v>pc</v>
          </cell>
        </row>
        <row r="518">
          <cell r="A518" t="str">
            <v>PEL-25</v>
          </cell>
          <cell r="B518" t="str">
            <v>PVC Elbow (25mm)</v>
          </cell>
          <cell r="C518" t="str">
            <v>pc</v>
          </cell>
        </row>
        <row r="519">
          <cell r="A519" t="str">
            <v>PEL-20</v>
          </cell>
          <cell r="B519" t="str">
            <v>PVC Elbow (20mm)</v>
          </cell>
          <cell r="C519" t="str">
            <v>pc</v>
          </cell>
          <cell r="E519">
            <v>0.02</v>
          </cell>
        </row>
        <row r="520">
          <cell r="B520" t="str">
            <v>PVC/HDPE CONNECTORS</v>
          </cell>
        </row>
        <row r="521">
          <cell r="A521" t="str">
            <v>PHF-20</v>
          </cell>
          <cell r="B521" t="str">
            <v>PVC/HDPE Flange (20mm)</v>
          </cell>
          <cell r="C521" t="str">
            <v>pc</v>
          </cell>
          <cell r="E521">
            <v>0.36</v>
          </cell>
        </row>
        <row r="522">
          <cell r="A522" t="str">
            <v>PHF-25</v>
          </cell>
          <cell r="B522" t="str">
            <v>PVC/HDPE Flange (25mm)</v>
          </cell>
          <cell r="C522" t="str">
            <v>pc</v>
          </cell>
        </row>
        <row r="523">
          <cell r="A523" t="str">
            <v>PHF-32</v>
          </cell>
          <cell r="B523" t="str">
            <v>PVC/HDPE Flange (32mm)</v>
          </cell>
          <cell r="C523" t="str">
            <v>pc</v>
          </cell>
          <cell r="E523">
            <v>0.56000000000000005</v>
          </cell>
        </row>
        <row r="524">
          <cell r="A524" t="str">
            <v>PHF-40</v>
          </cell>
          <cell r="B524" t="str">
            <v>PVC/HDPE Flange (40mm)</v>
          </cell>
          <cell r="C524" t="str">
            <v>pc</v>
          </cell>
        </row>
        <row r="525">
          <cell r="A525" t="str">
            <v>PHF-50</v>
          </cell>
          <cell r="B525" t="str">
            <v>PVC/HDPE Flange (50mm)</v>
          </cell>
          <cell r="C525" t="str">
            <v>pc</v>
          </cell>
          <cell r="E525">
            <v>0.8</v>
          </cell>
        </row>
        <row r="526">
          <cell r="A526" t="str">
            <v>PHF-63</v>
          </cell>
          <cell r="B526" t="str">
            <v>PVC/HDPE Flange (63mm)</v>
          </cell>
          <cell r="C526" t="str">
            <v>pc</v>
          </cell>
          <cell r="E526">
            <v>0.9</v>
          </cell>
        </row>
        <row r="527">
          <cell r="A527" t="str">
            <v>PHF-75</v>
          </cell>
          <cell r="B527" t="str">
            <v>PVC/HDPE Flange (75mm)</v>
          </cell>
          <cell r="C527" t="str">
            <v>pc</v>
          </cell>
        </row>
        <row r="528">
          <cell r="A528" t="str">
            <v>PHF-90</v>
          </cell>
          <cell r="B528" t="str">
            <v>PVC/HDPE Flange (90mm)</v>
          </cell>
          <cell r="C528" t="str">
            <v>pc</v>
          </cell>
        </row>
        <row r="529">
          <cell r="A529" t="str">
            <v>PAV-32</v>
          </cell>
          <cell r="B529" t="str">
            <v>PVC Air Release Valve (32mm)</v>
          </cell>
          <cell r="C529" t="str">
            <v>pc</v>
          </cell>
        </row>
        <row r="530">
          <cell r="A530" t="str">
            <v>PRT-20</v>
          </cell>
          <cell r="B530" t="str">
            <v>PVC Regulating Tee (20mm)</v>
          </cell>
          <cell r="C530" t="str">
            <v>pc</v>
          </cell>
        </row>
        <row r="531">
          <cell r="B531" t="str">
            <v>TAPS</v>
          </cell>
        </row>
        <row r="532">
          <cell r="A532" t="str">
            <v>BT200-15</v>
          </cell>
          <cell r="B532" t="str">
            <v>Brass Tap ( 200g )</v>
          </cell>
          <cell r="C532" t="str">
            <v>pc</v>
          </cell>
          <cell r="D532">
            <v>405</v>
          </cell>
        </row>
        <row r="533">
          <cell r="A533" t="str">
            <v>BT400-15</v>
          </cell>
          <cell r="B533" t="str">
            <v>Brass Tap ( 400g )</v>
          </cell>
          <cell r="C533" t="str">
            <v>pc</v>
          </cell>
          <cell r="D533">
            <v>650</v>
          </cell>
          <cell r="E533">
            <v>0.4</v>
          </cell>
        </row>
        <row r="534">
          <cell r="A534" t="str">
            <v>BT300-15</v>
          </cell>
          <cell r="B534" t="str">
            <v>Brass Tap ( 300g )</v>
          </cell>
          <cell r="C534" t="str">
            <v>pc</v>
          </cell>
          <cell r="D534">
            <v>1150</v>
          </cell>
        </row>
        <row r="537">
          <cell r="A537" t="str">
            <v>Code</v>
          </cell>
          <cell r="B537" t="str">
            <v>Tools</v>
          </cell>
          <cell r="C537" t="str">
            <v>Unit</v>
          </cell>
          <cell r="D537" t="str">
            <v>Unit Rate</v>
          </cell>
          <cell r="E537" t="str">
            <v>Unit Weight</v>
          </cell>
        </row>
        <row r="538">
          <cell r="B538" t="str">
            <v>Tool box (empty)</v>
          </cell>
          <cell r="C538" t="str">
            <v>pc</v>
          </cell>
          <cell r="D538">
            <v>1593.2321999999999</v>
          </cell>
          <cell r="E538">
            <v>9.6</v>
          </cell>
        </row>
        <row r="539">
          <cell r="B539" t="str">
            <v>Tool box lock</v>
          </cell>
          <cell r="C539" t="str">
            <v>pc</v>
          </cell>
          <cell r="D539">
            <v>86.190749999999994</v>
          </cell>
          <cell r="E539">
            <v>0.1</v>
          </cell>
        </row>
        <row r="540">
          <cell r="B540" t="str">
            <v>Heating plate 5"</v>
          </cell>
          <cell r="C540" t="str">
            <v>pc</v>
          </cell>
          <cell r="D540">
            <v>798.22634999999991</v>
          </cell>
          <cell r="E540">
            <v>2.1</v>
          </cell>
        </row>
        <row r="541">
          <cell r="B541" t="str">
            <v>Teflon cover(7"x7")</v>
          </cell>
          <cell r="C541" t="str">
            <v>pc</v>
          </cell>
          <cell r="D541">
            <v>440.76779999999997</v>
          </cell>
          <cell r="E541">
            <v>0</v>
          </cell>
        </row>
        <row r="542">
          <cell r="B542" t="str">
            <v>Thermochrome crayon</v>
          </cell>
          <cell r="C542" t="str">
            <v>pc</v>
          </cell>
          <cell r="D542">
            <v>503.7201</v>
          </cell>
          <cell r="E542">
            <v>0</v>
          </cell>
        </row>
        <row r="543">
          <cell r="B543" t="str">
            <v>Blow lamp</v>
          </cell>
          <cell r="C543" t="str">
            <v>pc</v>
          </cell>
          <cell r="D543">
            <v>818.76974999999993</v>
          </cell>
          <cell r="E543">
            <v>0.7</v>
          </cell>
        </row>
        <row r="544">
          <cell r="B544" t="str">
            <v>Geberit knief</v>
          </cell>
          <cell r="C544" t="str">
            <v>pc</v>
          </cell>
          <cell r="D544">
            <v>60.562349999999981</v>
          </cell>
          <cell r="E544">
            <v>0.02</v>
          </cell>
        </row>
        <row r="545">
          <cell r="B545" t="str">
            <v>Teflon tape</v>
          </cell>
          <cell r="C545" t="str">
            <v>pc</v>
          </cell>
          <cell r="D545">
            <v>25.560599999999997</v>
          </cell>
          <cell r="E545">
            <v>0.01</v>
          </cell>
        </row>
        <row r="546">
          <cell r="B546" t="str">
            <v>Pipe wrench 18"</v>
          </cell>
          <cell r="C546" t="str">
            <v>pc</v>
          </cell>
          <cell r="D546">
            <v>1022.6613</v>
          </cell>
          <cell r="E546">
            <v>1.61</v>
          </cell>
        </row>
        <row r="547">
          <cell r="B547" t="str">
            <v>Pipe wrench 24"</v>
          </cell>
          <cell r="C547" t="str">
            <v>pc</v>
          </cell>
          <cell r="D547">
            <v>1574.8753499999998</v>
          </cell>
          <cell r="E547">
            <v>2.6</v>
          </cell>
        </row>
        <row r="548">
          <cell r="B548" t="str">
            <v>Hack saw frame</v>
          </cell>
          <cell r="C548" t="str">
            <v>pc</v>
          </cell>
          <cell r="D548">
            <v>176.13</v>
          </cell>
          <cell r="E548">
            <v>0.4</v>
          </cell>
        </row>
        <row r="549">
          <cell r="B549" t="str">
            <v>Hack saw blade</v>
          </cell>
          <cell r="C549" t="str">
            <v>pc</v>
          </cell>
          <cell r="D549">
            <v>20.684999999999999</v>
          </cell>
          <cell r="E549">
            <v>0.01</v>
          </cell>
        </row>
        <row r="550">
          <cell r="B550" t="str">
            <v>Adjustable spanner 10"</v>
          </cell>
          <cell r="C550" t="str">
            <v>pc</v>
          </cell>
          <cell r="D550">
            <v>364.68</v>
          </cell>
          <cell r="E550">
            <v>0.4</v>
          </cell>
        </row>
        <row r="551">
          <cell r="B551" t="str">
            <v>Combination plier 8"</v>
          </cell>
          <cell r="C551" t="str">
            <v>pc</v>
          </cell>
          <cell r="D551">
            <v>310.44</v>
          </cell>
          <cell r="E551">
            <v>0.36</v>
          </cell>
        </row>
        <row r="552">
          <cell r="B552" t="str">
            <v>Shovel</v>
          </cell>
          <cell r="C552" t="str">
            <v>pc</v>
          </cell>
          <cell r="D552">
            <v>535.89120000000003</v>
          </cell>
          <cell r="E552">
            <v>2.2000000000000002</v>
          </cell>
        </row>
        <row r="553">
          <cell r="B553" t="str">
            <v>Pick axe</v>
          </cell>
          <cell r="C553" t="str">
            <v>pc</v>
          </cell>
          <cell r="D553">
            <v>523.26344999999992</v>
          </cell>
          <cell r="E553">
            <v>3.1</v>
          </cell>
        </row>
        <row r="554">
          <cell r="B554" t="str">
            <v>Steel pan</v>
          </cell>
          <cell r="C554" t="str">
            <v>pc</v>
          </cell>
          <cell r="D554">
            <v>297.55725000000001</v>
          </cell>
          <cell r="E554">
            <v>1.5</v>
          </cell>
        </row>
        <row r="555">
          <cell r="B555" t="str">
            <v>Crowbar</v>
          </cell>
          <cell r="C555" t="str">
            <v>pc</v>
          </cell>
          <cell r="D555">
            <v>1663.8119999999999</v>
          </cell>
          <cell r="E555">
            <v>5.0999999999999996</v>
          </cell>
        </row>
        <row r="556">
          <cell r="B556" t="str">
            <v>Sledge hammer10 lbs</v>
          </cell>
          <cell r="C556" t="str">
            <v>pc</v>
          </cell>
          <cell r="D556">
            <v>1168.3974000000001</v>
          </cell>
          <cell r="E556">
            <v>4.5</v>
          </cell>
        </row>
        <row r="557">
          <cell r="B557" t="str">
            <v>Sledge hammer8 lbs</v>
          </cell>
          <cell r="C557" t="str">
            <v>pc</v>
          </cell>
          <cell r="D557">
            <v>971.37059999999997</v>
          </cell>
          <cell r="E557">
            <v>3.6</v>
          </cell>
        </row>
        <row r="558">
          <cell r="B558" t="str">
            <v>Sledge hammer 1 kg</v>
          </cell>
          <cell r="C558" t="str">
            <v>pc</v>
          </cell>
          <cell r="D558">
            <v>156.17729999999997</v>
          </cell>
          <cell r="E558">
            <v>0.22</v>
          </cell>
        </row>
        <row r="559">
          <cell r="B559" t="str">
            <v>Stone cutting hammer</v>
          </cell>
          <cell r="C559" t="str">
            <v>pc</v>
          </cell>
          <cell r="D559">
            <v>223.14675</v>
          </cell>
          <cell r="E559">
            <v>0.79</v>
          </cell>
        </row>
        <row r="560">
          <cell r="B560" t="str">
            <v>Stone chisel 6"</v>
          </cell>
          <cell r="C560" t="str">
            <v>pc</v>
          </cell>
          <cell r="D560">
            <v>357.15344999999996</v>
          </cell>
          <cell r="E560">
            <v>0.36</v>
          </cell>
        </row>
        <row r="561">
          <cell r="B561" t="str">
            <v>Stone Chisel12"</v>
          </cell>
          <cell r="C561" t="str">
            <v>pc</v>
          </cell>
          <cell r="D561">
            <v>621.43784999999991</v>
          </cell>
          <cell r="E561">
            <v>0.79</v>
          </cell>
        </row>
        <row r="562">
          <cell r="B562" t="str">
            <v>Building trowel</v>
          </cell>
          <cell r="C562" t="str">
            <v>pc</v>
          </cell>
          <cell r="D562">
            <v>88.597650000000002</v>
          </cell>
          <cell r="E562">
            <v>0.23</v>
          </cell>
        </row>
        <row r="563">
          <cell r="B563" t="str">
            <v>Pointing trowel</v>
          </cell>
          <cell r="C563" t="str">
            <v>pc</v>
          </cell>
          <cell r="D563">
            <v>40.696950000000001</v>
          </cell>
          <cell r="E563">
            <v>0.1</v>
          </cell>
        </row>
        <row r="564">
          <cell r="B564" t="str">
            <v>Finishing trowel</v>
          </cell>
          <cell r="C564" t="str">
            <v>pc</v>
          </cell>
          <cell r="D564">
            <v>102.08984999999998</v>
          </cell>
          <cell r="E564">
            <v>0.3</v>
          </cell>
        </row>
        <row r="565">
          <cell r="B565" t="str">
            <v>Mason string</v>
          </cell>
          <cell r="C565" t="str">
            <v>bdl</v>
          </cell>
          <cell r="D565">
            <v>72.206999999999994</v>
          </cell>
          <cell r="E565">
            <v>0.06</v>
          </cell>
        </row>
        <row r="566">
          <cell r="B566" t="str">
            <v>Plumb bob line</v>
          </cell>
          <cell r="C566" t="str">
            <v>pc</v>
          </cell>
          <cell r="D566">
            <v>87.529799999999994</v>
          </cell>
          <cell r="E566">
            <v>0.2</v>
          </cell>
        </row>
        <row r="567">
          <cell r="B567" t="str">
            <v>Steel brush</v>
          </cell>
          <cell r="C567" t="str">
            <v>pc</v>
          </cell>
          <cell r="D567">
            <v>76.105499999999992</v>
          </cell>
          <cell r="E567">
            <v>0.12</v>
          </cell>
        </row>
        <row r="568">
          <cell r="B568" t="str">
            <v>Soft brush 4"</v>
          </cell>
          <cell r="C568" t="str">
            <v>pc</v>
          </cell>
          <cell r="D568">
            <v>257.01284999999996</v>
          </cell>
          <cell r="E568">
            <v>0.1</v>
          </cell>
        </row>
        <row r="569">
          <cell r="B569" t="str">
            <v>File steel (rough)</v>
          </cell>
          <cell r="C569" t="str">
            <v>pc</v>
          </cell>
          <cell r="D569">
            <v>290.76029999999997</v>
          </cell>
          <cell r="E569">
            <v>0.24</v>
          </cell>
        </row>
        <row r="570">
          <cell r="B570" t="str">
            <v>Spirit level     8"</v>
          </cell>
          <cell r="C570" t="str">
            <v>pc</v>
          </cell>
          <cell r="D570">
            <v>351.42435</v>
          </cell>
          <cell r="E570">
            <v>0.44</v>
          </cell>
        </row>
        <row r="571">
          <cell r="B571" t="str">
            <v>Mason square   6"x12"</v>
          </cell>
          <cell r="C571" t="str">
            <v>pc</v>
          </cell>
          <cell r="D571">
            <v>284.28539999999998</v>
          </cell>
          <cell r="E571">
            <v>0</v>
          </cell>
        </row>
        <row r="572">
          <cell r="B572" t="str">
            <v>Kerosen</v>
          </cell>
          <cell r="C572" t="str">
            <v>Ltr</v>
          </cell>
          <cell r="D572">
            <v>67.800000000000011</v>
          </cell>
          <cell r="E572">
            <v>0.96</v>
          </cell>
        </row>
        <row r="573">
          <cell r="B573" t="str">
            <v>20 ltrs Kerosene Jerricane</v>
          </cell>
          <cell r="C573" t="str">
            <v>pc</v>
          </cell>
          <cell r="D573">
            <v>186.7551</v>
          </cell>
          <cell r="E573">
            <v>0.5</v>
          </cell>
        </row>
        <row r="574">
          <cell r="B574" t="str">
            <v>10 ltrs Kerosene Jerricane</v>
          </cell>
          <cell r="C574" t="str">
            <v>pc</v>
          </cell>
          <cell r="D574">
            <v>142.66815</v>
          </cell>
          <cell r="E574">
            <v>0.4</v>
          </cell>
        </row>
        <row r="575">
          <cell r="B575" t="str">
            <v>5 ltrs Kerosene Jerricane</v>
          </cell>
          <cell r="C575" t="str">
            <v>pc</v>
          </cell>
          <cell r="D575">
            <v>69.461099999999988</v>
          </cell>
          <cell r="E575">
            <v>0.3</v>
          </cell>
        </row>
        <row r="576">
          <cell r="B576" t="str">
            <v>Measuring tape       (3m)</v>
          </cell>
          <cell r="C576" t="str">
            <v>pc</v>
          </cell>
          <cell r="D576">
            <v>76.766549999999995</v>
          </cell>
          <cell r="E576">
            <v>0.08</v>
          </cell>
        </row>
        <row r="577">
          <cell r="B577" t="str">
            <v>Slab frame key</v>
          </cell>
          <cell r="C577" t="str">
            <v>pc</v>
          </cell>
          <cell r="D577">
            <v>200.50155000000001</v>
          </cell>
          <cell r="E577">
            <v>0.92</v>
          </cell>
        </row>
        <row r="578">
          <cell r="B578" t="str">
            <v>Regulating tee key</v>
          </cell>
          <cell r="C578" t="str">
            <v>pc</v>
          </cell>
          <cell r="D578">
            <v>35.713649999999994</v>
          </cell>
          <cell r="E578">
            <v>0.2</v>
          </cell>
        </row>
        <row r="579">
          <cell r="B579" t="str">
            <v>2mm Wiremesh (2m)</v>
          </cell>
          <cell r="C579" t="str">
            <v>pc</v>
          </cell>
          <cell r="D579">
            <v>294.37064999999996</v>
          </cell>
          <cell r="E579">
            <v>2</v>
          </cell>
        </row>
        <row r="580">
          <cell r="B580" t="str">
            <v>4mm Wiremesh (2m)</v>
          </cell>
          <cell r="C580" t="str">
            <v>pc</v>
          </cell>
          <cell r="D580">
            <v>1215.26415</v>
          </cell>
          <cell r="E580">
            <v>2</v>
          </cell>
        </row>
        <row r="581">
          <cell r="B581" t="str">
            <v>Writing Brush</v>
          </cell>
          <cell r="C581" t="str">
            <v>pc</v>
          </cell>
          <cell r="D581">
            <v>84.156749999999988</v>
          </cell>
          <cell r="E581">
            <v>0</v>
          </cell>
        </row>
        <row r="582">
          <cell r="B582" t="str">
            <v>Heating plate 8"</v>
          </cell>
          <cell r="C582" t="str">
            <v>pc</v>
          </cell>
          <cell r="D582">
            <v>1697.9492999999998</v>
          </cell>
          <cell r="E582">
            <v>2</v>
          </cell>
        </row>
        <row r="583">
          <cell r="B583" t="str">
            <v>Heating plate 6"</v>
          </cell>
          <cell r="C583" t="str">
            <v>pc</v>
          </cell>
          <cell r="D583">
            <v>1228.875</v>
          </cell>
          <cell r="E583">
            <v>2</v>
          </cell>
        </row>
        <row r="584">
          <cell r="B584" t="str">
            <v>Pipe Wrench 10"</v>
          </cell>
          <cell r="C584" t="str">
            <v>pc</v>
          </cell>
          <cell r="D584">
            <v>339</v>
          </cell>
          <cell r="E584">
            <v>2</v>
          </cell>
        </row>
        <row r="585">
          <cell r="B585" t="str">
            <v>Pipe Wrench 14"</v>
          </cell>
          <cell r="C585" t="str">
            <v>pc</v>
          </cell>
          <cell r="D585">
            <v>411.37649999999996</v>
          </cell>
          <cell r="E585">
            <v>2.2000000000000002</v>
          </cell>
        </row>
        <row r="586">
          <cell r="B586" t="str">
            <v>Pipe Wrench 36"</v>
          </cell>
          <cell r="C586" t="str">
            <v>pc</v>
          </cell>
          <cell r="D586">
            <v>2583.1799999999998</v>
          </cell>
          <cell r="E586">
            <v>0</v>
          </cell>
        </row>
        <row r="587">
          <cell r="B587" t="str">
            <v>Adjustable spanner 8"</v>
          </cell>
          <cell r="C587" t="str">
            <v>pc</v>
          </cell>
          <cell r="D587">
            <v>381.375</v>
          </cell>
          <cell r="E587">
            <v>0.5</v>
          </cell>
        </row>
        <row r="588">
          <cell r="B588" t="str">
            <v>Combination Plier 6"</v>
          </cell>
          <cell r="C588" t="str">
            <v>pc</v>
          </cell>
          <cell r="D588">
            <v>254.25</v>
          </cell>
          <cell r="E588">
            <v>0.5</v>
          </cell>
        </row>
        <row r="589">
          <cell r="B589" t="str">
            <v>Spirit level     24"</v>
          </cell>
          <cell r="C589" t="str">
            <v>pc</v>
          </cell>
          <cell r="D589">
            <v>423.75</v>
          </cell>
          <cell r="E589">
            <v>0.2</v>
          </cell>
        </row>
        <row r="590">
          <cell r="B590" t="str">
            <v>Measuring Tape      (30m)</v>
          </cell>
          <cell r="C590" t="str">
            <v>pc</v>
          </cell>
          <cell r="D590">
            <v>686.47499999999991</v>
          </cell>
          <cell r="E590">
            <v>0.05</v>
          </cell>
        </row>
        <row r="591">
          <cell r="B591" t="str">
            <v>Polythene bag</v>
          </cell>
          <cell r="C591" t="str">
            <v>pc</v>
          </cell>
          <cell r="D591">
            <v>35.594999999999999</v>
          </cell>
          <cell r="E591">
            <v>0.05</v>
          </cell>
        </row>
        <row r="592">
          <cell r="B592" t="str">
            <v>Hemp</v>
          </cell>
          <cell r="C592" t="str">
            <v>pc</v>
          </cell>
          <cell r="D592">
            <v>33.900000000000006</v>
          </cell>
          <cell r="E592">
            <v>0</v>
          </cell>
        </row>
        <row r="593">
          <cell r="B593" t="str">
            <v>Putty Compound</v>
          </cell>
          <cell r="C593" t="str">
            <v>tin</v>
          </cell>
          <cell r="D593">
            <v>208.5</v>
          </cell>
        </row>
        <row r="594">
          <cell r="B594" t="str">
            <v>Not bolt Washer</v>
          </cell>
          <cell r="C594" t="str">
            <v>pc</v>
          </cell>
          <cell r="D594">
            <v>3.3899999999999997</v>
          </cell>
          <cell r="E594">
            <v>0</v>
          </cell>
        </row>
        <row r="595">
          <cell r="B595" t="str">
            <v>Steel Scissor</v>
          </cell>
          <cell r="C595" t="str">
            <v>pc</v>
          </cell>
          <cell r="D595">
            <v>296.625</v>
          </cell>
          <cell r="E595">
            <v>0.3</v>
          </cell>
        </row>
        <row r="596">
          <cell r="B596" t="str">
            <v>Nail Removing Hammer</v>
          </cell>
          <cell r="C596" t="str">
            <v>pc</v>
          </cell>
          <cell r="D596">
            <v>255.63989999999995</v>
          </cell>
          <cell r="E596">
            <v>0.5</v>
          </cell>
        </row>
        <row r="597">
          <cell r="B597" t="str">
            <v>Carpenter Saw</v>
          </cell>
          <cell r="C597" t="str">
            <v>pc</v>
          </cell>
          <cell r="D597">
            <v>149.80409999999998</v>
          </cell>
          <cell r="E597">
            <v>0.5</v>
          </cell>
        </row>
        <row r="598">
          <cell r="B598" t="str">
            <v>Stone Chisel 24"</v>
          </cell>
          <cell r="C598" t="str">
            <v>pc</v>
          </cell>
          <cell r="D598">
            <v>186.45</v>
          </cell>
          <cell r="E598">
            <v>0.4</v>
          </cell>
        </row>
        <row r="599">
          <cell r="B599" t="str">
            <v>File Smooth steel</v>
          </cell>
          <cell r="C599" t="str">
            <v>pc</v>
          </cell>
          <cell r="D599">
            <v>178.70384999999999</v>
          </cell>
          <cell r="E599">
            <v>0.3</v>
          </cell>
        </row>
        <row r="600">
          <cell r="B600" t="str">
            <v>File triangular</v>
          </cell>
          <cell r="C600" t="str">
            <v>pc</v>
          </cell>
          <cell r="D600">
            <v>76.275000000000006</v>
          </cell>
          <cell r="E600">
            <v>0.35</v>
          </cell>
        </row>
        <row r="601">
          <cell r="B601" t="str">
            <v>Concrete Chisel 8"</v>
          </cell>
          <cell r="C601" t="str">
            <v>pc</v>
          </cell>
          <cell r="D601">
            <v>184.755</v>
          </cell>
          <cell r="E601">
            <v>0.2</v>
          </cell>
        </row>
        <row r="602">
          <cell r="B602" t="str">
            <v>BSP Dies with head ½"</v>
          </cell>
          <cell r="C602" t="str">
            <v>set</v>
          </cell>
          <cell r="D602">
            <v>7020.6900000000005</v>
          </cell>
          <cell r="E602">
            <v>1</v>
          </cell>
        </row>
        <row r="603">
          <cell r="B603" t="str">
            <v>BSP Dies with head 1"</v>
          </cell>
          <cell r="C603" t="str">
            <v>set</v>
          </cell>
          <cell r="D603">
            <v>10885.289999999999</v>
          </cell>
          <cell r="E603">
            <v>2</v>
          </cell>
        </row>
        <row r="604">
          <cell r="B604" t="str">
            <v>BSP Dies with head 1½"</v>
          </cell>
          <cell r="C604" t="str">
            <v>set</v>
          </cell>
          <cell r="D604">
            <v>6183.36</v>
          </cell>
          <cell r="E604">
            <v>3</v>
          </cell>
        </row>
        <row r="605">
          <cell r="B605" t="str">
            <v>Double housing thre head</v>
          </cell>
          <cell r="C605" t="str">
            <v>set</v>
          </cell>
          <cell r="D605">
            <v>19065.36</v>
          </cell>
          <cell r="E605">
            <v>0.25</v>
          </cell>
        </row>
        <row r="606">
          <cell r="B606" t="str">
            <v>BSP Dies with head 2"</v>
          </cell>
          <cell r="C606" t="str">
            <v>set</v>
          </cell>
          <cell r="D606">
            <v>10885.289999999999</v>
          </cell>
          <cell r="E606">
            <v>3</v>
          </cell>
        </row>
        <row r="607">
          <cell r="B607" t="str">
            <v>Carying frame of Dies set</v>
          </cell>
          <cell r="C607" t="str">
            <v>pc</v>
          </cell>
          <cell r="D607">
            <v>5410.4400000000005</v>
          </cell>
          <cell r="E607">
            <v>3</v>
          </cell>
        </row>
        <row r="608">
          <cell r="B608" t="str">
            <v>Dies set right hand 1/2"</v>
          </cell>
          <cell r="C608" t="str">
            <v>set</v>
          </cell>
          <cell r="D608">
            <v>4508.7000000000007</v>
          </cell>
          <cell r="E608">
            <v>1.5</v>
          </cell>
        </row>
        <row r="609">
          <cell r="B609" t="str">
            <v>Dies set right hand 1"</v>
          </cell>
          <cell r="C609" t="str">
            <v>set</v>
          </cell>
          <cell r="D609">
            <v>4508.7000000000007</v>
          </cell>
          <cell r="E609">
            <v>1.5</v>
          </cell>
        </row>
        <row r="610">
          <cell r="B610" t="str">
            <v>Dies set right hand 1½"</v>
          </cell>
          <cell r="C610" t="str">
            <v>set</v>
          </cell>
          <cell r="D610">
            <v>5023.9800000000005</v>
          </cell>
          <cell r="E610">
            <v>1.5</v>
          </cell>
        </row>
        <row r="611">
          <cell r="B611" t="str">
            <v>Dies set right hand 2"</v>
          </cell>
          <cell r="C611" t="str">
            <v>set</v>
          </cell>
          <cell r="D611">
            <v>5023.9800000000005</v>
          </cell>
          <cell r="E611">
            <v>1.5</v>
          </cell>
        </row>
        <row r="612">
          <cell r="B612" t="str">
            <v>Oil Can</v>
          </cell>
          <cell r="C612" t="str">
            <v>pc</v>
          </cell>
          <cell r="D612">
            <v>42.375</v>
          </cell>
          <cell r="E612">
            <v>1</v>
          </cell>
        </row>
        <row r="613">
          <cell r="B613" t="str">
            <v>Chain vice</v>
          </cell>
          <cell r="C613" t="str">
            <v>set</v>
          </cell>
          <cell r="D613">
            <v>10170</v>
          </cell>
          <cell r="E613">
            <v>2</v>
          </cell>
        </row>
        <row r="614">
          <cell r="B614" t="str">
            <v>threader Head ½"-1"</v>
          </cell>
          <cell r="C614" t="str">
            <v>set</v>
          </cell>
          <cell r="D614">
            <v>2049.2550000000001</v>
          </cell>
          <cell r="E614">
            <v>2</v>
          </cell>
        </row>
        <row r="615">
          <cell r="B615" t="str">
            <v>Pile cutter wheel ½"</v>
          </cell>
          <cell r="C615" t="str">
            <v>pc</v>
          </cell>
          <cell r="D615">
            <v>423.75</v>
          </cell>
          <cell r="E615">
            <v>0.5</v>
          </cell>
        </row>
        <row r="616">
          <cell r="B616" t="str">
            <v>Pile cutter wheel 2"</v>
          </cell>
          <cell r="C616" t="str">
            <v>pc</v>
          </cell>
          <cell r="D616">
            <v>423.75</v>
          </cell>
          <cell r="E616">
            <v>0.5</v>
          </cell>
        </row>
        <row r="617">
          <cell r="B617" t="str">
            <v>Die set teeth ½"</v>
          </cell>
          <cell r="C617" t="str">
            <v>set</v>
          </cell>
          <cell r="D617">
            <v>466.125</v>
          </cell>
          <cell r="E617">
            <v>2</v>
          </cell>
        </row>
        <row r="618">
          <cell r="B618" t="str">
            <v>Die set teeth ¾"</v>
          </cell>
          <cell r="C618" t="str">
            <v>set</v>
          </cell>
          <cell r="D618">
            <v>110.17500000000001</v>
          </cell>
          <cell r="E618">
            <v>0.05</v>
          </cell>
        </row>
        <row r="619">
          <cell r="B619" t="str">
            <v>Die set teeth 1"</v>
          </cell>
          <cell r="C619" t="str">
            <v>set</v>
          </cell>
          <cell r="D619">
            <v>694.95</v>
          </cell>
          <cell r="E619">
            <v>0.25</v>
          </cell>
        </row>
        <row r="620">
          <cell r="B620" t="str">
            <v>Die set teeth 1½"</v>
          </cell>
          <cell r="C620" t="str">
            <v>set</v>
          </cell>
          <cell r="D620">
            <v>762.75</v>
          </cell>
          <cell r="E620">
            <v>0.25</v>
          </cell>
        </row>
        <row r="621">
          <cell r="B621" t="str">
            <v>Die set teeth 2"</v>
          </cell>
          <cell r="C621" t="str">
            <v>set</v>
          </cell>
          <cell r="D621">
            <v>847.5</v>
          </cell>
          <cell r="E621">
            <v>0.3</v>
          </cell>
        </row>
        <row r="622">
          <cell r="B622" t="str">
            <v>Virex die teeth 1" - 1¼"</v>
          </cell>
          <cell r="C622" t="str">
            <v>set</v>
          </cell>
          <cell r="D622">
            <v>1017</v>
          </cell>
          <cell r="E622">
            <v>0.3</v>
          </cell>
        </row>
        <row r="623">
          <cell r="B623" t="str">
            <v>Virex die teeth 2" - 1½"</v>
          </cell>
          <cell r="C623" t="str">
            <v>set</v>
          </cell>
          <cell r="D623">
            <v>1271.25</v>
          </cell>
          <cell r="E623">
            <v>0.3</v>
          </cell>
        </row>
        <row r="624">
          <cell r="B624" t="str">
            <v>Virex die teeth 3" - 2¼"</v>
          </cell>
          <cell r="C624" t="str">
            <v>set</v>
          </cell>
          <cell r="D624">
            <v>1652.625</v>
          </cell>
          <cell r="E624">
            <v>0.5</v>
          </cell>
        </row>
        <row r="625">
          <cell r="B625" t="str">
            <v>Wooden trawel</v>
          </cell>
          <cell r="C625" t="str">
            <v>pc</v>
          </cell>
          <cell r="D625">
            <v>136.36274999999998</v>
          </cell>
          <cell r="E625">
            <v>0.8</v>
          </cell>
        </row>
        <row r="626">
          <cell r="B626" t="str">
            <v>Rammer 5kg</v>
          </cell>
          <cell r="C626" t="str">
            <v>pc</v>
          </cell>
          <cell r="D626">
            <v>330.52499999999998</v>
          </cell>
          <cell r="E626">
            <v>5</v>
          </cell>
        </row>
        <row r="627">
          <cell r="B627" t="str">
            <v>+GF+Thread teeth 1" set</v>
          </cell>
          <cell r="C627" t="str">
            <v>set</v>
          </cell>
          <cell r="D627">
            <v>678</v>
          </cell>
          <cell r="E627">
            <v>0.2</v>
          </cell>
        </row>
        <row r="628">
          <cell r="B628" t="str">
            <v>Pipe bending machine set</v>
          </cell>
          <cell r="C628" t="str">
            <v>set</v>
          </cell>
          <cell r="D628">
            <v>5000.25</v>
          </cell>
          <cell r="E628">
            <v>12</v>
          </cell>
        </row>
        <row r="629">
          <cell r="B629" t="str">
            <v>+GF+Thread teeth 1½" set</v>
          </cell>
          <cell r="C629" t="str">
            <v>set</v>
          </cell>
          <cell r="D629">
            <v>932.25</v>
          </cell>
          <cell r="E629">
            <v>0.3</v>
          </cell>
        </row>
        <row r="630">
          <cell r="B630" t="str">
            <v>+GF+Thread teeth ½" set</v>
          </cell>
          <cell r="C630" t="str">
            <v>set</v>
          </cell>
          <cell r="D630">
            <v>1050.9000000000001</v>
          </cell>
          <cell r="E630">
            <v>0.2</v>
          </cell>
        </row>
        <row r="631">
          <cell r="B631" t="str">
            <v>+GF+Thread teeth 2" set</v>
          </cell>
          <cell r="C631" t="str">
            <v>set</v>
          </cell>
          <cell r="D631">
            <v>508.5</v>
          </cell>
          <cell r="E631">
            <v>0.3</v>
          </cell>
        </row>
        <row r="632">
          <cell r="B632" t="str">
            <v>Virex pipe cutter ½"- 2"</v>
          </cell>
          <cell r="C632" t="str">
            <v>pc</v>
          </cell>
          <cell r="D632">
            <v>1474.1999999999998</v>
          </cell>
        </row>
        <row r="633">
          <cell r="B633" t="str">
            <v xml:space="preserve">Virex pipe cutter wheel </v>
          </cell>
          <cell r="C633" t="str">
            <v>pc</v>
          </cell>
          <cell r="D633">
            <v>1050</v>
          </cell>
        </row>
        <row r="634">
          <cell r="B634" t="str">
            <v>Die set teeth 1¼"</v>
          </cell>
          <cell r="C634" t="str">
            <v>set</v>
          </cell>
          <cell r="D634">
            <v>600</v>
          </cell>
        </row>
        <row r="635">
          <cell r="B635" t="str">
            <v>Pipe cutter chinese ½"-3"</v>
          </cell>
          <cell r="C635" t="str">
            <v>pc</v>
          </cell>
          <cell r="D635">
            <v>7762.5</v>
          </cell>
        </row>
        <row r="636">
          <cell r="B636" t="str">
            <v>Tabel vice with table</v>
          </cell>
          <cell r="C636" t="str">
            <v>set</v>
          </cell>
          <cell r="D636">
            <v>6000</v>
          </cell>
        </row>
        <row r="637">
          <cell r="B637" t="str">
            <v>Threader Head 1½"-2"</v>
          </cell>
          <cell r="C637" t="str">
            <v>set</v>
          </cell>
          <cell r="D637">
            <v>3644.25</v>
          </cell>
          <cell r="E637">
            <v>2</v>
          </cell>
        </row>
        <row r="638">
          <cell r="B638" t="str">
            <v>Pipe wrench viragrip 2"</v>
          </cell>
          <cell r="C638" t="str">
            <v>pc</v>
          </cell>
          <cell r="D638">
            <v>5932.5</v>
          </cell>
          <cell r="E638">
            <v>5</v>
          </cell>
        </row>
        <row r="639">
          <cell r="B639" t="str">
            <v>Pipe wrench viragrip 2½"</v>
          </cell>
          <cell r="C639" t="str">
            <v>pc</v>
          </cell>
          <cell r="D639">
            <v>7627.5</v>
          </cell>
          <cell r="E639">
            <v>18</v>
          </cell>
        </row>
        <row r="640">
          <cell r="B640" t="str">
            <v>Pipe wrench viragrip 3"</v>
          </cell>
          <cell r="C640" t="str">
            <v>pc</v>
          </cell>
          <cell r="D640">
            <v>9322.5</v>
          </cell>
          <cell r="E640">
            <v>20</v>
          </cell>
        </row>
        <row r="641">
          <cell r="B641" t="str">
            <v>Virax Etaugriff clamp</v>
          </cell>
          <cell r="C641" t="str">
            <v>set</v>
          </cell>
          <cell r="D641">
            <v>14943.119999999999</v>
          </cell>
          <cell r="E641">
            <v>15</v>
          </cell>
        </row>
        <row r="642">
          <cell r="B642" t="str">
            <v>Meter box</v>
          </cell>
          <cell r="C642" t="str">
            <v>pc</v>
          </cell>
          <cell r="D642">
            <v>364.42499999999995</v>
          </cell>
          <cell r="E642">
            <v>3</v>
          </cell>
        </row>
        <row r="643">
          <cell r="B643" t="str">
            <v>Cement plastice bag</v>
          </cell>
          <cell r="C643" t="str">
            <v>pc</v>
          </cell>
          <cell r="D643">
            <v>28.815000000000001</v>
          </cell>
          <cell r="E643">
            <v>0.02</v>
          </cell>
        </row>
        <row r="644">
          <cell r="B644" t="str">
            <v>Thread cut machine 1¼'-2"</v>
          </cell>
          <cell r="C644" t="str">
            <v>pc</v>
          </cell>
          <cell r="D644">
            <v>2049.2550000000001</v>
          </cell>
          <cell r="E644">
            <v>3</v>
          </cell>
        </row>
        <row r="645">
          <cell r="B645" t="str">
            <v>Pipe vice ½"-3"</v>
          </cell>
          <cell r="C645" t="str">
            <v>pc</v>
          </cell>
          <cell r="D645">
            <v>2084.8500000000004</v>
          </cell>
          <cell r="E645">
            <v>2</v>
          </cell>
        </row>
        <row r="646">
          <cell r="B646" t="str">
            <v>Thread cut machine ½''-1"</v>
          </cell>
          <cell r="C646" t="str">
            <v>pc</v>
          </cell>
          <cell r="D646">
            <v>2542.5</v>
          </cell>
          <cell r="E646">
            <v>0</v>
          </cell>
        </row>
        <row r="647">
          <cell r="B647" t="str">
            <v>Spade</v>
          </cell>
          <cell r="C647" t="str">
            <v>pc</v>
          </cell>
          <cell r="D647">
            <v>150</v>
          </cell>
        </row>
        <row r="648">
          <cell r="B648" t="str">
            <v>Steel mould for lid</v>
          </cell>
          <cell r="C648" t="str">
            <v>pc</v>
          </cell>
          <cell r="D648">
            <v>900</v>
          </cell>
        </row>
        <row r="649">
          <cell r="B649" t="str">
            <v>Steel mould for tank</v>
          </cell>
          <cell r="C649" t="str">
            <v>pc</v>
          </cell>
          <cell r="D649">
            <v>5940</v>
          </cell>
        </row>
        <row r="650">
          <cell r="B650" t="str">
            <v>Crow hammer</v>
          </cell>
          <cell r="C650" t="str">
            <v>pc</v>
          </cell>
          <cell r="D650">
            <v>150</v>
          </cell>
        </row>
        <row r="651">
          <cell r="B651" t="str">
            <v>Pipe wrench 12"</v>
          </cell>
          <cell r="C651" t="str">
            <v>pc</v>
          </cell>
          <cell r="D651">
            <v>322.5</v>
          </cell>
        </row>
        <row r="652">
          <cell r="B652" t="str">
            <v>Measuring Tape 5mtr</v>
          </cell>
          <cell r="C652" t="str">
            <v>pc</v>
          </cell>
          <cell r="D652">
            <v>112.5</v>
          </cell>
        </row>
        <row r="653">
          <cell r="B653" t="str">
            <v>Joot Bag</v>
          </cell>
          <cell r="C653" t="str">
            <v>pc</v>
          </cell>
          <cell r="D653">
            <v>60</v>
          </cell>
        </row>
        <row r="654">
          <cell r="B654" t="str">
            <v>Washer Holder</v>
          </cell>
          <cell r="C654" t="str">
            <v>pc</v>
          </cell>
          <cell r="D654">
            <v>15</v>
          </cell>
        </row>
      </sheetData>
      <sheetData sheetId="13" refreshError="1">
        <row r="6">
          <cell r="A6" t="str">
            <v>Item Code</v>
          </cell>
          <cell r="G6" t="str">
            <v>SPIN-I-1</v>
          </cell>
          <cell r="H6" t="str">
            <v>SPIN-I-2</v>
          </cell>
          <cell r="I6" t="str">
            <v>SPIN-I-3</v>
          </cell>
          <cell r="J6" t="str">
            <v>SPIN-I-4</v>
          </cell>
          <cell r="K6" t="str">
            <v>SPIN-I-5</v>
          </cell>
          <cell r="L6" t="str">
            <v>IN-C-I</v>
          </cell>
          <cell r="M6" t="str">
            <v>IN-C-II</v>
          </cell>
          <cell r="N6" t="str">
            <v>IN-C-III</v>
          </cell>
          <cell r="O6" t="str">
            <v>IN-C-IV</v>
          </cell>
          <cell r="P6" t="str">
            <v>IN-C-V</v>
          </cell>
          <cell r="Q6" t="str">
            <v>IN-C-VI</v>
          </cell>
          <cell r="R6" t="str">
            <v>IN-C-VII</v>
          </cell>
          <cell r="S6" t="str">
            <v>IN-C-VIII</v>
          </cell>
          <cell r="T6" t="str">
            <v>IN-C-IX</v>
          </cell>
          <cell r="U6" t="str">
            <v>IN-C-X</v>
          </cell>
          <cell r="V6" t="str">
            <v>FCT-T1.5G</v>
          </cell>
          <cell r="W6" t="str">
            <v>FCT-T2.5G</v>
          </cell>
          <cell r="X6" t="str">
            <v>FCT-T5.0G</v>
          </cell>
          <cell r="Y6" t="str">
            <v>FCT-T1.5P</v>
          </cell>
          <cell r="Z6" t="str">
            <v>FCT-T2.5P</v>
          </cell>
          <cell r="AA6" t="str">
            <v>FCT-T5.0P</v>
          </cell>
          <cell r="AB6" t="str">
            <v>ST-G</v>
          </cell>
          <cell r="AC6" t="str">
            <v>FCT_H1.5G</v>
          </cell>
          <cell r="AD6" t="str">
            <v>FCT_H2.5G</v>
          </cell>
          <cell r="AE6" t="str">
            <v>FCT_H5G</v>
          </cell>
          <cell r="AF6" t="str">
            <v>FCT_H10G</v>
          </cell>
          <cell r="AG6" t="str">
            <v>FCT_H20G</v>
          </cell>
          <cell r="AH6" t="str">
            <v>FCT_H1.5P</v>
          </cell>
          <cell r="AI6" t="str">
            <v>FCT_H2.5P</v>
          </cell>
          <cell r="AJ6" t="str">
            <v>FCT_H5P</v>
          </cell>
          <cell r="AK6" t="str">
            <v>FCT_H10P</v>
          </cell>
          <cell r="AL6" t="str">
            <v>FCT_H20P</v>
          </cell>
          <cell r="AM6" t="str">
            <v>FCT_1G</v>
          </cell>
          <cell r="AN6" t="str">
            <v>FCT_2G</v>
          </cell>
          <cell r="AO6" t="str">
            <v>FCT_3G</v>
          </cell>
          <cell r="AP6" t="str">
            <v>FCT_4G</v>
          </cell>
          <cell r="AQ6" t="str">
            <v>FCT_5G</v>
          </cell>
          <cell r="AR6" t="str">
            <v>FCT_6G</v>
          </cell>
          <cell r="AS6" t="str">
            <v>FCT_7G</v>
          </cell>
          <cell r="AT6" t="str">
            <v>FCT_8G</v>
          </cell>
          <cell r="AU6" t="str">
            <v>FCT_9G</v>
          </cell>
          <cell r="AV6" t="str">
            <v>FCT_10G</v>
          </cell>
          <cell r="AW6" t="str">
            <v>FCT_12G</v>
          </cell>
          <cell r="AX6" t="str">
            <v>FCT_14G</v>
          </cell>
          <cell r="AY6" t="str">
            <v>FCT_16G</v>
          </cell>
          <cell r="AZ6" t="str">
            <v>FCT_18G</v>
          </cell>
          <cell r="BA6" t="str">
            <v>FCT_20G</v>
          </cell>
          <cell r="BB6" t="str">
            <v>CC-G</v>
          </cell>
          <cell r="BC6" t="str">
            <v>CC-P</v>
          </cell>
          <cell r="BD6" t="str">
            <v>BPT-MG</v>
          </cell>
          <cell r="BE6" t="str">
            <v>BPT-MP</v>
          </cell>
          <cell r="BF6" t="str">
            <v>BPT-PG</v>
          </cell>
          <cell r="BG6" t="str">
            <v>BPT-PP</v>
          </cell>
          <cell r="BH6" t="str">
            <v>IC-MG</v>
          </cell>
          <cell r="BI6" t="str">
            <v>IC-MP</v>
          </cell>
          <cell r="BJ6" t="str">
            <v>IC-PG</v>
          </cell>
          <cell r="BK6" t="str">
            <v>IC-PP</v>
          </cell>
          <cell r="BL6" t="str">
            <v>DC-MG</v>
          </cell>
          <cell r="BM6" t="str">
            <v>DC-MP</v>
          </cell>
          <cell r="BN6" t="str">
            <v>AVC-MG</v>
          </cell>
          <cell r="BO6" t="str">
            <v>AVC-MP</v>
          </cell>
          <cell r="BP6" t="str">
            <v>SVC-MG</v>
          </cell>
          <cell r="BQ6" t="str">
            <v>SVC-MP</v>
          </cell>
          <cell r="BR6" t="str">
            <v>SVC-PG</v>
          </cell>
          <cell r="BS6" t="str">
            <v>SVC-PP</v>
          </cell>
          <cell r="BT6" t="str">
            <v>WVC-MG</v>
          </cell>
          <cell r="BU6" t="str">
            <v>WVC-MP</v>
          </cell>
          <cell r="BV6" t="str">
            <v>WVC-PG</v>
          </cell>
          <cell r="BW6" t="str">
            <v>WVC-PP</v>
          </cell>
          <cell r="BX6" t="str">
            <v>Tap-AG</v>
          </cell>
          <cell r="BY6" t="str">
            <v>Tap-BG</v>
          </cell>
          <cell r="BZ6" t="str">
            <v>Tap-CG</v>
          </cell>
          <cell r="CA6" t="str">
            <v>Tap-MG</v>
          </cell>
          <cell r="CB6" t="str">
            <v>Tap-AP</v>
          </cell>
          <cell r="CC6" t="str">
            <v>Tap-BP</v>
          </cell>
          <cell r="CD6" t="str">
            <v>Tap-CP</v>
          </cell>
          <cell r="CE6" t="str">
            <v>Tap-MP</v>
          </cell>
          <cell r="CF6" t="str">
            <v>Tap-RG</v>
          </cell>
          <cell r="CG6" t="str">
            <v>Tap-RP</v>
          </cell>
          <cell r="CH6" t="str">
            <v>Solar Pump (1.5HP)</v>
          </cell>
          <cell r="CI6">
            <v>0</v>
          </cell>
          <cell r="CJ6">
            <v>0</v>
          </cell>
          <cell r="CK6" t="str">
            <v>CS-4 ()</v>
          </cell>
          <cell r="CL6" t="str">
            <v>CS-5 ()</v>
          </cell>
          <cell r="CM6" t="str">
            <v>CS-6 ()</v>
          </cell>
          <cell r="CN6" t="str">
            <v>CS-7 ()</v>
          </cell>
          <cell r="CO6" t="str">
            <v>CS-8 ()</v>
          </cell>
          <cell r="CP6" t="str">
            <v>CS-9 ()</v>
          </cell>
          <cell r="CQ6" t="str">
            <v>CS-10 ()</v>
          </cell>
          <cell r="CR6" t="str">
            <v>Angle Poles</v>
          </cell>
          <cell r="CS6" t="str">
            <v>Bracing Pole</v>
          </cell>
          <cell r="CT6" t="str">
            <v>public auditing</v>
          </cell>
          <cell r="CU6" t="str">
            <v>Total Quantity</v>
          </cell>
          <cell r="CV6" t="str">
            <v>Cost</v>
          </cell>
          <cell r="CW6" t="str">
            <v>Total Weight</v>
          </cell>
          <cell r="CX6" t="str">
            <v>Angle Poles Cost/pc</v>
          </cell>
          <cell r="CY6" t="str">
            <v>Bracing Pole Cost/pc</v>
          </cell>
        </row>
        <row r="7">
          <cell r="G7">
            <v>1</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1</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cell r="AV7">
            <v>0</v>
          </cell>
          <cell r="AW7">
            <v>0</v>
          </cell>
          <cell r="AX7">
            <v>0</v>
          </cell>
          <cell r="AY7">
            <v>0</v>
          </cell>
          <cell r="AZ7">
            <v>0</v>
          </cell>
          <cell r="BA7">
            <v>0</v>
          </cell>
          <cell r="BB7">
            <v>1</v>
          </cell>
          <cell r="BC7">
            <v>0</v>
          </cell>
          <cell r="BD7">
            <v>0</v>
          </cell>
          <cell r="BE7">
            <v>0</v>
          </cell>
          <cell r="BF7">
            <v>0</v>
          </cell>
          <cell r="BG7">
            <v>0</v>
          </cell>
          <cell r="BH7">
            <v>0</v>
          </cell>
          <cell r="BI7">
            <v>0</v>
          </cell>
          <cell r="BJ7">
            <v>0</v>
          </cell>
          <cell r="BK7">
            <v>0</v>
          </cell>
          <cell r="BL7">
            <v>2</v>
          </cell>
          <cell r="BM7">
            <v>0</v>
          </cell>
          <cell r="BN7">
            <v>0</v>
          </cell>
          <cell r="BO7">
            <v>0</v>
          </cell>
          <cell r="BP7">
            <v>1</v>
          </cell>
          <cell r="BQ7">
            <v>0</v>
          </cell>
          <cell r="BR7">
            <v>0</v>
          </cell>
          <cell r="BS7">
            <v>0</v>
          </cell>
          <cell r="BT7">
            <v>1</v>
          </cell>
          <cell r="BU7">
            <v>0</v>
          </cell>
          <cell r="BV7">
            <v>0</v>
          </cell>
          <cell r="BW7">
            <v>0</v>
          </cell>
          <cell r="BX7">
            <v>16</v>
          </cell>
          <cell r="BY7">
            <v>0</v>
          </cell>
          <cell r="BZ7">
            <v>0</v>
          </cell>
          <cell r="CA7">
            <v>0</v>
          </cell>
          <cell r="CB7">
            <v>0</v>
          </cell>
          <cell r="CC7">
            <v>0</v>
          </cell>
          <cell r="CD7">
            <v>0</v>
          </cell>
          <cell r="CE7">
            <v>0</v>
          </cell>
          <cell r="CF7">
            <v>0</v>
          </cell>
          <cell r="CG7">
            <v>0</v>
          </cell>
          <cell r="CH7">
            <v>2</v>
          </cell>
          <cell r="CI7">
            <v>0</v>
          </cell>
          <cell r="CJ7">
            <v>0</v>
          </cell>
          <cell r="CK7">
            <v>0</v>
          </cell>
          <cell r="CL7">
            <v>0</v>
          </cell>
          <cell r="CM7">
            <v>0</v>
          </cell>
          <cell r="CN7">
            <v>0</v>
          </cell>
          <cell r="CO7">
            <v>0</v>
          </cell>
          <cell r="CP7">
            <v>0</v>
          </cell>
          <cell r="CQ7">
            <v>0</v>
          </cell>
          <cell r="CR7">
            <v>32</v>
          </cell>
          <cell r="CS7">
            <v>32</v>
          </cell>
          <cell r="CT7">
            <v>1</v>
          </cell>
          <cell r="CX7">
            <v>193.38</v>
          </cell>
          <cell r="CY7">
            <v>127.1</v>
          </cell>
        </row>
        <row r="8">
          <cell r="A8" t="str">
            <v>I</v>
          </cell>
          <cell r="CH8">
            <v>1000000</v>
          </cell>
          <cell r="CV8">
            <v>2000000</v>
          </cell>
        </row>
        <row r="10">
          <cell r="A10" t="str">
            <v>BT200-15</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cell r="CC10">
            <v>0</v>
          </cell>
          <cell r="CD10">
            <v>0</v>
          </cell>
          <cell r="CE10">
            <v>0</v>
          </cell>
          <cell r="CF10">
            <v>0</v>
          </cell>
          <cell r="CG10">
            <v>0</v>
          </cell>
          <cell r="CH10">
            <v>0</v>
          </cell>
          <cell r="CI10">
            <v>0</v>
          </cell>
          <cell r="CJ10">
            <v>0</v>
          </cell>
          <cell r="CK10">
            <v>0</v>
          </cell>
          <cell r="CL10">
            <v>0</v>
          </cell>
          <cell r="CM10">
            <v>0</v>
          </cell>
          <cell r="CN10">
            <v>0</v>
          </cell>
          <cell r="CO10">
            <v>0</v>
          </cell>
          <cell r="CP10">
            <v>0</v>
          </cell>
          <cell r="CQ10">
            <v>0</v>
          </cell>
          <cell r="CU10">
            <v>0</v>
          </cell>
          <cell r="CV10">
            <v>0</v>
          </cell>
          <cell r="CW10">
            <v>0</v>
          </cell>
          <cell r="CZ10" t="str">
            <v>s</v>
          </cell>
        </row>
        <row r="11">
          <cell r="A11" t="str">
            <v>BT400-15</v>
          </cell>
          <cell r="G11">
            <v>1</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16</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U11">
            <v>17</v>
          </cell>
          <cell r="CV11">
            <v>11050</v>
          </cell>
          <cell r="CW11">
            <v>6.8000000000000007</v>
          </cell>
          <cell r="CZ11" t="str">
            <v>s</v>
          </cell>
        </row>
        <row r="12">
          <cell r="A12" t="str">
            <v>BT300-15</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U12">
            <v>0</v>
          </cell>
          <cell r="CV12">
            <v>0</v>
          </cell>
          <cell r="CW12">
            <v>0</v>
          </cell>
          <cell r="CZ12" t="str">
            <v>s</v>
          </cell>
        </row>
        <row r="13">
          <cell r="A13" t="str">
            <v>M-02</v>
          </cell>
          <cell r="G13">
            <v>1.5793075000000001</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4.51</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2.25</v>
          </cell>
          <cell r="BC13">
            <v>0</v>
          </cell>
          <cell r="BD13">
            <v>0</v>
          </cell>
          <cell r="BE13">
            <v>0</v>
          </cell>
          <cell r="BF13">
            <v>0</v>
          </cell>
          <cell r="BG13">
            <v>0</v>
          </cell>
          <cell r="BH13">
            <v>0</v>
          </cell>
          <cell r="BI13">
            <v>0</v>
          </cell>
          <cell r="BJ13">
            <v>0</v>
          </cell>
          <cell r="BK13">
            <v>0</v>
          </cell>
          <cell r="BL13">
            <v>4.5</v>
          </cell>
          <cell r="BM13">
            <v>0</v>
          </cell>
          <cell r="BN13">
            <v>0</v>
          </cell>
          <cell r="BO13">
            <v>0</v>
          </cell>
          <cell r="BP13">
            <v>1.06</v>
          </cell>
          <cell r="BQ13">
            <v>0</v>
          </cell>
          <cell r="BR13">
            <v>0</v>
          </cell>
          <cell r="BS13">
            <v>0</v>
          </cell>
          <cell r="BT13">
            <v>1.06</v>
          </cell>
          <cell r="BU13">
            <v>0</v>
          </cell>
          <cell r="BV13">
            <v>0</v>
          </cell>
          <cell r="BW13">
            <v>0</v>
          </cell>
          <cell r="BX13">
            <v>20.64</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0.28799999999999998</v>
          </cell>
          <cell r="CS13">
            <v>0.192</v>
          </cell>
          <cell r="CU13">
            <v>36.079307499999999</v>
          </cell>
          <cell r="CV13">
            <v>18039.653749999998</v>
          </cell>
          <cell r="CW13">
            <v>0</v>
          </cell>
          <cell r="CX13">
            <v>4.5</v>
          </cell>
          <cell r="CY13">
            <v>3</v>
          </cell>
        </row>
        <row r="14">
          <cell r="A14" t="str">
            <v>M-03</v>
          </cell>
          <cell r="G14">
            <v>8.5052500000000002</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4.3499999999999996</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3.4</v>
          </cell>
          <cell r="BC14">
            <v>0</v>
          </cell>
          <cell r="BD14">
            <v>0</v>
          </cell>
          <cell r="BE14">
            <v>0</v>
          </cell>
          <cell r="BF14">
            <v>0</v>
          </cell>
          <cell r="BG14">
            <v>0</v>
          </cell>
          <cell r="BH14">
            <v>0</v>
          </cell>
          <cell r="BI14">
            <v>0</v>
          </cell>
          <cell r="BJ14">
            <v>0</v>
          </cell>
          <cell r="BK14">
            <v>0</v>
          </cell>
          <cell r="BL14">
            <v>6.8</v>
          </cell>
          <cell r="BM14">
            <v>0</v>
          </cell>
          <cell r="BN14">
            <v>0</v>
          </cell>
          <cell r="BO14">
            <v>0</v>
          </cell>
          <cell r="BP14">
            <v>1.8</v>
          </cell>
          <cell r="BQ14">
            <v>0</v>
          </cell>
          <cell r="BR14">
            <v>0</v>
          </cell>
          <cell r="BS14">
            <v>0</v>
          </cell>
          <cell r="BT14">
            <v>1.8</v>
          </cell>
          <cell r="BU14">
            <v>0</v>
          </cell>
          <cell r="BV14">
            <v>0</v>
          </cell>
          <cell r="BW14">
            <v>0</v>
          </cell>
          <cell r="BX14">
            <v>29.12</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U14">
            <v>55.77525</v>
          </cell>
          <cell r="CV14">
            <v>34859.53125</v>
          </cell>
          <cell r="CW14">
            <v>0</v>
          </cell>
        </row>
        <row r="15">
          <cell r="A15" t="str">
            <v>M-04</v>
          </cell>
          <cell r="G15">
            <v>0.30052499999999999</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0.59</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0.34</v>
          </cell>
          <cell r="BC15">
            <v>0</v>
          </cell>
          <cell r="BD15">
            <v>0</v>
          </cell>
          <cell r="BE15">
            <v>0</v>
          </cell>
          <cell r="BF15">
            <v>0</v>
          </cell>
          <cell r="BG15">
            <v>0</v>
          </cell>
          <cell r="BH15">
            <v>0</v>
          </cell>
          <cell r="BI15">
            <v>0</v>
          </cell>
          <cell r="BJ15">
            <v>0</v>
          </cell>
          <cell r="BK15">
            <v>0</v>
          </cell>
          <cell r="BL15">
            <v>0.68</v>
          </cell>
          <cell r="BM15">
            <v>0</v>
          </cell>
          <cell r="BN15">
            <v>0</v>
          </cell>
          <cell r="BO15">
            <v>0</v>
          </cell>
          <cell r="BP15">
            <v>0.2</v>
          </cell>
          <cell r="BQ15">
            <v>0</v>
          </cell>
          <cell r="BR15">
            <v>0</v>
          </cell>
          <cell r="BS15">
            <v>0</v>
          </cell>
          <cell r="BT15">
            <v>0.2</v>
          </cell>
          <cell r="BU15">
            <v>0</v>
          </cell>
          <cell r="BV15">
            <v>0</v>
          </cell>
          <cell r="BW15">
            <v>0</v>
          </cell>
          <cell r="BX15">
            <v>3.2</v>
          </cell>
          <cell r="BY15">
            <v>0</v>
          </cell>
          <cell r="BZ15">
            <v>0</v>
          </cell>
          <cell r="CA15">
            <v>0</v>
          </cell>
          <cell r="CB15">
            <v>0</v>
          </cell>
          <cell r="CC15">
            <v>0</v>
          </cell>
          <cell r="CD15">
            <v>0</v>
          </cell>
          <cell r="CE15">
            <v>0</v>
          </cell>
          <cell r="CF15">
            <v>0</v>
          </cell>
          <cell r="CG15">
            <v>0</v>
          </cell>
          <cell r="CH15">
            <v>0</v>
          </cell>
          <cell r="CI15">
            <v>0</v>
          </cell>
          <cell r="CJ15">
            <v>0</v>
          </cell>
          <cell r="CK15">
            <v>0</v>
          </cell>
          <cell r="CL15">
            <v>0</v>
          </cell>
          <cell r="CM15">
            <v>0</v>
          </cell>
          <cell r="CN15">
            <v>0</v>
          </cell>
          <cell r="CO15">
            <v>0</v>
          </cell>
          <cell r="CP15">
            <v>0</v>
          </cell>
          <cell r="CQ15">
            <v>0</v>
          </cell>
          <cell r="CU15">
            <v>5.5105250000000012</v>
          </cell>
          <cell r="CV15">
            <v>3444.0781250000009</v>
          </cell>
          <cell r="CW15">
            <v>0</v>
          </cell>
        </row>
        <row r="16">
          <cell r="A16" t="str">
            <v>M-05</v>
          </cell>
          <cell r="G16">
            <v>0.12587999999999999</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0.15</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0.11</v>
          </cell>
          <cell r="BC16">
            <v>0</v>
          </cell>
          <cell r="BD16">
            <v>0</v>
          </cell>
          <cell r="BE16">
            <v>0</v>
          </cell>
          <cell r="BF16">
            <v>0</v>
          </cell>
          <cell r="BG16">
            <v>0</v>
          </cell>
          <cell r="BH16">
            <v>0</v>
          </cell>
          <cell r="BI16">
            <v>0</v>
          </cell>
          <cell r="BJ16">
            <v>0</v>
          </cell>
          <cell r="BK16">
            <v>0</v>
          </cell>
          <cell r="BL16">
            <v>0.22</v>
          </cell>
          <cell r="BM16">
            <v>0</v>
          </cell>
          <cell r="BN16">
            <v>0</v>
          </cell>
          <cell r="BO16">
            <v>0</v>
          </cell>
          <cell r="BP16">
            <v>0.03</v>
          </cell>
          <cell r="BQ16">
            <v>0</v>
          </cell>
          <cell r="BR16">
            <v>0</v>
          </cell>
          <cell r="BS16">
            <v>0</v>
          </cell>
          <cell r="BT16">
            <v>0.03</v>
          </cell>
          <cell r="BU16">
            <v>0</v>
          </cell>
          <cell r="BV16">
            <v>0</v>
          </cell>
          <cell r="BW16">
            <v>0</v>
          </cell>
          <cell r="BX16">
            <v>1.1200000000000001</v>
          </cell>
          <cell r="BY16">
            <v>0</v>
          </cell>
          <cell r="BZ16">
            <v>0</v>
          </cell>
          <cell r="CA16">
            <v>0</v>
          </cell>
          <cell r="CB16">
            <v>0</v>
          </cell>
          <cell r="CC16">
            <v>0</v>
          </cell>
          <cell r="CD16">
            <v>0</v>
          </cell>
          <cell r="CE16">
            <v>0</v>
          </cell>
          <cell r="CF16">
            <v>0</v>
          </cell>
          <cell r="CG16">
            <v>0</v>
          </cell>
          <cell r="CH16">
            <v>0</v>
          </cell>
          <cell r="CI16">
            <v>0</v>
          </cell>
          <cell r="CJ16">
            <v>0</v>
          </cell>
          <cell r="CK16">
            <v>0</v>
          </cell>
          <cell r="CL16">
            <v>0</v>
          </cell>
          <cell r="CM16">
            <v>0</v>
          </cell>
          <cell r="CN16">
            <v>0</v>
          </cell>
          <cell r="CO16">
            <v>0</v>
          </cell>
          <cell r="CP16">
            <v>0</v>
          </cell>
          <cell r="CQ16">
            <v>0</v>
          </cell>
          <cell r="CR16">
            <v>6.4000000000000001E-2</v>
          </cell>
          <cell r="CS16">
            <v>3.2000000000000001E-2</v>
          </cell>
          <cell r="CU16">
            <v>1.8818800000000002</v>
          </cell>
          <cell r="CV16">
            <v>12232.220000000001</v>
          </cell>
          <cell r="CW16">
            <v>0</v>
          </cell>
          <cell r="CX16">
            <v>13</v>
          </cell>
          <cell r="CY16">
            <v>6.5</v>
          </cell>
        </row>
        <row r="17">
          <cell r="A17" t="str">
            <v>M-06</v>
          </cell>
          <cell r="G17">
            <v>0.25175999999999998</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0.32</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0.22</v>
          </cell>
          <cell r="BC17">
            <v>0</v>
          </cell>
          <cell r="BD17">
            <v>0</v>
          </cell>
          <cell r="BE17">
            <v>0</v>
          </cell>
          <cell r="BF17">
            <v>0</v>
          </cell>
          <cell r="BG17">
            <v>0</v>
          </cell>
          <cell r="BH17">
            <v>0</v>
          </cell>
          <cell r="BI17">
            <v>0</v>
          </cell>
          <cell r="BJ17">
            <v>0</v>
          </cell>
          <cell r="BK17">
            <v>0</v>
          </cell>
          <cell r="BL17">
            <v>0.44</v>
          </cell>
          <cell r="BM17">
            <v>0</v>
          </cell>
          <cell r="BN17">
            <v>0</v>
          </cell>
          <cell r="BO17">
            <v>0</v>
          </cell>
          <cell r="BP17">
            <v>0.06</v>
          </cell>
          <cell r="BQ17">
            <v>0</v>
          </cell>
          <cell r="BR17">
            <v>0</v>
          </cell>
          <cell r="BS17">
            <v>0</v>
          </cell>
          <cell r="BT17">
            <v>0.06</v>
          </cell>
          <cell r="BU17">
            <v>0</v>
          </cell>
          <cell r="BV17">
            <v>0</v>
          </cell>
          <cell r="BW17">
            <v>0</v>
          </cell>
          <cell r="BX17">
            <v>2.08</v>
          </cell>
          <cell r="BY17">
            <v>0</v>
          </cell>
          <cell r="BZ17">
            <v>0</v>
          </cell>
          <cell r="CA17">
            <v>0</v>
          </cell>
          <cell r="CB17">
            <v>0</v>
          </cell>
          <cell r="CC17">
            <v>0</v>
          </cell>
          <cell r="CD17">
            <v>0</v>
          </cell>
          <cell r="CE17">
            <v>0</v>
          </cell>
          <cell r="CF17">
            <v>0</v>
          </cell>
          <cell r="CG17">
            <v>0</v>
          </cell>
          <cell r="CH17">
            <v>0</v>
          </cell>
          <cell r="CI17">
            <v>0</v>
          </cell>
          <cell r="CJ17">
            <v>0</v>
          </cell>
          <cell r="CK17">
            <v>0</v>
          </cell>
          <cell r="CL17">
            <v>0</v>
          </cell>
          <cell r="CM17">
            <v>0</v>
          </cell>
          <cell r="CN17">
            <v>0</v>
          </cell>
          <cell r="CO17">
            <v>0</v>
          </cell>
          <cell r="CP17">
            <v>0</v>
          </cell>
          <cell r="CQ17">
            <v>0</v>
          </cell>
          <cell r="CR17">
            <v>0.128</v>
          </cell>
          <cell r="CS17">
            <v>9.6000000000000002E-2</v>
          </cell>
          <cell r="CU17">
            <v>3.6557600000000003</v>
          </cell>
          <cell r="CV17">
            <v>23762.440000000002</v>
          </cell>
          <cell r="CW17">
            <v>0</v>
          </cell>
          <cell r="CX17">
            <v>26</v>
          </cell>
          <cell r="CY17">
            <v>19.5</v>
          </cell>
        </row>
        <row r="18">
          <cell r="A18" t="str">
            <v>M-07</v>
          </cell>
          <cell r="G18">
            <v>0.51401000000000008</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0.74</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0.52</v>
          </cell>
          <cell r="BC18">
            <v>0</v>
          </cell>
          <cell r="BD18">
            <v>0</v>
          </cell>
          <cell r="BE18">
            <v>0</v>
          </cell>
          <cell r="BF18">
            <v>0</v>
          </cell>
          <cell r="BG18">
            <v>0</v>
          </cell>
          <cell r="BH18">
            <v>0</v>
          </cell>
          <cell r="BI18">
            <v>0</v>
          </cell>
          <cell r="BJ18">
            <v>0</v>
          </cell>
          <cell r="BK18">
            <v>0</v>
          </cell>
          <cell r="BL18">
            <v>1.04</v>
          </cell>
          <cell r="BM18">
            <v>0</v>
          </cell>
          <cell r="BN18">
            <v>0</v>
          </cell>
          <cell r="BO18">
            <v>0</v>
          </cell>
          <cell r="BP18">
            <v>0.15</v>
          </cell>
          <cell r="BQ18">
            <v>0</v>
          </cell>
          <cell r="BR18">
            <v>0</v>
          </cell>
          <cell r="BS18">
            <v>0</v>
          </cell>
          <cell r="BT18">
            <v>0.15</v>
          </cell>
          <cell r="BU18">
            <v>0</v>
          </cell>
          <cell r="BV18">
            <v>0</v>
          </cell>
          <cell r="BW18">
            <v>0</v>
          </cell>
          <cell r="BX18">
            <v>4.96</v>
          </cell>
          <cell r="BY18">
            <v>0</v>
          </cell>
          <cell r="BZ18">
            <v>0</v>
          </cell>
          <cell r="CA18">
            <v>0</v>
          </cell>
          <cell r="CB18">
            <v>0</v>
          </cell>
          <cell r="CC18">
            <v>0</v>
          </cell>
          <cell r="CD18">
            <v>0</v>
          </cell>
          <cell r="CE18">
            <v>0</v>
          </cell>
          <cell r="CF18">
            <v>0</v>
          </cell>
          <cell r="CG18">
            <v>0</v>
          </cell>
          <cell r="CH18">
            <v>0</v>
          </cell>
          <cell r="CI18">
            <v>0</v>
          </cell>
          <cell r="CJ18">
            <v>0</v>
          </cell>
          <cell r="CK18">
            <v>0</v>
          </cell>
          <cell r="CL18">
            <v>0</v>
          </cell>
          <cell r="CM18">
            <v>0</v>
          </cell>
          <cell r="CN18">
            <v>0</v>
          </cell>
          <cell r="CO18">
            <v>0</v>
          </cell>
          <cell r="CP18">
            <v>0</v>
          </cell>
          <cell r="CQ18">
            <v>0</v>
          </cell>
          <cell r="CR18">
            <v>0.32</v>
          </cell>
          <cell r="CS18">
            <v>0.192</v>
          </cell>
          <cell r="CU18">
            <v>8.5860099999999999</v>
          </cell>
          <cell r="CV18">
            <v>55809.065000000002</v>
          </cell>
          <cell r="CW18">
            <v>0</v>
          </cell>
          <cell r="CX18">
            <v>65</v>
          </cell>
          <cell r="CY18">
            <v>39</v>
          </cell>
        </row>
        <row r="19">
          <cell r="A19" t="str">
            <v>M-15</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10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U19">
            <v>10</v>
          </cell>
          <cell r="CV19">
            <v>3750</v>
          </cell>
          <cell r="CW19">
            <v>0</v>
          </cell>
        </row>
        <row r="20">
          <cell r="A20" t="str">
            <v>M-39</v>
          </cell>
          <cell r="G20">
            <v>0.18975</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7.0000000000000007E-2</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0.16</v>
          </cell>
          <cell r="BC20">
            <v>0</v>
          </cell>
          <cell r="BD20">
            <v>0</v>
          </cell>
          <cell r="BE20">
            <v>0</v>
          </cell>
          <cell r="BF20">
            <v>0</v>
          </cell>
          <cell r="BG20">
            <v>0</v>
          </cell>
          <cell r="BH20">
            <v>0</v>
          </cell>
          <cell r="BI20">
            <v>0</v>
          </cell>
          <cell r="BJ20">
            <v>0</v>
          </cell>
          <cell r="BK20">
            <v>0</v>
          </cell>
          <cell r="BL20">
            <v>0.32</v>
          </cell>
          <cell r="BM20">
            <v>0</v>
          </cell>
          <cell r="BN20">
            <v>0</v>
          </cell>
          <cell r="BO20">
            <v>0</v>
          </cell>
          <cell r="BP20">
            <v>0.08</v>
          </cell>
          <cell r="BQ20">
            <v>0</v>
          </cell>
          <cell r="BR20">
            <v>0</v>
          </cell>
          <cell r="BS20">
            <v>0</v>
          </cell>
          <cell r="BT20">
            <v>0.08</v>
          </cell>
          <cell r="BU20">
            <v>0</v>
          </cell>
          <cell r="BV20">
            <v>0</v>
          </cell>
          <cell r="BW20">
            <v>0</v>
          </cell>
          <cell r="BX20">
            <v>2.08</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U20">
            <v>2.9797500000000001</v>
          </cell>
          <cell r="CV20">
            <v>59595</v>
          </cell>
          <cell r="CW20">
            <v>0</v>
          </cell>
        </row>
        <row r="21">
          <cell r="CV21">
            <v>2222541.9881250001</v>
          </cell>
        </row>
        <row r="22">
          <cell r="A22" t="str">
            <v>II</v>
          </cell>
          <cell r="CV22" t="str">
            <v>a</v>
          </cell>
        </row>
        <row r="23">
          <cell r="A23" t="str">
            <v>L-1</v>
          </cell>
          <cell r="G23">
            <v>12.285641666666667</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63.54</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8</v>
          </cell>
          <cell r="BC23">
            <v>0</v>
          </cell>
          <cell r="BD23">
            <v>0</v>
          </cell>
          <cell r="BE23">
            <v>0</v>
          </cell>
          <cell r="BF23">
            <v>0</v>
          </cell>
          <cell r="BG23">
            <v>0</v>
          </cell>
          <cell r="BH23">
            <v>0</v>
          </cell>
          <cell r="BI23">
            <v>0</v>
          </cell>
          <cell r="BJ23">
            <v>0</v>
          </cell>
          <cell r="BK23">
            <v>0</v>
          </cell>
          <cell r="BL23">
            <v>16</v>
          </cell>
          <cell r="BM23">
            <v>0</v>
          </cell>
          <cell r="BN23">
            <v>0</v>
          </cell>
          <cell r="BO23">
            <v>0</v>
          </cell>
          <cell r="BP23">
            <v>3.1</v>
          </cell>
          <cell r="BQ23">
            <v>0</v>
          </cell>
          <cell r="BR23">
            <v>0</v>
          </cell>
          <cell r="BS23">
            <v>0</v>
          </cell>
          <cell r="BT23">
            <v>3.1</v>
          </cell>
          <cell r="BU23">
            <v>0</v>
          </cell>
          <cell r="BV23">
            <v>0</v>
          </cell>
          <cell r="BW23">
            <v>0</v>
          </cell>
          <cell r="BX23">
            <v>74.400000000000006</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0.51200000000000001</v>
          </cell>
          <cell r="CS23">
            <v>0.32</v>
          </cell>
          <cell r="CU23">
            <v>181.25764166666664</v>
          </cell>
          <cell r="CV23">
            <v>114192.31424999998</v>
          </cell>
          <cell r="CW23">
            <v>0</v>
          </cell>
          <cell r="CX23">
            <v>10.08</v>
          </cell>
          <cell r="CY23">
            <v>6.3</v>
          </cell>
        </row>
        <row r="24">
          <cell r="A24" t="str">
            <v>L-2</v>
          </cell>
          <cell r="G24">
            <v>37.041025416666663</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102.22</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31.7</v>
          </cell>
          <cell r="BC24">
            <v>0</v>
          </cell>
          <cell r="BD24">
            <v>0</v>
          </cell>
          <cell r="BE24">
            <v>0</v>
          </cell>
          <cell r="BF24">
            <v>0</v>
          </cell>
          <cell r="BG24">
            <v>0</v>
          </cell>
          <cell r="BH24">
            <v>0</v>
          </cell>
          <cell r="BI24">
            <v>0</v>
          </cell>
          <cell r="BJ24">
            <v>0</v>
          </cell>
          <cell r="BK24">
            <v>0</v>
          </cell>
          <cell r="BL24">
            <v>63.4</v>
          </cell>
          <cell r="BM24">
            <v>0</v>
          </cell>
          <cell r="BN24">
            <v>0</v>
          </cell>
          <cell r="BO24">
            <v>0</v>
          </cell>
          <cell r="BP24">
            <v>15.1</v>
          </cell>
          <cell r="BQ24">
            <v>0</v>
          </cell>
          <cell r="BR24">
            <v>0</v>
          </cell>
          <cell r="BS24">
            <v>0</v>
          </cell>
          <cell r="BT24">
            <v>15.1</v>
          </cell>
          <cell r="BU24">
            <v>0</v>
          </cell>
          <cell r="BV24">
            <v>0</v>
          </cell>
          <cell r="BW24">
            <v>0</v>
          </cell>
          <cell r="BX24">
            <v>245.76</v>
          </cell>
          <cell r="BY24">
            <v>0</v>
          </cell>
          <cell r="BZ24">
            <v>0</v>
          </cell>
          <cell r="CA24">
            <v>0</v>
          </cell>
          <cell r="CB24">
            <v>0</v>
          </cell>
          <cell r="CC24">
            <v>0</v>
          </cell>
          <cell r="CD24">
            <v>0</v>
          </cell>
          <cell r="CE24">
            <v>0</v>
          </cell>
          <cell r="CF24">
            <v>0</v>
          </cell>
          <cell r="CG24">
            <v>0</v>
          </cell>
          <cell r="CH24">
            <v>0</v>
          </cell>
          <cell r="CI24">
            <v>0</v>
          </cell>
          <cell r="CJ24">
            <v>0</v>
          </cell>
          <cell r="CK24">
            <v>0</v>
          </cell>
          <cell r="CL24">
            <v>0</v>
          </cell>
          <cell r="CM24">
            <v>0</v>
          </cell>
          <cell r="CN24">
            <v>0</v>
          </cell>
          <cell r="CO24">
            <v>0</v>
          </cell>
          <cell r="CP24">
            <v>0</v>
          </cell>
          <cell r="CQ24">
            <v>0</v>
          </cell>
          <cell r="CR24">
            <v>5.44</v>
          </cell>
          <cell r="CS24">
            <v>3.84</v>
          </cell>
          <cell r="CU24">
            <v>1957.6547754166666</v>
          </cell>
          <cell r="CV24">
            <v>861368.10118333332</v>
          </cell>
          <cell r="CW24">
            <v>0</v>
          </cell>
          <cell r="CX24">
            <v>74.800000000000011</v>
          </cell>
          <cell r="CY24">
            <v>52.8</v>
          </cell>
        </row>
        <row r="26">
          <cell r="CV26" t="str">
            <v>a</v>
          </cell>
        </row>
        <row r="27">
          <cell r="A27" t="str">
            <v>M-01</v>
          </cell>
          <cell r="G27">
            <v>16.638272499999999</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24</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13</v>
          </cell>
          <cell r="BC27">
            <v>0</v>
          </cell>
          <cell r="BD27">
            <v>0</v>
          </cell>
          <cell r="BE27">
            <v>0</v>
          </cell>
          <cell r="BF27">
            <v>0</v>
          </cell>
          <cell r="BG27">
            <v>0</v>
          </cell>
          <cell r="BH27">
            <v>0</v>
          </cell>
          <cell r="BI27">
            <v>0</v>
          </cell>
          <cell r="BJ27">
            <v>0</v>
          </cell>
          <cell r="BK27">
            <v>0</v>
          </cell>
          <cell r="BL27">
            <v>26</v>
          </cell>
          <cell r="BM27">
            <v>0</v>
          </cell>
          <cell r="BN27">
            <v>0</v>
          </cell>
          <cell r="BO27">
            <v>0</v>
          </cell>
          <cell r="BP27">
            <v>4</v>
          </cell>
          <cell r="BQ27">
            <v>0</v>
          </cell>
          <cell r="BR27">
            <v>0</v>
          </cell>
          <cell r="BS27">
            <v>0</v>
          </cell>
          <cell r="BT27">
            <v>4</v>
          </cell>
          <cell r="BU27">
            <v>0</v>
          </cell>
          <cell r="BV27">
            <v>0</v>
          </cell>
          <cell r="BW27">
            <v>0</v>
          </cell>
          <cell r="BX27">
            <v>104</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v>0</v>
          </cell>
          <cell r="CR27">
            <v>4.16</v>
          </cell>
          <cell r="CS27">
            <v>2.88</v>
          </cell>
          <cell r="CU27">
            <v>198.67827249999999</v>
          </cell>
          <cell r="CV27">
            <v>201459.76831499999</v>
          </cell>
          <cell r="CW27">
            <v>9933.9136249999992</v>
          </cell>
          <cell r="CX27">
            <v>131.82</v>
          </cell>
          <cell r="CY27">
            <v>91.259999999999991</v>
          </cell>
          <cell r="CZ27" t="str">
            <v>e</v>
          </cell>
        </row>
        <row r="28">
          <cell r="A28" t="str">
            <v>M-08</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0</v>
          </cell>
          <cell r="BN28">
            <v>0</v>
          </cell>
          <cell r="BO28">
            <v>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0</v>
          </cell>
          <cell r="CT28">
            <v>1</v>
          </cell>
          <cell r="CU28">
            <v>1</v>
          </cell>
          <cell r="CV28">
            <v>0</v>
          </cell>
          <cell r="CW28">
            <v>30</v>
          </cell>
          <cell r="CZ28" t="str">
            <v>d</v>
          </cell>
        </row>
        <row r="29">
          <cell r="A29" t="str">
            <v>M-09</v>
          </cell>
          <cell r="G29">
            <v>4.2</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6.6</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5.94</v>
          </cell>
          <cell r="BC29">
            <v>0</v>
          </cell>
          <cell r="BD29">
            <v>0</v>
          </cell>
          <cell r="BE29">
            <v>0</v>
          </cell>
          <cell r="BF29">
            <v>0</v>
          </cell>
          <cell r="BG29">
            <v>0</v>
          </cell>
          <cell r="BH29">
            <v>0</v>
          </cell>
          <cell r="BI29">
            <v>0</v>
          </cell>
          <cell r="BJ29">
            <v>0</v>
          </cell>
          <cell r="BK29">
            <v>0</v>
          </cell>
          <cell r="BL29">
            <v>11.88</v>
          </cell>
          <cell r="BM29">
            <v>0</v>
          </cell>
          <cell r="BN29">
            <v>0</v>
          </cell>
          <cell r="BO29">
            <v>0</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0</v>
          </cell>
          <cell r="CG29">
            <v>0</v>
          </cell>
          <cell r="CH29">
            <v>0</v>
          </cell>
          <cell r="CI29">
            <v>0</v>
          </cell>
          <cell r="CJ29">
            <v>0</v>
          </cell>
          <cell r="CK29">
            <v>0</v>
          </cell>
          <cell r="CL29">
            <v>0</v>
          </cell>
          <cell r="CM29">
            <v>0</v>
          </cell>
          <cell r="CN29">
            <v>0</v>
          </cell>
          <cell r="CO29">
            <v>0</v>
          </cell>
          <cell r="CP29">
            <v>0</v>
          </cell>
          <cell r="CQ29">
            <v>0</v>
          </cell>
          <cell r="CU29">
            <v>28.620000000000005</v>
          </cell>
          <cell r="CV29">
            <v>2575.8000000000002</v>
          </cell>
          <cell r="CW29">
            <v>28.620000000000005</v>
          </cell>
          <cell r="CZ29" t="str">
            <v>s</v>
          </cell>
        </row>
        <row r="30">
          <cell r="A30" t="str">
            <v>M-10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U30">
            <v>0</v>
          </cell>
          <cell r="CV30">
            <v>0</v>
          </cell>
          <cell r="CW30">
            <v>0</v>
          </cell>
          <cell r="CZ30" t="str">
            <v>d</v>
          </cell>
        </row>
        <row r="31">
          <cell r="A31" t="str">
            <v>M-11</v>
          </cell>
          <cell r="G31">
            <v>14.700000000000001</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70.680000000000007</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16.739999999999998</v>
          </cell>
          <cell r="BC31">
            <v>0</v>
          </cell>
          <cell r="BD31">
            <v>0</v>
          </cell>
          <cell r="BE31">
            <v>0</v>
          </cell>
          <cell r="BF31">
            <v>0</v>
          </cell>
          <cell r="BG31">
            <v>0</v>
          </cell>
          <cell r="BH31">
            <v>0</v>
          </cell>
          <cell r="BI31">
            <v>0</v>
          </cell>
          <cell r="BJ31">
            <v>0</v>
          </cell>
          <cell r="BK31">
            <v>0</v>
          </cell>
          <cell r="BL31">
            <v>33.479999999999997</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v>0</v>
          </cell>
          <cell r="CM31">
            <v>0</v>
          </cell>
          <cell r="CN31">
            <v>0</v>
          </cell>
          <cell r="CO31">
            <v>0</v>
          </cell>
          <cell r="CP31">
            <v>0</v>
          </cell>
          <cell r="CQ31">
            <v>0</v>
          </cell>
          <cell r="CU31">
            <v>135.6</v>
          </cell>
          <cell r="CV31">
            <v>12204</v>
          </cell>
          <cell r="CW31">
            <v>135.6</v>
          </cell>
          <cell r="CZ31" t="str">
            <v>d</v>
          </cell>
        </row>
        <row r="32">
          <cell r="A32" t="str">
            <v>M-12</v>
          </cell>
          <cell r="G32">
            <v>0.18000000000000002</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7.1</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0.2</v>
          </cell>
          <cell r="BC32">
            <v>0</v>
          </cell>
          <cell r="BD32">
            <v>0</v>
          </cell>
          <cell r="BE32">
            <v>0</v>
          </cell>
          <cell r="BF32">
            <v>0</v>
          </cell>
          <cell r="BG32">
            <v>0</v>
          </cell>
          <cell r="BH32">
            <v>0</v>
          </cell>
          <cell r="BI32">
            <v>0</v>
          </cell>
          <cell r="BJ32">
            <v>0</v>
          </cell>
          <cell r="BK32">
            <v>0</v>
          </cell>
          <cell r="BL32">
            <v>0.4</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v>0</v>
          </cell>
          <cell r="CM32">
            <v>0</v>
          </cell>
          <cell r="CN32">
            <v>0</v>
          </cell>
          <cell r="CO32">
            <v>0</v>
          </cell>
          <cell r="CP32">
            <v>0</v>
          </cell>
          <cell r="CQ32">
            <v>0</v>
          </cell>
          <cell r="CU32">
            <v>7.88</v>
          </cell>
          <cell r="CV32">
            <v>906.19999999999993</v>
          </cell>
          <cell r="CW32">
            <v>7.88</v>
          </cell>
          <cell r="CZ32" t="str">
            <v>s</v>
          </cell>
        </row>
        <row r="33">
          <cell r="A33" t="str">
            <v>M-13</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51</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0.6</v>
          </cell>
          <cell r="BC33">
            <v>0</v>
          </cell>
          <cell r="BD33">
            <v>0</v>
          </cell>
          <cell r="BE33">
            <v>0</v>
          </cell>
          <cell r="BF33">
            <v>0</v>
          </cell>
          <cell r="BG33">
            <v>0</v>
          </cell>
          <cell r="BH33">
            <v>0</v>
          </cell>
          <cell r="BI33">
            <v>0</v>
          </cell>
          <cell r="BJ33">
            <v>0</v>
          </cell>
          <cell r="BK33">
            <v>0</v>
          </cell>
          <cell r="BL33">
            <v>1.2</v>
          </cell>
          <cell r="BM33">
            <v>0</v>
          </cell>
          <cell r="BN33">
            <v>0</v>
          </cell>
          <cell r="BO33">
            <v>0</v>
          </cell>
          <cell r="BP33">
            <v>0</v>
          </cell>
          <cell r="BQ33">
            <v>0</v>
          </cell>
          <cell r="BR33">
            <v>0</v>
          </cell>
          <cell r="BS33">
            <v>0</v>
          </cell>
          <cell r="BT33">
            <v>0</v>
          </cell>
          <cell r="BU33">
            <v>0</v>
          </cell>
          <cell r="BV33">
            <v>0</v>
          </cell>
          <cell r="BW33">
            <v>0</v>
          </cell>
          <cell r="BX33">
            <v>0</v>
          </cell>
          <cell r="BY33">
            <v>0</v>
          </cell>
          <cell r="BZ33">
            <v>0</v>
          </cell>
          <cell r="CA33">
            <v>0</v>
          </cell>
          <cell r="CB33">
            <v>0</v>
          </cell>
          <cell r="CC33">
            <v>0</v>
          </cell>
          <cell r="CD33">
            <v>0</v>
          </cell>
          <cell r="CE33">
            <v>0</v>
          </cell>
          <cell r="CF33">
            <v>0</v>
          </cell>
          <cell r="CG33">
            <v>0</v>
          </cell>
          <cell r="CH33">
            <v>0</v>
          </cell>
          <cell r="CI33">
            <v>0</v>
          </cell>
          <cell r="CJ33">
            <v>0</v>
          </cell>
          <cell r="CK33">
            <v>0</v>
          </cell>
          <cell r="CL33">
            <v>0</v>
          </cell>
          <cell r="CM33">
            <v>0</v>
          </cell>
          <cell r="CN33">
            <v>0</v>
          </cell>
          <cell r="CO33">
            <v>0</v>
          </cell>
          <cell r="CP33">
            <v>0</v>
          </cell>
          <cell r="CQ33">
            <v>0</v>
          </cell>
          <cell r="CU33">
            <v>52.800000000000004</v>
          </cell>
          <cell r="CV33">
            <v>5438.4000000000005</v>
          </cell>
          <cell r="CW33">
            <v>52.800000000000004</v>
          </cell>
          <cell r="CZ33" t="str">
            <v>s</v>
          </cell>
        </row>
        <row r="34">
          <cell r="A34" t="str">
            <v>M-14</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55</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1</v>
          </cell>
          <cell r="BC34">
            <v>0</v>
          </cell>
          <cell r="BD34">
            <v>0</v>
          </cell>
          <cell r="BE34">
            <v>0</v>
          </cell>
          <cell r="BF34">
            <v>0</v>
          </cell>
          <cell r="BG34">
            <v>0</v>
          </cell>
          <cell r="BH34">
            <v>0</v>
          </cell>
          <cell r="BI34">
            <v>0</v>
          </cell>
          <cell r="BJ34">
            <v>0</v>
          </cell>
          <cell r="BK34">
            <v>0</v>
          </cell>
          <cell r="BL34">
            <v>2</v>
          </cell>
          <cell r="BM34">
            <v>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cell r="CC34">
            <v>0</v>
          </cell>
          <cell r="CD34">
            <v>0</v>
          </cell>
          <cell r="CE34">
            <v>0</v>
          </cell>
          <cell r="CF34">
            <v>0</v>
          </cell>
          <cell r="CG34">
            <v>0</v>
          </cell>
          <cell r="CH34">
            <v>0</v>
          </cell>
          <cell r="CI34">
            <v>0</v>
          </cell>
          <cell r="CJ34">
            <v>0</v>
          </cell>
          <cell r="CK34">
            <v>0</v>
          </cell>
          <cell r="CL34">
            <v>0</v>
          </cell>
          <cell r="CM34">
            <v>0</v>
          </cell>
          <cell r="CN34">
            <v>0</v>
          </cell>
          <cell r="CO34">
            <v>0</v>
          </cell>
          <cell r="CP34">
            <v>0</v>
          </cell>
          <cell r="CQ34">
            <v>0</v>
          </cell>
          <cell r="CU34">
            <v>58</v>
          </cell>
          <cell r="CV34">
            <v>16385</v>
          </cell>
          <cell r="CW34">
            <v>26.1</v>
          </cell>
          <cell r="CZ34" t="str">
            <v>s</v>
          </cell>
        </row>
        <row r="35">
          <cell r="A35" t="str">
            <v>M-16</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5</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1</v>
          </cell>
          <cell r="BC35">
            <v>0</v>
          </cell>
          <cell r="BD35">
            <v>0</v>
          </cell>
          <cell r="BE35">
            <v>0</v>
          </cell>
          <cell r="BF35">
            <v>0</v>
          </cell>
          <cell r="BG35">
            <v>0</v>
          </cell>
          <cell r="BH35">
            <v>0</v>
          </cell>
          <cell r="BI35">
            <v>0</v>
          </cell>
          <cell r="BJ35">
            <v>0</v>
          </cell>
          <cell r="BK35">
            <v>0</v>
          </cell>
          <cell r="BL35">
            <v>2</v>
          </cell>
          <cell r="BM35">
            <v>0</v>
          </cell>
          <cell r="BN35">
            <v>0</v>
          </cell>
          <cell r="BO35">
            <v>0</v>
          </cell>
          <cell r="BP35">
            <v>0</v>
          </cell>
          <cell r="BQ35">
            <v>0</v>
          </cell>
          <cell r="BR35">
            <v>0</v>
          </cell>
          <cell r="BS35">
            <v>0</v>
          </cell>
          <cell r="BT35">
            <v>0</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cell r="CM35">
            <v>0</v>
          </cell>
          <cell r="CN35">
            <v>0</v>
          </cell>
          <cell r="CO35">
            <v>0</v>
          </cell>
          <cell r="CP35">
            <v>0</v>
          </cell>
          <cell r="CQ35">
            <v>0</v>
          </cell>
          <cell r="CU35">
            <v>8</v>
          </cell>
          <cell r="CV35">
            <v>0</v>
          </cell>
          <cell r="CW35">
            <v>52</v>
          </cell>
          <cell r="CZ35" t="str">
            <v>s</v>
          </cell>
        </row>
        <row r="36">
          <cell r="A36" t="str">
            <v>M-17</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2</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2</v>
          </cell>
          <cell r="BC36">
            <v>0</v>
          </cell>
          <cell r="BD36">
            <v>0</v>
          </cell>
          <cell r="BE36">
            <v>0</v>
          </cell>
          <cell r="BF36">
            <v>0</v>
          </cell>
          <cell r="BG36">
            <v>0</v>
          </cell>
          <cell r="BH36">
            <v>0</v>
          </cell>
          <cell r="BI36">
            <v>0</v>
          </cell>
          <cell r="BJ36">
            <v>0</v>
          </cell>
          <cell r="BK36">
            <v>0</v>
          </cell>
          <cell r="BL36">
            <v>4</v>
          </cell>
          <cell r="BM36">
            <v>0</v>
          </cell>
          <cell r="BN36">
            <v>0</v>
          </cell>
          <cell r="BO36">
            <v>0</v>
          </cell>
          <cell r="BP36">
            <v>0</v>
          </cell>
          <cell r="BQ36">
            <v>0</v>
          </cell>
          <cell r="BR36">
            <v>0</v>
          </cell>
          <cell r="BS36">
            <v>0</v>
          </cell>
          <cell r="BT36">
            <v>0</v>
          </cell>
          <cell r="BU36">
            <v>0</v>
          </cell>
          <cell r="BV36">
            <v>0</v>
          </cell>
          <cell r="BW36">
            <v>0</v>
          </cell>
          <cell r="BX36">
            <v>0</v>
          </cell>
          <cell r="BY36">
            <v>0</v>
          </cell>
          <cell r="BZ36">
            <v>0</v>
          </cell>
          <cell r="CA36">
            <v>0</v>
          </cell>
          <cell r="CB36">
            <v>0</v>
          </cell>
          <cell r="CC36">
            <v>0</v>
          </cell>
          <cell r="CD36">
            <v>0</v>
          </cell>
          <cell r="CE36">
            <v>0</v>
          </cell>
          <cell r="CF36">
            <v>0</v>
          </cell>
          <cell r="CG36">
            <v>0</v>
          </cell>
          <cell r="CH36">
            <v>0</v>
          </cell>
          <cell r="CI36">
            <v>0</v>
          </cell>
          <cell r="CJ36">
            <v>0</v>
          </cell>
          <cell r="CK36">
            <v>0</v>
          </cell>
          <cell r="CL36">
            <v>0</v>
          </cell>
          <cell r="CM36">
            <v>0</v>
          </cell>
          <cell r="CN36">
            <v>0</v>
          </cell>
          <cell r="CO36">
            <v>0</v>
          </cell>
          <cell r="CP36">
            <v>0</v>
          </cell>
          <cell r="CQ36">
            <v>0</v>
          </cell>
          <cell r="CU36">
            <v>8</v>
          </cell>
          <cell r="CV36">
            <v>0</v>
          </cell>
          <cell r="CW36">
            <v>52</v>
          </cell>
          <cell r="CZ36" t="str">
            <v>s</v>
          </cell>
        </row>
        <row r="37">
          <cell r="A37" t="str">
            <v>M-18</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4</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4</v>
          </cell>
          <cell r="BC37">
            <v>0</v>
          </cell>
          <cell r="BD37">
            <v>0</v>
          </cell>
          <cell r="BE37">
            <v>0</v>
          </cell>
          <cell r="BF37">
            <v>0</v>
          </cell>
          <cell r="BG37">
            <v>0</v>
          </cell>
          <cell r="BH37">
            <v>0</v>
          </cell>
          <cell r="BI37">
            <v>0</v>
          </cell>
          <cell r="BJ37">
            <v>0</v>
          </cell>
          <cell r="BK37">
            <v>0</v>
          </cell>
          <cell r="BL37">
            <v>8</v>
          </cell>
          <cell r="BM37">
            <v>0</v>
          </cell>
          <cell r="BN37">
            <v>0</v>
          </cell>
          <cell r="BO37">
            <v>0</v>
          </cell>
          <cell r="BP37">
            <v>0</v>
          </cell>
          <cell r="BQ37">
            <v>0</v>
          </cell>
          <cell r="BR37">
            <v>0</v>
          </cell>
          <cell r="BS37">
            <v>0</v>
          </cell>
          <cell r="BT37">
            <v>0</v>
          </cell>
          <cell r="BU37">
            <v>0</v>
          </cell>
          <cell r="BV37">
            <v>0</v>
          </cell>
          <cell r="BW37">
            <v>0</v>
          </cell>
          <cell r="BX37">
            <v>0</v>
          </cell>
          <cell r="BY37">
            <v>0</v>
          </cell>
          <cell r="BZ37">
            <v>0</v>
          </cell>
          <cell r="CA37">
            <v>0</v>
          </cell>
          <cell r="CB37">
            <v>0</v>
          </cell>
          <cell r="CC37">
            <v>0</v>
          </cell>
          <cell r="CD37">
            <v>0</v>
          </cell>
          <cell r="CE37">
            <v>0</v>
          </cell>
          <cell r="CF37">
            <v>0</v>
          </cell>
          <cell r="CG37">
            <v>0</v>
          </cell>
          <cell r="CH37">
            <v>0</v>
          </cell>
          <cell r="CI37">
            <v>0</v>
          </cell>
          <cell r="CJ37">
            <v>0</v>
          </cell>
          <cell r="CK37">
            <v>0</v>
          </cell>
          <cell r="CL37">
            <v>0</v>
          </cell>
          <cell r="CM37">
            <v>0</v>
          </cell>
          <cell r="CN37">
            <v>0</v>
          </cell>
          <cell r="CO37">
            <v>0</v>
          </cell>
          <cell r="CP37">
            <v>0</v>
          </cell>
          <cell r="CQ37">
            <v>0</v>
          </cell>
          <cell r="CU37">
            <v>16</v>
          </cell>
          <cell r="CV37">
            <v>0</v>
          </cell>
          <cell r="CW37">
            <v>104</v>
          </cell>
          <cell r="CZ37" t="str">
            <v>s</v>
          </cell>
        </row>
        <row r="38">
          <cell r="A38" t="str">
            <v>M-19</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8</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8</v>
          </cell>
          <cell r="BC38">
            <v>0</v>
          </cell>
          <cell r="BD38">
            <v>0</v>
          </cell>
          <cell r="BE38">
            <v>0</v>
          </cell>
          <cell r="BF38">
            <v>0</v>
          </cell>
          <cell r="BG38">
            <v>0</v>
          </cell>
          <cell r="BH38">
            <v>0</v>
          </cell>
          <cell r="BI38">
            <v>0</v>
          </cell>
          <cell r="BJ38">
            <v>0</v>
          </cell>
          <cell r="BK38">
            <v>0</v>
          </cell>
          <cell r="BL38">
            <v>16</v>
          </cell>
          <cell r="BM38">
            <v>0</v>
          </cell>
          <cell r="BN38">
            <v>0</v>
          </cell>
          <cell r="BO38">
            <v>0</v>
          </cell>
          <cell r="BP38">
            <v>0</v>
          </cell>
          <cell r="BQ38">
            <v>0</v>
          </cell>
          <cell r="BR38">
            <v>0</v>
          </cell>
          <cell r="BS38">
            <v>0</v>
          </cell>
          <cell r="BT38">
            <v>0</v>
          </cell>
          <cell r="BU38">
            <v>0</v>
          </cell>
          <cell r="BV38">
            <v>0</v>
          </cell>
          <cell r="BW38">
            <v>0</v>
          </cell>
          <cell r="BX38">
            <v>0</v>
          </cell>
          <cell r="BY38">
            <v>0</v>
          </cell>
          <cell r="BZ38">
            <v>0</v>
          </cell>
          <cell r="CA38">
            <v>0</v>
          </cell>
          <cell r="CB38">
            <v>0</v>
          </cell>
          <cell r="CC38">
            <v>0</v>
          </cell>
          <cell r="CD38">
            <v>0</v>
          </cell>
          <cell r="CE38">
            <v>0</v>
          </cell>
          <cell r="CF38">
            <v>0</v>
          </cell>
          <cell r="CG38">
            <v>0</v>
          </cell>
          <cell r="CH38">
            <v>0</v>
          </cell>
          <cell r="CI38">
            <v>0</v>
          </cell>
          <cell r="CJ38">
            <v>0</v>
          </cell>
          <cell r="CK38">
            <v>0</v>
          </cell>
          <cell r="CL38">
            <v>0</v>
          </cell>
          <cell r="CM38">
            <v>0</v>
          </cell>
          <cell r="CN38">
            <v>0</v>
          </cell>
          <cell r="CO38">
            <v>0</v>
          </cell>
          <cell r="CP38">
            <v>0</v>
          </cell>
          <cell r="CQ38">
            <v>0</v>
          </cell>
          <cell r="CU38">
            <v>32</v>
          </cell>
          <cell r="CV38">
            <v>0</v>
          </cell>
          <cell r="CW38">
            <v>192</v>
          </cell>
          <cell r="CZ38" t="str">
            <v>s</v>
          </cell>
        </row>
        <row r="39">
          <cell r="A39" t="str">
            <v>M-20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23.6</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2</v>
          </cell>
          <cell r="BC39">
            <v>0</v>
          </cell>
          <cell r="BD39">
            <v>0</v>
          </cell>
          <cell r="BE39">
            <v>0</v>
          </cell>
          <cell r="BF39">
            <v>0</v>
          </cell>
          <cell r="BG39">
            <v>0</v>
          </cell>
          <cell r="BH39">
            <v>0</v>
          </cell>
          <cell r="BI39">
            <v>0</v>
          </cell>
          <cell r="BJ39">
            <v>0</v>
          </cell>
          <cell r="BK39">
            <v>0</v>
          </cell>
          <cell r="BL39">
            <v>4</v>
          </cell>
          <cell r="BM39">
            <v>0</v>
          </cell>
          <cell r="BN39">
            <v>0</v>
          </cell>
          <cell r="BO39">
            <v>0</v>
          </cell>
          <cell r="BP39">
            <v>1</v>
          </cell>
          <cell r="BQ39">
            <v>0</v>
          </cell>
          <cell r="BR39">
            <v>0</v>
          </cell>
          <cell r="BS39">
            <v>0</v>
          </cell>
          <cell r="BT39">
            <v>1</v>
          </cell>
          <cell r="BU39">
            <v>0</v>
          </cell>
          <cell r="BV39">
            <v>0</v>
          </cell>
          <cell r="BW39">
            <v>0</v>
          </cell>
          <cell r="BX39">
            <v>0</v>
          </cell>
          <cell r="BY39">
            <v>0</v>
          </cell>
          <cell r="BZ39">
            <v>0</v>
          </cell>
          <cell r="CA39">
            <v>0</v>
          </cell>
          <cell r="CB39">
            <v>0</v>
          </cell>
          <cell r="CC39">
            <v>0</v>
          </cell>
          <cell r="CD39">
            <v>0</v>
          </cell>
          <cell r="CE39">
            <v>0</v>
          </cell>
          <cell r="CF39">
            <v>0</v>
          </cell>
          <cell r="CG39">
            <v>0</v>
          </cell>
          <cell r="CH39">
            <v>0</v>
          </cell>
          <cell r="CI39">
            <v>0</v>
          </cell>
          <cell r="CJ39">
            <v>0</v>
          </cell>
          <cell r="CK39">
            <v>0</v>
          </cell>
          <cell r="CL39">
            <v>0</v>
          </cell>
          <cell r="CM39">
            <v>0</v>
          </cell>
          <cell r="CN39">
            <v>0</v>
          </cell>
          <cell r="CO39">
            <v>0</v>
          </cell>
          <cell r="CP39">
            <v>0</v>
          </cell>
          <cell r="CQ39">
            <v>0</v>
          </cell>
          <cell r="CU39">
            <v>31.6</v>
          </cell>
          <cell r="CV39">
            <v>1524.3840000000002</v>
          </cell>
          <cell r="CW39">
            <v>1.58</v>
          </cell>
          <cell r="CZ39" t="str">
            <v>s</v>
          </cell>
        </row>
        <row r="40">
          <cell r="A40" t="str">
            <v>M-21</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25.65</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17.55</v>
          </cell>
          <cell r="BC40">
            <v>0</v>
          </cell>
          <cell r="BD40">
            <v>0</v>
          </cell>
          <cell r="BE40">
            <v>0</v>
          </cell>
          <cell r="BF40">
            <v>0</v>
          </cell>
          <cell r="BG40">
            <v>0</v>
          </cell>
          <cell r="BH40">
            <v>0</v>
          </cell>
          <cell r="BI40">
            <v>0</v>
          </cell>
          <cell r="BJ40">
            <v>0</v>
          </cell>
          <cell r="BK40">
            <v>0</v>
          </cell>
          <cell r="BL40">
            <v>35.1</v>
          </cell>
          <cell r="BM40">
            <v>0</v>
          </cell>
          <cell r="BN40">
            <v>0</v>
          </cell>
          <cell r="BO40">
            <v>0</v>
          </cell>
          <cell r="BP40">
            <v>0</v>
          </cell>
          <cell r="BQ40">
            <v>0</v>
          </cell>
          <cell r="BR40">
            <v>0</v>
          </cell>
          <cell r="BS40">
            <v>0</v>
          </cell>
          <cell r="BT40">
            <v>0</v>
          </cell>
          <cell r="BU40">
            <v>0</v>
          </cell>
          <cell r="BV40">
            <v>0</v>
          </cell>
          <cell r="BW40">
            <v>0</v>
          </cell>
          <cell r="BX40">
            <v>0</v>
          </cell>
          <cell r="BY40">
            <v>0</v>
          </cell>
          <cell r="BZ40">
            <v>0</v>
          </cell>
          <cell r="CA40">
            <v>0</v>
          </cell>
          <cell r="CB40">
            <v>0</v>
          </cell>
          <cell r="CC40">
            <v>0</v>
          </cell>
          <cell r="CD40">
            <v>0</v>
          </cell>
          <cell r="CE40">
            <v>0</v>
          </cell>
          <cell r="CF40">
            <v>0</v>
          </cell>
          <cell r="CG40">
            <v>0</v>
          </cell>
          <cell r="CH40">
            <v>0</v>
          </cell>
          <cell r="CI40">
            <v>0</v>
          </cell>
          <cell r="CJ40">
            <v>0</v>
          </cell>
          <cell r="CK40">
            <v>0</v>
          </cell>
          <cell r="CL40">
            <v>0</v>
          </cell>
          <cell r="CM40">
            <v>0</v>
          </cell>
          <cell r="CN40">
            <v>0</v>
          </cell>
          <cell r="CO40">
            <v>0</v>
          </cell>
          <cell r="CP40">
            <v>0</v>
          </cell>
          <cell r="CQ40">
            <v>0</v>
          </cell>
          <cell r="CU40">
            <v>78.300000000000011</v>
          </cell>
          <cell r="CV40">
            <v>8613.0000000000018</v>
          </cell>
          <cell r="CW40">
            <v>78.300000000000011</v>
          </cell>
          <cell r="CZ40" t="str">
            <v>s</v>
          </cell>
        </row>
        <row r="41">
          <cell r="A41" t="str">
            <v>M-22</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cell r="BM41">
            <v>0</v>
          </cell>
          <cell r="BN41">
            <v>0</v>
          </cell>
          <cell r="BO41">
            <v>0</v>
          </cell>
          <cell r="BP41">
            <v>0</v>
          </cell>
          <cell r="BQ41">
            <v>0</v>
          </cell>
          <cell r="BR41">
            <v>0</v>
          </cell>
          <cell r="BS41">
            <v>0</v>
          </cell>
          <cell r="BT41">
            <v>0</v>
          </cell>
          <cell r="BU41">
            <v>0</v>
          </cell>
          <cell r="BV41">
            <v>0</v>
          </cell>
          <cell r="BW41">
            <v>0</v>
          </cell>
          <cell r="BX41">
            <v>0</v>
          </cell>
          <cell r="BY41">
            <v>0</v>
          </cell>
          <cell r="BZ41">
            <v>0</v>
          </cell>
          <cell r="CA41">
            <v>0</v>
          </cell>
          <cell r="CB41">
            <v>0</v>
          </cell>
          <cell r="CC41">
            <v>0</v>
          </cell>
          <cell r="CD41">
            <v>0</v>
          </cell>
          <cell r="CE41">
            <v>0</v>
          </cell>
          <cell r="CF41">
            <v>0</v>
          </cell>
          <cell r="CG41">
            <v>0</v>
          </cell>
          <cell r="CH41">
            <v>0</v>
          </cell>
          <cell r="CI41">
            <v>0</v>
          </cell>
          <cell r="CJ41">
            <v>0</v>
          </cell>
          <cell r="CK41">
            <v>0</v>
          </cell>
          <cell r="CL41">
            <v>0</v>
          </cell>
          <cell r="CM41">
            <v>0</v>
          </cell>
          <cell r="CN41">
            <v>0</v>
          </cell>
          <cell r="CO41">
            <v>0</v>
          </cell>
          <cell r="CP41">
            <v>0</v>
          </cell>
          <cell r="CQ41">
            <v>0</v>
          </cell>
          <cell r="CU41">
            <v>0</v>
          </cell>
          <cell r="CV41">
            <v>0</v>
          </cell>
          <cell r="CW41">
            <v>0</v>
          </cell>
          <cell r="CZ41" t="str">
            <v>s</v>
          </cell>
        </row>
        <row r="42">
          <cell r="A42" t="str">
            <v>M-23</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1</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1</v>
          </cell>
          <cell r="BC42">
            <v>0</v>
          </cell>
          <cell r="BD42">
            <v>0</v>
          </cell>
          <cell r="BE42">
            <v>0</v>
          </cell>
          <cell r="BF42">
            <v>0</v>
          </cell>
          <cell r="BG42">
            <v>0</v>
          </cell>
          <cell r="BH42">
            <v>0</v>
          </cell>
          <cell r="BI42">
            <v>0</v>
          </cell>
          <cell r="BJ42">
            <v>0</v>
          </cell>
          <cell r="BK42">
            <v>0</v>
          </cell>
          <cell r="BL42">
            <v>2</v>
          </cell>
          <cell r="BM42">
            <v>0</v>
          </cell>
          <cell r="BN42">
            <v>0</v>
          </cell>
          <cell r="BO42">
            <v>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U42">
            <v>4</v>
          </cell>
          <cell r="CV42">
            <v>7320</v>
          </cell>
          <cell r="CW42">
            <v>34</v>
          </cell>
          <cell r="CZ42" t="str">
            <v>s</v>
          </cell>
        </row>
        <row r="43">
          <cell r="A43" t="str">
            <v>M-24</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cell r="CD43">
            <v>0</v>
          </cell>
          <cell r="CE43">
            <v>0</v>
          </cell>
          <cell r="CF43">
            <v>0</v>
          </cell>
          <cell r="CG43">
            <v>0</v>
          </cell>
          <cell r="CH43">
            <v>0</v>
          </cell>
          <cell r="CI43">
            <v>0</v>
          </cell>
          <cell r="CJ43">
            <v>0</v>
          </cell>
          <cell r="CK43">
            <v>0</v>
          </cell>
          <cell r="CL43">
            <v>0</v>
          </cell>
          <cell r="CM43">
            <v>0</v>
          </cell>
          <cell r="CN43">
            <v>0</v>
          </cell>
          <cell r="CO43">
            <v>0</v>
          </cell>
          <cell r="CP43">
            <v>0</v>
          </cell>
          <cell r="CQ43">
            <v>0</v>
          </cell>
          <cell r="CU43">
            <v>0</v>
          </cell>
          <cell r="CV43">
            <v>0</v>
          </cell>
          <cell r="CW43">
            <v>0</v>
          </cell>
          <cell r="CZ43" t="str">
            <v>s</v>
          </cell>
        </row>
        <row r="44">
          <cell r="A44" t="str">
            <v>M-25</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cell r="BM44">
            <v>0</v>
          </cell>
          <cell r="BN44">
            <v>0</v>
          </cell>
          <cell r="BO44">
            <v>0</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U44">
            <v>0</v>
          </cell>
          <cell r="CV44">
            <v>0</v>
          </cell>
          <cell r="CW44">
            <v>0</v>
          </cell>
          <cell r="CZ44" t="str">
            <v>s</v>
          </cell>
        </row>
        <row r="45">
          <cell r="A45" t="str">
            <v>M-37</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cell r="BM45">
            <v>0</v>
          </cell>
          <cell r="BN45">
            <v>0</v>
          </cell>
          <cell r="BO45">
            <v>0</v>
          </cell>
          <cell r="BP45">
            <v>0</v>
          </cell>
          <cell r="BQ45">
            <v>0</v>
          </cell>
          <cell r="BR45">
            <v>0</v>
          </cell>
          <cell r="BS45">
            <v>0</v>
          </cell>
          <cell r="BT45">
            <v>0</v>
          </cell>
          <cell r="BU45">
            <v>0</v>
          </cell>
          <cell r="BV45">
            <v>0</v>
          </cell>
          <cell r="BW45">
            <v>0</v>
          </cell>
          <cell r="BX45">
            <v>0</v>
          </cell>
          <cell r="BY45">
            <v>0</v>
          </cell>
          <cell r="BZ45">
            <v>0</v>
          </cell>
          <cell r="CA45">
            <v>0</v>
          </cell>
          <cell r="CB45">
            <v>0</v>
          </cell>
          <cell r="CC45">
            <v>0</v>
          </cell>
          <cell r="CD45">
            <v>0</v>
          </cell>
          <cell r="CE45">
            <v>0</v>
          </cell>
          <cell r="CF45">
            <v>0</v>
          </cell>
          <cell r="CG45">
            <v>0</v>
          </cell>
          <cell r="CH45">
            <v>0</v>
          </cell>
          <cell r="CI45">
            <v>0</v>
          </cell>
          <cell r="CJ45">
            <v>0</v>
          </cell>
          <cell r="CK45">
            <v>0</v>
          </cell>
          <cell r="CL45">
            <v>0</v>
          </cell>
          <cell r="CM45">
            <v>0</v>
          </cell>
          <cell r="CN45">
            <v>0</v>
          </cell>
          <cell r="CO45">
            <v>0</v>
          </cell>
          <cell r="CP45">
            <v>0</v>
          </cell>
          <cell r="CQ45">
            <v>0</v>
          </cell>
          <cell r="CU45">
            <v>0</v>
          </cell>
          <cell r="CV45">
            <v>0</v>
          </cell>
          <cell r="CW45">
            <v>0</v>
          </cell>
          <cell r="CZ45" t="str">
            <v>s</v>
          </cell>
        </row>
        <row r="46">
          <cell r="A46" t="str">
            <v>M-38</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cell r="BM46">
            <v>0</v>
          </cell>
          <cell r="BN46">
            <v>0</v>
          </cell>
          <cell r="BO46">
            <v>0</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U46">
            <v>0</v>
          </cell>
          <cell r="CV46">
            <v>0</v>
          </cell>
          <cell r="CW46">
            <v>0</v>
          </cell>
          <cell r="CZ46" t="str">
            <v>s</v>
          </cell>
        </row>
        <row r="47">
          <cell r="A47" t="str">
            <v>M-40</v>
          </cell>
          <cell r="G47">
            <v>0.1875</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0.5</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cell r="BM47">
            <v>0</v>
          </cell>
          <cell r="BN47">
            <v>0</v>
          </cell>
          <cell r="BO47">
            <v>0</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U47">
            <v>0.6875</v>
          </cell>
          <cell r="CV47">
            <v>79.0625</v>
          </cell>
          <cell r="CW47">
            <v>0.6875</v>
          </cell>
          <cell r="CZ47" t="str">
            <v>s</v>
          </cell>
        </row>
        <row r="48">
          <cell r="A48" t="str">
            <v>M-35</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4.6500000000000004</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v>0</v>
          </cell>
          <cell r="BV48">
            <v>0</v>
          </cell>
          <cell r="BW48">
            <v>0</v>
          </cell>
          <cell r="BX48">
            <v>0</v>
          </cell>
          <cell r="BY48">
            <v>0</v>
          </cell>
          <cell r="BZ48">
            <v>0</v>
          </cell>
          <cell r="CA48">
            <v>0</v>
          </cell>
          <cell r="CB48">
            <v>0</v>
          </cell>
          <cell r="CC48">
            <v>0</v>
          </cell>
          <cell r="CD48">
            <v>0</v>
          </cell>
          <cell r="CE48">
            <v>0</v>
          </cell>
          <cell r="CF48">
            <v>0</v>
          </cell>
          <cell r="CG48">
            <v>0</v>
          </cell>
          <cell r="CH48">
            <v>0</v>
          </cell>
          <cell r="CI48">
            <v>0</v>
          </cell>
          <cell r="CJ48">
            <v>0</v>
          </cell>
          <cell r="CK48">
            <v>0</v>
          </cell>
          <cell r="CL48">
            <v>0</v>
          </cell>
          <cell r="CM48">
            <v>0</v>
          </cell>
          <cell r="CN48">
            <v>0</v>
          </cell>
          <cell r="CO48">
            <v>0</v>
          </cell>
          <cell r="CP48">
            <v>0</v>
          </cell>
          <cell r="CQ48">
            <v>0</v>
          </cell>
          <cell r="CU48">
            <v>4.6500000000000004</v>
          </cell>
          <cell r="CV48">
            <v>0</v>
          </cell>
          <cell r="CW48">
            <v>4.6500000000000004</v>
          </cell>
          <cell r="CZ48" t="str">
            <v>s</v>
          </cell>
        </row>
        <row r="49">
          <cell r="A49" t="str">
            <v>M-36</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cell r="BM49">
            <v>0</v>
          </cell>
          <cell r="BN49">
            <v>0</v>
          </cell>
          <cell r="BO49">
            <v>0</v>
          </cell>
          <cell r="BP49">
            <v>0</v>
          </cell>
          <cell r="BQ49">
            <v>0</v>
          </cell>
          <cell r="BR49">
            <v>0</v>
          </cell>
          <cell r="BS49">
            <v>0</v>
          </cell>
          <cell r="BT49">
            <v>0</v>
          </cell>
          <cell r="BU49">
            <v>0</v>
          </cell>
          <cell r="BV49">
            <v>0</v>
          </cell>
          <cell r="BW49">
            <v>0</v>
          </cell>
          <cell r="BX49">
            <v>0</v>
          </cell>
          <cell r="BY49">
            <v>0</v>
          </cell>
          <cell r="BZ49">
            <v>0</v>
          </cell>
          <cell r="CA49">
            <v>0</v>
          </cell>
          <cell r="CB49">
            <v>0</v>
          </cell>
          <cell r="CC49">
            <v>0</v>
          </cell>
          <cell r="CD49">
            <v>0</v>
          </cell>
          <cell r="CE49">
            <v>0</v>
          </cell>
          <cell r="CF49">
            <v>0</v>
          </cell>
          <cell r="CG49">
            <v>0</v>
          </cell>
          <cell r="CH49">
            <v>0</v>
          </cell>
          <cell r="CI49">
            <v>0</v>
          </cell>
          <cell r="CJ49">
            <v>0</v>
          </cell>
          <cell r="CK49">
            <v>0</v>
          </cell>
          <cell r="CL49">
            <v>0</v>
          </cell>
          <cell r="CM49">
            <v>0</v>
          </cell>
          <cell r="CN49">
            <v>0</v>
          </cell>
          <cell r="CO49">
            <v>0</v>
          </cell>
          <cell r="CP49">
            <v>0</v>
          </cell>
          <cell r="CQ49">
            <v>0</v>
          </cell>
          <cell r="CU49">
            <v>0</v>
          </cell>
          <cell r="CV49">
            <v>0</v>
          </cell>
          <cell r="CW49">
            <v>0</v>
          </cell>
          <cell r="CZ49" t="str">
            <v>s</v>
          </cell>
        </row>
        <row r="50">
          <cell r="A50" t="str">
            <v>M-33</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2</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cell r="BM50">
            <v>0</v>
          </cell>
          <cell r="BN50">
            <v>0</v>
          </cell>
          <cell r="BO50">
            <v>0</v>
          </cell>
          <cell r="BP50">
            <v>0</v>
          </cell>
          <cell r="BQ50">
            <v>0</v>
          </cell>
          <cell r="BR50">
            <v>0</v>
          </cell>
          <cell r="BS50">
            <v>0</v>
          </cell>
          <cell r="BT50">
            <v>0</v>
          </cell>
          <cell r="BU50">
            <v>0</v>
          </cell>
          <cell r="BV50">
            <v>0</v>
          </cell>
          <cell r="BW50">
            <v>0</v>
          </cell>
          <cell r="BX50">
            <v>0</v>
          </cell>
          <cell r="BY50">
            <v>0</v>
          </cell>
          <cell r="BZ50">
            <v>0</v>
          </cell>
          <cell r="CA50">
            <v>0</v>
          </cell>
          <cell r="CB50">
            <v>0</v>
          </cell>
          <cell r="CC50">
            <v>0</v>
          </cell>
          <cell r="CD50">
            <v>0</v>
          </cell>
          <cell r="CE50">
            <v>0</v>
          </cell>
          <cell r="CF50">
            <v>0</v>
          </cell>
          <cell r="CG50">
            <v>0</v>
          </cell>
          <cell r="CH50">
            <v>0</v>
          </cell>
          <cell r="CI50">
            <v>0</v>
          </cell>
          <cell r="CJ50">
            <v>0</v>
          </cell>
          <cell r="CK50">
            <v>0</v>
          </cell>
          <cell r="CL50">
            <v>0</v>
          </cell>
          <cell r="CM50">
            <v>0</v>
          </cell>
          <cell r="CN50">
            <v>0</v>
          </cell>
          <cell r="CO50">
            <v>0</v>
          </cell>
          <cell r="CP50">
            <v>0</v>
          </cell>
          <cell r="CQ50">
            <v>0</v>
          </cell>
          <cell r="CU50">
            <v>2</v>
          </cell>
          <cell r="CV50">
            <v>0</v>
          </cell>
          <cell r="CW50">
            <v>22</v>
          </cell>
          <cell r="CZ50" t="str">
            <v>s</v>
          </cell>
        </row>
        <row r="51">
          <cell r="A51" t="str">
            <v>M-34</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1</v>
          </cell>
          <cell r="BC51">
            <v>0</v>
          </cell>
          <cell r="BD51">
            <v>0</v>
          </cell>
          <cell r="BE51">
            <v>0</v>
          </cell>
          <cell r="BF51">
            <v>0</v>
          </cell>
          <cell r="BG51">
            <v>0</v>
          </cell>
          <cell r="BH51">
            <v>0</v>
          </cell>
          <cell r="BI51">
            <v>0</v>
          </cell>
          <cell r="BJ51">
            <v>0</v>
          </cell>
          <cell r="BK51">
            <v>0</v>
          </cell>
          <cell r="BL51">
            <v>2</v>
          </cell>
          <cell r="BM51">
            <v>0</v>
          </cell>
          <cell r="BN51">
            <v>0</v>
          </cell>
          <cell r="BO51">
            <v>0</v>
          </cell>
          <cell r="BP51">
            <v>1</v>
          </cell>
          <cell r="BQ51">
            <v>0</v>
          </cell>
          <cell r="BR51">
            <v>0</v>
          </cell>
          <cell r="BS51">
            <v>0</v>
          </cell>
          <cell r="BT51">
            <v>1</v>
          </cell>
          <cell r="BU51">
            <v>0</v>
          </cell>
          <cell r="BV51">
            <v>0</v>
          </cell>
          <cell r="BW51">
            <v>0</v>
          </cell>
          <cell r="BX51">
            <v>0</v>
          </cell>
          <cell r="BY51">
            <v>0</v>
          </cell>
          <cell r="BZ51">
            <v>0</v>
          </cell>
          <cell r="CA51">
            <v>0</v>
          </cell>
          <cell r="CB51">
            <v>0</v>
          </cell>
          <cell r="CC51">
            <v>0</v>
          </cell>
          <cell r="CD51">
            <v>0</v>
          </cell>
          <cell r="CE51">
            <v>0</v>
          </cell>
          <cell r="CF51">
            <v>0</v>
          </cell>
          <cell r="CG51">
            <v>0</v>
          </cell>
          <cell r="CH51">
            <v>0</v>
          </cell>
          <cell r="CI51">
            <v>0</v>
          </cell>
          <cell r="CJ51">
            <v>0</v>
          </cell>
          <cell r="CK51">
            <v>0</v>
          </cell>
          <cell r="CL51">
            <v>0</v>
          </cell>
          <cell r="CM51">
            <v>0</v>
          </cell>
          <cell r="CN51">
            <v>0</v>
          </cell>
          <cell r="CO51">
            <v>0</v>
          </cell>
          <cell r="CP51">
            <v>0</v>
          </cell>
          <cell r="CQ51">
            <v>0</v>
          </cell>
          <cell r="CU51">
            <v>5</v>
          </cell>
          <cell r="CV51">
            <v>0</v>
          </cell>
          <cell r="CW51">
            <v>70</v>
          </cell>
          <cell r="CZ51" t="str">
            <v>s</v>
          </cell>
        </row>
        <row r="52">
          <cell r="A52" t="str">
            <v>M-41</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cell r="BM52">
            <v>0</v>
          </cell>
          <cell r="BN52">
            <v>0</v>
          </cell>
          <cell r="BO52">
            <v>0</v>
          </cell>
          <cell r="BP52">
            <v>0</v>
          </cell>
          <cell r="BQ52">
            <v>0</v>
          </cell>
          <cell r="BR52">
            <v>0</v>
          </cell>
          <cell r="BS52">
            <v>0</v>
          </cell>
          <cell r="BT52">
            <v>0</v>
          </cell>
          <cell r="BU52">
            <v>0</v>
          </cell>
          <cell r="BV52">
            <v>0</v>
          </cell>
          <cell r="BW52">
            <v>0</v>
          </cell>
          <cell r="BX52">
            <v>0</v>
          </cell>
          <cell r="BY52">
            <v>0</v>
          </cell>
          <cell r="BZ52">
            <v>0</v>
          </cell>
          <cell r="CA52">
            <v>0</v>
          </cell>
          <cell r="CB52">
            <v>0</v>
          </cell>
          <cell r="CC52">
            <v>0</v>
          </cell>
          <cell r="CD52">
            <v>0</v>
          </cell>
          <cell r="CE52">
            <v>0</v>
          </cell>
          <cell r="CF52">
            <v>0</v>
          </cell>
          <cell r="CG52">
            <v>0</v>
          </cell>
          <cell r="CH52">
            <v>0</v>
          </cell>
          <cell r="CI52">
            <v>0</v>
          </cell>
          <cell r="CJ52">
            <v>0</v>
          </cell>
          <cell r="CK52">
            <v>0</v>
          </cell>
          <cell r="CL52">
            <v>0</v>
          </cell>
          <cell r="CM52">
            <v>0</v>
          </cell>
          <cell r="CN52">
            <v>0</v>
          </cell>
          <cell r="CO52">
            <v>0</v>
          </cell>
          <cell r="CP52">
            <v>0</v>
          </cell>
          <cell r="CQ52">
            <v>0</v>
          </cell>
          <cell r="CU52">
            <v>0</v>
          </cell>
          <cell r="CV52">
            <v>0</v>
          </cell>
          <cell r="CW52">
            <v>0</v>
          </cell>
          <cell r="CZ52" t="str">
            <v>d</v>
          </cell>
        </row>
        <row r="53">
          <cell r="A53" t="str">
            <v>M-42</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cell r="BM53">
            <v>0</v>
          </cell>
          <cell r="BN53">
            <v>0</v>
          </cell>
          <cell r="BO53">
            <v>0</v>
          </cell>
          <cell r="BP53">
            <v>0</v>
          </cell>
          <cell r="BQ53">
            <v>0</v>
          </cell>
          <cell r="BR53">
            <v>0</v>
          </cell>
          <cell r="BS53">
            <v>0</v>
          </cell>
          <cell r="BT53">
            <v>0</v>
          </cell>
          <cell r="BU53">
            <v>0</v>
          </cell>
          <cell r="BV53">
            <v>0</v>
          </cell>
          <cell r="BW53">
            <v>0</v>
          </cell>
          <cell r="BX53">
            <v>0</v>
          </cell>
          <cell r="BY53">
            <v>0</v>
          </cell>
          <cell r="BZ53">
            <v>0</v>
          </cell>
          <cell r="CA53">
            <v>0</v>
          </cell>
          <cell r="CB53">
            <v>0</v>
          </cell>
          <cell r="CC53">
            <v>0</v>
          </cell>
          <cell r="CD53">
            <v>0</v>
          </cell>
          <cell r="CE53">
            <v>0</v>
          </cell>
          <cell r="CF53">
            <v>0</v>
          </cell>
          <cell r="CG53">
            <v>0</v>
          </cell>
          <cell r="CH53">
            <v>0</v>
          </cell>
          <cell r="CI53">
            <v>0</v>
          </cell>
          <cell r="CJ53">
            <v>0</v>
          </cell>
          <cell r="CK53">
            <v>0</v>
          </cell>
          <cell r="CL53">
            <v>0</v>
          </cell>
          <cell r="CM53">
            <v>0</v>
          </cell>
          <cell r="CN53">
            <v>0</v>
          </cell>
          <cell r="CO53">
            <v>0</v>
          </cell>
          <cell r="CP53">
            <v>0</v>
          </cell>
          <cell r="CQ53">
            <v>0</v>
          </cell>
          <cell r="CU53">
            <v>0</v>
          </cell>
          <cell r="CV53">
            <v>0</v>
          </cell>
          <cell r="CW53">
            <v>0</v>
          </cell>
          <cell r="CZ53" t="str">
            <v>d</v>
          </cell>
        </row>
        <row r="54">
          <cell r="A54" t="str">
            <v>M-43</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cell r="BM54">
            <v>0</v>
          </cell>
          <cell r="BN54">
            <v>0</v>
          </cell>
          <cell r="BO54">
            <v>0</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cell r="CP54">
            <v>0</v>
          </cell>
          <cell r="CQ54">
            <v>0</v>
          </cell>
          <cell r="CU54">
            <v>0</v>
          </cell>
          <cell r="CV54">
            <v>0</v>
          </cell>
          <cell r="CW54">
            <v>0</v>
          </cell>
          <cell r="CZ54" t="str">
            <v>s</v>
          </cell>
        </row>
        <row r="55">
          <cell r="A55" t="str">
            <v>M-44</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cell r="BM55">
            <v>0</v>
          </cell>
          <cell r="BN55">
            <v>0</v>
          </cell>
          <cell r="BO55">
            <v>0</v>
          </cell>
          <cell r="BP55">
            <v>0</v>
          </cell>
          <cell r="BQ55">
            <v>0</v>
          </cell>
          <cell r="BR55">
            <v>0</v>
          </cell>
          <cell r="BS55">
            <v>0</v>
          </cell>
          <cell r="BT55">
            <v>0</v>
          </cell>
          <cell r="BU55">
            <v>0</v>
          </cell>
          <cell r="BV55">
            <v>0</v>
          </cell>
          <cell r="BW55">
            <v>0</v>
          </cell>
          <cell r="BX55">
            <v>0</v>
          </cell>
          <cell r="BY55">
            <v>0</v>
          </cell>
          <cell r="BZ55">
            <v>0</v>
          </cell>
          <cell r="CA55">
            <v>0</v>
          </cell>
          <cell r="CB55">
            <v>0</v>
          </cell>
          <cell r="CC55">
            <v>0</v>
          </cell>
          <cell r="CD55">
            <v>0</v>
          </cell>
          <cell r="CE55">
            <v>0</v>
          </cell>
          <cell r="CF55">
            <v>0</v>
          </cell>
          <cell r="CG55">
            <v>0</v>
          </cell>
          <cell r="CH55">
            <v>0</v>
          </cell>
          <cell r="CI55">
            <v>0</v>
          </cell>
          <cell r="CJ55">
            <v>0</v>
          </cell>
          <cell r="CK55">
            <v>0</v>
          </cell>
          <cell r="CL55">
            <v>0</v>
          </cell>
          <cell r="CM55">
            <v>0</v>
          </cell>
          <cell r="CN55">
            <v>0</v>
          </cell>
          <cell r="CO55">
            <v>0</v>
          </cell>
          <cell r="CP55">
            <v>0</v>
          </cell>
          <cell r="CQ55">
            <v>0</v>
          </cell>
          <cell r="CU55">
            <v>0</v>
          </cell>
          <cell r="CV55">
            <v>0</v>
          </cell>
          <cell r="CW55">
            <v>0</v>
          </cell>
          <cell r="CZ55" t="str">
            <v>s</v>
          </cell>
        </row>
        <row r="56">
          <cell r="A56" t="str">
            <v>M-26</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1</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1</v>
          </cell>
          <cell r="BC56">
            <v>0</v>
          </cell>
          <cell r="BD56">
            <v>0</v>
          </cell>
          <cell r="BE56">
            <v>0</v>
          </cell>
          <cell r="BF56">
            <v>0</v>
          </cell>
          <cell r="BG56">
            <v>0</v>
          </cell>
          <cell r="BH56">
            <v>0</v>
          </cell>
          <cell r="BI56">
            <v>0</v>
          </cell>
          <cell r="BJ56">
            <v>0</v>
          </cell>
          <cell r="BK56">
            <v>0</v>
          </cell>
          <cell r="BL56">
            <v>2</v>
          </cell>
          <cell r="BM56">
            <v>0</v>
          </cell>
          <cell r="BN56">
            <v>0</v>
          </cell>
          <cell r="BO56">
            <v>0</v>
          </cell>
          <cell r="BP56">
            <v>0</v>
          </cell>
          <cell r="BQ56">
            <v>0</v>
          </cell>
          <cell r="BR56">
            <v>0</v>
          </cell>
          <cell r="BS56">
            <v>0</v>
          </cell>
          <cell r="BT56">
            <v>0</v>
          </cell>
          <cell r="BU56">
            <v>0</v>
          </cell>
          <cell r="BV56">
            <v>0</v>
          </cell>
          <cell r="BW56">
            <v>0</v>
          </cell>
          <cell r="BX56">
            <v>0</v>
          </cell>
          <cell r="BY56">
            <v>0</v>
          </cell>
          <cell r="BZ56">
            <v>0</v>
          </cell>
          <cell r="CA56">
            <v>0</v>
          </cell>
          <cell r="CB56">
            <v>0</v>
          </cell>
          <cell r="CC56">
            <v>0</v>
          </cell>
          <cell r="CD56">
            <v>0</v>
          </cell>
          <cell r="CE56">
            <v>0</v>
          </cell>
          <cell r="CF56">
            <v>0</v>
          </cell>
          <cell r="CG56">
            <v>0</v>
          </cell>
          <cell r="CH56">
            <v>0</v>
          </cell>
          <cell r="CI56">
            <v>0</v>
          </cell>
          <cell r="CJ56">
            <v>0</v>
          </cell>
          <cell r="CK56">
            <v>0</v>
          </cell>
          <cell r="CL56">
            <v>0</v>
          </cell>
          <cell r="CM56">
            <v>0</v>
          </cell>
          <cell r="CN56">
            <v>0</v>
          </cell>
          <cell r="CO56">
            <v>0</v>
          </cell>
          <cell r="CP56">
            <v>0</v>
          </cell>
          <cell r="CQ56">
            <v>0</v>
          </cell>
          <cell r="CU56">
            <v>4</v>
          </cell>
          <cell r="CV56">
            <v>0</v>
          </cell>
          <cell r="CW56">
            <v>0.24</v>
          </cell>
          <cell r="CZ56" t="str">
            <v>s</v>
          </cell>
        </row>
        <row r="57">
          <cell r="A57" t="str">
            <v>M-27</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18</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18</v>
          </cell>
          <cell r="BC57">
            <v>0</v>
          </cell>
          <cell r="BD57">
            <v>0</v>
          </cell>
          <cell r="BE57">
            <v>0</v>
          </cell>
          <cell r="BF57">
            <v>0</v>
          </cell>
          <cell r="BG57">
            <v>0</v>
          </cell>
          <cell r="BH57">
            <v>0</v>
          </cell>
          <cell r="BI57">
            <v>0</v>
          </cell>
          <cell r="BJ57">
            <v>0</v>
          </cell>
          <cell r="BK57">
            <v>0</v>
          </cell>
          <cell r="BL57">
            <v>36</v>
          </cell>
          <cell r="BM57">
            <v>0</v>
          </cell>
          <cell r="BN57">
            <v>0</v>
          </cell>
          <cell r="BO57">
            <v>0</v>
          </cell>
          <cell r="BP57">
            <v>0</v>
          </cell>
          <cell r="BQ57">
            <v>0</v>
          </cell>
          <cell r="BR57">
            <v>0</v>
          </cell>
          <cell r="BS57">
            <v>0</v>
          </cell>
          <cell r="BT57">
            <v>0</v>
          </cell>
          <cell r="BU57">
            <v>0</v>
          </cell>
          <cell r="BV57">
            <v>0</v>
          </cell>
          <cell r="BW57">
            <v>0</v>
          </cell>
          <cell r="BX57">
            <v>0</v>
          </cell>
          <cell r="BY57">
            <v>0</v>
          </cell>
          <cell r="BZ57">
            <v>0</v>
          </cell>
          <cell r="CA57">
            <v>0</v>
          </cell>
          <cell r="CB57">
            <v>0</v>
          </cell>
          <cell r="CC57">
            <v>0</v>
          </cell>
          <cell r="CD57">
            <v>0</v>
          </cell>
          <cell r="CE57">
            <v>0</v>
          </cell>
          <cell r="CF57">
            <v>0</v>
          </cell>
          <cell r="CG57">
            <v>0</v>
          </cell>
          <cell r="CH57">
            <v>0</v>
          </cell>
          <cell r="CI57">
            <v>0</v>
          </cell>
          <cell r="CJ57">
            <v>0</v>
          </cell>
          <cell r="CK57">
            <v>0</v>
          </cell>
          <cell r="CL57">
            <v>0</v>
          </cell>
          <cell r="CM57">
            <v>0</v>
          </cell>
          <cell r="CN57">
            <v>0</v>
          </cell>
          <cell r="CO57">
            <v>0</v>
          </cell>
          <cell r="CP57">
            <v>0</v>
          </cell>
          <cell r="CQ57">
            <v>0</v>
          </cell>
          <cell r="CU57">
            <v>72</v>
          </cell>
          <cell r="CV57">
            <v>606.96</v>
          </cell>
          <cell r="CW57">
            <v>0.72</v>
          </cell>
          <cell r="CZ57" t="str">
            <v>s</v>
          </cell>
        </row>
        <row r="58">
          <cell r="A58" t="str">
            <v>M-28</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U58">
            <v>0</v>
          </cell>
          <cell r="CV58">
            <v>0</v>
          </cell>
          <cell r="CW58">
            <v>0</v>
          </cell>
          <cell r="CZ58" t="str">
            <v>s</v>
          </cell>
        </row>
        <row r="59">
          <cell r="A59" t="str">
            <v>M-29</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U59">
            <v>0</v>
          </cell>
          <cell r="CV59">
            <v>0</v>
          </cell>
          <cell r="CW59">
            <v>0</v>
          </cell>
          <cell r="CZ59" t="str">
            <v>s</v>
          </cell>
        </row>
        <row r="60">
          <cell r="A60" t="str">
            <v>M-30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U60">
            <v>0</v>
          </cell>
          <cell r="CV60">
            <v>0</v>
          </cell>
          <cell r="CW60">
            <v>0</v>
          </cell>
          <cell r="CZ60" t="str">
            <v>s</v>
          </cell>
        </row>
        <row r="61">
          <cell r="A61" t="str">
            <v>M-31</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U61">
            <v>0</v>
          </cell>
          <cell r="CV61">
            <v>0</v>
          </cell>
          <cell r="CW61">
            <v>0</v>
          </cell>
          <cell r="CZ61" t="str">
            <v>s</v>
          </cell>
        </row>
        <row r="62">
          <cell r="A62" t="str">
            <v>M-32</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U62">
            <v>0</v>
          </cell>
          <cell r="CV62">
            <v>0</v>
          </cell>
          <cell r="CW62">
            <v>0</v>
          </cell>
          <cell r="CZ62" t="str">
            <v>s</v>
          </cell>
        </row>
        <row r="63">
          <cell r="A63" t="str">
            <v>M-45</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U63">
            <v>0</v>
          </cell>
          <cell r="CV63">
            <v>0</v>
          </cell>
          <cell r="CW63">
            <v>0</v>
          </cell>
          <cell r="CZ63" t="str">
            <v>d</v>
          </cell>
        </row>
        <row r="64">
          <cell r="A64" t="str">
            <v>M-46</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cell r="BM64">
            <v>0</v>
          </cell>
          <cell r="BN64">
            <v>0</v>
          </cell>
          <cell r="BO64">
            <v>0</v>
          </cell>
          <cell r="BP64">
            <v>0</v>
          </cell>
          <cell r="BQ64">
            <v>0</v>
          </cell>
          <cell r="BR64">
            <v>0</v>
          </cell>
          <cell r="BS64">
            <v>0</v>
          </cell>
          <cell r="BT64">
            <v>0</v>
          </cell>
          <cell r="BU64">
            <v>0</v>
          </cell>
          <cell r="BV64">
            <v>0</v>
          </cell>
          <cell r="BW64">
            <v>0</v>
          </cell>
          <cell r="BX64">
            <v>16</v>
          </cell>
          <cell r="BY64">
            <v>0</v>
          </cell>
          <cell r="BZ64">
            <v>0</v>
          </cell>
          <cell r="CA64">
            <v>0</v>
          </cell>
          <cell r="CB64">
            <v>0</v>
          </cell>
          <cell r="CC64">
            <v>0</v>
          </cell>
          <cell r="CD64">
            <v>0</v>
          </cell>
          <cell r="CE64">
            <v>0</v>
          </cell>
          <cell r="CF64">
            <v>0</v>
          </cell>
          <cell r="CG64">
            <v>0</v>
          </cell>
          <cell r="CH64">
            <v>0</v>
          </cell>
          <cell r="CI64">
            <v>0</v>
          </cell>
          <cell r="CJ64">
            <v>0</v>
          </cell>
          <cell r="CK64">
            <v>0</v>
          </cell>
          <cell r="CL64">
            <v>0</v>
          </cell>
          <cell r="CM64">
            <v>0</v>
          </cell>
          <cell r="CN64">
            <v>0</v>
          </cell>
          <cell r="CO64">
            <v>0</v>
          </cell>
          <cell r="CP64">
            <v>0</v>
          </cell>
          <cell r="CQ64">
            <v>0</v>
          </cell>
          <cell r="CU64">
            <v>16</v>
          </cell>
          <cell r="CV64">
            <v>12000</v>
          </cell>
          <cell r="CW64">
            <v>32</v>
          </cell>
          <cell r="CZ64" t="str">
            <v>s</v>
          </cell>
        </row>
        <row r="65">
          <cell r="A65" t="str">
            <v>M-47</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cell r="BM65">
            <v>0</v>
          </cell>
          <cell r="BN65">
            <v>0</v>
          </cell>
          <cell r="BO65">
            <v>0</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F65">
            <v>0</v>
          </cell>
          <cell r="CG65">
            <v>0</v>
          </cell>
          <cell r="CH65">
            <v>0</v>
          </cell>
          <cell r="CI65">
            <v>0</v>
          </cell>
          <cell r="CJ65">
            <v>0</v>
          </cell>
          <cell r="CK65">
            <v>0</v>
          </cell>
          <cell r="CL65">
            <v>0</v>
          </cell>
          <cell r="CM65">
            <v>0</v>
          </cell>
          <cell r="CN65">
            <v>0</v>
          </cell>
          <cell r="CO65">
            <v>0</v>
          </cell>
          <cell r="CP65">
            <v>0</v>
          </cell>
          <cell r="CQ65">
            <v>0</v>
          </cell>
          <cell r="CU65">
            <v>0</v>
          </cell>
          <cell r="CV65">
            <v>0</v>
          </cell>
          <cell r="CW65">
            <v>0</v>
          </cell>
          <cell r="CZ65" t="str">
            <v>s</v>
          </cell>
        </row>
        <row r="66">
          <cell r="A66" t="str">
            <v>M-48</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cell r="BM66">
            <v>0</v>
          </cell>
          <cell r="BN66">
            <v>0</v>
          </cell>
          <cell r="BO66">
            <v>0</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0</v>
          </cell>
          <cell r="CG66">
            <v>0</v>
          </cell>
          <cell r="CH66">
            <v>0</v>
          </cell>
          <cell r="CI66">
            <v>0</v>
          </cell>
          <cell r="CJ66">
            <v>0</v>
          </cell>
          <cell r="CK66">
            <v>0</v>
          </cell>
          <cell r="CL66">
            <v>0</v>
          </cell>
          <cell r="CM66">
            <v>0</v>
          </cell>
          <cell r="CN66">
            <v>0</v>
          </cell>
          <cell r="CO66">
            <v>0</v>
          </cell>
          <cell r="CP66">
            <v>0</v>
          </cell>
          <cell r="CQ66">
            <v>0</v>
          </cell>
          <cell r="CU66">
            <v>0</v>
          </cell>
          <cell r="CV66">
            <v>0</v>
          </cell>
          <cell r="CW66">
            <v>0</v>
          </cell>
          <cell r="CZ66" t="str">
            <v>s</v>
          </cell>
        </row>
        <row r="67">
          <cell r="A67" t="str">
            <v>M-49</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cell r="BM67">
            <v>0</v>
          </cell>
          <cell r="BN67">
            <v>0</v>
          </cell>
          <cell r="BO67">
            <v>0</v>
          </cell>
          <cell r="BP67">
            <v>0</v>
          </cell>
          <cell r="BQ67">
            <v>0</v>
          </cell>
          <cell r="BR67">
            <v>0</v>
          </cell>
          <cell r="BS67">
            <v>0</v>
          </cell>
          <cell r="BT67">
            <v>0</v>
          </cell>
          <cell r="BU67">
            <v>0</v>
          </cell>
          <cell r="BV67">
            <v>0</v>
          </cell>
          <cell r="BW67">
            <v>0</v>
          </cell>
          <cell r="BX67">
            <v>0</v>
          </cell>
          <cell r="BY67">
            <v>0</v>
          </cell>
          <cell r="BZ67">
            <v>0</v>
          </cell>
          <cell r="CA67">
            <v>0</v>
          </cell>
          <cell r="CB67">
            <v>0</v>
          </cell>
          <cell r="CC67">
            <v>0</v>
          </cell>
          <cell r="CD67">
            <v>0</v>
          </cell>
          <cell r="CE67">
            <v>0</v>
          </cell>
          <cell r="CF67">
            <v>0</v>
          </cell>
          <cell r="CG67">
            <v>0</v>
          </cell>
          <cell r="CH67">
            <v>0</v>
          </cell>
          <cell r="CI67">
            <v>0</v>
          </cell>
          <cell r="CJ67">
            <v>0</v>
          </cell>
          <cell r="CK67">
            <v>0</v>
          </cell>
          <cell r="CL67">
            <v>0</v>
          </cell>
          <cell r="CM67">
            <v>0</v>
          </cell>
          <cell r="CN67">
            <v>0</v>
          </cell>
          <cell r="CO67">
            <v>0</v>
          </cell>
          <cell r="CP67">
            <v>0</v>
          </cell>
          <cell r="CQ67">
            <v>0</v>
          </cell>
          <cell r="CU67">
            <v>0</v>
          </cell>
          <cell r="CV67">
            <v>0</v>
          </cell>
          <cell r="CW67">
            <v>0</v>
          </cell>
          <cell r="CZ67" t="str">
            <v>s</v>
          </cell>
        </row>
        <row r="68">
          <cell r="A68" t="str">
            <v>M-50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cell r="BM68">
            <v>0</v>
          </cell>
          <cell r="BN68">
            <v>0</v>
          </cell>
          <cell r="BO68">
            <v>0</v>
          </cell>
          <cell r="BP68">
            <v>0</v>
          </cell>
          <cell r="BQ68">
            <v>0</v>
          </cell>
          <cell r="BR68">
            <v>0</v>
          </cell>
          <cell r="BS68">
            <v>0</v>
          </cell>
          <cell r="BT68">
            <v>0</v>
          </cell>
          <cell r="BU68">
            <v>0</v>
          </cell>
          <cell r="BV68">
            <v>0</v>
          </cell>
          <cell r="BW68">
            <v>0</v>
          </cell>
          <cell r="BX68">
            <v>0</v>
          </cell>
          <cell r="BY68">
            <v>0</v>
          </cell>
          <cell r="BZ68">
            <v>0</v>
          </cell>
          <cell r="CA68">
            <v>0</v>
          </cell>
          <cell r="CB68">
            <v>0</v>
          </cell>
          <cell r="CC68">
            <v>0</v>
          </cell>
          <cell r="CD68">
            <v>0</v>
          </cell>
          <cell r="CE68">
            <v>0</v>
          </cell>
          <cell r="CF68">
            <v>0</v>
          </cell>
          <cell r="CG68">
            <v>0</v>
          </cell>
          <cell r="CH68">
            <v>0</v>
          </cell>
          <cell r="CI68">
            <v>0</v>
          </cell>
          <cell r="CJ68">
            <v>0</v>
          </cell>
          <cell r="CK68">
            <v>0</v>
          </cell>
          <cell r="CL68">
            <v>0</v>
          </cell>
          <cell r="CM68">
            <v>0</v>
          </cell>
          <cell r="CN68">
            <v>0</v>
          </cell>
          <cell r="CO68">
            <v>0</v>
          </cell>
          <cell r="CP68">
            <v>0</v>
          </cell>
          <cell r="CQ68">
            <v>0</v>
          </cell>
          <cell r="CU68">
            <v>0</v>
          </cell>
          <cell r="CV68">
            <v>0</v>
          </cell>
          <cell r="CW68">
            <v>0</v>
          </cell>
          <cell r="CZ68" t="str">
            <v>s</v>
          </cell>
        </row>
        <row r="69">
          <cell r="A69" t="str">
            <v>M-51</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cell r="BM69">
            <v>0</v>
          </cell>
          <cell r="BN69">
            <v>0</v>
          </cell>
          <cell r="BO69">
            <v>0</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0</v>
          </cell>
          <cell r="CQ69">
            <v>0</v>
          </cell>
          <cell r="CU69">
            <v>0</v>
          </cell>
          <cell r="CV69">
            <v>0</v>
          </cell>
          <cell r="CW69">
            <v>0</v>
          </cell>
          <cell r="CZ69" t="str">
            <v>s</v>
          </cell>
        </row>
        <row r="70">
          <cell r="A70" t="str">
            <v>M-52</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cell r="BM70">
            <v>0</v>
          </cell>
          <cell r="BN70">
            <v>0</v>
          </cell>
          <cell r="BO70">
            <v>0</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v>0</v>
          </cell>
          <cell r="CM70">
            <v>0</v>
          </cell>
          <cell r="CN70">
            <v>0</v>
          </cell>
          <cell r="CO70">
            <v>0</v>
          </cell>
          <cell r="CP70">
            <v>0</v>
          </cell>
          <cell r="CQ70">
            <v>0</v>
          </cell>
          <cell r="CU70">
            <v>0</v>
          </cell>
          <cell r="CV70">
            <v>0</v>
          </cell>
          <cell r="CW70">
            <v>0</v>
          </cell>
          <cell r="CZ70" t="str">
            <v>s</v>
          </cell>
        </row>
        <row r="71">
          <cell r="A71" t="str">
            <v>M-53</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cell r="BM71">
            <v>0</v>
          </cell>
          <cell r="BN71">
            <v>0</v>
          </cell>
          <cell r="BO71">
            <v>0</v>
          </cell>
          <cell r="BP71">
            <v>0</v>
          </cell>
          <cell r="BQ71">
            <v>0</v>
          </cell>
          <cell r="BR71">
            <v>0</v>
          </cell>
          <cell r="BS71">
            <v>0</v>
          </cell>
          <cell r="BT71">
            <v>0</v>
          </cell>
          <cell r="BU71">
            <v>0</v>
          </cell>
          <cell r="BV71">
            <v>0</v>
          </cell>
          <cell r="BW71">
            <v>0</v>
          </cell>
          <cell r="BX71">
            <v>0</v>
          </cell>
          <cell r="BY71">
            <v>0</v>
          </cell>
          <cell r="BZ71">
            <v>0</v>
          </cell>
          <cell r="CA71">
            <v>0</v>
          </cell>
          <cell r="CB71">
            <v>0</v>
          </cell>
          <cell r="CC71">
            <v>0</v>
          </cell>
          <cell r="CD71">
            <v>0</v>
          </cell>
          <cell r="CE71">
            <v>0</v>
          </cell>
          <cell r="CF71">
            <v>0</v>
          </cell>
          <cell r="CG71">
            <v>0</v>
          </cell>
          <cell r="CH71">
            <v>0</v>
          </cell>
          <cell r="CI71">
            <v>0</v>
          </cell>
          <cell r="CJ71">
            <v>0</v>
          </cell>
          <cell r="CK71">
            <v>0</v>
          </cell>
          <cell r="CL71">
            <v>0</v>
          </cell>
          <cell r="CM71">
            <v>0</v>
          </cell>
          <cell r="CN71">
            <v>0</v>
          </cell>
          <cell r="CO71">
            <v>0</v>
          </cell>
          <cell r="CP71">
            <v>0</v>
          </cell>
          <cell r="CQ71">
            <v>0</v>
          </cell>
          <cell r="CU71">
            <v>0</v>
          </cell>
          <cell r="CV71">
            <v>0</v>
          </cell>
          <cell r="CW71">
            <v>0</v>
          </cell>
          <cell r="CZ71" t="str">
            <v>d</v>
          </cell>
        </row>
        <row r="72">
          <cell r="A72" t="str">
            <v>M-54</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cell r="BM72">
            <v>0</v>
          </cell>
          <cell r="BN72">
            <v>0</v>
          </cell>
          <cell r="BO72">
            <v>0</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0</v>
          </cell>
          <cell r="CO72">
            <v>0</v>
          </cell>
          <cell r="CP72">
            <v>0</v>
          </cell>
          <cell r="CQ72">
            <v>0</v>
          </cell>
          <cell r="CU72">
            <v>0</v>
          </cell>
          <cell r="CV72">
            <v>0</v>
          </cell>
          <cell r="CW72">
            <v>0</v>
          </cell>
          <cell r="CZ72" t="str">
            <v>s</v>
          </cell>
        </row>
        <row r="73">
          <cell r="A73" t="str">
            <v>M-55</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cell r="BM73">
            <v>0</v>
          </cell>
          <cell r="BN73">
            <v>0</v>
          </cell>
          <cell r="BO73">
            <v>0</v>
          </cell>
          <cell r="BP73">
            <v>0</v>
          </cell>
          <cell r="BQ73">
            <v>0</v>
          </cell>
          <cell r="BR73">
            <v>0</v>
          </cell>
          <cell r="BS73">
            <v>0</v>
          </cell>
          <cell r="BT73">
            <v>0</v>
          </cell>
          <cell r="BU73">
            <v>0</v>
          </cell>
          <cell r="BV73">
            <v>0</v>
          </cell>
          <cell r="BW73">
            <v>0</v>
          </cell>
          <cell r="BX73">
            <v>0</v>
          </cell>
          <cell r="BY73">
            <v>0</v>
          </cell>
          <cell r="BZ73">
            <v>0</v>
          </cell>
          <cell r="CA73">
            <v>0</v>
          </cell>
          <cell r="CB73">
            <v>0</v>
          </cell>
          <cell r="CC73">
            <v>0</v>
          </cell>
          <cell r="CD73">
            <v>0</v>
          </cell>
          <cell r="CE73">
            <v>0</v>
          </cell>
          <cell r="CF73">
            <v>0</v>
          </cell>
          <cell r="CG73">
            <v>0</v>
          </cell>
          <cell r="CH73">
            <v>0</v>
          </cell>
          <cell r="CI73">
            <v>0</v>
          </cell>
          <cell r="CJ73">
            <v>0</v>
          </cell>
          <cell r="CK73">
            <v>0</v>
          </cell>
          <cell r="CL73">
            <v>0</v>
          </cell>
          <cell r="CM73">
            <v>0</v>
          </cell>
          <cell r="CN73">
            <v>0</v>
          </cell>
          <cell r="CO73">
            <v>0</v>
          </cell>
          <cell r="CP73">
            <v>0</v>
          </cell>
          <cell r="CQ73">
            <v>0</v>
          </cell>
          <cell r="CU73">
            <v>0</v>
          </cell>
          <cell r="CV73">
            <v>0</v>
          </cell>
          <cell r="CW73">
            <v>0</v>
          </cell>
          <cell r="CZ73" t="str">
            <v>s</v>
          </cell>
        </row>
        <row r="74">
          <cell r="A74" t="str">
            <v>M-56</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cell r="BM74">
            <v>0</v>
          </cell>
          <cell r="BN74">
            <v>0</v>
          </cell>
          <cell r="BO74">
            <v>0</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cell r="CD74">
            <v>0</v>
          </cell>
          <cell r="CE74">
            <v>0</v>
          </cell>
          <cell r="CF74">
            <v>0</v>
          </cell>
          <cell r="CG74">
            <v>0</v>
          </cell>
          <cell r="CH74">
            <v>0</v>
          </cell>
          <cell r="CI74">
            <v>0</v>
          </cell>
          <cell r="CJ74">
            <v>0</v>
          </cell>
          <cell r="CK74">
            <v>0</v>
          </cell>
          <cell r="CL74">
            <v>0</v>
          </cell>
          <cell r="CM74">
            <v>0</v>
          </cell>
          <cell r="CN74">
            <v>0</v>
          </cell>
          <cell r="CO74">
            <v>0</v>
          </cell>
          <cell r="CP74">
            <v>0</v>
          </cell>
          <cell r="CQ74">
            <v>0</v>
          </cell>
          <cell r="CU74">
            <v>0</v>
          </cell>
          <cell r="CV74">
            <v>0</v>
          </cell>
          <cell r="CW74">
            <v>0</v>
          </cell>
          <cell r="CZ74" t="str">
            <v>d</v>
          </cell>
        </row>
        <row r="75">
          <cell r="A75" t="str">
            <v>M-57</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cell r="BM75">
            <v>0</v>
          </cell>
          <cell r="BN75">
            <v>0</v>
          </cell>
          <cell r="BO75">
            <v>0</v>
          </cell>
          <cell r="BP75">
            <v>0</v>
          </cell>
          <cell r="BQ75">
            <v>0</v>
          </cell>
          <cell r="BR75">
            <v>0</v>
          </cell>
          <cell r="BS75">
            <v>0</v>
          </cell>
          <cell r="BT75">
            <v>0</v>
          </cell>
          <cell r="BU75">
            <v>0</v>
          </cell>
          <cell r="BV75">
            <v>0</v>
          </cell>
          <cell r="BW75">
            <v>0</v>
          </cell>
          <cell r="BX75">
            <v>0</v>
          </cell>
          <cell r="BY75">
            <v>0</v>
          </cell>
          <cell r="BZ75">
            <v>0</v>
          </cell>
          <cell r="CA75">
            <v>0</v>
          </cell>
          <cell r="CB75">
            <v>0</v>
          </cell>
          <cell r="CC75">
            <v>0</v>
          </cell>
          <cell r="CD75">
            <v>0</v>
          </cell>
          <cell r="CE75">
            <v>0</v>
          </cell>
          <cell r="CF75">
            <v>0</v>
          </cell>
          <cell r="CG75">
            <v>0</v>
          </cell>
          <cell r="CH75">
            <v>0</v>
          </cell>
          <cell r="CI75">
            <v>0</v>
          </cell>
          <cell r="CJ75">
            <v>0</v>
          </cell>
          <cell r="CK75">
            <v>0</v>
          </cell>
          <cell r="CL75">
            <v>0</v>
          </cell>
          <cell r="CM75">
            <v>0</v>
          </cell>
          <cell r="CN75">
            <v>0</v>
          </cell>
          <cell r="CO75">
            <v>0</v>
          </cell>
          <cell r="CP75">
            <v>0</v>
          </cell>
          <cell r="CQ75">
            <v>0</v>
          </cell>
          <cell r="CU75">
            <v>0</v>
          </cell>
          <cell r="CV75">
            <v>0</v>
          </cell>
          <cell r="CW75">
            <v>0</v>
          </cell>
          <cell r="CZ75" t="str">
            <v>d</v>
          </cell>
        </row>
        <row r="76">
          <cell r="A76" t="str">
            <v>M-58</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cell r="BM76">
            <v>0</v>
          </cell>
          <cell r="BN76">
            <v>0</v>
          </cell>
          <cell r="BO76">
            <v>0</v>
          </cell>
          <cell r="BP76">
            <v>0</v>
          </cell>
          <cell r="BQ76">
            <v>0</v>
          </cell>
          <cell r="BR76">
            <v>0</v>
          </cell>
          <cell r="BS76">
            <v>0</v>
          </cell>
          <cell r="BT76">
            <v>0</v>
          </cell>
          <cell r="BU76">
            <v>0</v>
          </cell>
          <cell r="BV76">
            <v>0</v>
          </cell>
          <cell r="BW76">
            <v>0</v>
          </cell>
          <cell r="BX76">
            <v>0</v>
          </cell>
          <cell r="BY76">
            <v>0</v>
          </cell>
          <cell r="BZ76">
            <v>0</v>
          </cell>
          <cell r="CA76">
            <v>0</v>
          </cell>
          <cell r="CB76">
            <v>0</v>
          </cell>
          <cell r="CC76">
            <v>0</v>
          </cell>
          <cell r="CD76">
            <v>0</v>
          </cell>
          <cell r="CE76">
            <v>0</v>
          </cell>
          <cell r="CF76">
            <v>0</v>
          </cell>
          <cell r="CG76">
            <v>0</v>
          </cell>
          <cell r="CH76">
            <v>0</v>
          </cell>
          <cell r="CI76">
            <v>0</v>
          </cell>
          <cell r="CJ76">
            <v>0</v>
          </cell>
          <cell r="CK76">
            <v>0</v>
          </cell>
          <cell r="CL76">
            <v>0</v>
          </cell>
          <cell r="CM76">
            <v>0</v>
          </cell>
          <cell r="CN76">
            <v>0</v>
          </cell>
          <cell r="CO76">
            <v>0</v>
          </cell>
          <cell r="CP76">
            <v>0</v>
          </cell>
          <cell r="CQ76">
            <v>0</v>
          </cell>
          <cell r="CU76">
            <v>0</v>
          </cell>
          <cell r="CV76">
            <v>0</v>
          </cell>
          <cell r="CW76">
            <v>0</v>
          </cell>
          <cell r="CZ76" t="str">
            <v>s</v>
          </cell>
        </row>
        <row r="77">
          <cell r="A77" t="str">
            <v>M-59</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cell r="BM77">
            <v>0</v>
          </cell>
          <cell r="BN77">
            <v>0</v>
          </cell>
          <cell r="BO77">
            <v>0</v>
          </cell>
          <cell r="BP77">
            <v>0</v>
          </cell>
          <cell r="BQ77">
            <v>0</v>
          </cell>
          <cell r="BR77">
            <v>0</v>
          </cell>
          <cell r="BS77">
            <v>0</v>
          </cell>
          <cell r="BT77">
            <v>0</v>
          </cell>
          <cell r="BU77">
            <v>0</v>
          </cell>
          <cell r="BV77">
            <v>0</v>
          </cell>
          <cell r="BW77">
            <v>0</v>
          </cell>
          <cell r="BX77">
            <v>0</v>
          </cell>
          <cell r="BY77">
            <v>0</v>
          </cell>
          <cell r="BZ77">
            <v>0</v>
          </cell>
          <cell r="CA77">
            <v>0</v>
          </cell>
          <cell r="CB77">
            <v>0</v>
          </cell>
          <cell r="CC77">
            <v>0</v>
          </cell>
          <cell r="CD77">
            <v>0</v>
          </cell>
          <cell r="CE77">
            <v>0</v>
          </cell>
          <cell r="CF77">
            <v>0</v>
          </cell>
          <cell r="CG77">
            <v>0</v>
          </cell>
          <cell r="CH77">
            <v>0</v>
          </cell>
          <cell r="CI77">
            <v>0</v>
          </cell>
          <cell r="CJ77">
            <v>0</v>
          </cell>
          <cell r="CK77">
            <v>0</v>
          </cell>
          <cell r="CL77">
            <v>0</v>
          </cell>
          <cell r="CM77">
            <v>0</v>
          </cell>
          <cell r="CN77">
            <v>0</v>
          </cell>
          <cell r="CO77">
            <v>0</v>
          </cell>
          <cell r="CP77">
            <v>0</v>
          </cell>
          <cell r="CQ77">
            <v>0</v>
          </cell>
          <cell r="CU77">
            <v>0</v>
          </cell>
          <cell r="CV77">
            <v>0</v>
          </cell>
          <cell r="CW77">
            <v>0</v>
          </cell>
          <cell r="CZ77" t="str">
            <v>s</v>
          </cell>
        </row>
        <row r="78">
          <cell r="A78" t="str">
            <v>M-60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cell r="BM78">
            <v>0</v>
          </cell>
          <cell r="BN78">
            <v>0</v>
          </cell>
          <cell r="BO78">
            <v>0</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cell r="CE78">
            <v>0</v>
          </cell>
          <cell r="CF78">
            <v>0</v>
          </cell>
          <cell r="CG78">
            <v>0</v>
          </cell>
          <cell r="CH78">
            <v>0</v>
          </cell>
          <cell r="CI78">
            <v>0</v>
          </cell>
          <cell r="CJ78">
            <v>0</v>
          </cell>
          <cell r="CK78">
            <v>0</v>
          </cell>
          <cell r="CL78">
            <v>0</v>
          </cell>
          <cell r="CM78">
            <v>0</v>
          </cell>
          <cell r="CN78">
            <v>0</v>
          </cell>
          <cell r="CO78">
            <v>0</v>
          </cell>
          <cell r="CP78">
            <v>0</v>
          </cell>
          <cell r="CQ78">
            <v>0</v>
          </cell>
          <cell r="CU78">
            <v>0</v>
          </cell>
          <cell r="CV78">
            <v>0</v>
          </cell>
          <cell r="CW78">
            <v>0</v>
          </cell>
          <cell r="CZ78" t="str">
            <v>s</v>
          </cell>
        </row>
        <row r="79">
          <cell r="A79" t="str">
            <v>M-61</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cell r="BM79">
            <v>0</v>
          </cell>
          <cell r="BN79">
            <v>0</v>
          </cell>
          <cell r="BO79">
            <v>0</v>
          </cell>
          <cell r="BP79">
            <v>0</v>
          </cell>
          <cell r="BQ79">
            <v>0</v>
          </cell>
          <cell r="BR79">
            <v>0</v>
          </cell>
          <cell r="BS79">
            <v>0</v>
          </cell>
          <cell r="BT79">
            <v>0</v>
          </cell>
          <cell r="BU79">
            <v>0</v>
          </cell>
          <cell r="BV79">
            <v>0</v>
          </cell>
          <cell r="BW79">
            <v>0</v>
          </cell>
          <cell r="BX79">
            <v>0</v>
          </cell>
          <cell r="BY79">
            <v>0</v>
          </cell>
          <cell r="BZ79">
            <v>0</v>
          </cell>
          <cell r="CA79">
            <v>0</v>
          </cell>
          <cell r="CB79">
            <v>0</v>
          </cell>
          <cell r="CC79">
            <v>0</v>
          </cell>
          <cell r="CD79">
            <v>0</v>
          </cell>
          <cell r="CE79">
            <v>0</v>
          </cell>
          <cell r="CF79">
            <v>0</v>
          </cell>
          <cell r="CG79">
            <v>0</v>
          </cell>
          <cell r="CH79">
            <v>0</v>
          </cell>
          <cell r="CI79">
            <v>0</v>
          </cell>
          <cell r="CJ79">
            <v>0</v>
          </cell>
          <cell r="CK79">
            <v>0</v>
          </cell>
          <cell r="CL79">
            <v>0</v>
          </cell>
          <cell r="CM79">
            <v>0</v>
          </cell>
          <cell r="CN79">
            <v>0</v>
          </cell>
          <cell r="CO79">
            <v>0</v>
          </cell>
          <cell r="CP79">
            <v>0</v>
          </cell>
          <cell r="CQ79">
            <v>0</v>
          </cell>
          <cell r="CU79">
            <v>0</v>
          </cell>
          <cell r="CV79">
            <v>0</v>
          </cell>
          <cell r="CW79">
            <v>0</v>
          </cell>
          <cell r="CZ79" t="str">
            <v>s</v>
          </cell>
        </row>
        <row r="80">
          <cell r="A80" t="str">
            <v>M-62</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cell r="BM80">
            <v>0</v>
          </cell>
          <cell r="BN80">
            <v>0</v>
          </cell>
          <cell r="BO80">
            <v>0</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v>0</v>
          </cell>
          <cell r="CM80">
            <v>0</v>
          </cell>
          <cell r="CN80">
            <v>0</v>
          </cell>
          <cell r="CO80">
            <v>0</v>
          </cell>
          <cell r="CP80">
            <v>0</v>
          </cell>
          <cell r="CQ80">
            <v>0</v>
          </cell>
          <cell r="CU80">
            <v>0</v>
          </cell>
          <cell r="CV80">
            <v>0</v>
          </cell>
          <cell r="CW80">
            <v>0</v>
          </cell>
          <cell r="CZ80" t="str">
            <v>d</v>
          </cell>
        </row>
        <row r="81">
          <cell r="A81" t="str">
            <v>M-63</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cell r="BM81">
            <v>0</v>
          </cell>
          <cell r="BN81">
            <v>0</v>
          </cell>
          <cell r="BO81">
            <v>0</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0</v>
          </cell>
          <cell r="CF81">
            <v>0</v>
          </cell>
          <cell r="CG81">
            <v>0</v>
          </cell>
          <cell r="CH81">
            <v>0</v>
          </cell>
          <cell r="CI81">
            <v>0</v>
          </cell>
          <cell r="CJ81">
            <v>0</v>
          </cell>
          <cell r="CK81">
            <v>0</v>
          </cell>
          <cell r="CL81">
            <v>0</v>
          </cell>
          <cell r="CM81">
            <v>0</v>
          </cell>
          <cell r="CN81">
            <v>0</v>
          </cell>
          <cell r="CO81">
            <v>0</v>
          </cell>
          <cell r="CP81">
            <v>0</v>
          </cell>
          <cell r="CQ81">
            <v>0</v>
          </cell>
          <cell r="CU81">
            <v>0</v>
          </cell>
          <cell r="CV81">
            <v>0</v>
          </cell>
          <cell r="CW81">
            <v>0</v>
          </cell>
          <cell r="CZ81" t="str">
            <v>d</v>
          </cell>
        </row>
        <row r="82">
          <cell r="A82" t="str">
            <v>M-64</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cell r="BM82">
            <v>0</v>
          </cell>
          <cell r="BN82">
            <v>0</v>
          </cell>
          <cell r="BO82">
            <v>0</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cell r="CE82">
            <v>0</v>
          </cell>
          <cell r="CF82">
            <v>0</v>
          </cell>
          <cell r="CG82">
            <v>0</v>
          </cell>
          <cell r="CH82">
            <v>0</v>
          </cell>
          <cell r="CI82">
            <v>0</v>
          </cell>
          <cell r="CJ82">
            <v>0</v>
          </cell>
          <cell r="CK82">
            <v>0</v>
          </cell>
          <cell r="CL82">
            <v>0</v>
          </cell>
          <cell r="CM82">
            <v>0</v>
          </cell>
          <cell r="CN82">
            <v>0</v>
          </cell>
          <cell r="CO82">
            <v>0</v>
          </cell>
          <cell r="CP82">
            <v>0</v>
          </cell>
          <cell r="CQ82">
            <v>0</v>
          </cell>
          <cell r="CU82">
            <v>0</v>
          </cell>
          <cell r="CV82">
            <v>0</v>
          </cell>
          <cell r="CW82">
            <v>0</v>
          </cell>
          <cell r="CZ82" t="str">
            <v>s</v>
          </cell>
        </row>
        <row r="83">
          <cell r="A83" t="str">
            <v>M-65</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cell r="BM83">
            <v>0</v>
          </cell>
          <cell r="BN83">
            <v>0</v>
          </cell>
          <cell r="BO83">
            <v>0</v>
          </cell>
          <cell r="BP83">
            <v>0</v>
          </cell>
          <cell r="BQ83">
            <v>0</v>
          </cell>
          <cell r="BR83">
            <v>0</v>
          </cell>
          <cell r="BS83">
            <v>0</v>
          </cell>
          <cell r="BT83">
            <v>0</v>
          </cell>
          <cell r="BU83">
            <v>0</v>
          </cell>
          <cell r="BV83">
            <v>0</v>
          </cell>
          <cell r="BW83">
            <v>0</v>
          </cell>
          <cell r="BX83">
            <v>0</v>
          </cell>
          <cell r="BY83">
            <v>0</v>
          </cell>
          <cell r="BZ83">
            <v>0</v>
          </cell>
          <cell r="CA83">
            <v>0</v>
          </cell>
          <cell r="CB83">
            <v>0</v>
          </cell>
          <cell r="CC83">
            <v>0</v>
          </cell>
          <cell r="CD83">
            <v>0</v>
          </cell>
          <cell r="CE83">
            <v>0</v>
          </cell>
          <cell r="CF83">
            <v>0</v>
          </cell>
          <cell r="CG83">
            <v>0</v>
          </cell>
          <cell r="CH83">
            <v>0</v>
          </cell>
          <cell r="CI83">
            <v>0</v>
          </cell>
          <cell r="CJ83">
            <v>0</v>
          </cell>
          <cell r="CK83">
            <v>0</v>
          </cell>
          <cell r="CL83">
            <v>0</v>
          </cell>
          <cell r="CM83">
            <v>0</v>
          </cell>
          <cell r="CN83">
            <v>0</v>
          </cell>
          <cell r="CO83">
            <v>0</v>
          </cell>
          <cell r="CP83">
            <v>0</v>
          </cell>
          <cell r="CQ83">
            <v>0</v>
          </cell>
          <cell r="CU83">
            <v>0</v>
          </cell>
          <cell r="CV83">
            <v>0</v>
          </cell>
          <cell r="CW83">
            <v>0</v>
          </cell>
          <cell r="CZ83" t="str">
            <v>s</v>
          </cell>
        </row>
        <row r="84">
          <cell r="A84" t="str">
            <v>M-66</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cell r="BM84">
            <v>0</v>
          </cell>
          <cell r="BN84">
            <v>0</v>
          </cell>
          <cell r="BO84">
            <v>0</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H84">
            <v>0</v>
          </cell>
          <cell r="CI84">
            <v>0</v>
          </cell>
          <cell r="CJ84">
            <v>0</v>
          </cell>
          <cell r="CK84">
            <v>0</v>
          </cell>
          <cell r="CL84">
            <v>0</v>
          </cell>
          <cell r="CM84">
            <v>0</v>
          </cell>
          <cell r="CN84">
            <v>0</v>
          </cell>
          <cell r="CO84">
            <v>0</v>
          </cell>
          <cell r="CP84">
            <v>0</v>
          </cell>
          <cell r="CQ84">
            <v>0</v>
          </cell>
          <cell r="CU84">
            <v>0</v>
          </cell>
          <cell r="CV84">
            <v>0</v>
          </cell>
          <cell r="CW84">
            <v>0</v>
          </cell>
          <cell r="CZ84" t="str">
            <v>s</v>
          </cell>
        </row>
        <row r="85">
          <cell r="A85" t="str">
            <v>M-67</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cell r="BM85">
            <v>0</v>
          </cell>
          <cell r="BN85">
            <v>0</v>
          </cell>
          <cell r="BO85">
            <v>0</v>
          </cell>
          <cell r="BP85">
            <v>0</v>
          </cell>
          <cell r="BQ85">
            <v>0</v>
          </cell>
          <cell r="BR85">
            <v>0</v>
          </cell>
          <cell r="BS85">
            <v>0</v>
          </cell>
          <cell r="BT85">
            <v>0</v>
          </cell>
          <cell r="BU85">
            <v>0</v>
          </cell>
          <cell r="BV85">
            <v>0</v>
          </cell>
          <cell r="BW85">
            <v>0</v>
          </cell>
          <cell r="BX85">
            <v>0</v>
          </cell>
          <cell r="BY85">
            <v>0</v>
          </cell>
          <cell r="BZ85">
            <v>0</v>
          </cell>
          <cell r="CA85">
            <v>0</v>
          </cell>
          <cell r="CB85">
            <v>0</v>
          </cell>
          <cell r="CC85">
            <v>0</v>
          </cell>
          <cell r="CD85">
            <v>0</v>
          </cell>
          <cell r="CE85">
            <v>0</v>
          </cell>
          <cell r="CF85">
            <v>0</v>
          </cell>
          <cell r="CG85">
            <v>0</v>
          </cell>
          <cell r="CH85">
            <v>0</v>
          </cell>
          <cell r="CI85">
            <v>0</v>
          </cell>
          <cell r="CJ85">
            <v>0</v>
          </cell>
          <cell r="CK85">
            <v>0</v>
          </cell>
          <cell r="CL85">
            <v>0</v>
          </cell>
          <cell r="CM85">
            <v>0</v>
          </cell>
          <cell r="CN85">
            <v>0</v>
          </cell>
          <cell r="CO85">
            <v>0</v>
          </cell>
          <cell r="CP85">
            <v>0</v>
          </cell>
          <cell r="CQ85">
            <v>0</v>
          </cell>
          <cell r="CU85">
            <v>0</v>
          </cell>
          <cell r="CV85">
            <v>0</v>
          </cell>
          <cell r="CW85">
            <v>0</v>
          </cell>
          <cell r="CZ85" t="str">
            <v>s</v>
          </cell>
        </row>
        <row r="86">
          <cell r="A86" t="str">
            <v>M-68</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cell r="BM86">
            <v>0</v>
          </cell>
          <cell r="BN86">
            <v>0</v>
          </cell>
          <cell r="BO86">
            <v>0</v>
          </cell>
          <cell r="BP86">
            <v>0</v>
          </cell>
          <cell r="BQ86">
            <v>0</v>
          </cell>
          <cell r="BR86">
            <v>0</v>
          </cell>
          <cell r="BS86">
            <v>0</v>
          </cell>
          <cell r="BT86">
            <v>0</v>
          </cell>
          <cell r="BU86">
            <v>0</v>
          </cell>
          <cell r="BV86">
            <v>0</v>
          </cell>
          <cell r="BW86">
            <v>0</v>
          </cell>
          <cell r="BX86">
            <v>0</v>
          </cell>
          <cell r="BY86">
            <v>0</v>
          </cell>
          <cell r="BZ86">
            <v>0</v>
          </cell>
          <cell r="CA86">
            <v>0</v>
          </cell>
          <cell r="CB86">
            <v>0</v>
          </cell>
          <cell r="CC86">
            <v>0</v>
          </cell>
          <cell r="CD86">
            <v>0</v>
          </cell>
          <cell r="CE86">
            <v>0</v>
          </cell>
          <cell r="CF86">
            <v>0</v>
          </cell>
          <cell r="CG86">
            <v>0</v>
          </cell>
          <cell r="CH86">
            <v>0</v>
          </cell>
          <cell r="CI86">
            <v>0</v>
          </cell>
          <cell r="CJ86">
            <v>0</v>
          </cell>
          <cell r="CK86">
            <v>0</v>
          </cell>
          <cell r="CL86">
            <v>0</v>
          </cell>
          <cell r="CM86">
            <v>0</v>
          </cell>
          <cell r="CN86">
            <v>0</v>
          </cell>
          <cell r="CO86">
            <v>0</v>
          </cell>
          <cell r="CP86">
            <v>0</v>
          </cell>
          <cell r="CQ86">
            <v>0</v>
          </cell>
          <cell r="CU86">
            <v>0</v>
          </cell>
          <cell r="CV86">
            <v>0</v>
          </cell>
          <cell r="CW86">
            <v>0</v>
          </cell>
          <cell r="CZ86" t="str">
            <v>s</v>
          </cell>
        </row>
        <row r="87">
          <cell r="CV87">
            <v>67652.806500000006</v>
          </cell>
          <cell r="CW87">
            <v>925.17750000000012</v>
          </cell>
        </row>
        <row r="89">
          <cell r="CV89" t="str">
            <v>a</v>
          </cell>
        </row>
        <row r="90">
          <cell r="A90" t="str">
            <v>HP2.5-75</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3</v>
          </cell>
          <cell r="BC90">
            <v>0</v>
          </cell>
          <cell r="BD90">
            <v>0</v>
          </cell>
          <cell r="BE90">
            <v>0</v>
          </cell>
          <cell r="BF90">
            <v>0</v>
          </cell>
          <cell r="BG90">
            <v>0</v>
          </cell>
          <cell r="BH90">
            <v>0</v>
          </cell>
          <cell r="BI90">
            <v>0</v>
          </cell>
          <cell r="BJ90">
            <v>0</v>
          </cell>
          <cell r="BK90">
            <v>0</v>
          </cell>
          <cell r="BL90">
            <v>6</v>
          </cell>
          <cell r="BM90">
            <v>0</v>
          </cell>
          <cell r="BN90">
            <v>0</v>
          </cell>
          <cell r="BO90">
            <v>0</v>
          </cell>
          <cell r="BP90">
            <v>0</v>
          </cell>
          <cell r="BQ90">
            <v>0</v>
          </cell>
          <cell r="BR90">
            <v>0</v>
          </cell>
          <cell r="BS90">
            <v>0</v>
          </cell>
          <cell r="BT90">
            <v>0</v>
          </cell>
          <cell r="BU90">
            <v>0</v>
          </cell>
          <cell r="BV90">
            <v>0</v>
          </cell>
          <cell r="BW90">
            <v>0</v>
          </cell>
          <cell r="BX90">
            <v>80</v>
          </cell>
          <cell r="BY90">
            <v>0</v>
          </cell>
          <cell r="BZ90">
            <v>0</v>
          </cell>
          <cell r="CA90">
            <v>0</v>
          </cell>
          <cell r="CB90">
            <v>0</v>
          </cell>
          <cell r="CC90">
            <v>0</v>
          </cell>
          <cell r="CD90">
            <v>0</v>
          </cell>
          <cell r="CE90">
            <v>0</v>
          </cell>
          <cell r="CF90">
            <v>0</v>
          </cell>
          <cell r="CG90">
            <v>0</v>
          </cell>
          <cell r="CH90">
            <v>0</v>
          </cell>
          <cell r="CI90">
            <v>0</v>
          </cell>
          <cell r="CJ90">
            <v>0</v>
          </cell>
          <cell r="CK90">
            <v>0</v>
          </cell>
          <cell r="CL90">
            <v>0</v>
          </cell>
          <cell r="CM90">
            <v>0</v>
          </cell>
          <cell r="CN90">
            <v>0</v>
          </cell>
          <cell r="CO90">
            <v>0</v>
          </cell>
          <cell r="CP90">
            <v>0</v>
          </cell>
          <cell r="CQ90">
            <v>0</v>
          </cell>
          <cell r="CU90">
            <v>89</v>
          </cell>
          <cell r="CV90">
            <v>10562.52</v>
          </cell>
          <cell r="CW90">
            <v>48.95</v>
          </cell>
          <cell r="CZ90" t="str">
            <v>d</v>
          </cell>
        </row>
        <row r="91">
          <cell r="A91" t="str">
            <v>HP2.5-90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10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cell r="BM91">
            <v>0</v>
          </cell>
          <cell r="BN91">
            <v>0</v>
          </cell>
          <cell r="BO91">
            <v>0</v>
          </cell>
          <cell r="BP91">
            <v>0</v>
          </cell>
          <cell r="BQ91">
            <v>0</v>
          </cell>
          <cell r="BR91">
            <v>0</v>
          </cell>
          <cell r="BS91">
            <v>0</v>
          </cell>
          <cell r="BT91">
            <v>0</v>
          </cell>
          <cell r="BU91">
            <v>0</v>
          </cell>
          <cell r="BV91">
            <v>0</v>
          </cell>
          <cell r="BW91">
            <v>0</v>
          </cell>
          <cell r="BX91">
            <v>0</v>
          </cell>
          <cell r="BY91">
            <v>0</v>
          </cell>
          <cell r="BZ91">
            <v>0</v>
          </cell>
          <cell r="CA91">
            <v>0</v>
          </cell>
          <cell r="CB91">
            <v>0</v>
          </cell>
          <cell r="CC91">
            <v>0</v>
          </cell>
          <cell r="CD91">
            <v>0</v>
          </cell>
          <cell r="CE91">
            <v>0</v>
          </cell>
          <cell r="CF91">
            <v>0</v>
          </cell>
          <cell r="CG91">
            <v>0</v>
          </cell>
          <cell r="CH91">
            <v>0</v>
          </cell>
          <cell r="CI91">
            <v>0</v>
          </cell>
          <cell r="CJ91">
            <v>0</v>
          </cell>
          <cell r="CK91">
            <v>0</v>
          </cell>
          <cell r="CL91">
            <v>0</v>
          </cell>
          <cell r="CM91">
            <v>0</v>
          </cell>
          <cell r="CN91">
            <v>0</v>
          </cell>
          <cell r="CO91">
            <v>0</v>
          </cell>
          <cell r="CP91">
            <v>0</v>
          </cell>
          <cell r="CQ91">
            <v>0</v>
          </cell>
          <cell r="CU91">
            <v>10</v>
          </cell>
          <cell r="CV91">
            <v>1677</v>
          </cell>
          <cell r="CW91">
            <v>8.4</v>
          </cell>
          <cell r="CZ91" t="str">
            <v>d</v>
          </cell>
        </row>
        <row r="92">
          <cell r="A92" t="str">
            <v>HP2.5-110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cell r="BM92">
            <v>0</v>
          </cell>
          <cell r="BN92">
            <v>0</v>
          </cell>
          <cell r="BO92">
            <v>0</v>
          </cell>
          <cell r="BP92">
            <v>0</v>
          </cell>
          <cell r="BQ92">
            <v>0</v>
          </cell>
          <cell r="BR92">
            <v>0</v>
          </cell>
          <cell r="BS92">
            <v>0</v>
          </cell>
          <cell r="BT92">
            <v>0</v>
          </cell>
          <cell r="BU92">
            <v>0</v>
          </cell>
          <cell r="BV92">
            <v>0</v>
          </cell>
          <cell r="BW92">
            <v>0</v>
          </cell>
          <cell r="BX92">
            <v>0</v>
          </cell>
          <cell r="BY92">
            <v>0</v>
          </cell>
          <cell r="BZ92">
            <v>0</v>
          </cell>
          <cell r="CA92">
            <v>0</v>
          </cell>
          <cell r="CB92">
            <v>0</v>
          </cell>
          <cell r="CC92">
            <v>0</v>
          </cell>
          <cell r="CD92">
            <v>0</v>
          </cell>
          <cell r="CE92">
            <v>0</v>
          </cell>
          <cell r="CF92">
            <v>0</v>
          </cell>
          <cell r="CG92">
            <v>0</v>
          </cell>
          <cell r="CH92">
            <v>0</v>
          </cell>
          <cell r="CI92">
            <v>0</v>
          </cell>
          <cell r="CJ92">
            <v>0</v>
          </cell>
          <cell r="CK92">
            <v>0</v>
          </cell>
          <cell r="CL92">
            <v>0</v>
          </cell>
          <cell r="CM92">
            <v>0</v>
          </cell>
          <cell r="CN92">
            <v>0</v>
          </cell>
          <cell r="CO92">
            <v>0</v>
          </cell>
          <cell r="CP92">
            <v>0</v>
          </cell>
          <cell r="CQ92">
            <v>0</v>
          </cell>
          <cell r="CU92">
            <v>0</v>
          </cell>
          <cell r="CV92">
            <v>0</v>
          </cell>
          <cell r="CW92">
            <v>0</v>
          </cell>
          <cell r="CZ92" t="str">
            <v>d</v>
          </cell>
        </row>
        <row r="93">
          <cell r="A93" t="str">
            <v>HP2.5-140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cell r="BM93">
            <v>0</v>
          </cell>
          <cell r="BN93">
            <v>0</v>
          </cell>
          <cell r="BO93">
            <v>0</v>
          </cell>
          <cell r="BP93">
            <v>0</v>
          </cell>
          <cell r="BQ93">
            <v>0</v>
          </cell>
          <cell r="BR93">
            <v>0</v>
          </cell>
          <cell r="BS93">
            <v>0</v>
          </cell>
          <cell r="BT93">
            <v>0</v>
          </cell>
          <cell r="BU93">
            <v>0</v>
          </cell>
          <cell r="BV93">
            <v>0</v>
          </cell>
          <cell r="BW93">
            <v>0</v>
          </cell>
          <cell r="BX93">
            <v>0</v>
          </cell>
          <cell r="BY93">
            <v>0</v>
          </cell>
          <cell r="BZ93">
            <v>0</v>
          </cell>
          <cell r="CA93">
            <v>0</v>
          </cell>
          <cell r="CB93">
            <v>0</v>
          </cell>
          <cell r="CC93">
            <v>0</v>
          </cell>
          <cell r="CD93">
            <v>0</v>
          </cell>
          <cell r="CE93">
            <v>0</v>
          </cell>
          <cell r="CF93">
            <v>0</v>
          </cell>
          <cell r="CG93">
            <v>0</v>
          </cell>
          <cell r="CH93">
            <v>0</v>
          </cell>
          <cell r="CI93">
            <v>0</v>
          </cell>
          <cell r="CJ93">
            <v>0</v>
          </cell>
          <cell r="CK93">
            <v>0</v>
          </cell>
          <cell r="CL93">
            <v>0</v>
          </cell>
          <cell r="CM93">
            <v>0</v>
          </cell>
          <cell r="CN93">
            <v>0</v>
          </cell>
          <cell r="CO93">
            <v>0</v>
          </cell>
          <cell r="CP93">
            <v>0</v>
          </cell>
          <cell r="CQ93">
            <v>0</v>
          </cell>
          <cell r="CU93">
            <v>0</v>
          </cell>
          <cell r="CV93">
            <v>0</v>
          </cell>
          <cell r="CW93">
            <v>0</v>
          </cell>
          <cell r="CZ93" t="str">
            <v>d</v>
          </cell>
        </row>
        <row r="94">
          <cell r="A94" t="str">
            <v>HP2.5-160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cell r="BM94">
            <v>0</v>
          </cell>
          <cell r="BN94">
            <v>0</v>
          </cell>
          <cell r="BO94">
            <v>0</v>
          </cell>
          <cell r="BP94">
            <v>0</v>
          </cell>
          <cell r="BQ94">
            <v>0</v>
          </cell>
          <cell r="BR94">
            <v>0</v>
          </cell>
          <cell r="BS94">
            <v>0</v>
          </cell>
          <cell r="BT94">
            <v>0</v>
          </cell>
          <cell r="BU94">
            <v>0</v>
          </cell>
          <cell r="BV94">
            <v>0</v>
          </cell>
          <cell r="BW94">
            <v>0</v>
          </cell>
          <cell r="BX94">
            <v>0</v>
          </cell>
          <cell r="BY94">
            <v>0</v>
          </cell>
          <cell r="BZ94">
            <v>0</v>
          </cell>
          <cell r="CA94">
            <v>0</v>
          </cell>
          <cell r="CB94">
            <v>0</v>
          </cell>
          <cell r="CC94">
            <v>0</v>
          </cell>
          <cell r="CD94">
            <v>0</v>
          </cell>
          <cell r="CE94">
            <v>0</v>
          </cell>
          <cell r="CF94">
            <v>0</v>
          </cell>
          <cell r="CG94">
            <v>0</v>
          </cell>
          <cell r="CH94">
            <v>0</v>
          </cell>
          <cell r="CI94">
            <v>0</v>
          </cell>
          <cell r="CJ94">
            <v>0</v>
          </cell>
          <cell r="CK94">
            <v>0</v>
          </cell>
          <cell r="CL94">
            <v>0</v>
          </cell>
          <cell r="CM94">
            <v>0</v>
          </cell>
          <cell r="CN94">
            <v>0</v>
          </cell>
          <cell r="CO94">
            <v>0</v>
          </cell>
          <cell r="CP94">
            <v>0</v>
          </cell>
          <cell r="CQ94">
            <v>0</v>
          </cell>
          <cell r="CU94">
            <v>0</v>
          </cell>
          <cell r="CV94">
            <v>0</v>
          </cell>
          <cell r="CW94">
            <v>0</v>
          </cell>
          <cell r="CZ94" t="str">
            <v>d</v>
          </cell>
        </row>
        <row r="95">
          <cell r="A95" t="str">
            <v>HP4-40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cell r="BM95">
            <v>0</v>
          </cell>
          <cell r="BN95">
            <v>0</v>
          </cell>
          <cell r="BO95">
            <v>0</v>
          </cell>
          <cell r="BP95">
            <v>0</v>
          </cell>
          <cell r="BQ95">
            <v>0</v>
          </cell>
          <cell r="BR95">
            <v>0</v>
          </cell>
          <cell r="BS95">
            <v>0</v>
          </cell>
          <cell r="BT95">
            <v>0</v>
          </cell>
          <cell r="BU95">
            <v>0</v>
          </cell>
          <cell r="BV95">
            <v>0</v>
          </cell>
          <cell r="BW95">
            <v>0</v>
          </cell>
          <cell r="BX95">
            <v>0</v>
          </cell>
          <cell r="BY95">
            <v>0</v>
          </cell>
          <cell r="BZ95">
            <v>0</v>
          </cell>
          <cell r="CA95">
            <v>0</v>
          </cell>
          <cell r="CB95">
            <v>0</v>
          </cell>
          <cell r="CC95">
            <v>0</v>
          </cell>
          <cell r="CD95">
            <v>0</v>
          </cell>
          <cell r="CE95">
            <v>0</v>
          </cell>
          <cell r="CF95">
            <v>0</v>
          </cell>
          <cell r="CG95">
            <v>0</v>
          </cell>
          <cell r="CH95">
            <v>0</v>
          </cell>
          <cell r="CI95">
            <v>0</v>
          </cell>
          <cell r="CJ95">
            <v>0</v>
          </cell>
          <cell r="CK95">
            <v>0</v>
          </cell>
          <cell r="CL95">
            <v>0</v>
          </cell>
          <cell r="CM95">
            <v>0</v>
          </cell>
          <cell r="CN95">
            <v>0</v>
          </cell>
          <cell r="CO95">
            <v>0</v>
          </cell>
          <cell r="CP95">
            <v>0</v>
          </cell>
          <cell r="CQ95">
            <v>0</v>
          </cell>
          <cell r="CU95">
            <v>0</v>
          </cell>
          <cell r="CV95">
            <v>0</v>
          </cell>
          <cell r="CW95">
            <v>0</v>
          </cell>
          <cell r="CZ95" t="str">
            <v>d</v>
          </cell>
        </row>
        <row r="96">
          <cell r="A96" t="str">
            <v>HP4-50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cell r="BM96">
            <v>0</v>
          </cell>
          <cell r="BN96">
            <v>0</v>
          </cell>
          <cell r="BO96">
            <v>0</v>
          </cell>
          <cell r="BP96">
            <v>0</v>
          </cell>
          <cell r="BQ96">
            <v>0</v>
          </cell>
          <cell r="BR96">
            <v>0</v>
          </cell>
          <cell r="BS96">
            <v>0</v>
          </cell>
          <cell r="BT96">
            <v>0</v>
          </cell>
          <cell r="BU96">
            <v>0</v>
          </cell>
          <cell r="BV96">
            <v>0</v>
          </cell>
          <cell r="BW96">
            <v>0</v>
          </cell>
          <cell r="BX96">
            <v>0</v>
          </cell>
          <cell r="BY96">
            <v>0</v>
          </cell>
          <cell r="BZ96">
            <v>0</v>
          </cell>
          <cell r="CA96">
            <v>0</v>
          </cell>
          <cell r="CB96">
            <v>0</v>
          </cell>
          <cell r="CC96">
            <v>0</v>
          </cell>
          <cell r="CD96">
            <v>0</v>
          </cell>
          <cell r="CE96">
            <v>0</v>
          </cell>
          <cell r="CF96">
            <v>0</v>
          </cell>
          <cell r="CG96">
            <v>0</v>
          </cell>
          <cell r="CH96">
            <v>0</v>
          </cell>
          <cell r="CI96">
            <v>0</v>
          </cell>
          <cell r="CJ96">
            <v>0</v>
          </cell>
          <cell r="CK96">
            <v>0</v>
          </cell>
          <cell r="CL96">
            <v>0</v>
          </cell>
          <cell r="CM96">
            <v>0</v>
          </cell>
          <cell r="CN96">
            <v>0</v>
          </cell>
          <cell r="CO96">
            <v>0</v>
          </cell>
          <cell r="CP96">
            <v>0</v>
          </cell>
          <cell r="CQ96">
            <v>0</v>
          </cell>
          <cell r="CU96">
            <v>0</v>
          </cell>
          <cell r="CV96">
            <v>0</v>
          </cell>
          <cell r="CW96">
            <v>0</v>
          </cell>
          <cell r="CZ96" t="str">
            <v>d</v>
          </cell>
        </row>
        <row r="97">
          <cell r="A97" t="str">
            <v>HP4-63</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cell r="BM97">
            <v>0</v>
          </cell>
          <cell r="BN97">
            <v>0</v>
          </cell>
          <cell r="BO97">
            <v>0</v>
          </cell>
          <cell r="BP97">
            <v>0</v>
          </cell>
          <cell r="BQ97">
            <v>0</v>
          </cell>
          <cell r="BR97">
            <v>0</v>
          </cell>
          <cell r="BS97">
            <v>0</v>
          </cell>
          <cell r="BT97">
            <v>0</v>
          </cell>
          <cell r="BU97">
            <v>0</v>
          </cell>
          <cell r="BV97">
            <v>0</v>
          </cell>
          <cell r="BW97">
            <v>0</v>
          </cell>
          <cell r="BX97">
            <v>0</v>
          </cell>
          <cell r="BY97">
            <v>0</v>
          </cell>
          <cell r="BZ97">
            <v>0</v>
          </cell>
          <cell r="CA97">
            <v>0</v>
          </cell>
          <cell r="CB97">
            <v>0</v>
          </cell>
          <cell r="CC97">
            <v>0</v>
          </cell>
          <cell r="CD97">
            <v>0</v>
          </cell>
          <cell r="CE97">
            <v>0</v>
          </cell>
          <cell r="CF97">
            <v>0</v>
          </cell>
          <cell r="CG97">
            <v>0</v>
          </cell>
          <cell r="CH97">
            <v>0</v>
          </cell>
          <cell r="CI97">
            <v>0</v>
          </cell>
          <cell r="CJ97">
            <v>0</v>
          </cell>
          <cell r="CK97">
            <v>0</v>
          </cell>
          <cell r="CL97">
            <v>0</v>
          </cell>
          <cell r="CM97">
            <v>0</v>
          </cell>
          <cell r="CN97">
            <v>0</v>
          </cell>
          <cell r="CO97">
            <v>0</v>
          </cell>
          <cell r="CP97">
            <v>0</v>
          </cell>
          <cell r="CQ97">
            <v>0</v>
          </cell>
          <cell r="CU97">
            <v>0</v>
          </cell>
          <cell r="CV97">
            <v>0</v>
          </cell>
          <cell r="CW97">
            <v>0</v>
          </cell>
          <cell r="CZ97" t="str">
            <v>d</v>
          </cell>
        </row>
        <row r="98">
          <cell r="A98" t="str">
            <v>HP4-75</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cell r="BM98">
            <v>0</v>
          </cell>
          <cell r="BN98">
            <v>0</v>
          </cell>
          <cell r="BO98">
            <v>0</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0</v>
          </cell>
          <cell r="CO98">
            <v>0</v>
          </cell>
          <cell r="CP98">
            <v>0</v>
          </cell>
          <cell r="CQ98">
            <v>0</v>
          </cell>
          <cell r="CU98">
            <v>0</v>
          </cell>
          <cell r="CV98">
            <v>0</v>
          </cell>
          <cell r="CW98">
            <v>0</v>
          </cell>
          <cell r="CZ98" t="str">
            <v>d</v>
          </cell>
        </row>
        <row r="99">
          <cell r="A99" t="str">
            <v>HP4-90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cell r="BM99">
            <v>0</v>
          </cell>
          <cell r="BN99">
            <v>0</v>
          </cell>
          <cell r="BO99">
            <v>0</v>
          </cell>
          <cell r="BP99">
            <v>0</v>
          </cell>
          <cell r="BQ99">
            <v>0</v>
          </cell>
          <cell r="BR99">
            <v>0</v>
          </cell>
          <cell r="BS99">
            <v>0</v>
          </cell>
          <cell r="BT99">
            <v>0</v>
          </cell>
          <cell r="BU99">
            <v>0</v>
          </cell>
          <cell r="BV99">
            <v>0</v>
          </cell>
          <cell r="BW99">
            <v>0</v>
          </cell>
          <cell r="BX99">
            <v>0</v>
          </cell>
          <cell r="BY99">
            <v>0</v>
          </cell>
          <cell r="BZ99">
            <v>0</v>
          </cell>
          <cell r="CA99">
            <v>0</v>
          </cell>
          <cell r="CB99">
            <v>0</v>
          </cell>
          <cell r="CC99">
            <v>0</v>
          </cell>
          <cell r="CD99">
            <v>0</v>
          </cell>
          <cell r="CE99">
            <v>0</v>
          </cell>
          <cell r="CF99">
            <v>0</v>
          </cell>
          <cell r="CG99">
            <v>0</v>
          </cell>
          <cell r="CH99">
            <v>0</v>
          </cell>
          <cell r="CI99">
            <v>0</v>
          </cell>
          <cell r="CJ99">
            <v>0</v>
          </cell>
          <cell r="CK99">
            <v>0</v>
          </cell>
          <cell r="CL99">
            <v>0</v>
          </cell>
          <cell r="CM99">
            <v>0</v>
          </cell>
          <cell r="CN99">
            <v>0</v>
          </cell>
          <cell r="CO99">
            <v>0</v>
          </cell>
          <cell r="CP99">
            <v>0</v>
          </cell>
          <cell r="CQ99">
            <v>0</v>
          </cell>
          <cell r="CU99">
            <v>0</v>
          </cell>
          <cell r="CV99">
            <v>0</v>
          </cell>
          <cell r="CW99">
            <v>0</v>
          </cell>
          <cell r="CZ99" t="str">
            <v>d</v>
          </cell>
        </row>
        <row r="100">
          <cell r="A100" t="str">
            <v>HP6-32</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cell r="BM100">
            <v>0</v>
          </cell>
          <cell r="BN100">
            <v>0</v>
          </cell>
          <cell r="BO100">
            <v>0</v>
          </cell>
          <cell r="BP100">
            <v>0</v>
          </cell>
          <cell r="BQ100">
            <v>0</v>
          </cell>
          <cell r="BR100">
            <v>0</v>
          </cell>
          <cell r="BS100">
            <v>0</v>
          </cell>
          <cell r="BT100">
            <v>10</v>
          </cell>
          <cell r="BU100">
            <v>0</v>
          </cell>
          <cell r="BV100">
            <v>0</v>
          </cell>
          <cell r="BW100">
            <v>0</v>
          </cell>
          <cell r="BX100">
            <v>0</v>
          </cell>
          <cell r="BY100">
            <v>0</v>
          </cell>
          <cell r="BZ100">
            <v>0</v>
          </cell>
          <cell r="CA100">
            <v>0</v>
          </cell>
          <cell r="CB100">
            <v>0</v>
          </cell>
          <cell r="CC100">
            <v>0</v>
          </cell>
          <cell r="CD100">
            <v>0</v>
          </cell>
          <cell r="CE100">
            <v>0</v>
          </cell>
          <cell r="CF100">
            <v>0</v>
          </cell>
          <cell r="CG100">
            <v>0</v>
          </cell>
          <cell r="CH100">
            <v>0</v>
          </cell>
          <cell r="CI100">
            <v>0</v>
          </cell>
          <cell r="CJ100">
            <v>0</v>
          </cell>
          <cell r="CK100">
            <v>0</v>
          </cell>
          <cell r="CL100">
            <v>0</v>
          </cell>
          <cell r="CM100">
            <v>0</v>
          </cell>
          <cell r="CN100">
            <v>0</v>
          </cell>
          <cell r="CO100">
            <v>0</v>
          </cell>
          <cell r="CP100">
            <v>0</v>
          </cell>
          <cell r="CQ100">
            <v>0</v>
          </cell>
          <cell r="CU100">
            <v>503.3</v>
          </cell>
          <cell r="CV100">
            <v>24671.766000000003</v>
          </cell>
          <cell r="CW100">
            <v>115.75900000000001</v>
          </cell>
          <cell r="CZ100" t="str">
            <v>d</v>
          </cell>
        </row>
        <row r="101">
          <cell r="A101" t="str">
            <v>HP6-40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2</v>
          </cell>
          <cell r="BM101">
            <v>0</v>
          </cell>
          <cell r="BN101">
            <v>0</v>
          </cell>
          <cell r="BO101">
            <v>0</v>
          </cell>
          <cell r="BP101">
            <v>0</v>
          </cell>
          <cell r="BQ101">
            <v>0</v>
          </cell>
          <cell r="BR101">
            <v>0</v>
          </cell>
          <cell r="BS101">
            <v>0</v>
          </cell>
          <cell r="BT101">
            <v>0</v>
          </cell>
          <cell r="BU101">
            <v>0</v>
          </cell>
          <cell r="BV101">
            <v>0</v>
          </cell>
          <cell r="BW101">
            <v>0</v>
          </cell>
          <cell r="BX101">
            <v>0</v>
          </cell>
          <cell r="BY101">
            <v>0</v>
          </cell>
          <cell r="BZ101">
            <v>0</v>
          </cell>
          <cell r="CA101">
            <v>0</v>
          </cell>
          <cell r="CB101">
            <v>0</v>
          </cell>
          <cell r="CC101">
            <v>0</v>
          </cell>
          <cell r="CD101">
            <v>0</v>
          </cell>
          <cell r="CE101">
            <v>0</v>
          </cell>
          <cell r="CF101">
            <v>0</v>
          </cell>
          <cell r="CG101">
            <v>0</v>
          </cell>
          <cell r="CH101">
            <v>0</v>
          </cell>
          <cell r="CI101">
            <v>0</v>
          </cell>
          <cell r="CJ101">
            <v>0</v>
          </cell>
          <cell r="CK101">
            <v>0</v>
          </cell>
          <cell r="CL101">
            <v>0</v>
          </cell>
          <cell r="CM101">
            <v>0</v>
          </cell>
          <cell r="CN101">
            <v>0</v>
          </cell>
          <cell r="CO101">
            <v>0</v>
          </cell>
          <cell r="CP101">
            <v>0</v>
          </cell>
          <cell r="CQ101">
            <v>0</v>
          </cell>
          <cell r="CU101">
            <v>2</v>
          </cell>
          <cell r="CV101">
            <v>149.63999999999999</v>
          </cell>
          <cell r="CW101">
            <v>0.7</v>
          </cell>
          <cell r="CZ101" t="str">
            <v>d</v>
          </cell>
        </row>
        <row r="102">
          <cell r="A102" t="str">
            <v>HP6-50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2</v>
          </cell>
          <cell r="BM102">
            <v>0</v>
          </cell>
          <cell r="BN102">
            <v>0</v>
          </cell>
          <cell r="BO102">
            <v>0</v>
          </cell>
          <cell r="BP102">
            <v>0</v>
          </cell>
          <cell r="BQ102">
            <v>0</v>
          </cell>
          <cell r="BR102">
            <v>0</v>
          </cell>
          <cell r="BS102">
            <v>0</v>
          </cell>
          <cell r="BT102">
            <v>0</v>
          </cell>
          <cell r="BU102">
            <v>0</v>
          </cell>
          <cell r="BV102">
            <v>0</v>
          </cell>
          <cell r="BW102">
            <v>0</v>
          </cell>
          <cell r="BX102">
            <v>0</v>
          </cell>
          <cell r="BY102">
            <v>0</v>
          </cell>
          <cell r="BZ102">
            <v>0</v>
          </cell>
          <cell r="CA102">
            <v>0</v>
          </cell>
          <cell r="CB102">
            <v>0</v>
          </cell>
          <cell r="CC102">
            <v>0</v>
          </cell>
          <cell r="CD102">
            <v>0</v>
          </cell>
          <cell r="CE102">
            <v>0</v>
          </cell>
          <cell r="CF102">
            <v>0</v>
          </cell>
          <cell r="CG102">
            <v>0</v>
          </cell>
          <cell r="CH102">
            <v>0</v>
          </cell>
          <cell r="CI102">
            <v>0</v>
          </cell>
          <cell r="CJ102">
            <v>0</v>
          </cell>
          <cell r="CK102">
            <v>0</v>
          </cell>
          <cell r="CL102">
            <v>0</v>
          </cell>
          <cell r="CM102">
            <v>0</v>
          </cell>
          <cell r="CN102">
            <v>0</v>
          </cell>
          <cell r="CO102">
            <v>0</v>
          </cell>
          <cell r="CP102">
            <v>0</v>
          </cell>
          <cell r="CQ102">
            <v>0</v>
          </cell>
          <cell r="CU102">
            <v>2</v>
          </cell>
          <cell r="CV102">
            <v>232.20000000000002</v>
          </cell>
          <cell r="CW102">
            <v>1.08</v>
          </cell>
          <cell r="CZ102" t="str">
            <v>d</v>
          </cell>
        </row>
        <row r="103">
          <cell r="A103" t="str">
            <v>HP6-63</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5</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5</v>
          </cell>
          <cell r="BM103">
            <v>0</v>
          </cell>
          <cell r="BN103">
            <v>0</v>
          </cell>
          <cell r="BO103">
            <v>0</v>
          </cell>
          <cell r="BP103">
            <v>0</v>
          </cell>
          <cell r="BQ103">
            <v>0</v>
          </cell>
          <cell r="BR103">
            <v>0</v>
          </cell>
          <cell r="BS103">
            <v>0</v>
          </cell>
          <cell r="BT103">
            <v>0</v>
          </cell>
          <cell r="BU103">
            <v>0</v>
          </cell>
          <cell r="BV103">
            <v>0</v>
          </cell>
          <cell r="BW103">
            <v>0</v>
          </cell>
          <cell r="BX103">
            <v>0</v>
          </cell>
          <cell r="BY103">
            <v>0</v>
          </cell>
          <cell r="BZ103">
            <v>0</v>
          </cell>
          <cell r="CA103">
            <v>0</v>
          </cell>
          <cell r="CB103">
            <v>0</v>
          </cell>
          <cell r="CC103">
            <v>0</v>
          </cell>
          <cell r="CD103">
            <v>0</v>
          </cell>
          <cell r="CE103">
            <v>0</v>
          </cell>
          <cell r="CF103">
            <v>0</v>
          </cell>
          <cell r="CG103">
            <v>0</v>
          </cell>
          <cell r="CH103">
            <v>0</v>
          </cell>
          <cell r="CI103">
            <v>0</v>
          </cell>
          <cell r="CJ103">
            <v>0</v>
          </cell>
          <cell r="CK103">
            <v>0</v>
          </cell>
          <cell r="CL103">
            <v>0</v>
          </cell>
          <cell r="CM103">
            <v>0</v>
          </cell>
          <cell r="CN103">
            <v>0</v>
          </cell>
          <cell r="CO103">
            <v>0</v>
          </cell>
          <cell r="CP103">
            <v>0</v>
          </cell>
          <cell r="CQ103">
            <v>0</v>
          </cell>
          <cell r="CU103">
            <v>10</v>
          </cell>
          <cell r="CV103">
            <v>1806</v>
          </cell>
          <cell r="CW103">
            <v>8.5</v>
          </cell>
          <cell r="CZ103" t="str">
            <v>d</v>
          </cell>
        </row>
        <row r="104">
          <cell r="A104" t="str">
            <v>HP6-75</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cell r="BM104">
            <v>0</v>
          </cell>
          <cell r="BN104">
            <v>0</v>
          </cell>
          <cell r="BO104">
            <v>0</v>
          </cell>
          <cell r="BP104">
            <v>0</v>
          </cell>
          <cell r="BQ104">
            <v>0</v>
          </cell>
          <cell r="BR104">
            <v>0</v>
          </cell>
          <cell r="BS104">
            <v>0</v>
          </cell>
          <cell r="BT104">
            <v>0</v>
          </cell>
          <cell r="BU104">
            <v>0</v>
          </cell>
          <cell r="BV104">
            <v>0</v>
          </cell>
          <cell r="BW104">
            <v>0</v>
          </cell>
          <cell r="BX104">
            <v>0</v>
          </cell>
          <cell r="BY104">
            <v>0</v>
          </cell>
          <cell r="BZ104">
            <v>0</v>
          </cell>
          <cell r="CA104">
            <v>0</v>
          </cell>
          <cell r="CB104">
            <v>0</v>
          </cell>
          <cell r="CC104">
            <v>0</v>
          </cell>
          <cell r="CD104">
            <v>0</v>
          </cell>
          <cell r="CE104">
            <v>0</v>
          </cell>
          <cell r="CF104">
            <v>0</v>
          </cell>
          <cell r="CG104">
            <v>0</v>
          </cell>
          <cell r="CH104">
            <v>0</v>
          </cell>
          <cell r="CI104">
            <v>0</v>
          </cell>
          <cell r="CJ104">
            <v>0</v>
          </cell>
          <cell r="CK104">
            <v>0</v>
          </cell>
          <cell r="CL104">
            <v>0</v>
          </cell>
          <cell r="CM104">
            <v>0</v>
          </cell>
          <cell r="CN104">
            <v>0</v>
          </cell>
          <cell r="CO104">
            <v>0</v>
          </cell>
          <cell r="CP104">
            <v>0</v>
          </cell>
          <cell r="CQ104">
            <v>0</v>
          </cell>
          <cell r="CU104">
            <v>0</v>
          </cell>
          <cell r="CV104">
            <v>0</v>
          </cell>
          <cell r="CW104">
            <v>0</v>
          </cell>
          <cell r="CZ104" t="str">
            <v>d</v>
          </cell>
        </row>
        <row r="105">
          <cell r="A105" t="str">
            <v>HP6-90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cell r="BM105">
            <v>0</v>
          </cell>
          <cell r="BN105">
            <v>0</v>
          </cell>
          <cell r="BO105">
            <v>0</v>
          </cell>
          <cell r="BP105">
            <v>0</v>
          </cell>
          <cell r="BQ105">
            <v>0</v>
          </cell>
          <cell r="BR105">
            <v>0</v>
          </cell>
          <cell r="BS105">
            <v>0</v>
          </cell>
          <cell r="BT105">
            <v>0</v>
          </cell>
          <cell r="BU105">
            <v>0</v>
          </cell>
          <cell r="BV105">
            <v>0</v>
          </cell>
          <cell r="BW105">
            <v>0</v>
          </cell>
          <cell r="BX105">
            <v>0</v>
          </cell>
          <cell r="BY105">
            <v>0</v>
          </cell>
          <cell r="BZ105">
            <v>0</v>
          </cell>
          <cell r="CA105">
            <v>0</v>
          </cell>
          <cell r="CB105">
            <v>0</v>
          </cell>
          <cell r="CC105">
            <v>0</v>
          </cell>
          <cell r="CD105">
            <v>0</v>
          </cell>
          <cell r="CE105">
            <v>0</v>
          </cell>
          <cell r="CF105">
            <v>0</v>
          </cell>
          <cell r="CG105">
            <v>0</v>
          </cell>
          <cell r="CH105">
            <v>0</v>
          </cell>
          <cell r="CI105">
            <v>0</v>
          </cell>
          <cell r="CJ105">
            <v>0</v>
          </cell>
          <cell r="CK105">
            <v>0</v>
          </cell>
          <cell r="CL105">
            <v>0</v>
          </cell>
          <cell r="CM105">
            <v>0</v>
          </cell>
          <cell r="CN105">
            <v>0</v>
          </cell>
          <cell r="CO105">
            <v>0</v>
          </cell>
          <cell r="CP105">
            <v>0</v>
          </cell>
          <cell r="CQ105">
            <v>0</v>
          </cell>
          <cell r="CU105">
            <v>0</v>
          </cell>
          <cell r="CV105">
            <v>0</v>
          </cell>
          <cell r="CW105">
            <v>0</v>
          </cell>
          <cell r="CZ105" t="str">
            <v>d</v>
          </cell>
        </row>
        <row r="106">
          <cell r="A106" t="str">
            <v>HP10-16</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cell r="BM106">
            <v>0</v>
          </cell>
          <cell r="BN106">
            <v>0</v>
          </cell>
          <cell r="BO106">
            <v>0</v>
          </cell>
          <cell r="BP106">
            <v>0</v>
          </cell>
          <cell r="BQ106">
            <v>0</v>
          </cell>
          <cell r="BR106">
            <v>0</v>
          </cell>
          <cell r="BS106">
            <v>0</v>
          </cell>
          <cell r="BT106">
            <v>0</v>
          </cell>
          <cell r="BU106">
            <v>0</v>
          </cell>
          <cell r="BV106">
            <v>0</v>
          </cell>
          <cell r="BW106">
            <v>0</v>
          </cell>
          <cell r="BX106">
            <v>0</v>
          </cell>
          <cell r="BY106">
            <v>0</v>
          </cell>
          <cell r="BZ106">
            <v>0</v>
          </cell>
          <cell r="CA106">
            <v>0</v>
          </cell>
          <cell r="CB106">
            <v>0</v>
          </cell>
          <cell r="CC106">
            <v>0</v>
          </cell>
          <cell r="CD106">
            <v>0</v>
          </cell>
          <cell r="CE106">
            <v>0</v>
          </cell>
          <cell r="CF106">
            <v>0</v>
          </cell>
          <cell r="CG106">
            <v>0</v>
          </cell>
          <cell r="CH106">
            <v>0</v>
          </cell>
          <cell r="CI106">
            <v>0</v>
          </cell>
          <cell r="CJ106">
            <v>0</v>
          </cell>
          <cell r="CK106">
            <v>0</v>
          </cell>
          <cell r="CL106">
            <v>0</v>
          </cell>
          <cell r="CM106">
            <v>0</v>
          </cell>
          <cell r="CN106">
            <v>0</v>
          </cell>
          <cell r="CO106">
            <v>0</v>
          </cell>
          <cell r="CP106">
            <v>0</v>
          </cell>
          <cell r="CQ106">
            <v>0</v>
          </cell>
          <cell r="CU106">
            <v>0</v>
          </cell>
          <cell r="CV106">
            <v>0</v>
          </cell>
          <cell r="CW106">
            <v>0</v>
          </cell>
          <cell r="CZ106" t="str">
            <v>s</v>
          </cell>
        </row>
        <row r="107">
          <cell r="A107" t="str">
            <v>HP10-20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cell r="BM107">
            <v>0</v>
          </cell>
          <cell r="BN107">
            <v>0</v>
          </cell>
          <cell r="BO107">
            <v>0</v>
          </cell>
          <cell r="BP107">
            <v>0</v>
          </cell>
          <cell r="BQ107">
            <v>0</v>
          </cell>
          <cell r="BR107">
            <v>0</v>
          </cell>
          <cell r="BS107">
            <v>0</v>
          </cell>
          <cell r="BT107">
            <v>0</v>
          </cell>
          <cell r="BU107">
            <v>0</v>
          </cell>
          <cell r="BV107">
            <v>0</v>
          </cell>
          <cell r="BW107">
            <v>0</v>
          </cell>
          <cell r="BX107">
            <v>0</v>
          </cell>
          <cell r="BY107">
            <v>0</v>
          </cell>
          <cell r="BZ107">
            <v>0</v>
          </cell>
          <cell r="CA107">
            <v>0</v>
          </cell>
          <cell r="CB107">
            <v>0</v>
          </cell>
          <cell r="CC107">
            <v>0</v>
          </cell>
          <cell r="CD107">
            <v>0</v>
          </cell>
          <cell r="CE107">
            <v>0</v>
          </cell>
          <cell r="CF107">
            <v>0</v>
          </cell>
          <cell r="CG107">
            <v>0</v>
          </cell>
          <cell r="CH107">
            <v>0</v>
          </cell>
          <cell r="CI107">
            <v>0</v>
          </cell>
          <cell r="CJ107">
            <v>0</v>
          </cell>
          <cell r="CK107">
            <v>0</v>
          </cell>
          <cell r="CL107">
            <v>0</v>
          </cell>
          <cell r="CM107">
            <v>0</v>
          </cell>
          <cell r="CN107">
            <v>0</v>
          </cell>
          <cell r="CO107">
            <v>0</v>
          </cell>
          <cell r="CP107">
            <v>0</v>
          </cell>
          <cell r="CQ107">
            <v>0</v>
          </cell>
          <cell r="CU107">
            <v>1629</v>
          </cell>
          <cell r="CV107">
            <v>46231.02</v>
          </cell>
          <cell r="CW107">
            <v>211.77</v>
          </cell>
          <cell r="CZ107" t="str">
            <v>s</v>
          </cell>
        </row>
        <row r="108">
          <cell r="A108" t="str">
            <v>HP10-25</v>
          </cell>
          <cell r="G108">
            <v>0</v>
          </cell>
          <cell r="H108">
            <v>0</v>
          </cell>
          <cell r="I108">
            <v>0</v>
          </cell>
          <cell r="J108">
            <v>0</v>
          </cell>
          <cell r="K108">
            <v>0</v>
          </cell>
          <cell r="L108">
            <v>2</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cell r="BM108">
            <v>0</v>
          </cell>
          <cell r="BN108">
            <v>0</v>
          </cell>
          <cell r="BO108">
            <v>0</v>
          </cell>
          <cell r="BP108">
            <v>0</v>
          </cell>
          <cell r="BQ108">
            <v>0</v>
          </cell>
          <cell r="BR108">
            <v>0</v>
          </cell>
          <cell r="BS108">
            <v>0</v>
          </cell>
          <cell r="BT108">
            <v>0</v>
          </cell>
          <cell r="BU108">
            <v>0</v>
          </cell>
          <cell r="BV108">
            <v>0</v>
          </cell>
          <cell r="BW108">
            <v>0</v>
          </cell>
          <cell r="BX108">
            <v>0</v>
          </cell>
          <cell r="BY108">
            <v>0</v>
          </cell>
          <cell r="BZ108">
            <v>0</v>
          </cell>
          <cell r="CA108">
            <v>0</v>
          </cell>
          <cell r="CB108">
            <v>0</v>
          </cell>
          <cell r="CC108">
            <v>0</v>
          </cell>
          <cell r="CD108">
            <v>0</v>
          </cell>
          <cell r="CE108">
            <v>0</v>
          </cell>
          <cell r="CF108">
            <v>0</v>
          </cell>
          <cell r="CG108">
            <v>0</v>
          </cell>
          <cell r="CH108">
            <v>0</v>
          </cell>
          <cell r="CI108">
            <v>0</v>
          </cell>
          <cell r="CJ108">
            <v>0</v>
          </cell>
          <cell r="CK108">
            <v>0</v>
          </cell>
          <cell r="CL108">
            <v>0</v>
          </cell>
          <cell r="CM108">
            <v>0</v>
          </cell>
          <cell r="CN108">
            <v>0</v>
          </cell>
          <cell r="CO108">
            <v>0</v>
          </cell>
          <cell r="CP108">
            <v>0</v>
          </cell>
          <cell r="CQ108">
            <v>0</v>
          </cell>
          <cell r="CU108">
            <v>124</v>
          </cell>
          <cell r="CV108">
            <v>5438.6400000000012</v>
          </cell>
          <cell r="CW108">
            <v>24.8</v>
          </cell>
          <cell r="CZ108" t="str">
            <v>s</v>
          </cell>
        </row>
        <row r="109">
          <cell r="A109" t="str">
            <v>HP10-32</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cell r="BM109">
            <v>0</v>
          </cell>
          <cell r="BN109">
            <v>0</v>
          </cell>
          <cell r="BO109">
            <v>0</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0</v>
          </cell>
          <cell r="CP109">
            <v>0</v>
          </cell>
          <cell r="CQ109">
            <v>0</v>
          </cell>
          <cell r="CU109">
            <v>0</v>
          </cell>
          <cell r="CV109">
            <v>0</v>
          </cell>
          <cell r="CW109">
            <v>0</v>
          </cell>
          <cell r="CZ109" t="str">
            <v>d</v>
          </cell>
        </row>
        <row r="110">
          <cell r="A110" t="str">
            <v>HP10-40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cell r="BM110">
            <v>0</v>
          </cell>
          <cell r="BN110">
            <v>0</v>
          </cell>
          <cell r="BO110">
            <v>0</v>
          </cell>
          <cell r="BP110">
            <v>0</v>
          </cell>
          <cell r="BQ110">
            <v>0</v>
          </cell>
          <cell r="BR110">
            <v>0</v>
          </cell>
          <cell r="BS110">
            <v>0</v>
          </cell>
          <cell r="BT110">
            <v>0</v>
          </cell>
          <cell r="BU110">
            <v>0</v>
          </cell>
          <cell r="BV110">
            <v>0</v>
          </cell>
          <cell r="BW110">
            <v>0</v>
          </cell>
          <cell r="BX110">
            <v>0</v>
          </cell>
          <cell r="BY110">
            <v>0</v>
          </cell>
          <cell r="BZ110">
            <v>0</v>
          </cell>
          <cell r="CA110">
            <v>0</v>
          </cell>
          <cell r="CB110">
            <v>0</v>
          </cell>
          <cell r="CC110">
            <v>0</v>
          </cell>
          <cell r="CD110">
            <v>0</v>
          </cell>
          <cell r="CE110">
            <v>0</v>
          </cell>
          <cell r="CF110">
            <v>0</v>
          </cell>
          <cell r="CG110">
            <v>0</v>
          </cell>
          <cell r="CH110">
            <v>0</v>
          </cell>
          <cell r="CI110">
            <v>0</v>
          </cell>
          <cell r="CJ110">
            <v>0</v>
          </cell>
          <cell r="CK110">
            <v>0</v>
          </cell>
          <cell r="CL110">
            <v>0</v>
          </cell>
          <cell r="CM110">
            <v>0</v>
          </cell>
          <cell r="CN110">
            <v>0</v>
          </cell>
          <cell r="CO110">
            <v>0</v>
          </cell>
          <cell r="CP110">
            <v>0</v>
          </cell>
          <cell r="CQ110">
            <v>0</v>
          </cell>
          <cell r="CU110">
            <v>0</v>
          </cell>
          <cell r="CV110">
            <v>0</v>
          </cell>
          <cell r="CW110">
            <v>0</v>
          </cell>
          <cell r="CZ110" t="str">
            <v>d</v>
          </cell>
        </row>
        <row r="111">
          <cell r="A111" t="str">
            <v>HP10-50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0</v>
          </cell>
          <cell r="BY111">
            <v>0</v>
          </cell>
          <cell r="BZ111">
            <v>0</v>
          </cell>
          <cell r="CA111">
            <v>0</v>
          </cell>
          <cell r="CB111">
            <v>0</v>
          </cell>
          <cell r="CC111">
            <v>0</v>
          </cell>
          <cell r="CD111">
            <v>0</v>
          </cell>
          <cell r="CE111">
            <v>0</v>
          </cell>
          <cell r="CF111">
            <v>0</v>
          </cell>
          <cell r="CG111">
            <v>0</v>
          </cell>
          <cell r="CH111">
            <v>0</v>
          </cell>
          <cell r="CI111">
            <v>0</v>
          </cell>
          <cell r="CJ111">
            <v>0</v>
          </cell>
          <cell r="CK111">
            <v>0</v>
          </cell>
          <cell r="CL111">
            <v>0</v>
          </cell>
          <cell r="CM111">
            <v>0</v>
          </cell>
          <cell r="CN111">
            <v>0</v>
          </cell>
          <cell r="CO111">
            <v>0</v>
          </cell>
          <cell r="CP111">
            <v>0</v>
          </cell>
          <cell r="CQ111">
            <v>0</v>
          </cell>
          <cell r="CU111">
            <v>0</v>
          </cell>
          <cell r="CV111">
            <v>0</v>
          </cell>
          <cell r="CW111">
            <v>0</v>
          </cell>
          <cell r="CZ111" t="str">
            <v>d</v>
          </cell>
        </row>
        <row r="112">
          <cell r="A112" t="str">
            <v>HP10-63</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cell r="BM112">
            <v>0</v>
          </cell>
          <cell r="BN112">
            <v>0</v>
          </cell>
          <cell r="BO112">
            <v>0</v>
          </cell>
          <cell r="BP112">
            <v>0</v>
          </cell>
          <cell r="BQ112">
            <v>0</v>
          </cell>
          <cell r="BR112">
            <v>0</v>
          </cell>
          <cell r="BS112">
            <v>0</v>
          </cell>
          <cell r="BT112">
            <v>0</v>
          </cell>
          <cell r="BU112">
            <v>0</v>
          </cell>
          <cell r="BV112">
            <v>0</v>
          </cell>
          <cell r="BW112">
            <v>0</v>
          </cell>
          <cell r="BX112">
            <v>0</v>
          </cell>
          <cell r="BY112">
            <v>0</v>
          </cell>
          <cell r="BZ112">
            <v>0</v>
          </cell>
          <cell r="CA112">
            <v>0</v>
          </cell>
          <cell r="CB112">
            <v>0</v>
          </cell>
          <cell r="CC112">
            <v>0</v>
          </cell>
          <cell r="CD112">
            <v>0</v>
          </cell>
          <cell r="CE112">
            <v>0</v>
          </cell>
          <cell r="CF112">
            <v>0</v>
          </cell>
          <cell r="CG112">
            <v>0</v>
          </cell>
          <cell r="CH112">
            <v>0</v>
          </cell>
          <cell r="CI112">
            <v>0</v>
          </cell>
          <cell r="CJ112">
            <v>0</v>
          </cell>
          <cell r="CK112">
            <v>0</v>
          </cell>
          <cell r="CL112">
            <v>0</v>
          </cell>
          <cell r="CM112">
            <v>0</v>
          </cell>
          <cell r="CN112">
            <v>0</v>
          </cell>
          <cell r="CO112">
            <v>0</v>
          </cell>
          <cell r="CP112">
            <v>0</v>
          </cell>
          <cell r="CQ112">
            <v>0</v>
          </cell>
          <cell r="CU112">
            <v>0</v>
          </cell>
          <cell r="CV112">
            <v>0</v>
          </cell>
          <cell r="CW112">
            <v>0</v>
          </cell>
          <cell r="CZ112" t="str">
            <v>d</v>
          </cell>
        </row>
        <row r="113">
          <cell r="A113" t="str">
            <v>HP10-75</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cell r="BM113">
            <v>0</v>
          </cell>
          <cell r="BN113">
            <v>0</v>
          </cell>
          <cell r="BO113">
            <v>0</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cell r="CC113">
            <v>0</v>
          </cell>
          <cell r="CD113">
            <v>0</v>
          </cell>
          <cell r="CE113">
            <v>0</v>
          </cell>
          <cell r="CF113">
            <v>0</v>
          </cell>
          <cell r="CG113">
            <v>0</v>
          </cell>
          <cell r="CH113">
            <v>0</v>
          </cell>
          <cell r="CI113">
            <v>0</v>
          </cell>
          <cell r="CJ113">
            <v>0</v>
          </cell>
          <cell r="CK113">
            <v>0</v>
          </cell>
          <cell r="CL113">
            <v>0</v>
          </cell>
          <cell r="CM113">
            <v>0</v>
          </cell>
          <cell r="CN113">
            <v>0</v>
          </cell>
          <cell r="CO113">
            <v>0</v>
          </cell>
          <cell r="CP113">
            <v>0</v>
          </cell>
          <cell r="CQ113">
            <v>0</v>
          </cell>
          <cell r="CU113">
            <v>0</v>
          </cell>
          <cell r="CV113">
            <v>0</v>
          </cell>
          <cell r="CW113">
            <v>0</v>
          </cell>
          <cell r="CZ113" t="str">
            <v>d</v>
          </cell>
        </row>
        <row r="114">
          <cell r="A114" t="str">
            <v>HP10-90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cell r="BM114">
            <v>0</v>
          </cell>
          <cell r="BN114">
            <v>0</v>
          </cell>
          <cell r="BO114">
            <v>0</v>
          </cell>
          <cell r="BP114">
            <v>0</v>
          </cell>
          <cell r="BQ114">
            <v>0</v>
          </cell>
          <cell r="BR114">
            <v>0</v>
          </cell>
          <cell r="BS114">
            <v>0</v>
          </cell>
          <cell r="BT114">
            <v>0</v>
          </cell>
          <cell r="BU114">
            <v>0</v>
          </cell>
          <cell r="BV114">
            <v>0</v>
          </cell>
          <cell r="BW114">
            <v>0</v>
          </cell>
          <cell r="BX114">
            <v>0</v>
          </cell>
          <cell r="BY114">
            <v>0</v>
          </cell>
          <cell r="BZ114">
            <v>0</v>
          </cell>
          <cell r="CA114">
            <v>0</v>
          </cell>
          <cell r="CB114">
            <v>0</v>
          </cell>
          <cell r="CC114">
            <v>0</v>
          </cell>
          <cell r="CD114">
            <v>0</v>
          </cell>
          <cell r="CE114">
            <v>0</v>
          </cell>
          <cell r="CF114">
            <v>0</v>
          </cell>
          <cell r="CG114">
            <v>0</v>
          </cell>
          <cell r="CH114">
            <v>0</v>
          </cell>
          <cell r="CI114">
            <v>0</v>
          </cell>
          <cell r="CJ114">
            <v>0</v>
          </cell>
          <cell r="CK114">
            <v>0</v>
          </cell>
          <cell r="CL114">
            <v>0</v>
          </cell>
          <cell r="CM114">
            <v>0</v>
          </cell>
          <cell r="CN114">
            <v>0</v>
          </cell>
          <cell r="CO114">
            <v>0</v>
          </cell>
          <cell r="CP114">
            <v>0</v>
          </cell>
          <cell r="CQ114">
            <v>0</v>
          </cell>
          <cell r="CU114">
            <v>0</v>
          </cell>
          <cell r="CV114">
            <v>0</v>
          </cell>
          <cell r="CW114">
            <v>0</v>
          </cell>
          <cell r="CZ114" t="str">
            <v>d</v>
          </cell>
        </row>
        <row r="115">
          <cell r="CU115">
            <v>2369.3000000000002</v>
          </cell>
          <cell r="CV115">
            <v>90768.786000000007</v>
          </cell>
          <cell r="CW115">
            <v>419.959</v>
          </cell>
        </row>
        <row r="117">
          <cell r="CV117" t="str">
            <v>a</v>
          </cell>
        </row>
        <row r="118">
          <cell r="A118" t="str">
            <v>GPM-15</v>
          </cell>
          <cell r="G118">
            <v>0.55000000000000004</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2.4500000000000002</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1.4500000000000002</v>
          </cell>
          <cell r="BC118">
            <v>0</v>
          </cell>
          <cell r="BD118">
            <v>0</v>
          </cell>
          <cell r="BE118">
            <v>0</v>
          </cell>
          <cell r="BF118">
            <v>0</v>
          </cell>
          <cell r="BG118">
            <v>0</v>
          </cell>
          <cell r="BH118">
            <v>0</v>
          </cell>
          <cell r="BI118">
            <v>0</v>
          </cell>
          <cell r="BJ118">
            <v>0</v>
          </cell>
          <cell r="BK118">
            <v>0</v>
          </cell>
          <cell r="BL118">
            <v>5.3</v>
          </cell>
          <cell r="BM118">
            <v>0</v>
          </cell>
          <cell r="BN118">
            <v>0</v>
          </cell>
          <cell r="BO118">
            <v>0</v>
          </cell>
          <cell r="BP118">
            <v>0</v>
          </cell>
          <cell r="BQ118">
            <v>0</v>
          </cell>
          <cell r="BR118">
            <v>0</v>
          </cell>
          <cell r="BS118">
            <v>0</v>
          </cell>
          <cell r="BT118">
            <v>0</v>
          </cell>
          <cell r="BU118">
            <v>0</v>
          </cell>
          <cell r="BV118">
            <v>0</v>
          </cell>
          <cell r="BW118">
            <v>0</v>
          </cell>
          <cell r="BX118">
            <v>64</v>
          </cell>
          <cell r="BY118">
            <v>0</v>
          </cell>
          <cell r="BZ118">
            <v>0</v>
          </cell>
          <cell r="CA118">
            <v>0</v>
          </cell>
          <cell r="CB118">
            <v>0</v>
          </cell>
          <cell r="CC118">
            <v>0</v>
          </cell>
          <cell r="CD118">
            <v>0</v>
          </cell>
          <cell r="CE118">
            <v>0</v>
          </cell>
          <cell r="CF118">
            <v>0</v>
          </cell>
          <cell r="CG118">
            <v>0</v>
          </cell>
          <cell r="CH118">
            <v>0</v>
          </cell>
          <cell r="CI118">
            <v>0</v>
          </cell>
          <cell r="CJ118">
            <v>0</v>
          </cell>
          <cell r="CK118">
            <v>0</v>
          </cell>
          <cell r="CL118">
            <v>0</v>
          </cell>
          <cell r="CM118">
            <v>0</v>
          </cell>
          <cell r="CN118">
            <v>0</v>
          </cell>
          <cell r="CO118">
            <v>0</v>
          </cell>
          <cell r="CP118">
            <v>0</v>
          </cell>
          <cell r="CQ118">
            <v>0</v>
          </cell>
          <cell r="CU118">
            <v>910.15</v>
          </cell>
          <cell r="CV118">
            <v>111948.45</v>
          </cell>
          <cell r="CW118">
            <v>1137.6875</v>
          </cell>
          <cell r="CZ118" t="str">
            <v>d</v>
          </cell>
        </row>
        <row r="119">
          <cell r="A119" t="str">
            <v>GPM-20</v>
          </cell>
          <cell r="G119">
            <v>0</v>
          </cell>
          <cell r="H119">
            <v>0</v>
          </cell>
          <cell r="I119">
            <v>0</v>
          </cell>
          <cell r="J119">
            <v>0</v>
          </cell>
          <cell r="K119">
            <v>0</v>
          </cell>
          <cell r="L119">
            <v>0.7</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3</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cell r="BM119">
            <v>0</v>
          </cell>
          <cell r="BN119">
            <v>0</v>
          </cell>
          <cell r="BO119">
            <v>0</v>
          </cell>
          <cell r="BP119">
            <v>0</v>
          </cell>
          <cell r="BQ119">
            <v>0</v>
          </cell>
          <cell r="BR119">
            <v>0</v>
          </cell>
          <cell r="BS119">
            <v>0</v>
          </cell>
          <cell r="BT119">
            <v>0</v>
          </cell>
          <cell r="BU119">
            <v>0</v>
          </cell>
          <cell r="BV119">
            <v>0</v>
          </cell>
          <cell r="BW119">
            <v>0</v>
          </cell>
          <cell r="BX119">
            <v>0</v>
          </cell>
          <cell r="BY119">
            <v>0</v>
          </cell>
          <cell r="BZ119">
            <v>0</v>
          </cell>
          <cell r="CA119">
            <v>0</v>
          </cell>
          <cell r="CB119">
            <v>0</v>
          </cell>
          <cell r="CC119">
            <v>0</v>
          </cell>
          <cell r="CD119">
            <v>0</v>
          </cell>
          <cell r="CE119">
            <v>0</v>
          </cell>
          <cell r="CF119">
            <v>0</v>
          </cell>
          <cell r="CG119">
            <v>0</v>
          </cell>
          <cell r="CH119">
            <v>3.5999999999999996</v>
          </cell>
          <cell r="CI119">
            <v>0</v>
          </cell>
          <cell r="CJ119">
            <v>0</v>
          </cell>
          <cell r="CK119">
            <v>0</v>
          </cell>
          <cell r="CL119">
            <v>0</v>
          </cell>
          <cell r="CM119">
            <v>0</v>
          </cell>
          <cell r="CN119">
            <v>0</v>
          </cell>
          <cell r="CO119">
            <v>0</v>
          </cell>
          <cell r="CP119">
            <v>0</v>
          </cell>
          <cell r="CQ119">
            <v>0</v>
          </cell>
          <cell r="CU119">
            <v>7.3</v>
          </cell>
          <cell r="CV119">
            <v>1087.7</v>
          </cell>
          <cell r="CW119">
            <v>11.388</v>
          </cell>
          <cell r="CZ119" t="str">
            <v>d</v>
          </cell>
        </row>
        <row r="120">
          <cell r="A120" t="str">
            <v>GPM-25</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4.68</v>
          </cell>
          <cell r="BM120">
            <v>0</v>
          </cell>
          <cell r="BN120">
            <v>0</v>
          </cell>
          <cell r="BO120">
            <v>0</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0</v>
          </cell>
          <cell r="CP120">
            <v>0</v>
          </cell>
          <cell r="CQ120">
            <v>0</v>
          </cell>
          <cell r="CU120">
            <v>4.68</v>
          </cell>
          <cell r="CV120">
            <v>1062.3599999999999</v>
          </cell>
          <cell r="CW120">
            <v>11.7</v>
          </cell>
          <cell r="CZ120" t="str">
            <v>d</v>
          </cell>
        </row>
        <row r="121">
          <cell r="A121" t="str">
            <v>GPM-32</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cell r="BM121">
            <v>0</v>
          </cell>
          <cell r="BN121">
            <v>0</v>
          </cell>
          <cell r="BO121">
            <v>0</v>
          </cell>
          <cell r="BP121">
            <v>0</v>
          </cell>
          <cell r="BQ121">
            <v>0</v>
          </cell>
          <cell r="BR121">
            <v>0</v>
          </cell>
          <cell r="BS121">
            <v>0</v>
          </cell>
          <cell r="BT121">
            <v>0</v>
          </cell>
          <cell r="BU121">
            <v>0</v>
          </cell>
          <cell r="BV121">
            <v>0</v>
          </cell>
          <cell r="BW121">
            <v>0</v>
          </cell>
          <cell r="BX121">
            <v>0</v>
          </cell>
          <cell r="BY121">
            <v>0</v>
          </cell>
          <cell r="BZ121">
            <v>0</v>
          </cell>
          <cell r="CA121">
            <v>0</v>
          </cell>
          <cell r="CB121">
            <v>0</v>
          </cell>
          <cell r="CC121">
            <v>0</v>
          </cell>
          <cell r="CD121">
            <v>0</v>
          </cell>
          <cell r="CE121">
            <v>0</v>
          </cell>
          <cell r="CF121">
            <v>0</v>
          </cell>
          <cell r="CG121">
            <v>0</v>
          </cell>
          <cell r="CH121">
            <v>0</v>
          </cell>
          <cell r="CI121">
            <v>0</v>
          </cell>
          <cell r="CJ121">
            <v>0</v>
          </cell>
          <cell r="CK121">
            <v>0</v>
          </cell>
          <cell r="CL121">
            <v>0</v>
          </cell>
          <cell r="CM121">
            <v>0</v>
          </cell>
          <cell r="CN121">
            <v>0</v>
          </cell>
          <cell r="CO121">
            <v>0</v>
          </cell>
          <cell r="CP121">
            <v>0</v>
          </cell>
          <cell r="CQ121">
            <v>0</v>
          </cell>
          <cell r="CU121">
            <v>0</v>
          </cell>
          <cell r="CV121">
            <v>0</v>
          </cell>
          <cell r="CW121">
            <v>0</v>
          </cell>
          <cell r="CZ121" t="str">
            <v>d</v>
          </cell>
        </row>
        <row r="122">
          <cell r="A122" t="str">
            <v>GPM-40</v>
          </cell>
          <cell r="G122">
            <v>0</v>
          </cell>
          <cell r="H122">
            <v>0</v>
          </cell>
          <cell r="I122">
            <v>0</v>
          </cell>
          <cell r="J122">
            <v>0</v>
          </cell>
          <cell r="K122">
            <v>0</v>
          </cell>
          <cell r="L122">
            <v>0.55000000000000004</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2</v>
          </cell>
          <cell r="BC122">
            <v>0</v>
          </cell>
          <cell r="BD122">
            <v>0</v>
          </cell>
          <cell r="BE122">
            <v>0</v>
          </cell>
          <cell r="BF122">
            <v>0</v>
          </cell>
          <cell r="BG122">
            <v>0</v>
          </cell>
          <cell r="BH122">
            <v>0</v>
          </cell>
          <cell r="BI122">
            <v>0</v>
          </cell>
          <cell r="BJ122">
            <v>0</v>
          </cell>
          <cell r="BK122">
            <v>0</v>
          </cell>
          <cell r="BL122">
            <v>0</v>
          </cell>
          <cell r="BM122">
            <v>0</v>
          </cell>
          <cell r="BN122">
            <v>0</v>
          </cell>
          <cell r="BO122">
            <v>0</v>
          </cell>
          <cell r="BP122">
            <v>0</v>
          </cell>
          <cell r="BQ122">
            <v>0</v>
          </cell>
          <cell r="BR122">
            <v>0</v>
          </cell>
          <cell r="BS122">
            <v>0</v>
          </cell>
          <cell r="BT122">
            <v>0</v>
          </cell>
          <cell r="BU122">
            <v>0</v>
          </cell>
          <cell r="BV122">
            <v>0</v>
          </cell>
          <cell r="BW122">
            <v>0</v>
          </cell>
          <cell r="BX122">
            <v>0</v>
          </cell>
          <cell r="BY122">
            <v>0</v>
          </cell>
          <cell r="BZ122">
            <v>0</v>
          </cell>
          <cell r="CA122">
            <v>0</v>
          </cell>
          <cell r="CB122">
            <v>0</v>
          </cell>
          <cell r="CC122">
            <v>0</v>
          </cell>
          <cell r="CD122">
            <v>0</v>
          </cell>
          <cell r="CE122">
            <v>0</v>
          </cell>
          <cell r="CF122">
            <v>0</v>
          </cell>
          <cell r="CG122">
            <v>0</v>
          </cell>
          <cell r="CH122">
            <v>0</v>
          </cell>
          <cell r="CI122">
            <v>0</v>
          </cell>
          <cell r="CJ122">
            <v>0</v>
          </cell>
          <cell r="CK122">
            <v>0</v>
          </cell>
          <cell r="CL122">
            <v>0</v>
          </cell>
          <cell r="CM122">
            <v>0</v>
          </cell>
          <cell r="CN122">
            <v>0</v>
          </cell>
          <cell r="CO122">
            <v>0</v>
          </cell>
          <cell r="CP122">
            <v>0</v>
          </cell>
          <cell r="CQ122">
            <v>0</v>
          </cell>
          <cell r="CU122">
            <v>2.5499999999999998</v>
          </cell>
          <cell r="CV122">
            <v>866.99999999999989</v>
          </cell>
          <cell r="CW122">
            <v>9.3074999999999992</v>
          </cell>
          <cell r="CZ122" t="str">
            <v>d</v>
          </cell>
        </row>
        <row r="123">
          <cell r="A123" t="str">
            <v>GPM-50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7.1499999999999995</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0.55000000000000004</v>
          </cell>
          <cell r="BC123">
            <v>0</v>
          </cell>
          <cell r="BD123">
            <v>0</v>
          </cell>
          <cell r="BE123">
            <v>0</v>
          </cell>
          <cell r="BF123">
            <v>0</v>
          </cell>
          <cell r="BG123">
            <v>0</v>
          </cell>
          <cell r="BH123">
            <v>0</v>
          </cell>
          <cell r="BI123">
            <v>0</v>
          </cell>
          <cell r="BJ123">
            <v>0</v>
          </cell>
          <cell r="BK123">
            <v>0</v>
          </cell>
          <cell r="BL123">
            <v>11.7</v>
          </cell>
          <cell r="BM123">
            <v>0</v>
          </cell>
          <cell r="BN123">
            <v>0</v>
          </cell>
          <cell r="BO123">
            <v>0</v>
          </cell>
          <cell r="BP123">
            <v>0</v>
          </cell>
          <cell r="BQ123">
            <v>0</v>
          </cell>
          <cell r="BR123">
            <v>0</v>
          </cell>
          <cell r="BS123">
            <v>0</v>
          </cell>
          <cell r="BT123">
            <v>0</v>
          </cell>
          <cell r="BU123">
            <v>0</v>
          </cell>
          <cell r="BV123">
            <v>0</v>
          </cell>
          <cell r="BW123">
            <v>0</v>
          </cell>
          <cell r="BX123">
            <v>0</v>
          </cell>
          <cell r="BY123">
            <v>0</v>
          </cell>
          <cell r="BZ123">
            <v>0</v>
          </cell>
          <cell r="CA123">
            <v>0</v>
          </cell>
          <cell r="CB123">
            <v>0</v>
          </cell>
          <cell r="CC123">
            <v>0</v>
          </cell>
          <cell r="CD123">
            <v>0</v>
          </cell>
          <cell r="CE123">
            <v>0</v>
          </cell>
          <cell r="CF123">
            <v>0</v>
          </cell>
          <cell r="CG123">
            <v>0</v>
          </cell>
          <cell r="CH123">
            <v>0</v>
          </cell>
          <cell r="CI123">
            <v>0</v>
          </cell>
          <cell r="CJ123">
            <v>0</v>
          </cell>
          <cell r="CK123">
            <v>0</v>
          </cell>
          <cell r="CL123">
            <v>0</v>
          </cell>
          <cell r="CM123">
            <v>0</v>
          </cell>
          <cell r="CN123">
            <v>0</v>
          </cell>
          <cell r="CO123">
            <v>0</v>
          </cell>
          <cell r="CP123">
            <v>0</v>
          </cell>
          <cell r="CQ123">
            <v>0</v>
          </cell>
          <cell r="CU123">
            <v>19.399999999999999</v>
          </cell>
          <cell r="CV123">
            <v>9059.7999999999993</v>
          </cell>
          <cell r="CW123">
            <v>101.85</v>
          </cell>
          <cell r="CZ123" t="str">
            <v>d</v>
          </cell>
        </row>
        <row r="124">
          <cell r="A124" t="str">
            <v>GPM-63</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cell r="BM124">
            <v>0</v>
          </cell>
          <cell r="BN124">
            <v>0</v>
          </cell>
          <cell r="BO124">
            <v>0</v>
          </cell>
          <cell r="BP124">
            <v>0</v>
          </cell>
          <cell r="BQ124">
            <v>0</v>
          </cell>
          <cell r="BR124">
            <v>0</v>
          </cell>
          <cell r="BS124">
            <v>0</v>
          </cell>
          <cell r="BT124">
            <v>0</v>
          </cell>
          <cell r="BU124">
            <v>0</v>
          </cell>
          <cell r="BV124">
            <v>0</v>
          </cell>
          <cell r="BW124">
            <v>0</v>
          </cell>
          <cell r="BX124">
            <v>0</v>
          </cell>
          <cell r="BY124">
            <v>0</v>
          </cell>
          <cell r="BZ124">
            <v>0</v>
          </cell>
          <cell r="CA124">
            <v>0</v>
          </cell>
          <cell r="CB124">
            <v>0</v>
          </cell>
          <cell r="CC124">
            <v>0</v>
          </cell>
          <cell r="CD124">
            <v>0</v>
          </cell>
          <cell r="CE124">
            <v>0</v>
          </cell>
          <cell r="CF124">
            <v>0</v>
          </cell>
          <cell r="CG124">
            <v>0</v>
          </cell>
          <cell r="CH124">
            <v>0</v>
          </cell>
          <cell r="CI124">
            <v>0</v>
          </cell>
          <cell r="CJ124">
            <v>0</v>
          </cell>
          <cell r="CK124">
            <v>0</v>
          </cell>
          <cell r="CL124">
            <v>0</v>
          </cell>
          <cell r="CM124">
            <v>0</v>
          </cell>
          <cell r="CN124">
            <v>0</v>
          </cell>
          <cell r="CO124">
            <v>0</v>
          </cell>
          <cell r="CP124">
            <v>0</v>
          </cell>
          <cell r="CQ124">
            <v>0</v>
          </cell>
          <cell r="CU124">
            <v>0</v>
          </cell>
          <cell r="CV124">
            <v>0</v>
          </cell>
          <cell r="CW124">
            <v>0</v>
          </cell>
          <cell r="CZ124" t="str">
            <v>d</v>
          </cell>
        </row>
        <row r="125">
          <cell r="A125" t="str">
            <v>GPM-75</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cell r="BM125">
            <v>0</v>
          </cell>
          <cell r="BN125">
            <v>0</v>
          </cell>
          <cell r="BO125">
            <v>0</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U125">
            <v>0</v>
          </cell>
          <cell r="CV125">
            <v>0</v>
          </cell>
          <cell r="CW125">
            <v>0</v>
          </cell>
          <cell r="CZ125" t="str">
            <v>d</v>
          </cell>
        </row>
        <row r="126">
          <cell r="A126" t="str">
            <v>GPH-15</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cell r="BM126">
            <v>0</v>
          </cell>
          <cell r="BN126">
            <v>0</v>
          </cell>
          <cell r="BO126">
            <v>0</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0</v>
          </cell>
          <cell r="CQ126">
            <v>0</v>
          </cell>
          <cell r="CU126">
            <v>0</v>
          </cell>
          <cell r="CV126">
            <v>0</v>
          </cell>
          <cell r="CW126">
            <v>0</v>
          </cell>
          <cell r="CZ126" t="str">
            <v>d</v>
          </cell>
        </row>
        <row r="127">
          <cell r="A127" t="str">
            <v>GPH-20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cell r="BM127">
            <v>0</v>
          </cell>
          <cell r="BN127">
            <v>0</v>
          </cell>
          <cell r="BO127">
            <v>0</v>
          </cell>
          <cell r="BP127">
            <v>0</v>
          </cell>
          <cell r="BQ127">
            <v>0</v>
          </cell>
          <cell r="BR127">
            <v>0</v>
          </cell>
          <cell r="BS127">
            <v>0</v>
          </cell>
          <cell r="BT127">
            <v>0</v>
          </cell>
          <cell r="BU127">
            <v>0</v>
          </cell>
          <cell r="BV127">
            <v>0</v>
          </cell>
          <cell r="BW127">
            <v>0</v>
          </cell>
          <cell r="BX127">
            <v>0</v>
          </cell>
          <cell r="BY127">
            <v>0</v>
          </cell>
          <cell r="BZ127">
            <v>0</v>
          </cell>
          <cell r="CA127">
            <v>0</v>
          </cell>
          <cell r="CB127">
            <v>0</v>
          </cell>
          <cell r="CC127">
            <v>0</v>
          </cell>
          <cell r="CD127">
            <v>0</v>
          </cell>
          <cell r="CE127">
            <v>0</v>
          </cell>
          <cell r="CF127">
            <v>0</v>
          </cell>
          <cell r="CG127">
            <v>0</v>
          </cell>
          <cell r="CH127">
            <v>0</v>
          </cell>
          <cell r="CI127">
            <v>0</v>
          </cell>
          <cell r="CJ127">
            <v>0</v>
          </cell>
          <cell r="CK127">
            <v>0</v>
          </cell>
          <cell r="CL127">
            <v>0</v>
          </cell>
          <cell r="CM127">
            <v>0</v>
          </cell>
          <cell r="CN127">
            <v>0</v>
          </cell>
          <cell r="CO127">
            <v>0</v>
          </cell>
          <cell r="CP127">
            <v>0</v>
          </cell>
          <cell r="CQ127">
            <v>0</v>
          </cell>
          <cell r="CU127">
            <v>0</v>
          </cell>
          <cell r="CV127">
            <v>0</v>
          </cell>
          <cell r="CW127">
            <v>0</v>
          </cell>
          <cell r="CZ127" t="str">
            <v>d</v>
          </cell>
        </row>
        <row r="128">
          <cell r="A128" t="str">
            <v>GPH-25</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cell r="BM128">
            <v>0</v>
          </cell>
          <cell r="BN128">
            <v>0</v>
          </cell>
          <cell r="BO128">
            <v>0</v>
          </cell>
          <cell r="BP128">
            <v>0</v>
          </cell>
          <cell r="BQ128">
            <v>0</v>
          </cell>
          <cell r="BR128">
            <v>0</v>
          </cell>
          <cell r="BS128">
            <v>0</v>
          </cell>
          <cell r="BT128">
            <v>0</v>
          </cell>
          <cell r="BU128">
            <v>0</v>
          </cell>
          <cell r="BV128">
            <v>0</v>
          </cell>
          <cell r="BW128">
            <v>0</v>
          </cell>
          <cell r="BX128">
            <v>0</v>
          </cell>
          <cell r="BY128">
            <v>0</v>
          </cell>
          <cell r="BZ128">
            <v>0</v>
          </cell>
          <cell r="CA128">
            <v>0</v>
          </cell>
          <cell r="CB128">
            <v>0</v>
          </cell>
          <cell r="CC128">
            <v>0</v>
          </cell>
          <cell r="CD128">
            <v>0</v>
          </cell>
          <cell r="CE128">
            <v>0</v>
          </cell>
          <cell r="CF128">
            <v>0</v>
          </cell>
          <cell r="CG128">
            <v>0</v>
          </cell>
          <cell r="CH128">
            <v>0</v>
          </cell>
          <cell r="CI128">
            <v>0</v>
          </cell>
          <cell r="CJ128">
            <v>0</v>
          </cell>
          <cell r="CK128">
            <v>0</v>
          </cell>
          <cell r="CL128">
            <v>0</v>
          </cell>
          <cell r="CM128">
            <v>0</v>
          </cell>
          <cell r="CN128">
            <v>0</v>
          </cell>
          <cell r="CO128">
            <v>0</v>
          </cell>
          <cell r="CP128">
            <v>0</v>
          </cell>
          <cell r="CQ128">
            <v>0</v>
          </cell>
          <cell r="CU128">
            <v>0</v>
          </cell>
          <cell r="CV128">
            <v>0</v>
          </cell>
          <cell r="CW128">
            <v>0</v>
          </cell>
          <cell r="CZ128" t="str">
            <v>d</v>
          </cell>
        </row>
        <row r="129">
          <cell r="A129" t="str">
            <v>GPH-32</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cell r="BM129">
            <v>0</v>
          </cell>
          <cell r="BN129">
            <v>0</v>
          </cell>
          <cell r="BO129">
            <v>0</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C129">
            <v>0</v>
          </cell>
          <cell r="CD129">
            <v>0</v>
          </cell>
          <cell r="CE129">
            <v>0</v>
          </cell>
          <cell r="CF129">
            <v>0</v>
          </cell>
          <cell r="CG129">
            <v>0</v>
          </cell>
          <cell r="CH129">
            <v>0</v>
          </cell>
          <cell r="CI129">
            <v>0</v>
          </cell>
          <cell r="CJ129">
            <v>0</v>
          </cell>
          <cell r="CK129">
            <v>0</v>
          </cell>
          <cell r="CL129">
            <v>0</v>
          </cell>
          <cell r="CM129">
            <v>0</v>
          </cell>
          <cell r="CN129">
            <v>0</v>
          </cell>
          <cell r="CO129">
            <v>0</v>
          </cell>
          <cell r="CP129">
            <v>0</v>
          </cell>
          <cell r="CQ129">
            <v>0</v>
          </cell>
          <cell r="CU129">
            <v>0</v>
          </cell>
          <cell r="CV129">
            <v>0</v>
          </cell>
          <cell r="CW129">
            <v>0</v>
          </cell>
          <cell r="CZ129" t="str">
            <v>d</v>
          </cell>
        </row>
        <row r="130">
          <cell r="A130" t="str">
            <v>GPH-40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cell r="BM130">
            <v>0</v>
          </cell>
          <cell r="BN130">
            <v>0</v>
          </cell>
          <cell r="BO130">
            <v>0</v>
          </cell>
          <cell r="BP130">
            <v>0</v>
          </cell>
          <cell r="BQ130">
            <v>0</v>
          </cell>
          <cell r="BR130">
            <v>0</v>
          </cell>
          <cell r="BS130">
            <v>0</v>
          </cell>
          <cell r="BT130">
            <v>0</v>
          </cell>
          <cell r="BU130">
            <v>0</v>
          </cell>
          <cell r="BV130">
            <v>0</v>
          </cell>
          <cell r="BW130">
            <v>0</v>
          </cell>
          <cell r="BX130">
            <v>0</v>
          </cell>
          <cell r="BY130">
            <v>0</v>
          </cell>
          <cell r="BZ130">
            <v>0</v>
          </cell>
          <cell r="CA130">
            <v>0</v>
          </cell>
          <cell r="CB130">
            <v>0</v>
          </cell>
          <cell r="CC130">
            <v>0</v>
          </cell>
          <cell r="CD130">
            <v>0</v>
          </cell>
          <cell r="CE130">
            <v>0</v>
          </cell>
          <cell r="CF130">
            <v>0</v>
          </cell>
          <cell r="CG130">
            <v>0</v>
          </cell>
          <cell r="CH130">
            <v>0</v>
          </cell>
          <cell r="CI130">
            <v>0</v>
          </cell>
          <cell r="CJ130">
            <v>0</v>
          </cell>
          <cell r="CK130">
            <v>0</v>
          </cell>
          <cell r="CL130">
            <v>0</v>
          </cell>
          <cell r="CM130">
            <v>0</v>
          </cell>
          <cell r="CN130">
            <v>0</v>
          </cell>
          <cell r="CO130">
            <v>0</v>
          </cell>
          <cell r="CP130">
            <v>0</v>
          </cell>
          <cell r="CQ130">
            <v>0</v>
          </cell>
          <cell r="CU130">
            <v>0</v>
          </cell>
          <cell r="CV130">
            <v>0</v>
          </cell>
          <cell r="CW130">
            <v>0</v>
          </cell>
          <cell r="CZ130" t="str">
            <v>d</v>
          </cell>
        </row>
        <row r="131">
          <cell r="A131" t="str">
            <v>GPH-50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cell r="BM131">
            <v>0</v>
          </cell>
          <cell r="BN131">
            <v>0</v>
          </cell>
          <cell r="BO131">
            <v>0</v>
          </cell>
          <cell r="BP131">
            <v>0</v>
          </cell>
          <cell r="BQ131">
            <v>0</v>
          </cell>
          <cell r="BR131">
            <v>0</v>
          </cell>
          <cell r="BS131">
            <v>0</v>
          </cell>
          <cell r="BT131">
            <v>0</v>
          </cell>
          <cell r="BU131">
            <v>0</v>
          </cell>
          <cell r="BV131">
            <v>0</v>
          </cell>
          <cell r="BW131">
            <v>0</v>
          </cell>
          <cell r="BX131">
            <v>0</v>
          </cell>
          <cell r="BY131">
            <v>0</v>
          </cell>
          <cell r="BZ131">
            <v>0</v>
          </cell>
          <cell r="CA131">
            <v>0</v>
          </cell>
          <cell r="CB131">
            <v>0</v>
          </cell>
          <cell r="CC131">
            <v>0</v>
          </cell>
          <cell r="CD131">
            <v>0</v>
          </cell>
          <cell r="CE131">
            <v>0</v>
          </cell>
          <cell r="CF131">
            <v>0</v>
          </cell>
          <cell r="CG131">
            <v>0</v>
          </cell>
          <cell r="CH131">
            <v>0</v>
          </cell>
          <cell r="CI131">
            <v>0</v>
          </cell>
          <cell r="CJ131">
            <v>0</v>
          </cell>
          <cell r="CK131">
            <v>0</v>
          </cell>
          <cell r="CL131">
            <v>0</v>
          </cell>
          <cell r="CM131">
            <v>0</v>
          </cell>
          <cell r="CN131">
            <v>0</v>
          </cell>
          <cell r="CO131">
            <v>0</v>
          </cell>
          <cell r="CP131">
            <v>0</v>
          </cell>
          <cell r="CQ131">
            <v>0</v>
          </cell>
          <cell r="CU131">
            <v>0</v>
          </cell>
          <cell r="CV131">
            <v>0</v>
          </cell>
          <cell r="CW131">
            <v>0</v>
          </cell>
          <cell r="CZ131" t="str">
            <v>d</v>
          </cell>
        </row>
        <row r="132">
          <cell r="A132" t="str">
            <v>GPH-63</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cell r="BM132">
            <v>0</v>
          </cell>
          <cell r="BN132">
            <v>0</v>
          </cell>
          <cell r="BO132">
            <v>0</v>
          </cell>
          <cell r="BP132">
            <v>0</v>
          </cell>
          <cell r="BQ132">
            <v>0</v>
          </cell>
          <cell r="BR132">
            <v>0</v>
          </cell>
          <cell r="BS132">
            <v>0</v>
          </cell>
          <cell r="BT132">
            <v>0</v>
          </cell>
          <cell r="BU132">
            <v>0</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I132">
            <v>0</v>
          </cell>
          <cell r="CJ132">
            <v>0</v>
          </cell>
          <cell r="CK132">
            <v>0</v>
          </cell>
          <cell r="CL132">
            <v>0</v>
          </cell>
          <cell r="CM132">
            <v>0</v>
          </cell>
          <cell r="CN132">
            <v>0</v>
          </cell>
          <cell r="CO132">
            <v>0</v>
          </cell>
          <cell r="CP132">
            <v>0</v>
          </cell>
          <cell r="CQ132">
            <v>0</v>
          </cell>
          <cell r="CU132">
            <v>0</v>
          </cell>
          <cell r="CV132">
            <v>0</v>
          </cell>
          <cell r="CW132">
            <v>0</v>
          </cell>
          <cell r="CZ132" t="str">
            <v>d</v>
          </cell>
        </row>
        <row r="133">
          <cell r="A133" t="str">
            <v>GPH-75</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cell r="BM133">
            <v>0</v>
          </cell>
          <cell r="BN133">
            <v>0</v>
          </cell>
          <cell r="BO133">
            <v>0</v>
          </cell>
          <cell r="BP133">
            <v>0</v>
          </cell>
          <cell r="BQ133">
            <v>0</v>
          </cell>
          <cell r="BR133">
            <v>0</v>
          </cell>
          <cell r="BS133">
            <v>0</v>
          </cell>
          <cell r="BT133">
            <v>0</v>
          </cell>
          <cell r="BU133">
            <v>0</v>
          </cell>
          <cell r="BV133">
            <v>0</v>
          </cell>
          <cell r="BW133">
            <v>0</v>
          </cell>
          <cell r="BX133">
            <v>0</v>
          </cell>
          <cell r="BY133">
            <v>0</v>
          </cell>
          <cell r="BZ133">
            <v>0</v>
          </cell>
          <cell r="CA133">
            <v>0</v>
          </cell>
          <cell r="CB133">
            <v>0</v>
          </cell>
          <cell r="CC133">
            <v>0</v>
          </cell>
          <cell r="CD133">
            <v>0</v>
          </cell>
          <cell r="CE133">
            <v>0</v>
          </cell>
          <cell r="CF133">
            <v>0</v>
          </cell>
          <cell r="CG133">
            <v>0</v>
          </cell>
          <cell r="CH133">
            <v>0</v>
          </cell>
          <cell r="CI133">
            <v>0</v>
          </cell>
          <cell r="CJ133">
            <v>0</v>
          </cell>
          <cell r="CK133">
            <v>0</v>
          </cell>
          <cell r="CL133">
            <v>0</v>
          </cell>
          <cell r="CM133">
            <v>0</v>
          </cell>
          <cell r="CN133">
            <v>0</v>
          </cell>
          <cell r="CO133">
            <v>0</v>
          </cell>
          <cell r="CP133">
            <v>0</v>
          </cell>
          <cell r="CQ133">
            <v>0</v>
          </cell>
          <cell r="CU133">
            <v>0</v>
          </cell>
          <cell r="CV133">
            <v>0</v>
          </cell>
          <cell r="CW133">
            <v>0</v>
          </cell>
          <cell r="CZ133" t="str">
            <v>d</v>
          </cell>
        </row>
        <row r="134">
          <cell r="CU134">
            <v>944.07999999999981</v>
          </cell>
          <cell r="CV134">
            <v>124025.31</v>
          </cell>
          <cell r="CW134">
            <v>1271.9329999999998</v>
          </cell>
        </row>
        <row r="135">
          <cell r="A135" t="str">
            <v>PVC-20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cell r="BM135">
            <v>0</v>
          </cell>
          <cell r="BN135">
            <v>0</v>
          </cell>
          <cell r="BO135">
            <v>0</v>
          </cell>
          <cell r="BP135">
            <v>0</v>
          </cell>
          <cell r="BQ135">
            <v>0</v>
          </cell>
          <cell r="BR135">
            <v>0</v>
          </cell>
          <cell r="BS135">
            <v>0</v>
          </cell>
          <cell r="BT135">
            <v>0</v>
          </cell>
          <cell r="BU135">
            <v>0</v>
          </cell>
          <cell r="BV135">
            <v>0</v>
          </cell>
          <cell r="BW135">
            <v>0</v>
          </cell>
          <cell r="BX135">
            <v>0</v>
          </cell>
          <cell r="BY135">
            <v>0</v>
          </cell>
          <cell r="BZ135">
            <v>0</v>
          </cell>
          <cell r="CA135">
            <v>0</v>
          </cell>
          <cell r="CB135">
            <v>0</v>
          </cell>
          <cell r="CC135">
            <v>0</v>
          </cell>
          <cell r="CD135">
            <v>0</v>
          </cell>
          <cell r="CE135">
            <v>0</v>
          </cell>
          <cell r="CF135">
            <v>0</v>
          </cell>
          <cell r="CG135">
            <v>0</v>
          </cell>
          <cell r="CH135">
            <v>0</v>
          </cell>
          <cell r="CI135">
            <v>0</v>
          </cell>
          <cell r="CJ135">
            <v>0</v>
          </cell>
          <cell r="CK135">
            <v>0</v>
          </cell>
          <cell r="CL135">
            <v>0</v>
          </cell>
          <cell r="CM135">
            <v>0</v>
          </cell>
          <cell r="CN135">
            <v>0</v>
          </cell>
          <cell r="CO135">
            <v>0</v>
          </cell>
          <cell r="CP135">
            <v>0</v>
          </cell>
          <cell r="CQ135">
            <v>0</v>
          </cell>
          <cell r="CU135">
            <v>0</v>
          </cell>
          <cell r="CV135">
            <v>0</v>
          </cell>
          <cell r="CW135">
            <v>0</v>
          </cell>
          <cell r="CZ135" t="str">
            <v>d</v>
          </cell>
        </row>
        <row r="136">
          <cell r="A136" t="str">
            <v>PVC-32</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cell r="BM136">
            <v>0</v>
          </cell>
          <cell r="BN136">
            <v>0</v>
          </cell>
          <cell r="BO136">
            <v>0</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cell r="CN136">
            <v>0</v>
          </cell>
          <cell r="CO136">
            <v>0</v>
          </cell>
          <cell r="CP136">
            <v>0</v>
          </cell>
          <cell r="CQ136">
            <v>0</v>
          </cell>
          <cell r="CU136">
            <v>0</v>
          </cell>
          <cell r="CV136">
            <v>0</v>
          </cell>
          <cell r="CW136">
            <v>0</v>
          </cell>
          <cell r="CZ136" t="str">
            <v>d</v>
          </cell>
        </row>
        <row r="137">
          <cell r="A137" t="str">
            <v>PVC-50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cell r="BM137">
            <v>0</v>
          </cell>
          <cell r="BN137">
            <v>0</v>
          </cell>
          <cell r="BO137">
            <v>0</v>
          </cell>
          <cell r="BP137">
            <v>0</v>
          </cell>
          <cell r="BQ137">
            <v>0</v>
          </cell>
          <cell r="BR137">
            <v>0</v>
          </cell>
          <cell r="BS137">
            <v>0</v>
          </cell>
          <cell r="BT137">
            <v>0</v>
          </cell>
          <cell r="BU137">
            <v>0</v>
          </cell>
          <cell r="BV137">
            <v>0</v>
          </cell>
          <cell r="BW137">
            <v>0</v>
          </cell>
          <cell r="BX137">
            <v>0</v>
          </cell>
          <cell r="BY137">
            <v>0</v>
          </cell>
          <cell r="BZ137">
            <v>0</v>
          </cell>
          <cell r="CA137">
            <v>0</v>
          </cell>
          <cell r="CB137">
            <v>0</v>
          </cell>
          <cell r="CC137">
            <v>0</v>
          </cell>
          <cell r="CD137">
            <v>0</v>
          </cell>
          <cell r="CE137">
            <v>0</v>
          </cell>
          <cell r="CF137">
            <v>0</v>
          </cell>
          <cell r="CG137">
            <v>0</v>
          </cell>
          <cell r="CH137">
            <v>0</v>
          </cell>
          <cell r="CI137">
            <v>0</v>
          </cell>
          <cell r="CJ137">
            <v>0</v>
          </cell>
          <cell r="CK137">
            <v>0</v>
          </cell>
          <cell r="CL137">
            <v>0</v>
          </cell>
          <cell r="CM137">
            <v>0</v>
          </cell>
          <cell r="CN137">
            <v>0</v>
          </cell>
          <cell r="CO137">
            <v>0</v>
          </cell>
          <cell r="CP137">
            <v>0</v>
          </cell>
          <cell r="CQ137">
            <v>0</v>
          </cell>
          <cell r="CU137">
            <v>0</v>
          </cell>
          <cell r="CV137">
            <v>0</v>
          </cell>
          <cell r="CW137">
            <v>0</v>
          </cell>
          <cell r="CZ137" t="str">
            <v>d</v>
          </cell>
        </row>
        <row r="138">
          <cell r="A138" t="str">
            <v>PVC-63</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cell r="BM138">
            <v>0</v>
          </cell>
          <cell r="BN138">
            <v>0</v>
          </cell>
          <cell r="BO138">
            <v>0</v>
          </cell>
          <cell r="BP138">
            <v>0</v>
          </cell>
          <cell r="BQ138">
            <v>0</v>
          </cell>
          <cell r="BR138">
            <v>0</v>
          </cell>
          <cell r="BS138">
            <v>0</v>
          </cell>
          <cell r="BT138">
            <v>0</v>
          </cell>
          <cell r="BU138">
            <v>0</v>
          </cell>
          <cell r="BV138">
            <v>0</v>
          </cell>
          <cell r="BW138">
            <v>0</v>
          </cell>
          <cell r="BX138">
            <v>0</v>
          </cell>
          <cell r="BY138">
            <v>0</v>
          </cell>
          <cell r="BZ138">
            <v>0</v>
          </cell>
          <cell r="CA138">
            <v>0</v>
          </cell>
          <cell r="CB138">
            <v>0</v>
          </cell>
          <cell r="CC138">
            <v>0</v>
          </cell>
          <cell r="CD138">
            <v>0</v>
          </cell>
          <cell r="CE138">
            <v>0</v>
          </cell>
          <cell r="CF138">
            <v>0</v>
          </cell>
          <cell r="CG138">
            <v>0</v>
          </cell>
          <cell r="CH138">
            <v>0</v>
          </cell>
          <cell r="CI138">
            <v>0</v>
          </cell>
          <cell r="CJ138">
            <v>0</v>
          </cell>
          <cell r="CK138">
            <v>0</v>
          </cell>
          <cell r="CL138">
            <v>0</v>
          </cell>
          <cell r="CM138">
            <v>0</v>
          </cell>
          <cell r="CN138">
            <v>0</v>
          </cell>
          <cell r="CO138">
            <v>0</v>
          </cell>
          <cell r="CP138">
            <v>0</v>
          </cell>
          <cell r="CQ138">
            <v>0</v>
          </cell>
          <cell r="CU138">
            <v>0</v>
          </cell>
          <cell r="CV138">
            <v>0</v>
          </cell>
          <cell r="CW138">
            <v>0</v>
          </cell>
          <cell r="CZ138" t="str">
            <v>d</v>
          </cell>
        </row>
        <row r="139">
          <cell r="A139" t="str">
            <v>PVC-90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cell r="BM139">
            <v>0</v>
          </cell>
          <cell r="BN139">
            <v>0</v>
          </cell>
          <cell r="BO139">
            <v>0</v>
          </cell>
          <cell r="BP139">
            <v>0</v>
          </cell>
          <cell r="BQ139">
            <v>0</v>
          </cell>
          <cell r="BR139">
            <v>0</v>
          </cell>
          <cell r="BS139">
            <v>0</v>
          </cell>
          <cell r="BT139">
            <v>0</v>
          </cell>
          <cell r="BU139">
            <v>0</v>
          </cell>
          <cell r="BV139">
            <v>0</v>
          </cell>
          <cell r="BW139">
            <v>0</v>
          </cell>
          <cell r="BX139">
            <v>0</v>
          </cell>
          <cell r="BY139">
            <v>0</v>
          </cell>
          <cell r="BZ139">
            <v>0</v>
          </cell>
          <cell r="CA139">
            <v>0</v>
          </cell>
          <cell r="CB139">
            <v>0</v>
          </cell>
          <cell r="CC139">
            <v>0</v>
          </cell>
          <cell r="CD139">
            <v>0</v>
          </cell>
          <cell r="CE139">
            <v>0</v>
          </cell>
          <cell r="CF139">
            <v>0</v>
          </cell>
          <cell r="CG139">
            <v>0</v>
          </cell>
          <cell r="CH139">
            <v>0</v>
          </cell>
          <cell r="CI139">
            <v>0</v>
          </cell>
          <cell r="CJ139">
            <v>0</v>
          </cell>
          <cell r="CK139">
            <v>0</v>
          </cell>
          <cell r="CL139">
            <v>0</v>
          </cell>
          <cell r="CM139">
            <v>0</v>
          </cell>
          <cell r="CN139">
            <v>0</v>
          </cell>
          <cell r="CO139">
            <v>0</v>
          </cell>
          <cell r="CP139">
            <v>0</v>
          </cell>
          <cell r="CQ139">
            <v>0</v>
          </cell>
          <cell r="CU139">
            <v>0</v>
          </cell>
          <cell r="CV139">
            <v>0</v>
          </cell>
          <cell r="CW139">
            <v>0</v>
          </cell>
          <cell r="CZ139" t="str">
            <v>d</v>
          </cell>
        </row>
        <row r="140">
          <cell r="CU140">
            <v>0</v>
          </cell>
          <cell r="CV140">
            <v>0</v>
          </cell>
          <cell r="CW140">
            <v>0</v>
          </cell>
        </row>
        <row r="141">
          <cell r="CV141" t="str">
            <v>a</v>
          </cell>
        </row>
        <row r="142">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cell r="BM142">
            <v>0</v>
          </cell>
          <cell r="BN142">
            <v>0</v>
          </cell>
          <cell r="BO142">
            <v>0</v>
          </cell>
          <cell r="BP142">
            <v>0</v>
          </cell>
          <cell r="BQ142">
            <v>0</v>
          </cell>
          <cell r="BR142">
            <v>0</v>
          </cell>
          <cell r="BS142">
            <v>0</v>
          </cell>
          <cell r="BT142">
            <v>0</v>
          </cell>
          <cell r="BU142">
            <v>0</v>
          </cell>
          <cell r="BV142">
            <v>0</v>
          </cell>
          <cell r="CU142">
            <v>0</v>
          </cell>
        </row>
        <row r="143">
          <cell r="A143" t="str">
            <v>HR-20x16</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cell r="BM143">
            <v>0</v>
          </cell>
          <cell r="BN143">
            <v>0</v>
          </cell>
          <cell r="BO143">
            <v>0</v>
          </cell>
          <cell r="BP143">
            <v>0</v>
          </cell>
          <cell r="BQ143">
            <v>0</v>
          </cell>
          <cell r="BR143">
            <v>0</v>
          </cell>
          <cell r="BS143">
            <v>0</v>
          </cell>
          <cell r="BT143">
            <v>0</v>
          </cell>
          <cell r="BU143">
            <v>0</v>
          </cell>
          <cell r="BV143">
            <v>0</v>
          </cell>
          <cell r="BW143">
            <v>0</v>
          </cell>
          <cell r="BX143">
            <v>0</v>
          </cell>
          <cell r="BY143">
            <v>0</v>
          </cell>
          <cell r="BZ143">
            <v>0</v>
          </cell>
          <cell r="CA143">
            <v>0</v>
          </cell>
          <cell r="CB143">
            <v>0</v>
          </cell>
          <cell r="CC143">
            <v>0</v>
          </cell>
          <cell r="CD143">
            <v>0</v>
          </cell>
          <cell r="CE143">
            <v>0</v>
          </cell>
          <cell r="CF143">
            <v>0</v>
          </cell>
          <cell r="CG143">
            <v>0</v>
          </cell>
          <cell r="CH143">
            <v>0</v>
          </cell>
          <cell r="CI143">
            <v>0</v>
          </cell>
          <cell r="CJ143">
            <v>0</v>
          </cell>
          <cell r="CK143">
            <v>0</v>
          </cell>
          <cell r="CL143">
            <v>0</v>
          </cell>
          <cell r="CM143">
            <v>0</v>
          </cell>
          <cell r="CN143">
            <v>0</v>
          </cell>
          <cell r="CO143">
            <v>0</v>
          </cell>
          <cell r="CP143">
            <v>0</v>
          </cell>
          <cell r="CQ143">
            <v>0</v>
          </cell>
          <cell r="CU143">
            <v>0</v>
          </cell>
          <cell r="CV143">
            <v>0</v>
          </cell>
          <cell r="CW143">
            <v>0</v>
          </cell>
          <cell r="CZ143" t="str">
            <v>s</v>
          </cell>
        </row>
        <row r="144">
          <cell r="A144" t="str">
            <v>HR-25x16</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cell r="BM144">
            <v>0</v>
          </cell>
          <cell r="BN144">
            <v>0</v>
          </cell>
          <cell r="BO144">
            <v>0</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cell r="CD144">
            <v>0</v>
          </cell>
          <cell r="CE144">
            <v>0</v>
          </cell>
          <cell r="CF144">
            <v>0</v>
          </cell>
          <cell r="CG144">
            <v>0</v>
          </cell>
          <cell r="CH144">
            <v>0</v>
          </cell>
          <cell r="CI144">
            <v>0</v>
          </cell>
          <cell r="CJ144">
            <v>0</v>
          </cell>
          <cell r="CK144">
            <v>0</v>
          </cell>
          <cell r="CL144">
            <v>0</v>
          </cell>
          <cell r="CM144">
            <v>0</v>
          </cell>
          <cell r="CN144">
            <v>0</v>
          </cell>
          <cell r="CO144">
            <v>0</v>
          </cell>
          <cell r="CP144">
            <v>0</v>
          </cell>
          <cell r="CQ144">
            <v>0</v>
          </cell>
          <cell r="CU144">
            <v>0</v>
          </cell>
          <cell r="CV144">
            <v>0</v>
          </cell>
          <cell r="CW144">
            <v>0</v>
          </cell>
          <cell r="CZ144" t="str">
            <v>s</v>
          </cell>
        </row>
        <row r="145">
          <cell r="A145" t="str">
            <v>HR-25x20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cell r="BM145">
            <v>0</v>
          </cell>
          <cell r="BN145">
            <v>0</v>
          </cell>
          <cell r="BO145">
            <v>0</v>
          </cell>
          <cell r="BP145">
            <v>0</v>
          </cell>
          <cell r="BQ145">
            <v>0</v>
          </cell>
          <cell r="BR145">
            <v>0</v>
          </cell>
          <cell r="BS145">
            <v>0</v>
          </cell>
          <cell r="BT145">
            <v>0</v>
          </cell>
          <cell r="BU145">
            <v>0</v>
          </cell>
          <cell r="BV145">
            <v>0</v>
          </cell>
          <cell r="BW145">
            <v>0</v>
          </cell>
          <cell r="BX145">
            <v>0</v>
          </cell>
          <cell r="BY145">
            <v>0</v>
          </cell>
          <cell r="BZ145">
            <v>0</v>
          </cell>
          <cell r="CA145">
            <v>0</v>
          </cell>
          <cell r="CB145">
            <v>0</v>
          </cell>
          <cell r="CC145">
            <v>0</v>
          </cell>
          <cell r="CD145">
            <v>0</v>
          </cell>
          <cell r="CE145">
            <v>0</v>
          </cell>
          <cell r="CF145">
            <v>0</v>
          </cell>
          <cell r="CG145">
            <v>0</v>
          </cell>
          <cell r="CH145">
            <v>0</v>
          </cell>
          <cell r="CI145">
            <v>0</v>
          </cell>
          <cell r="CJ145">
            <v>0</v>
          </cell>
          <cell r="CK145">
            <v>0</v>
          </cell>
          <cell r="CL145">
            <v>0</v>
          </cell>
          <cell r="CM145">
            <v>0</v>
          </cell>
          <cell r="CN145">
            <v>0</v>
          </cell>
          <cell r="CO145">
            <v>0</v>
          </cell>
          <cell r="CP145">
            <v>0</v>
          </cell>
          <cell r="CQ145">
            <v>0</v>
          </cell>
          <cell r="CU145">
            <v>6</v>
          </cell>
          <cell r="CV145">
            <v>345.78</v>
          </cell>
          <cell r="CW145">
            <v>0.75</v>
          </cell>
          <cell r="CZ145" t="str">
            <v>s</v>
          </cell>
        </row>
        <row r="146">
          <cell r="A146" t="str">
            <v>HR-32x16</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cell r="BM146">
            <v>0</v>
          </cell>
          <cell r="BN146">
            <v>0</v>
          </cell>
          <cell r="BO146">
            <v>0</v>
          </cell>
          <cell r="BP146">
            <v>0</v>
          </cell>
          <cell r="BQ146">
            <v>0</v>
          </cell>
          <cell r="BR146">
            <v>0</v>
          </cell>
          <cell r="BS146">
            <v>0</v>
          </cell>
          <cell r="BT146">
            <v>0</v>
          </cell>
          <cell r="BU146">
            <v>0</v>
          </cell>
          <cell r="BV146">
            <v>0</v>
          </cell>
          <cell r="BW146">
            <v>0</v>
          </cell>
          <cell r="BX146">
            <v>0</v>
          </cell>
          <cell r="BY146">
            <v>0</v>
          </cell>
          <cell r="BZ146">
            <v>0</v>
          </cell>
          <cell r="CA146">
            <v>0</v>
          </cell>
          <cell r="CB146">
            <v>0</v>
          </cell>
          <cell r="CC146">
            <v>0</v>
          </cell>
          <cell r="CD146">
            <v>0</v>
          </cell>
          <cell r="CE146">
            <v>0</v>
          </cell>
          <cell r="CF146">
            <v>0</v>
          </cell>
          <cell r="CG146">
            <v>0</v>
          </cell>
          <cell r="CH146">
            <v>0</v>
          </cell>
          <cell r="CI146">
            <v>0</v>
          </cell>
          <cell r="CJ146">
            <v>0</v>
          </cell>
          <cell r="CK146">
            <v>0</v>
          </cell>
          <cell r="CL146">
            <v>0</v>
          </cell>
          <cell r="CM146">
            <v>0</v>
          </cell>
          <cell r="CN146">
            <v>0</v>
          </cell>
          <cell r="CO146">
            <v>0</v>
          </cell>
          <cell r="CP146">
            <v>0</v>
          </cell>
          <cell r="CQ146">
            <v>0</v>
          </cell>
          <cell r="CU146">
            <v>0</v>
          </cell>
          <cell r="CV146">
            <v>0</v>
          </cell>
          <cell r="CW146">
            <v>0</v>
          </cell>
          <cell r="CZ146" t="str">
            <v>s</v>
          </cell>
        </row>
        <row r="147">
          <cell r="A147" t="str">
            <v>HR-32x20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cell r="BM147">
            <v>0</v>
          </cell>
          <cell r="BN147">
            <v>0</v>
          </cell>
          <cell r="BO147">
            <v>0</v>
          </cell>
          <cell r="BP147">
            <v>0</v>
          </cell>
          <cell r="BQ147">
            <v>0</v>
          </cell>
          <cell r="BR147">
            <v>0</v>
          </cell>
          <cell r="BS147">
            <v>0</v>
          </cell>
          <cell r="BT147">
            <v>0</v>
          </cell>
          <cell r="BU147">
            <v>0</v>
          </cell>
          <cell r="BV147">
            <v>0</v>
          </cell>
          <cell r="BW147">
            <v>0</v>
          </cell>
          <cell r="BX147">
            <v>0</v>
          </cell>
          <cell r="BY147">
            <v>0</v>
          </cell>
          <cell r="BZ147">
            <v>0</v>
          </cell>
          <cell r="CA147">
            <v>0</v>
          </cell>
          <cell r="CB147">
            <v>0</v>
          </cell>
          <cell r="CC147">
            <v>0</v>
          </cell>
          <cell r="CD147">
            <v>0</v>
          </cell>
          <cell r="CE147">
            <v>0</v>
          </cell>
          <cell r="CF147">
            <v>0</v>
          </cell>
          <cell r="CG147">
            <v>0</v>
          </cell>
          <cell r="CH147">
            <v>0</v>
          </cell>
          <cell r="CI147">
            <v>0</v>
          </cell>
          <cell r="CJ147">
            <v>0</v>
          </cell>
          <cell r="CK147">
            <v>0</v>
          </cell>
          <cell r="CL147">
            <v>0</v>
          </cell>
          <cell r="CM147">
            <v>0</v>
          </cell>
          <cell r="CN147">
            <v>0</v>
          </cell>
          <cell r="CO147">
            <v>0</v>
          </cell>
          <cell r="CP147">
            <v>0</v>
          </cell>
          <cell r="CQ147">
            <v>0</v>
          </cell>
          <cell r="CU147">
            <v>0</v>
          </cell>
          <cell r="CV147">
            <v>0</v>
          </cell>
          <cell r="CW147">
            <v>0</v>
          </cell>
          <cell r="CZ147" t="str">
            <v>s</v>
          </cell>
        </row>
        <row r="148">
          <cell r="A148" t="str">
            <v>HR-32x25</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cell r="BM148">
            <v>0</v>
          </cell>
          <cell r="BN148">
            <v>0</v>
          </cell>
          <cell r="BO148">
            <v>0</v>
          </cell>
          <cell r="BP148">
            <v>0</v>
          </cell>
          <cell r="BQ148">
            <v>0</v>
          </cell>
          <cell r="BR148">
            <v>0</v>
          </cell>
          <cell r="BS148">
            <v>0</v>
          </cell>
          <cell r="BT148">
            <v>0</v>
          </cell>
          <cell r="BU148">
            <v>0</v>
          </cell>
          <cell r="BV148">
            <v>0</v>
          </cell>
          <cell r="BW148">
            <v>0</v>
          </cell>
          <cell r="BX148">
            <v>0</v>
          </cell>
          <cell r="BY148">
            <v>0</v>
          </cell>
          <cell r="BZ148">
            <v>0</v>
          </cell>
          <cell r="CA148">
            <v>0</v>
          </cell>
          <cell r="CB148">
            <v>0</v>
          </cell>
          <cell r="CC148">
            <v>0</v>
          </cell>
          <cell r="CD148">
            <v>0</v>
          </cell>
          <cell r="CE148">
            <v>0</v>
          </cell>
          <cell r="CF148">
            <v>0</v>
          </cell>
          <cell r="CG148">
            <v>0</v>
          </cell>
          <cell r="CH148">
            <v>0</v>
          </cell>
          <cell r="CI148">
            <v>0</v>
          </cell>
          <cell r="CJ148">
            <v>0</v>
          </cell>
          <cell r="CK148">
            <v>0</v>
          </cell>
          <cell r="CL148">
            <v>0</v>
          </cell>
          <cell r="CM148">
            <v>0</v>
          </cell>
          <cell r="CN148">
            <v>0</v>
          </cell>
          <cell r="CO148">
            <v>0</v>
          </cell>
          <cell r="CP148">
            <v>0</v>
          </cell>
          <cell r="CQ148">
            <v>0</v>
          </cell>
          <cell r="CU148">
            <v>5</v>
          </cell>
          <cell r="CV148">
            <v>220.91499999999996</v>
          </cell>
          <cell r="CW148">
            <v>1</v>
          </cell>
          <cell r="CZ148" t="str">
            <v>s</v>
          </cell>
        </row>
        <row r="149">
          <cell r="A149" t="str">
            <v>HR-40x16</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cell r="BM149">
            <v>0</v>
          </cell>
          <cell r="BN149">
            <v>0</v>
          </cell>
          <cell r="BO149">
            <v>0</v>
          </cell>
          <cell r="BP149">
            <v>0</v>
          </cell>
          <cell r="BQ149">
            <v>0</v>
          </cell>
          <cell r="BR149">
            <v>0</v>
          </cell>
          <cell r="BS149">
            <v>0</v>
          </cell>
          <cell r="BT149">
            <v>0</v>
          </cell>
          <cell r="BU149">
            <v>0</v>
          </cell>
          <cell r="BV149">
            <v>0</v>
          </cell>
          <cell r="BW149">
            <v>0</v>
          </cell>
          <cell r="BX149">
            <v>0</v>
          </cell>
          <cell r="BY149">
            <v>0</v>
          </cell>
          <cell r="BZ149">
            <v>0</v>
          </cell>
          <cell r="CA149">
            <v>0</v>
          </cell>
          <cell r="CB149">
            <v>0</v>
          </cell>
          <cell r="CC149">
            <v>0</v>
          </cell>
          <cell r="CD149">
            <v>0</v>
          </cell>
          <cell r="CE149">
            <v>0</v>
          </cell>
          <cell r="CF149">
            <v>0</v>
          </cell>
          <cell r="CG149">
            <v>0</v>
          </cell>
          <cell r="CH149">
            <v>0</v>
          </cell>
          <cell r="CI149">
            <v>0</v>
          </cell>
          <cell r="CJ149">
            <v>0</v>
          </cell>
          <cell r="CK149">
            <v>0</v>
          </cell>
          <cell r="CL149">
            <v>0</v>
          </cell>
          <cell r="CM149">
            <v>0</v>
          </cell>
          <cell r="CN149">
            <v>0</v>
          </cell>
          <cell r="CO149">
            <v>0</v>
          </cell>
          <cell r="CP149">
            <v>0</v>
          </cell>
          <cell r="CQ149">
            <v>0</v>
          </cell>
          <cell r="CU149">
            <v>0</v>
          </cell>
          <cell r="CV149">
            <v>0</v>
          </cell>
          <cell r="CW149">
            <v>0</v>
          </cell>
          <cell r="CZ149" t="str">
            <v>s</v>
          </cell>
        </row>
        <row r="150">
          <cell r="A150" t="str">
            <v>HR-40x20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cell r="BM150">
            <v>0</v>
          </cell>
          <cell r="BN150">
            <v>0</v>
          </cell>
          <cell r="BO150">
            <v>0</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cell r="CD150">
            <v>0</v>
          </cell>
          <cell r="CE150">
            <v>0</v>
          </cell>
          <cell r="CF150">
            <v>0</v>
          </cell>
          <cell r="CG150">
            <v>0</v>
          </cell>
          <cell r="CH150">
            <v>0</v>
          </cell>
          <cell r="CI150">
            <v>0</v>
          </cell>
          <cell r="CJ150">
            <v>0</v>
          </cell>
          <cell r="CK150">
            <v>0</v>
          </cell>
          <cell r="CL150">
            <v>0</v>
          </cell>
          <cell r="CM150">
            <v>0</v>
          </cell>
          <cell r="CN150">
            <v>0</v>
          </cell>
          <cell r="CO150">
            <v>0</v>
          </cell>
          <cell r="CP150">
            <v>0</v>
          </cell>
          <cell r="CQ150">
            <v>0</v>
          </cell>
          <cell r="CU150">
            <v>0</v>
          </cell>
          <cell r="CV150">
            <v>0</v>
          </cell>
          <cell r="CW150">
            <v>0</v>
          </cell>
          <cell r="CZ150" t="str">
            <v>s</v>
          </cell>
        </row>
        <row r="151">
          <cell r="A151" t="str">
            <v>HR-40x25</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cell r="BM151">
            <v>0</v>
          </cell>
          <cell r="BN151">
            <v>0</v>
          </cell>
          <cell r="BO151">
            <v>0</v>
          </cell>
          <cell r="BP151">
            <v>0</v>
          </cell>
          <cell r="BQ151">
            <v>0</v>
          </cell>
          <cell r="BR151">
            <v>0</v>
          </cell>
          <cell r="BS151">
            <v>0</v>
          </cell>
          <cell r="BT151">
            <v>0</v>
          </cell>
          <cell r="BU151">
            <v>0</v>
          </cell>
          <cell r="BV151">
            <v>0</v>
          </cell>
          <cell r="BW151">
            <v>0</v>
          </cell>
          <cell r="BX151">
            <v>0</v>
          </cell>
          <cell r="BY151">
            <v>0</v>
          </cell>
          <cell r="BZ151">
            <v>0</v>
          </cell>
          <cell r="CA151">
            <v>0</v>
          </cell>
          <cell r="CB151">
            <v>0</v>
          </cell>
          <cell r="CC151">
            <v>0</v>
          </cell>
          <cell r="CD151">
            <v>0</v>
          </cell>
          <cell r="CE151">
            <v>0</v>
          </cell>
          <cell r="CF151">
            <v>0</v>
          </cell>
          <cell r="CG151">
            <v>0</v>
          </cell>
          <cell r="CH151">
            <v>0</v>
          </cell>
          <cell r="CI151">
            <v>0</v>
          </cell>
          <cell r="CJ151">
            <v>0</v>
          </cell>
          <cell r="CK151">
            <v>0</v>
          </cell>
          <cell r="CL151">
            <v>0</v>
          </cell>
          <cell r="CM151">
            <v>0</v>
          </cell>
          <cell r="CN151">
            <v>0</v>
          </cell>
          <cell r="CO151">
            <v>0</v>
          </cell>
          <cell r="CP151">
            <v>0</v>
          </cell>
          <cell r="CQ151">
            <v>0</v>
          </cell>
          <cell r="CU151">
            <v>0</v>
          </cell>
          <cell r="CV151">
            <v>0</v>
          </cell>
          <cell r="CW151">
            <v>0</v>
          </cell>
          <cell r="CZ151" t="str">
            <v>s</v>
          </cell>
        </row>
        <row r="152">
          <cell r="A152" t="str">
            <v>HR-40x32</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cell r="BM152">
            <v>0</v>
          </cell>
          <cell r="BN152">
            <v>0</v>
          </cell>
          <cell r="BO152">
            <v>0</v>
          </cell>
          <cell r="BP152">
            <v>0</v>
          </cell>
          <cell r="BQ152">
            <v>0</v>
          </cell>
          <cell r="BR152">
            <v>0</v>
          </cell>
          <cell r="BS152">
            <v>0</v>
          </cell>
          <cell r="BT152">
            <v>0</v>
          </cell>
          <cell r="BU152">
            <v>0</v>
          </cell>
          <cell r="BV152">
            <v>0</v>
          </cell>
          <cell r="BW152">
            <v>0</v>
          </cell>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v>0</v>
          </cell>
          <cell r="CM152">
            <v>0</v>
          </cell>
          <cell r="CN152">
            <v>0</v>
          </cell>
          <cell r="CO152">
            <v>0</v>
          </cell>
          <cell r="CP152">
            <v>0</v>
          </cell>
          <cell r="CQ152">
            <v>0</v>
          </cell>
          <cell r="CU152">
            <v>0</v>
          </cell>
          <cell r="CV152">
            <v>0</v>
          </cell>
          <cell r="CW152">
            <v>0</v>
          </cell>
          <cell r="CZ152" t="str">
            <v>s</v>
          </cell>
        </row>
        <row r="153">
          <cell r="A153" t="str">
            <v>HR-50x16</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cell r="BM153">
            <v>0</v>
          </cell>
          <cell r="BN153">
            <v>0</v>
          </cell>
          <cell r="BO153">
            <v>0</v>
          </cell>
          <cell r="BP153">
            <v>0</v>
          </cell>
          <cell r="BQ153">
            <v>0</v>
          </cell>
          <cell r="BR153">
            <v>0</v>
          </cell>
          <cell r="BS153">
            <v>0</v>
          </cell>
          <cell r="BT153">
            <v>0</v>
          </cell>
          <cell r="BU153">
            <v>0</v>
          </cell>
          <cell r="BV153">
            <v>0</v>
          </cell>
          <cell r="BW153">
            <v>0</v>
          </cell>
          <cell r="BX153">
            <v>0</v>
          </cell>
          <cell r="BY153">
            <v>0</v>
          </cell>
          <cell r="BZ153">
            <v>0</v>
          </cell>
          <cell r="CA153">
            <v>0</v>
          </cell>
          <cell r="CB153">
            <v>0</v>
          </cell>
          <cell r="CC153">
            <v>0</v>
          </cell>
          <cell r="CD153">
            <v>0</v>
          </cell>
          <cell r="CE153">
            <v>0</v>
          </cell>
          <cell r="CF153">
            <v>0</v>
          </cell>
          <cell r="CG153">
            <v>0</v>
          </cell>
          <cell r="CH153">
            <v>0</v>
          </cell>
          <cell r="CI153">
            <v>0</v>
          </cell>
          <cell r="CJ153">
            <v>0</v>
          </cell>
          <cell r="CK153">
            <v>0</v>
          </cell>
          <cell r="CL153">
            <v>0</v>
          </cell>
          <cell r="CM153">
            <v>0</v>
          </cell>
          <cell r="CN153">
            <v>0</v>
          </cell>
          <cell r="CO153">
            <v>0</v>
          </cell>
          <cell r="CP153">
            <v>0</v>
          </cell>
          <cell r="CQ153">
            <v>0</v>
          </cell>
          <cell r="CU153">
            <v>0</v>
          </cell>
          <cell r="CV153">
            <v>0</v>
          </cell>
          <cell r="CW153">
            <v>0</v>
          </cell>
          <cell r="CZ153" t="str">
            <v>s</v>
          </cell>
        </row>
        <row r="154">
          <cell r="A154" t="str">
            <v>HR-50x20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cell r="BM154">
            <v>0</v>
          </cell>
          <cell r="BN154">
            <v>0</v>
          </cell>
          <cell r="BO154">
            <v>0</v>
          </cell>
          <cell r="BP154">
            <v>0</v>
          </cell>
          <cell r="BQ154">
            <v>0</v>
          </cell>
          <cell r="BR154">
            <v>0</v>
          </cell>
          <cell r="BS154">
            <v>0</v>
          </cell>
          <cell r="BT154">
            <v>0</v>
          </cell>
          <cell r="BU154">
            <v>0</v>
          </cell>
          <cell r="BV154">
            <v>0</v>
          </cell>
          <cell r="BW154">
            <v>0</v>
          </cell>
          <cell r="BX154">
            <v>0</v>
          </cell>
          <cell r="BY154">
            <v>0</v>
          </cell>
          <cell r="BZ154">
            <v>0</v>
          </cell>
          <cell r="CA154">
            <v>0</v>
          </cell>
          <cell r="CB154">
            <v>0</v>
          </cell>
          <cell r="CC154">
            <v>0</v>
          </cell>
          <cell r="CD154">
            <v>0</v>
          </cell>
          <cell r="CE154">
            <v>0</v>
          </cell>
          <cell r="CF154">
            <v>0</v>
          </cell>
          <cell r="CG154">
            <v>0</v>
          </cell>
          <cell r="CH154">
            <v>0</v>
          </cell>
          <cell r="CI154">
            <v>0</v>
          </cell>
          <cell r="CJ154">
            <v>0</v>
          </cell>
          <cell r="CK154">
            <v>0</v>
          </cell>
          <cell r="CL154">
            <v>0</v>
          </cell>
          <cell r="CM154">
            <v>0</v>
          </cell>
          <cell r="CN154">
            <v>0</v>
          </cell>
          <cell r="CO154">
            <v>0</v>
          </cell>
          <cell r="CP154">
            <v>0</v>
          </cell>
          <cell r="CQ154">
            <v>0</v>
          </cell>
          <cell r="CU154">
            <v>0</v>
          </cell>
          <cell r="CV154">
            <v>0</v>
          </cell>
          <cell r="CW154">
            <v>0</v>
          </cell>
          <cell r="CZ154" t="str">
            <v>s</v>
          </cell>
        </row>
        <row r="155">
          <cell r="A155" t="str">
            <v>HR-50x25</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cell r="BM155">
            <v>0</v>
          </cell>
          <cell r="BN155">
            <v>0</v>
          </cell>
          <cell r="BO155">
            <v>0</v>
          </cell>
          <cell r="BP155">
            <v>0</v>
          </cell>
          <cell r="BQ155">
            <v>0</v>
          </cell>
          <cell r="BR155">
            <v>0</v>
          </cell>
          <cell r="BS155">
            <v>0</v>
          </cell>
          <cell r="BT155">
            <v>0</v>
          </cell>
          <cell r="BU155">
            <v>0</v>
          </cell>
          <cell r="BV155">
            <v>0</v>
          </cell>
          <cell r="BW155">
            <v>0</v>
          </cell>
          <cell r="BX155">
            <v>0</v>
          </cell>
          <cell r="BY155">
            <v>0</v>
          </cell>
          <cell r="BZ155">
            <v>0</v>
          </cell>
          <cell r="CA155">
            <v>0</v>
          </cell>
          <cell r="CB155">
            <v>0</v>
          </cell>
          <cell r="CC155">
            <v>0</v>
          </cell>
          <cell r="CD155">
            <v>0</v>
          </cell>
          <cell r="CE155">
            <v>0</v>
          </cell>
          <cell r="CF155">
            <v>0</v>
          </cell>
          <cell r="CG155">
            <v>0</v>
          </cell>
          <cell r="CH155">
            <v>0</v>
          </cell>
          <cell r="CI155">
            <v>0</v>
          </cell>
          <cell r="CJ155">
            <v>0</v>
          </cell>
          <cell r="CK155">
            <v>0</v>
          </cell>
          <cell r="CL155">
            <v>0</v>
          </cell>
          <cell r="CM155">
            <v>0</v>
          </cell>
          <cell r="CN155">
            <v>0</v>
          </cell>
          <cell r="CO155">
            <v>0</v>
          </cell>
          <cell r="CP155">
            <v>0</v>
          </cell>
          <cell r="CQ155">
            <v>0</v>
          </cell>
          <cell r="CU155">
            <v>0</v>
          </cell>
          <cell r="CV155">
            <v>0</v>
          </cell>
          <cell r="CW155">
            <v>0</v>
          </cell>
          <cell r="CZ155" t="str">
            <v>s</v>
          </cell>
        </row>
        <row r="156">
          <cell r="A156" t="str">
            <v>HR-50x32</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cell r="BM156">
            <v>0</v>
          </cell>
          <cell r="BN156">
            <v>0</v>
          </cell>
          <cell r="BO156">
            <v>0</v>
          </cell>
          <cell r="BP156">
            <v>0</v>
          </cell>
          <cell r="BQ156">
            <v>0</v>
          </cell>
          <cell r="BR156">
            <v>0</v>
          </cell>
          <cell r="BS156">
            <v>0</v>
          </cell>
          <cell r="BT156">
            <v>0</v>
          </cell>
          <cell r="BU156">
            <v>0</v>
          </cell>
          <cell r="BV156">
            <v>0</v>
          </cell>
          <cell r="BW156">
            <v>0</v>
          </cell>
          <cell r="BX156">
            <v>0</v>
          </cell>
          <cell r="BY156">
            <v>0</v>
          </cell>
          <cell r="BZ156">
            <v>0</v>
          </cell>
          <cell r="CA156">
            <v>0</v>
          </cell>
          <cell r="CB156">
            <v>0</v>
          </cell>
          <cell r="CC156">
            <v>0</v>
          </cell>
          <cell r="CD156">
            <v>0</v>
          </cell>
          <cell r="CE156">
            <v>0</v>
          </cell>
          <cell r="CF156">
            <v>0</v>
          </cell>
          <cell r="CG156">
            <v>0</v>
          </cell>
          <cell r="CH156">
            <v>0</v>
          </cell>
          <cell r="CI156">
            <v>0</v>
          </cell>
          <cell r="CJ156">
            <v>0</v>
          </cell>
          <cell r="CK156">
            <v>0</v>
          </cell>
          <cell r="CL156">
            <v>0</v>
          </cell>
          <cell r="CM156">
            <v>0</v>
          </cell>
          <cell r="CN156">
            <v>0</v>
          </cell>
          <cell r="CO156">
            <v>0</v>
          </cell>
          <cell r="CP156">
            <v>0</v>
          </cell>
          <cell r="CQ156">
            <v>0</v>
          </cell>
          <cell r="CU156">
            <v>0</v>
          </cell>
          <cell r="CV156">
            <v>0</v>
          </cell>
          <cell r="CW156">
            <v>0</v>
          </cell>
          <cell r="CZ156" t="str">
            <v>s</v>
          </cell>
        </row>
        <row r="157">
          <cell r="A157" t="str">
            <v>HR-50x40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cell r="BM157">
            <v>0</v>
          </cell>
          <cell r="BN157">
            <v>0</v>
          </cell>
          <cell r="BO157">
            <v>0</v>
          </cell>
          <cell r="BP157">
            <v>0</v>
          </cell>
          <cell r="BQ157">
            <v>0</v>
          </cell>
          <cell r="BR157">
            <v>0</v>
          </cell>
          <cell r="BS157">
            <v>0</v>
          </cell>
          <cell r="BT157">
            <v>0</v>
          </cell>
          <cell r="BU157">
            <v>0</v>
          </cell>
          <cell r="BV157">
            <v>0</v>
          </cell>
          <cell r="BW157">
            <v>0</v>
          </cell>
          <cell r="BX157">
            <v>0</v>
          </cell>
          <cell r="BY157">
            <v>0</v>
          </cell>
          <cell r="BZ157">
            <v>0</v>
          </cell>
          <cell r="CA157">
            <v>0</v>
          </cell>
          <cell r="CB157">
            <v>0</v>
          </cell>
          <cell r="CC157">
            <v>0</v>
          </cell>
          <cell r="CD157">
            <v>0</v>
          </cell>
          <cell r="CE157">
            <v>0</v>
          </cell>
          <cell r="CF157">
            <v>0</v>
          </cell>
          <cell r="CG157">
            <v>0</v>
          </cell>
          <cell r="CH157">
            <v>0</v>
          </cell>
          <cell r="CI157">
            <v>0</v>
          </cell>
          <cell r="CJ157">
            <v>0</v>
          </cell>
          <cell r="CK157">
            <v>0</v>
          </cell>
          <cell r="CL157">
            <v>0</v>
          </cell>
          <cell r="CM157">
            <v>0</v>
          </cell>
          <cell r="CN157">
            <v>0</v>
          </cell>
          <cell r="CO157">
            <v>0</v>
          </cell>
          <cell r="CP157">
            <v>0</v>
          </cell>
          <cell r="CQ157">
            <v>0</v>
          </cell>
          <cell r="CU157">
            <v>0</v>
          </cell>
          <cell r="CV157">
            <v>0</v>
          </cell>
          <cell r="CW157">
            <v>0</v>
          </cell>
          <cell r="CZ157" t="str">
            <v>s</v>
          </cell>
        </row>
        <row r="158">
          <cell r="A158" t="str">
            <v>HR-63x16</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cell r="BM158">
            <v>0</v>
          </cell>
          <cell r="BN158">
            <v>0</v>
          </cell>
          <cell r="BO158">
            <v>0</v>
          </cell>
          <cell r="BP158">
            <v>0</v>
          </cell>
          <cell r="BQ158">
            <v>0</v>
          </cell>
          <cell r="BR158">
            <v>0</v>
          </cell>
          <cell r="BS158">
            <v>0</v>
          </cell>
          <cell r="BT158">
            <v>0</v>
          </cell>
          <cell r="BU158">
            <v>0</v>
          </cell>
          <cell r="BV158">
            <v>0</v>
          </cell>
          <cell r="BW158">
            <v>0</v>
          </cell>
          <cell r="BX158">
            <v>0</v>
          </cell>
          <cell r="BY158">
            <v>0</v>
          </cell>
          <cell r="BZ158">
            <v>0</v>
          </cell>
          <cell r="CA158">
            <v>0</v>
          </cell>
          <cell r="CB158">
            <v>0</v>
          </cell>
          <cell r="CC158">
            <v>0</v>
          </cell>
          <cell r="CD158">
            <v>0</v>
          </cell>
          <cell r="CE158">
            <v>0</v>
          </cell>
          <cell r="CF158">
            <v>0</v>
          </cell>
          <cell r="CG158">
            <v>0</v>
          </cell>
          <cell r="CH158">
            <v>0</v>
          </cell>
          <cell r="CI158">
            <v>0</v>
          </cell>
          <cell r="CJ158">
            <v>0</v>
          </cell>
          <cell r="CK158">
            <v>0</v>
          </cell>
          <cell r="CL158">
            <v>0</v>
          </cell>
          <cell r="CM158">
            <v>0</v>
          </cell>
          <cell r="CN158">
            <v>0</v>
          </cell>
          <cell r="CO158">
            <v>0</v>
          </cell>
          <cell r="CP158">
            <v>0</v>
          </cell>
          <cell r="CQ158">
            <v>0</v>
          </cell>
          <cell r="CU158">
            <v>0</v>
          </cell>
          <cell r="CV158">
            <v>0</v>
          </cell>
          <cell r="CW158">
            <v>0</v>
          </cell>
          <cell r="CZ158" t="str">
            <v>s</v>
          </cell>
        </row>
        <row r="159">
          <cell r="A159" t="str">
            <v>HR-63x20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cell r="BM159">
            <v>0</v>
          </cell>
          <cell r="BN159">
            <v>0</v>
          </cell>
          <cell r="BO159">
            <v>0</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C159">
            <v>0</v>
          </cell>
          <cell r="CD159">
            <v>0</v>
          </cell>
          <cell r="CE159">
            <v>0</v>
          </cell>
          <cell r="CF159">
            <v>0</v>
          </cell>
          <cell r="CG159">
            <v>0</v>
          </cell>
          <cell r="CH159">
            <v>0</v>
          </cell>
          <cell r="CI159">
            <v>0</v>
          </cell>
          <cell r="CJ159">
            <v>0</v>
          </cell>
          <cell r="CK159">
            <v>0</v>
          </cell>
          <cell r="CL159">
            <v>0</v>
          </cell>
          <cell r="CM159">
            <v>0</v>
          </cell>
          <cell r="CN159">
            <v>0</v>
          </cell>
          <cell r="CO159">
            <v>0</v>
          </cell>
          <cell r="CP159">
            <v>0</v>
          </cell>
          <cell r="CQ159">
            <v>0</v>
          </cell>
          <cell r="CU159">
            <v>0</v>
          </cell>
          <cell r="CV159">
            <v>0</v>
          </cell>
          <cell r="CW159">
            <v>0</v>
          </cell>
          <cell r="CZ159" t="str">
            <v>s</v>
          </cell>
        </row>
        <row r="160">
          <cell r="A160" t="str">
            <v>HR-63x25</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cell r="BM160">
            <v>0</v>
          </cell>
          <cell r="BN160">
            <v>0</v>
          </cell>
          <cell r="BO160">
            <v>0</v>
          </cell>
          <cell r="BP160">
            <v>0</v>
          </cell>
          <cell r="BQ160">
            <v>0</v>
          </cell>
          <cell r="BR160">
            <v>0</v>
          </cell>
          <cell r="BS160">
            <v>0</v>
          </cell>
          <cell r="BT160">
            <v>0</v>
          </cell>
          <cell r="BU160">
            <v>0</v>
          </cell>
          <cell r="BV160">
            <v>0</v>
          </cell>
          <cell r="BW160">
            <v>0</v>
          </cell>
          <cell r="BX160">
            <v>0</v>
          </cell>
          <cell r="BY160">
            <v>0</v>
          </cell>
          <cell r="BZ160">
            <v>0</v>
          </cell>
          <cell r="CA160">
            <v>0</v>
          </cell>
          <cell r="CB160">
            <v>0</v>
          </cell>
          <cell r="CC160">
            <v>0</v>
          </cell>
          <cell r="CD160">
            <v>0</v>
          </cell>
          <cell r="CE160">
            <v>0</v>
          </cell>
          <cell r="CF160">
            <v>0</v>
          </cell>
          <cell r="CG160">
            <v>0</v>
          </cell>
          <cell r="CH160">
            <v>0</v>
          </cell>
          <cell r="CI160">
            <v>0</v>
          </cell>
          <cell r="CJ160">
            <v>0</v>
          </cell>
          <cell r="CK160">
            <v>0</v>
          </cell>
          <cell r="CL160">
            <v>0</v>
          </cell>
          <cell r="CM160">
            <v>0</v>
          </cell>
          <cell r="CN160">
            <v>0</v>
          </cell>
          <cell r="CO160">
            <v>0</v>
          </cell>
          <cell r="CP160">
            <v>0</v>
          </cell>
          <cell r="CQ160">
            <v>0</v>
          </cell>
          <cell r="CU160">
            <v>0</v>
          </cell>
          <cell r="CV160">
            <v>0</v>
          </cell>
          <cell r="CW160">
            <v>0</v>
          </cell>
          <cell r="CZ160" t="str">
            <v>s</v>
          </cell>
        </row>
        <row r="161">
          <cell r="A161" t="str">
            <v>HR-63x32</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cell r="BM161">
            <v>0</v>
          </cell>
          <cell r="BN161">
            <v>0</v>
          </cell>
          <cell r="BO161">
            <v>0</v>
          </cell>
          <cell r="BP161">
            <v>0</v>
          </cell>
          <cell r="BQ161">
            <v>0</v>
          </cell>
          <cell r="BR161">
            <v>0</v>
          </cell>
          <cell r="BS161">
            <v>0</v>
          </cell>
          <cell r="BT161">
            <v>0</v>
          </cell>
          <cell r="BU161">
            <v>0</v>
          </cell>
          <cell r="BV161">
            <v>0</v>
          </cell>
          <cell r="BW161">
            <v>0</v>
          </cell>
          <cell r="BX161">
            <v>0</v>
          </cell>
          <cell r="BY161">
            <v>0</v>
          </cell>
          <cell r="BZ161">
            <v>0</v>
          </cell>
          <cell r="CA161">
            <v>0</v>
          </cell>
          <cell r="CB161">
            <v>0</v>
          </cell>
          <cell r="CC161">
            <v>0</v>
          </cell>
          <cell r="CD161">
            <v>0</v>
          </cell>
          <cell r="CE161">
            <v>0</v>
          </cell>
          <cell r="CF161">
            <v>0</v>
          </cell>
          <cell r="CG161">
            <v>0</v>
          </cell>
          <cell r="CH161">
            <v>0</v>
          </cell>
          <cell r="CI161">
            <v>0</v>
          </cell>
          <cell r="CJ161">
            <v>0</v>
          </cell>
          <cell r="CK161">
            <v>0</v>
          </cell>
          <cell r="CL161">
            <v>0</v>
          </cell>
          <cell r="CM161">
            <v>0</v>
          </cell>
          <cell r="CN161">
            <v>0</v>
          </cell>
          <cell r="CO161">
            <v>0</v>
          </cell>
          <cell r="CP161">
            <v>0</v>
          </cell>
          <cell r="CQ161">
            <v>0</v>
          </cell>
          <cell r="CU161">
            <v>0</v>
          </cell>
          <cell r="CV161">
            <v>0</v>
          </cell>
          <cell r="CW161">
            <v>0</v>
          </cell>
          <cell r="CZ161" t="str">
            <v>s</v>
          </cell>
        </row>
        <row r="162">
          <cell r="A162" t="str">
            <v>HR-63x40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cell r="BM162">
            <v>0</v>
          </cell>
          <cell r="BN162">
            <v>0</v>
          </cell>
          <cell r="BO162">
            <v>0</v>
          </cell>
          <cell r="BP162">
            <v>0</v>
          </cell>
          <cell r="BQ162">
            <v>0</v>
          </cell>
          <cell r="BR162">
            <v>0</v>
          </cell>
          <cell r="BS162">
            <v>0</v>
          </cell>
          <cell r="BT162">
            <v>0</v>
          </cell>
          <cell r="BU162">
            <v>0</v>
          </cell>
          <cell r="BV162">
            <v>0</v>
          </cell>
          <cell r="BW162">
            <v>0</v>
          </cell>
          <cell r="BX162">
            <v>0</v>
          </cell>
          <cell r="BY162">
            <v>0</v>
          </cell>
          <cell r="BZ162">
            <v>0</v>
          </cell>
          <cell r="CA162">
            <v>0</v>
          </cell>
          <cell r="CB162">
            <v>0</v>
          </cell>
          <cell r="CC162">
            <v>0</v>
          </cell>
          <cell r="CD162">
            <v>0</v>
          </cell>
          <cell r="CE162">
            <v>0</v>
          </cell>
          <cell r="CF162">
            <v>0</v>
          </cell>
          <cell r="CG162">
            <v>0</v>
          </cell>
          <cell r="CH162">
            <v>0</v>
          </cell>
          <cell r="CI162">
            <v>0</v>
          </cell>
          <cell r="CJ162">
            <v>0</v>
          </cell>
          <cell r="CK162">
            <v>0</v>
          </cell>
          <cell r="CL162">
            <v>0</v>
          </cell>
          <cell r="CM162">
            <v>0</v>
          </cell>
          <cell r="CN162">
            <v>0</v>
          </cell>
          <cell r="CO162">
            <v>0</v>
          </cell>
          <cell r="CP162">
            <v>0</v>
          </cell>
          <cell r="CQ162">
            <v>0</v>
          </cell>
          <cell r="CU162">
            <v>0</v>
          </cell>
          <cell r="CV162">
            <v>0</v>
          </cell>
          <cell r="CW162">
            <v>0</v>
          </cell>
          <cell r="CZ162" t="str">
            <v>s</v>
          </cell>
        </row>
        <row r="163">
          <cell r="A163" t="str">
            <v>HR-63x50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cell r="BM163">
            <v>0</v>
          </cell>
          <cell r="BN163">
            <v>0</v>
          </cell>
          <cell r="BO163">
            <v>0</v>
          </cell>
          <cell r="BP163">
            <v>0</v>
          </cell>
          <cell r="BQ163">
            <v>0</v>
          </cell>
          <cell r="BR163">
            <v>0</v>
          </cell>
          <cell r="BS163">
            <v>0</v>
          </cell>
          <cell r="BT163">
            <v>0</v>
          </cell>
          <cell r="BU163">
            <v>0</v>
          </cell>
          <cell r="BV163">
            <v>0</v>
          </cell>
          <cell r="BW163">
            <v>0</v>
          </cell>
          <cell r="BX163">
            <v>0</v>
          </cell>
          <cell r="BY163">
            <v>0</v>
          </cell>
          <cell r="BZ163">
            <v>0</v>
          </cell>
          <cell r="CA163">
            <v>0</v>
          </cell>
          <cell r="CB163">
            <v>0</v>
          </cell>
          <cell r="CC163">
            <v>0</v>
          </cell>
          <cell r="CD163">
            <v>0</v>
          </cell>
          <cell r="CE163">
            <v>0</v>
          </cell>
          <cell r="CF163">
            <v>0</v>
          </cell>
          <cell r="CG163">
            <v>0</v>
          </cell>
          <cell r="CH163">
            <v>0</v>
          </cell>
          <cell r="CI163">
            <v>0</v>
          </cell>
          <cell r="CJ163">
            <v>0</v>
          </cell>
          <cell r="CK163">
            <v>0</v>
          </cell>
          <cell r="CL163">
            <v>0</v>
          </cell>
          <cell r="CM163">
            <v>0</v>
          </cell>
          <cell r="CN163">
            <v>0</v>
          </cell>
          <cell r="CO163">
            <v>0</v>
          </cell>
          <cell r="CP163">
            <v>0</v>
          </cell>
          <cell r="CQ163">
            <v>0</v>
          </cell>
          <cell r="CU163">
            <v>0</v>
          </cell>
          <cell r="CV163">
            <v>0</v>
          </cell>
          <cell r="CW163">
            <v>0</v>
          </cell>
          <cell r="CZ163" t="str">
            <v>s</v>
          </cell>
        </row>
        <row r="164">
          <cell r="A164" t="str">
            <v>HR-75x16</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cell r="BM164">
            <v>0</v>
          </cell>
          <cell r="BN164">
            <v>0</v>
          </cell>
          <cell r="BO164">
            <v>0</v>
          </cell>
          <cell r="BP164">
            <v>0</v>
          </cell>
          <cell r="BQ164">
            <v>0</v>
          </cell>
          <cell r="BR164">
            <v>0</v>
          </cell>
          <cell r="BS164">
            <v>0</v>
          </cell>
          <cell r="BT164">
            <v>0</v>
          </cell>
          <cell r="BU164">
            <v>0</v>
          </cell>
          <cell r="BV164">
            <v>0</v>
          </cell>
          <cell r="BW164">
            <v>0</v>
          </cell>
          <cell r="BX164">
            <v>0</v>
          </cell>
          <cell r="BY164">
            <v>0</v>
          </cell>
          <cell r="BZ164">
            <v>0</v>
          </cell>
          <cell r="CA164">
            <v>0</v>
          </cell>
          <cell r="CB164">
            <v>0</v>
          </cell>
          <cell r="CC164">
            <v>0</v>
          </cell>
          <cell r="CD164">
            <v>0</v>
          </cell>
          <cell r="CE164">
            <v>0</v>
          </cell>
          <cell r="CF164">
            <v>0</v>
          </cell>
          <cell r="CG164">
            <v>0</v>
          </cell>
          <cell r="CH164">
            <v>0</v>
          </cell>
          <cell r="CI164">
            <v>0</v>
          </cell>
          <cell r="CJ164">
            <v>0</v>
          </cell>
          <cell r="CK164">
            <v>0</v>
          </cell>
          <cell r="CL164">
            <v>0</v>
          </cell>
          <cell r="CM164">
            <v>0</v>
          </cell>
          <cell r="CN164">
            <v>0</v>
          </cell>
          <cell r="CO164">
            <v>0</v>
          </cell>
          <cell r="CP164">
            <v>0</v>
          </cell>
          <cell r="CQ164">
            <v>0</v>
          </cell>
          <cell r="CU164">
            <v>0</v>
          </cell>
          <cell r="CV164">
            <v>0</v>
          </cell>
          <cell r="CW164">
            <v>0</v>
          </cell>
          <cell r="CZ164" t="str">
            <v>s</v>
          </cell>
        </row>
        <row r="165">
          <cell r="A165" t="str">
            <v>HR-75x20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cell r="BM165">
            <v>0</v>
          </cell>
          <cell r="BN165">
            <v>0</v>
          </cell>
          <cell r="BO165">
            <v>0</v>
          </cell>
          <cell r="BP165">
            <v>0</v>
          </cell>
          <cell r="BQ165">
            <v>0</v>
          </cell>
          <cell r="BR165">
            <v>0</v>
          </cell>
          <cell r="BS165">
            <v>0</v>
          </cell>
          <cell r="BT165">
            <v>0</v>
          </cell>
          <cell r="BU165">
            <v>0</v>
          </cell>
          <cell r="BV165">
            <v>0</v>
          </cell>
          <cell r="BW165">
            <v>0</v>
          </cell>
          <cell r="BX165">
            <v>0</v>
          </cell>
          <cell r="BY165">
            <v>0</v>
          </cell>
          <cell r="BZ165">
            <v>0</v>
          </cell>
          <cell r="CA165">
            <v>0</v>
          </cell>
          <cell r="CB165">
            <v>0</v>
          </cell>
          <cell r="CC165">
            <v>0</v>
          </cell>
          <cell r="CD165">
            <v>0</v>
          </cell>
          <cell r="CE165">
            <v>0</v>
          </cell>
          <cell r="CF165">
            <v>0</v>
          </cell>
          <cell r="CG165">
            <v>0</v>
          </cell>
          <cell r="CH165">
            <v>0</v>
          </cell>
          <cell r="CI165">
            <v>0</v>
          </cell>
          <cell r="CJ165">
            <v>0</v>
          </cell>
          <cell r="CK165">
            <v>0</v>
          </cell>
          <cell r="CL165">
            <v>0</v>
          </cell>
          <cell r="CM165">
            <v>0</v>
          </cell>
          <cell r="CN165">
            <v>0</v>
          </cell>
          <cell r="CO165">
            <v>0</v>
          </cell>
          <cell r="CP165">
            <v>0</v>
          </cell>
          <cell r="CQ165">
            <v>0</v>
          </cell>
          <cell r="CU165">
            <v>0</v>
          </cell>
          <cell r="CV165">
            <v>0</v>
          </cell>
          <cell r="CW165">
            <v>0</v>
          </cell>
          <cell r="CZ165" t="str">
            <v>s</v>
          </cell>
        </row>
        <row r="166">
          <cell r="A166" t="str">
            <v>HR-75x25</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cell r="BM166">
            <v>0</v>
          </cell>
          <cell r="BN166">
            <v>0</v>
          </cell>
          <cell r="BO166">
            <v>0</v>
          </cell>
          <cell r="BP166">
            <v>0</v>
          </cell>
          <cell r="BQ166">
            <v>0</v>
          </cell>
          <cell r="BR166">
            <v>0</v>
          </cell>
          <cell r="BS166">
            <v>0</v>
          </cell>
          <cell r="BT166">
            <v>0</v>
          </cell>
          <cell r="BU166">
            <v>0</v>
          </cell>
          <cell r="BV166">
            <v>0</v>
          </cell>
          <cell r="BW166">
            <v>0</v>
          </cell>
          <cell r="BX166">
            <v>0</v>
          </cell>
          <cell r="BY166">
            <v>0</v>
          </cell>
          <cell r="BZ166">
            <v>0</v>
          </cell>
          <cell r="CA166">
            <v>0</v>
          </cell>
          <cell r="CB166">
            <v>0</v>
          </cell>
          <cell r="CC166">
            <v>0</v>
          </cell>
          <cell r="CD166">
            <v>0</v>
          </cell>
          <cell r="CE166">
            <v>0</v>
          </cell>
          <cell r="CF166">
            <v>0</v>
          </cell>
          <cell r="CG166">
            <v>0</v>
          </cell>
          <cell r="CH166">
            <v>0</v>
          </cell>
          <cell r="CI166">
            <v>0</v>
          </cell>
          <cell r="CJ166">
            <v>0</v>
          </cell>
          <cell r="CK166">
            <v>0</v>
          </cell>
          <cell r="CL166">
            <v>0</v>
          </cell>
          <cell r="CM166">
            <v>0</v>
          </cell>
          <cell r="CN166">
            <v>0</v>
          </cell>
          <cell r="CO166">
            <v>0</v>
          </cell>
          <cell r="CP166">
            <v>0</v>
          </cell>
          <cell r="CQ166">
            <v>0</v>
          </cell>
          <cell r="CU166">
            <v>0</v>
          </cell>
          <cell r="CV166">
            <v>0</v>
          </cell>
          <cell r="CW166">
            <v>0</v>
          </cell>
          <cell r="CZ166" t="str">
            <v>s</v>
          </cell>
        </row>
        <row r="167">
          <cell r="A167" t="str">
            <v>HR-75x32</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cell r="BM167">
            <v>0</v>
          </cell>
          <cell r="BN167">
            <v>0</v>
          </cell>
          <cell r="BO167">
            <v>0</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v>0</v>
          </cell>
          <cell r="CM167">
            <v>0</v>
          </cell>
          <cell r="CN167">
            <v>0</v>
          </cell>
          <cell r="CO167">
            <v>0</v>
          </cell>
          <cell r="CP167">
            <v>0</v>
          </cell>
          <cell r="CQ167">
            <v>0</v>
          </cell>
          <cell r="CU167">
            <v>0</v>
          </cell>
          <cell r="CV167">
            <v>0</v>
          </cell>
          <cell r="CW167">
            <v>0</v>
          </cell>
          <cell r="CZ167" t="str">
            <v>s</v>
          </cell>
        </row>
        <row r="168">
          <cell r="A168" t="str">
            <v>HR-75x40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cell r="BM168">
            <v>0</v>
          </cell>
          <cell r="BN168">
            <v>0</v>
          </cell>
          <cell r="BO168">
            <v>0</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C168">
            <v>0</v>
          </cell>
          <cell r="CD168">
            <v>0</v>
          </cell>
          <cell r="CE168">
            <v>0</v>
          </cell>
          <cell r="CF168">
            <v>0</v>
          </cell>
          <cell r="CG168">
            <v>0</v>
          </cell>
          <cell r="CH168">
            <v>0</v>
          </cell>
          <cell r="CI168">
            <v>0</v>
          </cell>
          <cell r="CJ168">
            <v>0</v>
          </cell>
          <cell r="CK168">
            <v>0</v>
          </cell>
          <cell r="CL168">
            <v>0</v>
          </cell>
          <cell r="CM168">
            <v>0</v>
          </cell>
          <cell r="CN168">
            <v>0</v>
          </cell>
          <cell r="CO168">
            <v>0</v>
          </cell>
          <cell r="CP168">
            <v>0</v>
          </cell>
          <cell r="CQ168">
            <v>0</v>
          </cell>
          <cell r="CU168">
            <v>0</v>
          </cell>
          <cell r="CV168">
            <v>0</v>
          </cell>
          <cell r="CW168">
            <v>0</v>
          </cell>
          <cell r="CZ168" t="str">
            <v>s</v>
          </cell>
        </row>
        <row r="169">
          <cell r="A169" t="str">
            <v>HR-75x50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cell r="BM169">
            <v>0</v>
          </cell>
          <cell r="BN169">
            <v>0</v>
          </cell>
          <cell r="BO169">
            <v>0</v>
          </cell>
          <cell r="BP169">
            <v>0</v>
          </cell>
          <cell r="BQ169">
            <v>0</v>
          </cell>
          <cell r="BR169">
            <v>0</v>
          </cell>
          <cell r="BS169">
            <v>0</v>
          </cell>
          <cell r="BT169">
            <v>0</v>
          </cell>
          <cell r="BU169">
            <v>0</v>
          </cell>
          <cell r="BV169">
            <v>0</v>
          </cell>
          <cell r="BW169">
            <v>0</v>
          </cell>
          <cell r="BX169">
            <v>0</v>
          </cell>
          <cell r="BY169">
            <v>0</v>
          </cell>
          <cell r="BZ169">
            <v>0</v>
          </cell>
          <cell r="CA169">
            <v>0</v>
          </cell>
          <cell r="CB169">
            <v>0</v>
          </cell>
          <cell r="CC169">
            <v>0</v>
          </cell>
          <cell r="CD169">
            <v>0</v>
          </cell>
          <cell r="CE169">
            <v>0</v>
          </cell>
          <cell r="CF169">
            <v>0</v>
          </cell>
          <cell r="CG169">
            <v>0</v>
          </cell>
          <cell r="CH169">
            <v>0</v>
          </cell>
          <cell r="CI169">
            <v>0</v>
          </cell>
          <cell r="CJ169">
            <v>0</v>
          </cell>
          <cell r="CK169">
            <v>0</v>
          </cell>
          <cell r="CL169">
            <v>0</v>
          </cell>
          <cell r="CM169">
            <v>0</v>
          </cell>
          <cell r="CN169">
            <v>0</v>
          </cell>
          <cell r="CO169">
            <v>0</v>
          </cell>
          <cell r="CP169">
            <v>0</v>
          </cell>
          <cell r="CQ169">
            <v>0</v>
          </cell>
          <cell r="CU169">
            <v>0</v>
          </cell>
          <cell r="CV169">
            <v>0</v>
          </cell>
          <cell r="CW169">
            <v>0</v>
          </cell>
          <cell r="CZ169" t="str">
            <v>s</v>
          </cell>
        </row>
        <row r="170">
          <cell r="A170" t="str">
            <v>HR-75x63</v>
          </cell>
          <cell r="G170">
            <v>0</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cell r="BM170">
            <v>0</v>
          </cell>
          <cell r="BN170">
            <v>0</v>
          </cell>
          <cell r="BO170">
            <v>0</v>
          </cell>
          <cell r="BP170">
            <v>0</v>
          </cell>
          <cell r="BQ170">
            <v>0</v>
          </cell>
          <cell r="BR170">
            <v>0</v>
          </cell>
          <cell r="BS170">
            <v>0</v>
          </cell>
          <cell r="BT170">
            <v>0</v>
          </cell>
          <cell r="BU170">
            <v>0</v>
          </cell>
          <cell r="BV170">
            <v>0</v>
          </cell>
          <cell r="BW170">
            <v>0</v>
          </cell>
          <cell r="BX170">
            <v>0</v>
          </cell>
          <cell r="BY170">
            <v>0</v>
          </cell>
          <cell r="BZ170">
            <v>0</v>
          </cell>
          <cell r="CA170">
            <v>0</v>
          </cell>
          <cell r="CB170">
            <v>0</v>
          </cell>
          <cell r="CC170">
            <v>0</v>
          </cell>
          <cell r="CD170">
            <v>0</v>
          </cell>
          <cell r="CE170">
            <v>0</v>
          </cell>
          <cell r="CF170">
            <v>0</v>
          </cell>
          <cell r="CG170">
            <v>0</v>
          </cell>
          <cell r="CH170">
            <v>0</v>
          </cell>
          <cell r="CI170">
            <v>0</v>
          </cell>
          <cell r="CJ170">
            <v>0</v>
          </cell>
          <cell r="CK170">
            <v>0</v>
          </cell>
          <cell r="CL170">
            <v>0</v>
          </cell>
          <cell r="CM170">
            <v>0</v>
          </cell>
          <cell r="CN170">
            <v>0</v>
          </cell>
          <cell r="CO170">
            <v>0</v>
          </cell>
          <cell r="CP170">
            <v>0</v>
          </cell>
          <cell r="CQ170">
            <v>0</v>
          </cell>
          <cell r="CU170">
            <v>0</v>
          </cell>
          <cell r="CV170">
            <v>0</v>
          </cell>
          <cell r="CW170">
            <v>0</v>
          </cell>
          <cell r="CZ170" t="str">
            <v>s</v>
          </cell>
        </row>
        <row r="171">
          <cell r="A171" t="str">
            <v>HR-90x16</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cell r="BM171">
            <v>0</v>
          </cell>
          <cell r="BN171">
            <v>0</v>
          </cell>
          <cell r="BO171">
            <v>0</v>
          </cell>
          <cell r="BP171">
            <v>0</v>
          </cell>
          <cell r="BQ171">
            <v>0</v>
          </cell>
          <cell r="BR171">
            <v>0</v>
          </cell>
          <cell r="BS171">
            <v>0</v>
          </cell>
          <cell r="BT171">
            <v>0</v>
          </cell>
          <cell r="BU171">
            <v>0</v>
          </cell>
          <cell r="BV171">
            <v>0</v>
          </cell>
          <cell r="BW171">
            <v>0</v>
          </cell>
          <cell r="BX171">
            <v>0</v>
          </cell>
          <cell r="BY171">
            <v>0</v>
          </cell>
          <cell r="BZ171">
            <v>0</v>
          </cell>
          <cell r="CA171">
            <v>0</v>
          </cell>
          <cell r="CB171">
            <v>0</v>
          </cell>
          <cell r="CC171">
            <v>0</v>
          </cell>
          <cell r="CD171">
            <v>0</v>
          </cell>
          <cell r="CE171">
            <v>0</v>
          </cell>
          <cell r="CF171">
            <v>0</v>
          </cell>
          <cell r="CG171">
            <v>0</v>
          </cell>
          <cell r="CH171">
            <v>0</v>
          </cell>
          <cell r="CI171">
            <v>0</v>
          </cell>
          <cell r="CJ171">
            <v>0</v>
          </cell>
          <cell r="CK171">
            <v>0</v>
          </cell>
          <cell r="CL171">
            <v>0</v>
          </cell>
          <cell r="CM171">
            <v>0</v>
          </cell>
          <cell r="CN171">
            <v>0</v>
          </cell>
          <cell r="CO171">
            <v>0</v>
          </cell>
          <cell r="CP171">
            <v>0</v>
          </cell>
          <cell r="CQ171">
            <v>0</v>
          </cell>
          <cell r="CU171">
            <v>0</v>
          </cell>
          <cell r="CV171">
            <v>0</v>
          </cell>
          <cell r="CW171">
            <v>0</v>
          </cell>
          <cell r="CZ171" t="str">
            <v>s</v>
          </cell>
        </row>
        <row r="172">
          <cell r="A172" t="str">
            <v>HR-90x20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cell r="BM172">
            <v>0</v>
          </cell>
          <cell r="BN172">
            <v>0</v>
          </cell>
          <cell r="BO172">
            <v>0</v>
          </cell>
          <cell r="BP172">
            <v>0</v>
          </cell>
          <cell r="BQ172">
            <v>0</v>
          </cell>
          <cell r="BR172">
            <v>0</v>
          </cell>
          <cell r="BS172">
            <v>0</v>
          </cell>
          <cell r="BT172">
            <v>0</v>
          </cell>
          <cell r="BU172">
            <v>0</v>
          </cell>
          <cell r="BV172">
            <v>0</v>
          </cell>
          <cell r="BW172">
            <v>0</v>
          </cell>
          <cell r="BX172">
            <v>0</v>
          </cell>
          <cell r="BY172">
            <v>0</v>
          </cell>
          <cell r="BZ172">
            <v>0</v>
          </cell>
          <cell r="CA172">
            <v>0</v>
          </cell>
          <cell r="CB172">
            <v>0</v>
          </cell>
          <cell r="CC172">
            <v>0</v>
          </cell>
          <cell r="CD172">
            <v>0</v>
          </cell>
          <cell r="CE172">
            <v>0</v>
          </cell>
          <cell r="CF172">
            <v>0</v>
          </cell>
          <cell r="CG172">
            <v>0</v>
          </cell>
          <cell r="CH172">
            <v>0</v>
          </cell>
          <cell r="CI172">
            <v>0</v>
          </cell>
          <cell r="CJ172">
            <v>0</v>
          </cell>
          <cell r="CK172">
            <v>0</v>
          </cell>
          <cell r="CL172">
            <v>0</v>
          </cell>
          <cell r="CM172">
            <v>0</v>
          </cell>
          <cell r="CN172">
            <v>0</v>
          </cell>
          <cell r="CO172">
            <v>0</v>
          </cell>
          <cell r="CP172">
            <v>0</v>
          </cell>
          <cell r="CQ172">
            <v>0</v>
          </cell>
          <cell r="CU172">
            <v>0</v>
          </cell>
          <cell r="CV172">
            <v>0</v>
          </cell>
          <cell r="CW172">
            <v>0</v>
          </cell>
          <cell r="CZ172" t="str">
            <v>s</v>
          </cell>
        </row>
        <row r="173">
          <cell r="A173" t="str">
            <v>HR-90x25</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cell r="BM173">
            <v>0</v>
          </cell>
          <cell r="BN173">
            <v>0</v>
          </cell>
          <cell r="BO173">
            <v>0</v>
          </cell>
          <cell r="BP173">
            <v>0</v>
          </cell>
          <cell r="BQ173">
            <v>0</v>
          </cell>
          <cell r="BR173">
            <v>0</v>
          </cell>
          <cell r="BS173">
            <v>0</v>
          </cell>
          <cell r="BT173">
            <v>0</v>
          </cell>
          <cell r="BU173">
            <v>0</v>
          </cell>
          <cell r="BV173">
            <v>0</v>
          </cell>
          <cell r="BW173">
            <v>0</v>
          </cell>
          <cell r="BX173">
            <v>0</v>
          </cell>
          <cell r="BY173">
            <v>0</v>
          </cell>
          <cell r="BZ173">
            <v>0</v>
          </cell>
          <cell r="CA173">
            <v>0</v>
          </cell>
          <cell r="CB173">
            <v>0</v>
          </cell>
          <cell r="CC173">
            <v>0</v>
          </cell>
          <cell r="CD173">
            <v>0</v>
          </cell>
          <cell r="CE173">
            <v>0</v>
          </cell>
          <cell r="CF173">
            <v>0</v>
          </cell>
          <cell r="CG173">
            <v>0</v>
          </cell>
          <cell r="CH173">
            <v>0</v>
          </cell>
          <cell r="CI173">
            <v>0</v>
          </cell>
          <cell r="CJ173">
            <v>0</v>
          </cell>
          <cell r="CK173">
            <v>0</v>
          </cell>
          <cell r="CL173">
            <v>0</v>
          </cell>
          <cell r="CM173">
            <v>0</v>
          </cell>
          <cell r="CN173">
            <v>0</v>
          </cell>
          <cell r="CO173">
            <v>0</v>
          </cell>
          <cell r="CP173">
            <v>0</v>
          </cell>
          <cell r="CQ173">
            <v>0</v>
          </cell>
          <cell r="CU173">
            <v>0</v>
          </cell>
          <cell r="CV173">
            <v>0</v>
          </cell>
          <cell r="CW173">
            <v>0</v>
          </cell>
          <cell r="CZ173" t="str">
            <v>s</v>
          </cell>
        </row>
        <row r="174">
          <cell r="A174" t="str">
            <v>HR-90x32</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cell r="BM174">
            <v>0</v>
          </cell>
          <cell r="BN174">
            <v>0</v>
          </cell>
          <cell r="BO174">
            <v>0</v>
          </cell>
          <cell r="BP174">
            <v>0</v>
          </cell>
          <cell r="BQ174">
            <v>0</v>
          </cell>
          <cell r="BR174">
            <v>0</v>
          </cell>
          <cell r="BS174">
            <v>0</v>
          </cell>
          <cell r="BT174">
            <v>0</v>
          </cell>
          <cell r="BU174">
            <v>0</v>
          </cell>
          <cell r="BV174">
            <v>0</v>
          </cell>
          <cell r="BW174">
            <v>0</v>
          </cell>
          <cell r="BX174">
            <v>0</v>
          </cell>
          <cell r="BY174">
            <v>0</v>
          </cell>
          <cell r="BZ174">
            <v>0</v>
          </cell>
          <cell r="CA174">
            <v>0</v>
          </cell>
          <cell r="CB174">
            <v>0</v>
          </cell>
          <cell r="CC174">
            <v>0</v>
          </cell>
          <cell r="CD174">
            <v>0</v>
          </cell>
          <cell r="CE174">
            <v>0</v>
          </cell>
          <cell r="CF174">
            <v>0</v>
          </cell>
          <cell r="CG174">
            <v>0</v>
          </cell>
          <cell r="CH174">
            <v>0</v>
          </cell>
          <cell r="CI174">
            <v>0</v>
          </cell>
          <cell r="CJ174">
            <v>0</v>
          </cell>
          <cell r="CK174">
            <v>0</v>
          </cell>
          <cell r="CL174">
            <v>0</v>
          </cell>
          <cell r="CM174">
            <v>0</v>
          </cell>
          <cell r="CN174">
            <v>0</v>
          </cell>
          <cell r="CO174">
            <v>0</v>
          </cell>
          <cell r="CP174">
            <v>0</v>
          </cell>
          <cell r="CQ174">
            <v>0</v>
          </cell>
          <cell r="CU174">
            <v>0</v>
          </cell>
          <cell r="CV174">
            <v>0</v>
          </cell>
          <cell r="CW174">
            <v>0</v>
          </cell>
          <cell r="CZ174" t="str">
            <v>s</v>
          </cell>
        </row>
        <row r="175">
          <cell r="A175" t="str">
            <v>HR-90x40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cell r="BM175">
            <v>0</v>
          </cell>
          <cell r="BN175">
            <v>0</v>
          </cell>
          <cell r="BO175">
            <v>0</v>
          </cell>
          <cell r="BP175">
            <v>0</v>
          </cell>
          <cell r="BQ175">
            <v>0</v>
          </cell>
          <cell r="BR175">
            <v>0</v>
          </cell>
          <cell r="BS175">
            <v>0</v>
          </cell>
          <cell r="BT175">
            <v>0</v>
          </cell>
          <cell r="BU175">
            <v>0</v>
          </cell>
          <cell r="BV175">
            <v>0</v>
          </cell>
          <cell r="BW175">
            <v>0</v>
          </cell>
          <cell r="BX175">
            <v>0</v>
          </cell>
          <cell r="BY175">
            <v>0</v>
          </cell>
          <cell r="BZ175">
            <v>0</v>
          </cell>
          <cell r="CA175">
            <v>0</v>
          </cell>
          <cell r="CB175">
            <v>0</v>
          </cell>
          <cell r="CC175">
            <v>0</v>
          </cell>
          <cell r="CD175">
            <v>0</v>
          </cell>
          <cell r="CE175">
            <v>0</v>
          </cell>
          <cell r="CF175">
            <v>0</v>
          </cell>
          <cell r="CG175">
            <v>0</v>
          </cell>
          <cell r="CH175">
            <v>0</v>
          </cell>
          <cell r="CI175">
            <v>0</v>
          </cell>
          <cell r="CJ175">
            <v>0</v>
          </cell>
          <cell r="CK175">
            <v>0</v>
          </cell>
          <cell r="CL175">
            <v>0</v>
          </cell>
          <cell r="CM175">
            <v>0</v>
          </cell>
          <cell r="CN175">
            <v>0</v>
          </cell>
          <cell r="CO175">
            <v>0</v>
          </cell>
          <cell r="CP175">
            <v>0</v>
          </cell>
          <cell r="CQ175">
            <v>0</v>
          </cell>
          <cell r="CU175">
            <v>0</v>
          </cell>
          <cell r="CV175">
            <v>0</v>
          </cell>
          <cell r="CW175">
            <v>0</v>
          </cell>
          <cell r="CZ175" t="str">
            <v>s</v>
          </cell>
        </row>
        <row r="176">
          <cell r="A176" t="str">
            <v>HR-90x50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cell r="BM176">
            <v>0</v>
          </cell>
          <cell r="BN176">
            <v>0</v>
          </cell>
          <cell r="BO176">
            <v>0</v>
          </cell>
          <cell r="BP176">
            <v>0</v>
          </cell>
          <cell r="BQ176">
            <v>0</v>
          </cell>
          <cell r="BR176">
            <v>0</v>
          </cell>
          <cell r="BS176">
            <v>0</v>
          </cell>
          <cell r="BT176">
            <v>0</v>
          </cell>
          <cell r="BU176">
            <v>0</v>
          </cell>
          <cell r="BV176">
            <v>0</v>
          </cell>
          <cell r="BW176">
            <v>0</v>
          </cell>
          <cell r="BX176">
            <v>0</v>
          </cell>
          <cell r="BY176">
            <v>0</v>
          </cell>
          <cell r="BZ176">
            <v>0</v>
          </cell>
          <cell r="CA176">
            <v>0</v>
          </cell>
          <cell r="CB176">
            <v>0</v>
          </cell>
          <cell r="CC176">
            <v>0</v>
          </cell>
          <cell r="CD176">
            <v>0</v>
          </cell>
          <cell r="CE176">
            <v>0</v>
          </cell>
          <cell r="CF176">
            <v>0</v>
          </cell>
          <cell r="CG176">
            <v>0</v>
          </cell>
          <cell r="CH176">
            <v>0</v>
          </cell>
          <cell r="CI176">
            <v>0</v>
          </cell>
          <cell r="CJ176">
            <v>0</v>
          </cell>
          <cell r="CK176">
            <v>0</v>
          </cell>
          <cell r="CL176">
            <v>0</v>
          </cell>
          <cell r="CM176">
            <v>0</v>
          </cell>
          <cell r="CN176">
            <v>0</v>
          </cell>
          <cell r="CO176">
            <v>0</v>
          </cell>
          <cell r="CP176">
            <v>0</v>
          </cell>
          <cell r="CQ176">
            <v>0</v>
          </cell>
          <cell r="CU176">
            <v>0</v>
          </cell>
          <cell r="CV176">
            <v>0</v>
          </cell>
          <cell r="CW176">
            <v>0</v>
          </cell>
          <cell r="CZ176" t="str">
            <v>s</v>
          </cell>
        </row>
        <row r="177">
          <cell r="A177" t="str">
            <v>HR-90x63</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cell r="BM177">
            <v>0</v>
          </cell>
          <cell r="BN177">
            <v>0</v>
          </cell>
          <cell r="BO177">
            <v>0</v>
          </cell>
          <cell r="BP177">
            <v>0</v>
          </cell>
          <cell r="BQ177">
            <v>0</v>
          </cell>
          <cell r="BR177">
            <v>0</v>
          </cell>
          <cell r="BS177">
            <v>0</v>
          </cell>
          <cell r="BT177">
            <v>0</v>
          </cell>
          <cell r="BU177">
            <v>0</v>
          </cell>
          <cell r="BV177">
            <v>0</v>
          </cell>
          <cell r="BW177">
            <v>0</v>
          </cell>
          <cell r="BX177">
            <v>0</v>
          </cell>
          <cell r="BY177">
            <v>0</v>
          </cell>
          <cell r="BZ177">
            <v>0</v>
          </cell>
          <cell r="CA177">
            <v>0</v>
          </cell>
          <cell r="CB177">
            <v>0</v>
          </cell>
          <cell r="CC177">
            <v>0</v>
          </cell>
          <cell r="CD177">
            <v>0</v>
          </cell>
          <cell r="CE177">
            <v>0</v>
          </cell>
          <cell r="CF177">
            <v>0</v>
          </cell>
          <cell r="CG177">
            <v>0</v>
          </cell>
          <cell r="CH177">
            <v>0</v>
          </cell>
          <cell r="CI177">
            <v>0</v>
          </cell>
          <cell r="CJ177">
            <v>0</v>
          </cell>
          <cell r="CK177">
            <v>0</v>
          </cell>
          <cell r="CL177">
            <v>0</v>
          </cell>
          <cell r="CM177">
            <v>0</v>
          </cell>
          <cell r="CN177">
            <v>0</v>
          </cell>
          <cell r="CO177">
            <v>0</v>
          </cell>
          <cell r="CP177">
            <v>0</v>
          </cell>
          <cell r="CQ177">
            <v>0</v>
          </cell>
          <cell r="CU177">
            <v>0</v>
          </cell>
          <cell r="CV177">
            <v>0</v>
          </cell>
          <cell r="CW177">
            <v>0</v>
          </cell>
          <cell r="CZ177" t="str">
            <v>s</v>
          </cell>
        </row>
        <row r="178">
          <cell r="A178" t="str">
            <v>HR-90x75</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cell r="BM178">
            <v>0</v>
          </cell>
          <cell r="BN178">
            <v>0</v>
          </cell>
          <cell r="BO178">
            <v>0</v>
          </cell>
          <cell r="BP178">
            <v>0</v>
          </cell>
          <cell r="BQ178">
            <v>0</v>
          </cell>
          <cell r="BR178">
            <v>0</v>
          </cell>
          <cell r="BS178">
            <v>0</v>
          </cell>
          <cell r="BT178">
            <v>0</v>
          </cell>
          <cell r="BU178">
            <v>0</v>
          </cell>
          <cell r="BV178">
            <v>0</v>
          </cell>
          <cell r="BW178">
            <v>0</v>
          </cell>
          <cell r="BX178">
            <v>0</v>
          </cell>
          <cell r="BY178">
            <v>0</v>
          </cell>
          <cell r="BZ178">
            <v>0</v>
          </cell>
          <cell r="CA178">
            <v>0</v>
          </cell>
          <cell r="CB178">
            <v>0</v>
          </cell>
          <cell r="CC178">
            <v>0</v>
          </cell>
          <cell r="CD178">
            <v>0</v>
          </cell>
          <cell r="CE178">
            <v>0</v>
          </cell>
          <cell r="CF178">
            <v>0</v>
          </cell>
          <cell r="CG178">
            <v>0</v>
          </cell>
          <cell r="CH178">
            <v>0</v>
          </cell>
          <cell r="CI178">
            <v>0</v>
          </cell>
          <cell r="CJ178">
            <v>0</v>
          </cell>
          <cell r="CK178">
            <v>0</v>
          </cell>
          <cell r="CL178">
            <v>0</v>
          </cell>
          <cell r="CM178">
            <v>0</v>
          </cell>
          <cell r="CN178">
            <v>0</v>
          </cell>
          <cell r="CO178">
            <v>0</v>
          </cell>
          <cell r="CP178">
            <v>0</v>
          </cell>
          <cell r="CQ178">
            <v>0</v>
          </cell>
          <cell r="CU178">
            <v>0</v>
          </cell>
          <cell r="CV178">
            <v>0</v>
          </cell>
          <cell r="CW178">
            <v>0</v>
          </cell>
          <cell r="CZ178" t="str">
            <v>s</v>
          </cell>
        </row>
        <row r="179">
          <cell r="A179" t="str">
            <v>HET-16</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cell r="BM179">
            <v>0</v>
          </cell>
          <cell r="BN179">
            <v>0</v>
          </cell>
          <cell r="BO179">
            <v>0</v>
          </cell>
          <cell r="BP179">
            <v>0</v>
          </cell>
          <cell r="BQ179">
            <v>0</v>
          </cell>
          <cell r="BR179">
            <v>0</v>
          </cell>
          <cell r="BS179">
            <v>0</v>
          </cell>
          <cell r="BT179">
            <v>0</v>
          </cell>
          <cell r="BU179">
            <v>0</v>
          </cell>
          <cell r="BV179">
            <v>0</v>
          </cell>
          <cell r="BW179">
            <v>0</v>
          </cell>
          <cell r="BX179">
            <v>0</v>
          </cell>
          <cell r="BY179">
            <v>0</v>
          </cell>
          <cell r="BZ179">
            <v>0</v>
          </cell>
          <cell r="CA179">
            <v>0</v>
          </cell>
          <cell r="CB179">
            <v>0</v>
          </cell>
          <cell r="CC179">
            <v>0</v>
          </cell>
          <cell r="CD179">
            <v>0</v>
          </cell>
          <cell r="CE179">
            <v>0</v>
          </cell>
          <cell r="CF179">
            <v>0</v>
          </cell>
          <cell r="CG179">
            <v>0</v>
          </cell>
          <cell r="CH179">
            <v>0</v>
          </cell>
          <cell r="CI179">
            <v>0</v>
          </cell>
          <cell r="CJ179">
            <v>0</v>
          </cell>
          <cell r="CK179">
            <v>0</v>
          </cell>
          <cell r="CL179">
            <v>0</v>
          </cell>
          <cell r="CM179">
            <v>0</v>
          </cell>
          <cell r="CN179">
            <v>0</v>
          </cell>
          <cell r="CO179">
            <v>0</v>
          </cell>
          <cell r="CP179">
            <v>0</v>
          </cell>
          <cell r="CQ179">
            <v>0</v>
          </cell>
          <cell r="CU179">
            <v>0</v>
          </cell>
          <cell r="CV179">
            <v>0</v>
          </cell>
          <cell r="CW179">
            <v>0</v>
          </cell>
          <cell r="CZ179" t="str">
            <v>s</v>
          </cell>
        </row>
        <row r="180">
          <cell r="A180" t="str">
            <v>HET-20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cell r="BM180">
            <v>0</v>
          </cell>
          <cell r="BN180">
            <v>0</v>
          </cell>
          <cell r="BO180">
            <v>0</v>
          </cell>
          <cell r="BP180">
            <v>0</v>
          </cell>
          <cell r="BQ180">
            <v>0</v>
          </cell>
          <cell r="BR180">
            <v>0</v>
          </cell>
          <cell r="BS180">
            <v>0</v>
          </cell>
          <cell r="BT180">
            <v>0</v>
          </cell>
          <cell r="BU180">
            <v>0</v>
          </cell>
          <cell r="BV180">
            <v>0</v>
          </cell>
          <cell r="BW180">
            <v>0</v>
          </cell>
          <cell r="BX180">
            <v>0</v>
          </cell>
          <cell r="BY180">
            <v>0</v>
          </cell>
          <cell r="BZ180">
            <v>0</v>
          </cell>
          <cell r="CA180">
            <v>0</v>
          </cell>
          <cell r="CB180">
            <v>0</v>
          </cell>
          <cell r="CC180">
            <v>0</v>
          </cell>
          <cell r="CD180">
            <v>0</v>
          </cell>
          <cell r="CE180">
            <v>0</v>
          </cell>
          <cell r="CF180">
            <v>0</v>
          </cell>
          <cell r="CG180">
            <v>0</v>
          </cell>
          <cell r="CH180">
            <v>0</v>
          </cell>
          <cell r="CI180">
            <v>0</v>
          </cell>
          <cell r="CJ180">
            <v>0</v>
          </cell>
          <cell r="CK180">
            <v>0</v>
          </cell>
          <cell r="CL180">
            <v>0</v>
          </cell>
          <cell r="CM180">
            <v>0</v>
          </cell>
          <cell r="CN180">
            <v>0</v>
          </cell>
          <cell r="CO180">
            <v>0</v>
          </cell>
          <cell r="CP180">
            <v>0</v>
          </cell>
          <cell r="CQ180">
            <v>0</v>
          </cell>
          <cell r="CU180">
            <v>5</v>
          </cell>
          <cell r="CV180">
            <v>912.47499999999991</v>
          </cell>
          <cell r="CW180">
            <v>0.05</v>
          </cell>
          <cell r="CZ180" t="str">
            <v>s</v>
          </cell>
        </row>
        <row r="181">
          <cell r="A181" t="str">
            <v>HET-25</v>
          </cell>
          <cell r="G181">
            <v>0.7</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cell r="BM181">
            <v>0</v>
          </cell>
          <cell r="BN181">
            <v>0</v>
          </cell>
          <cell r="BO181">
            <v>0</v>
          </cell>
          <cell r="BP181">
            <v>0</v>
          </cell>
          <cell r="BQ181">
            <v>0</v>
          </cell>
          <cell r="BR181">
            <v>0</v>
          </cell>
          <cell r="BS181">
            <v>0</v>
          </cell>
          <cell r="BT181">
            <v>0</v>
          </cell>
          <cell r="BU181">
            <v>0</v>
          </cell>
          <cell r="BV181">
            <v>0</v>
          </cell>
          <cell r="BW181">
            <v>0</v>
          </cell>
          <cell r="BX181">
            <v>0</v>
          </cell>
          <cell r="BY181">
            <v>0</v>
          </cell>
          <cell r="BZ181">
            <v>0</v>
          </cell>
          <cell r="CA181">
            <v>0</v>
          </cell>
          <cell r="CB181">
            <v>0</v>
          </cell>
          <cell r="CC181">
            <v>0</v>
          </cell>
          <cell r="CD181">
            <v>0</v>
          </cell>
          <cell r="CE181">
            <v>0</v>
          </cell>
          <cell r="CF181">
            <v>0</v>
          </cell>
          <cell r="CG181">
            <v>0</v>
          </cell>
          <cell r="CH181">
            <v>0</v>
          </cell>
          <cell r="CI181">
            <v>0</v>
          </cell>
          <cell r="CJ181">
            <v>0</v>
          </cell>
          <cell r="CK181">
            <v>0</v>
          </cell>
          <cell r="CL181">
            <v>0</v>
          </cell>
          <cell r="CM181">
            <v>0</v>
          </cell>
          <cell r="CN181">
            <v>0</v>
          </cell>
          <cell r="CO181">
            <v>0</v>
          </cell>
          <cell r="CP181">
            <v>0</v>
          </cell>
          <cell r="CQ181">
            <v>0</v>
          </cell>
          <cell r="CU181">
            <v>0.7</v>
          </cell>
          <cell r="CV181">
            <v>137.15940000000001</v>
          </cell>
          <cell r="CW181">
            <v>1.3999999999999999E-2</v>
          </cell>
          <cell r="CZ181" t="str">
            <v>s</v>
          </cell>
        </row>
        <row r="182">
          <cell r="A182" t="str">
            <v>HET-32</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cell r="BM182">
            <v>0</v>
          </cell>
          <cell r="BN182">
            <v>0</v>
          </cell>
          <cell r="BO182">
            <v>0</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cell r="CE182">
            <v>0</v>
          </cell>
          <cell r="CF182">
            <v>0</v>
          </cell>
          <cell r="CG182">
            <v>0</v>
          </cell>
          <cell r="CH182">
            <v>0</v>
          </cell>
          <cell r="CI182">
            <v>0</v>
          </cell>
          <cell r="CJ182">
            <v>0</v>
          </cell>
          <cell r="CK182">
            <v>0</v>
          </cell>
          <cell r="CL182">
            <v>0</v>
          </cell>
          <cell r="CM182">
            <v>0</v>
          </cell>
          <cell r="CN182">
            <v>0</v>
          </cell>
          <cell r="CO182">
            <v>0</v>
          </cell>
          <cell r="CP182">
            <v>0</v>
          </cell>
          <cell r="CQ182">
            <v>0</v>
          </cell>
          <cell r="CU182">
            <v>3</v>
          </cell>
          <cell r="CV182">
            <v>599.35199999999998</v>
          </cell>
          <cell r="CW182">
            <v>0.18</v>
          </cell>
          <cell r="CZ182" t="str">
            <v>s</v>
          </cell>
        </row>
        <row r="183">
          <cell r="A183" t="str">
            <v>HET-40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cell r="BM183">
            <v>0</v>
          </cell>
          <cell r="BN183">
            <v>0</v>
          </cell>
          <cell r="BO183">
            <v>0</v>
          </cell>
          <cell r="BP183">
            <v>0</v>
          </cell>
          <cell r="BQ183">
            <v>0</v>
          </cell>
          <cell r="BR183">
            <v>0</v>
          </cell>
          <cell r="BS183">
            <v>0</v>
          </cell>
          <cell r="BT183">
            <v>0</v>
          </cell>
          <cell r="BU183">
            <v>0</v>
          </cell>
          <cell r="BV183">
            <v>0</v>
          </cell>
          <cell r="BW183">
            <v>0</v>
          </cell>
          <cell r="BX183">
            <v>0</v>
          </cell>
          <cell r="BY183">
            <v>0</v>
          </cell>
          <cell r="BZ183">
            <v>0</v>
          </cell>
          <cell r="CA183">
            <v>0</v>
          </cell>
          <cell r="CB183">
            <v>0</v>
          </cell>
          <cell r="CC183">
            <v>0</v>
          </cell>
          <cell r="CD183">
            <v>0</v>
          </cell>
          <cell r="CE183">
            <v>0</v>
          </cell>
          <cell r="CF183">
            <v>0</v>
          </cell>
          <cell r="CG183">
            <v>0</v>
          </cell>
          <cell r="CH183">
            <v>0</v>
          </cell>
          <cell r="CI183">
            <v>0</v>
          </cell>
          <cell r="CJ183">
            <v>0</v>
          </cell>
          <cell r="CK183">
            <v>0</v>
          </cell>
          <cell r="CL183">
            <v>0</v>
          </cell>
          <cell r="CM183">
            <v>0</v>
          </cell>
          <cell r="CN183">
            <v>0</v>
          </cell>
          <cell r="CO183">
            <v>0</v>
          </cell>
          <cell r="CP183">
            <v>0</v>
          </cell>
          <cell r="CQ183">
            <v>0</v>
          </cell>
          <cell r="CU183">
            <v>0</v>
          </cell>
          <cell r="CV183">
            <v>0</v>
          </cell>
          <cell r="CW183">
            <v>0</v>
          </cell>
          <cell r="CZ183" t="str">
            <v>s</v>
          </cell>
        </row>
        <row r="184">
          <cell r="A184" t="str">
            <v>HET-50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cell r="BM184">
            <v>0</v>
          </cell>
          <cell r="BN184">
            <v>0</v>
          </cell>
          <cell r="BO184">
            <v>0</v>
          </cell>
          <cell r="BP184">
            <v>0</v>
          </cell>
          <cell r="BQ184">
            <v>0</v>
          </cell>
          <cell r="BR184">
            <v>0</v>
          </cell>
          <cell r="BS184">
            <v>0</v>
          </cell>
          <cell r="BT184">
            <v>0</v>
          </cell>
          <cell r="BU184">
            <v>0</v>
          </cell>
          <cell r="BV184">
            <v>0</v>
          </cell>
          <cell r="BW184">
            <v>0</v>
          </cell>
          <cell r="BX184">
            <v>0</v>
          </cell>
          <cell r="BY184">
            <v>0</v>
          </cell>
          <cell r="BZ184">
            <v>0</v>
          </cell>
          <cell r="CA184">
            <v>0</v>
          </cell>
          <cell r="CB184">
            <v>0</v>
          </cell>
          <cell r="CC184">
            <v>0</v>
          </cell>
          <cell r="CD184">
            <v>0</v>
          </cell>
          <cell r="CE184">
            <v>0</v>
          </cell>
          <cell r="CF184">
            <v>0</v>
          </cell>
          <cell r="CG184">
            <v>0</v>
          </cell>
          <cell r="CH184">
            <v>0</v>
          </cell>
          <cell r="CI184">
            <v>0</v>
          </cell>
          <cell r="CJ184">
            <v>0</v>
          </cell>
          <cell r="CK184">
            <v>0</v>
          </cell>
          <cell r="CL184">
            <v>0</v>
          </cell>
          <cell r="CM184">
            <v>0</v>
          </cell>
          <cell r="CN184">
            <v>0</v>
          </cell>
          <cell r="CO184">
            <v>0</v>
          </cell>
          <cell r="CP184">
            <v>0</v>
          </cell>
          <cell r="CQ184">
            <v>0</v>
          </cell>
          <cell r="CU184">
            <v>0</v>
          </cell>
          <cell r="CV184">
            <v>0</v>
          </cell>
          <cell r="CW184">
            <v>0</v>
          </cell>
          <cell r="CZ184" t="str">
            <v>s</v>
          </cell>
        </row>
        <row r="185">
          <cell r="A185" t="str">
            <v>HET-63</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cell r="BM185">
            <v>0</v>
          </cell>
          <cell r="BN185">
            <v>0</v>
          </cell>
          <cell r="BO185">
            <v>0</v>
          </cell>
          <cell r="BP185">
            <v>0</v>
          </cell>
          <cell r="BQ185">
            <v>0</v>
          </cell>
          <cell r="BR185">
            <v>0</v>
          </cell>
          <cell r="BS185">
            <v>0</v>
          </cell>
          <cell r="BT185">
            <v>0</v>
          </cell>
          <cell r="BU185">
            <v>0</v>
          </cell>
          <cell r="BV185">
            <v>0</v>
          </cell>
          <cell r="BW185">
            <v>0</v>
          </cell>
          <cell r="BX185">
            <v>0</v>
          </cell>
          <cell r="BY185">
            <v>0</v>
          </cell>
          <cell r="BZ185">
            <v>0</v>
          </cell>
          <cell r="CA185">
            <v>0</v>
          </cell>
          <cell r="CB185">
            <v>0</v>
          </cell>
          <cell r="CC185">
            <v>0</v>
          </cell>
          <cell r="CD185">
            <v>0</v>
          </cell>
          <cell r="CE185">
            <v>0</v>
          </cell>
          <cell r="CF185">
            <v>0</v>
          </cell>
          <cell r="CG185">
            <v>0</v>
          </cell>
          <cell r="CH185">
            <v>0</v>
          </cell>
          <cell r="CI185">
            <v>0</v>
          </cell>
          <cell r="CJ185">
            <v>0</v>
          </cell>
          <cell r="CK185">
            <v>0</v>
          </cell>
          <cell r="CL185">
            <v>0</v>
          </cell>
          <cell r="CM185">
            <v>0</v>
          </cell>
          <cell r="CN185">
            <v>0</v>
          </cell>
          <cell r="CO185">
            <v>0</v>
          </cell>
          <cell r="CP185">
            <v>0</v>
          </cell>
          <cell r="CQ185">
            <v>0</v>
          </cell>
          <cell r="CU185">
            <v>0</v>
          </cell>
          <cell r="CV185">
            <v>0</v>
          </cell>
          <cell r="CW185">
            <v>0</v>
          </cell>
          <cell r="CZ185" t="str">
            <v>s</v>
          </cell>
        </row>
        <row r="186">
          <cell r="A186" t="str">
            <v>HET-75</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cell r="BM186">
            <v>0</v>
          </cell>
          <cell r="BN186">
            <v>0</v>
          </cell>
          <cell r="BO186">
            <v>0</v>
          </cell>
          <cell r="BP186">
            <v>0</v>
          </cell>
          <cell r="BQ186">
            <v>0</v>
          </cell>
          <cell r="BR186">
            <v>0</v>
          </cell>
          <cell r="BS186">
            <v>0</v>
          </cell>
          <cell r="BT186">
            <v>0</v>
          </cell>
          <cell r="BU186">
            <v>0</v>
          </cell>
          <cell r="BV186">
            <v>0</v>
          </cell>
          <cell r="BW186">
            <v>0</v>
          </cell>
          <cell r="BX186">
            <v>0</v>
          </cell>
          <cell r="BY186">
            <v>0</v>
          </cell>
          <cell r="BZ186">
            <v>0</v>
          </cell>
          <cell r="CA186">
            <v>0</v>
          </cell>
          <cell r="CB186">
            <v>0</v>
          </cell>
          <cell r="CC186">
            <v>0</v>
          </cell>
          <cell r="CD186">
            <v>0</v>
          </cell>
          <cell r="CE186">
            <v>0</v>
          </cell>
          <cell r="CF186">
            <v>0</v>
          </cell>
          <cell r="CG186">
            <v>0</v>
          </cell>
          <cell r="CH186">
            <v>0</v>
          </cell>
          <cell r="CI186">
            <v>0</v>
          </cell>
          <cell r="CJ186">
            <v>0</v>
          </cell>
          <cell r="CK186">
            <v>0</v>
          </cell>
          <cell r="CL186">
            <v>0</v>
          </cell>
          <cell r="CM186">
            <v>0</v>
          </cell>
          <cell r="CN186">
            <v>0</v>
          </cell>
          <cell r="CO186">
            <v>0</v>
          </cell>
          <cell r="CP186">
            <v>0</v>
          </cell>
          <cell r="CQ186">
            <v>0</v>
          </cell>
          <cell r="CU186">
            <v>0</v>
          </cell>
          <cell r="CV186">
            <v>0</v>
          </cell>
          <cell r="CW186">
            <v>0</v>
          </cell>
          <cell r="CZ186" t="str">
            <v>s</v>
          </cell>
        </row>
        <row r="187">
          <cell r="A187" t="str">
            <v>HET-90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cell r="BM187">
            <v>0</v>
          </cell>
          <cell r="BN187">
            <v>0</v>
          </cell>
          <cell r="BO187">
            <v>0</v>
          </cell>
          <cell r="BP187">
            <v>0</v>
          </cell>
          <cell r="BQ187">
            <v>0</v>
          </cell>
          <cell r="BR187">
            <v>0</v>
          </cell>
          <cell r="BS187">
            <v>0</v>
          </cell>
          <cell r="BT187">
            <v>0</v>
          </cell>
          <cell r="BU187">
            <v>0</v>
          </cell>
          <cell r="BV187">
            <v>0</v>
          </cell>
          <cell r="BW187">
            <v>0</v>
          </cell>
          <cell r="BX187">
            <v>0</v>
          </cell>
          <cell r="BY187">
            <v>0</v>
          </cell>
          <cell r="BZ187">
            <v>0</v>
          </cell>
          <cell r="CA187">
            <v>0</v>
          </cell>
          <cell r="CB187">
            <v>0</v>
          </cell>
          <cell r="CC187">
            <v>0</v>
          </cell>
          <cell r="CD187">
            <v>0</v>
          </cell>
          <cell r="CE187">
            <v>0</v>
          </cell>
          <cell r="CF187">
            <v>0</v>
          </cell>
          <cell r="CG187">
            <v>0</v>
          </cell>
          <cell r="CH187">
            <v>0</v>
          </cell>
          <cell r="CI187">
            <v>0</v>
          </cell>
          <cell r="CJ187">
            <v>0</v>
          </cell>
          <cell r="CK187">
            <v>0</v>
          </cell>
          <cell r="CL187">
            <v>0</v>
          </cell>
          <cell r="CM187">
            <v>0</v>
          </cell>
          <cell r="CN187">
            <v>0</v>
          </cell>
          <cell r="CO187">
            <v>0</v>
          </cell>
          <cell r="CP187">
            <v>0</v>
          </cell>
          <cell r="CQ187">
            <v>0</v>
          </cell>
          <cell r="CU187">
            <v>0</v>
          </cell>
          <cell r="CV187">
            <v>0</v>
          </cell>
          <cell r="CW187">
            <v>0</v>
          </cell>
          <cell r="CZ187" t="str">
            <v>s</v>
          </cell>
        </row>
        <row r="188">
          <cell r="A188" t="str">
            <v>HET-110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cell r="BM188">
            <v>0</v>
          </cell>
          <cell r="BN188">
            <v>0</v>
          </cell>
          <cell r="BO188">
            <v>0</v>
          </cell>
          <cell r="BP188">
            <v>0</v>
          </cell>
          <cell r="BQ188">
            <v>0</v>
          </cell>
          <cell r="BR188">
            <v>0</v>
          </cell>
          <cell r="BS188">
            <v>0</v>
          </cell>
          <cell r="BT188">
            <v>0</v>
          </cell>
          <cell r="BU188">
            <v>0</v>
          </cell>
          <cell r="BV188">
            <v>0</v>
          </cell>
          <cell r="BW188">
            <v>0</v>
          </cell>
          <cell r="BX188">
            <v>0</v>
          </cell>
          <cell r="BY188">
            <v>0</v>
          </cell>
          <cell r="BZ188">
            <v>0</v>
          </cell>
          <cell r="CA188">
            <v>0</v>
          </cell>
          <cell r="CB188">
            <v>0</v>
          </cell>
          <cell r="CC188">
            <v>0</v>
          </cell>
          <cell r="CD188">
            <v>0</v>
          </cell>
          <cell r="CE188">
            <v>0</v>
          </cell>
          <cell r="CF188">
            <v>0</v>
          </cell>
          <cell r="CG188">
            <v>0</v>
          </cell>
          <cell r="CH188">
            <v>0</v>
          </cell>
          <cell r="CI188">
            <v>0</v>
          </cell>
          <cell r="CJ188">
            <v>0</v>
          </cell>
          <cell r="CK188">
            <v>0</v>
          </cell>
          <cell r="CL188">
            <v>0</v>
          </cell>
          <cell r="CM188">
            <v>0</v>
          </cell>
          <cell r="CN188">
            <v>0</v>
          </cell>
          <cell r="CO188">
            <v>0</v>
          </cell>
          <cell r="CP188">
            <v>0</v>
          </cell>
          <cell r="CQ188">
            <v>0</v>
          </cell>
          <cell r="CU188">
            <v>0</v>
          </cell>
          <cell r="CV188">
            <v>0</v>
          </cell>
          <cell r="CW188">
            <v>0</v>
          </cell>
          <cell r="CZ188" t="str">
            <v>s</v>
          </cell>
        </row>
        <row r="189">
          <cell r="A189" t="str">
            <v>HUT-110×90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cell r="BM189">
            <v>0</v>
          </cell>
          <cell r="BN189">
            <v>0</v>
          </cell>
          <cell r="BO189">
            <v>0</v>
          </cell>
          <cell r="BP189">
            <v>0</v>
          </cell>
          <cell r="BQ189">
            <v>0</v>
          </cell>
          <cell r="BR189">
            <v>0</v>
          </cell>
          <cell r="BS189">
            <v>0</v>
          </cell>
          <cell r="BT189">
            <v>0</v>
          </cell>
          <cell r="BU189">
            <v>0</v>
          </cell>
          <cell r="BV189">
            <v>0</v>
          </cell>
          <cell r="BW189">
            <v>0</v>
          </cell>
          <cell r="BX189">
            <v>0</v>
          </cell>
          <cell r="BY189">
            <v>0</v>
          </cell>
          <cell r="BZ189">
            <v>0</v>
          </cell>
          <cell r="CA189">
            <v>0</v>
          </cell>
          <cell r="CB189">
            <v>0</v>
          </cell>
          <cell r="CC189">
            <v>0</v>
          </cell>
          <cell r="CD189">
            <v>0</v>
          </cell>
          <cell r="CE189">
            <v>0</v>
          </cell>
          <cell r="CF189">
            <v>0</v>
          </cell>
          <cell r="CG189">
            <v>0</v>
          </cell>
          <cell r="CH189">
            <v>0</v>
          </cell>
          <cell r="CI189">
            <v>0</v>
          </cell>
          <cell r="CJ189">
            <v>0</v>
          </cell>
          <cell r="CK189">
            <v>0</v>
          </cell>
          <cell r="CL189">
            <v>0</v>
          </cell>
          <cell r="CM189">
            <v>0</v>
          </cell>
          <cell r="CN189">
            <v>0</v>
          </cell>
          <cell r="CO189">
            <v>0</v>
          </cell>
          <cell r="CP189">
            <v>0</v>
          </cell>
          <cell r="CQ189">
            <v>0</v>
          </cell>
          <cell r="CU189">
            <v>0</v>
          </cell>
          <cell r="CV189">
            <v>0</v>
          </cell>
          <cell r="CW189">
            <v>0</v>
          </cell>
          <cell r="CZ189" t="str">
            <v>s</v>
          </cell>
        </row>
        <row r="190">
          <cell r="A190" t="str">
            <v>HUT-110×75</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v>0</v>
          </cell>
          <cell r="BW190">
            <v>0</v>
          </cell>
          <cell r="BX190">
            <v>0</v>
          </cell>
          <cell r="BY190">
            <v>0</v>
          </cell>
          <cell r="BZ190">
            <v>0</v>
          </cell>
          <cell r="CA190">
            <v>0</v>
          </cell>
          <cell r="CB190">
            <v>0</v>
          </cell>
          <cell r="CC190">
            <v>0</v>
          </cell>
          <cell r="CD190">
            <v>0</v>
          </cell>
          <cell r="CE190">
            <v>0</v>
          </cell>
          <cell r="CF190">
            <v>0</v>
          </cell>
          <cell r="CG190">
            <v>0</v>
          </cell>
          <cell r="CH190">
            <v>0</v>
          </cell>
          <cell r="CI190">
            <v>0</v>
          </cell>
          <cell r="CJ190">
            <v>0</v>
          </cell>
          <cell r="CK190">
            <v>0</v>
          </cell>
          <cell r="CL190">
            <v>0</v>
          </cell>
          <cell r="CM190">
            <v>0</v>
          </cell>
          <cell r="CN190">
            <v>0</v>
          </cell>
          <cell r="CO190">
            <v>0</v>
          </cell>
          <cell r="CP190">
            <v>0</v>
          </cell>
          <cell r="CQ190">
            <v>0</v>
          </cell>
          <cell r="CU190">
            <v>0</v>
          </cell>
          <cell r="CV190">
            <v>0</v>
          </cell>
          <cell r="CW190">
            <v>0</v>
          </cell>
          <cell r="CZ190" t="str">
            <v>s</v>
          </cell>
        </row>
        <row r="191">
          <cell r="A191" t="str">
            <v>HEL-16</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cell r="BM191">
            <v>0</v>
          </cell>
          <cell r="BN191">
            <v>0</v>
          </cell>
          <cell r="BO191">
            <v>0</v>
          </cell>
          <cell r="BP191">
            <v>0</v>
          </cell>
          <cell r="BQ191">
            <v>0</v>
          </cell>
          <cell r="BR191">
            <v>0</v>
          </cell>
          <cell r="BS191">
            <v>0</v>
          </cell>
          <cell r="BT191">
            <v>0</v>
          </cell>
          <cell r="BU191">
            <v>0</v>
          </cell>
          <cell r="BV191">
            <v>0</v>
          </cell>
          <cell r="BW191">
            <v>0</v>
          </cell>
          <cell r="BX191">
            <v>0</v>
          </cell>
          <cell r="BY191">
            <v>0</v>
          </cell>
          <cell r="BZ191">
            <v>0</v>
          </cell>
          <cell r="CA191">
            <v>0</v>
          </cell>
          <cell r="CB191">
            <v>0</v>
          </cell>
          <cell r="CC191">
            <v>0</v>
          </cell>
          <cell r="CD191">
            <v>0</v>
          </cell>
          <cell r="CE191">
            <v>0</v>
          </cell>
          <cell r="CF191">
            <v>0</v>
          </cell>
          <cell r="CG191">
            <v>0</v>
          </cell>
          <cell r="CH191">
            <v>0</v>
          </cell>
          <cell r="CI191">
            <v>0</v>
          </cell>
          <cell r="CJ191">
            <v>0</v>
          </cell>
          <cell r="CK191">
            <v>0</v>
          </cell>
          <cell r="CL191">
            <v>0</v>
          </cell>
          <cell r="CM191">
            <v>0</v>
          </cell>
          <cell r="CN191">
            <v>0</v>
          </cell>
          <cell r="CO191">
            <v>0</v>
          </cell>
          <cell r="CP191">
            <v>0</v>
          </cell>
          <cell r="CQ191">
            <v>0</v>
          </cell>
          <cell r="CU191">
            <v>0</v>
          </cell>
          <cell r="CV191">
            <v>0</v>
          </cell>
          <cell r="CW191">
            <v>0</v>
          </cell>
          <cell r="CZ191" t="str">
            <v>s</v>
          </cell>
        </row>
        <row r="192">
          <cell r="A192" t="str">
            <v>HEL-20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cell r="BM192">
            <v>0</v>
          </cell>
          <cell r="BN192">
            <v>0</v>
          </cell>
          <cell r="BO192">
            <v>0</v>
          </cell>
          <cell r="BP192">
            <v>0</v>
          </cell>
          <cell r="BQ192">
            <v>0</v>
          </cell>
          <cell r="BR192">
            <v>0</v>
          </cell>
          <cell r="BS192">
            <v>0</v>
          </cell>
          <cell r="BT192">
            <v>0</v>
          </cell>
          <cell r="BU192">
            <v>0</v>
          </cell>
          <cell r="BV192">
            <v>0</v>
          </cell>
          <cell r="BW192">
            <v>0</v>
          </cell>
          <cell r="BX192">
            <v>0</v>
          </cell>
          <cell r="BY192">
            <v>0</v>
          </cell>
          <cell r="BZ192">
            <v>0</v>
          </cell>
          <cell r="CA192">
            <v>0</v>
          </cell>
          <cell r="CB192">
            <v>0</v>
          </cell>
          <cell r="CC192">
            <v>0</v>
          </cell>
          <cell r="CD192">
            <v>0</v>
          </cell>
          <cell r="CE192">
            <v>0</v>
          </cell>
          <cell r="CF192">
            <v>0</v>
          </cell>
          <cell r="CG192">
            <v>0</v>
          </cell>
          <cell r="CH192">
            <v>0</v>
          </cell>
          <cell r="CI192">
            <v>0</v>
          </cell>
          <cell r="CJ192">
            <v>0</v>
          </cell>
          <cell r="CK192">
            <v>0</v>
          </cell>
          <cell r="CL192">
            <v>0</v>
          </cell>
          <cell r="CM192">
            <v>0</v>
          </cell>
          <cell r="CN192">
            <v>0</v>
          </cell>
          <cell r="CO192">
            <v>0</v>
          </cell>
          <cell r="CP192">
            <v>0</v>
          </cell>
          <cell r="CQ192">
            <v>0</v>
          </cell>
          <cell r="CU192">
            <v>0</v>
          </cell>
          <cell r="CV192">
            <v>0</v>
          </cell>
          <cell r="CW192">
            <v>0</v>
          </cell>
          <cell r="CZ192" t="str">
            <v>s</v>
          </cell>
        </row>
        <row r="193">
          <cell r="A193" t="str">
            <v>HEL-25</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cell r="BM193">
            <v>0</v>
          </cell>
          <cell r="BN193">
            <v>0</v>
          </cell>
          <cell r="BO193">
            <v>0</v>
          </cell>
          <cell r="BP193">
            <v>0</v>
          </cell>
          <cell r="BQ193">
            <v>0</v>
          </cell>
          <cell r="BR193">
            <v>0</v>
          </cell>
          <cell r="BS193">
            <v>0</v>
          </cell>
          <cell r="BT193">
            <v>0</v>
          </cell>
          <cell r="BU193">
            <v>0</v>
          </cell>
          <cell r="BV193">
            <v>0</v>
          </cell>
          <cell r="BW193">
            <v>0</v>
          </cell>
          <cell r="BX193">
            <v>0</v>
          </cell>
          <cell r="BY193">
            <v>0</v>
          </cell>
          <cell r="BZ193">
            <v>0</v>
          </cell>
          <cell r="CA193">
            <v>0</v>
          </cell>
          <cell r="CB193">
            <v>0</v>
          </cell>
          <cell r="CC193">
            <v>0</v>
          </cell>
          <cell r="CD193">
            <v>0</v>
          </cell>
          <cell r="CE193">
            <v>0</v>
          </cell>
          <cell r="CF193">
            <v>0</v>
          </cell>
          <cell r="CG193">
            <v>0</v>
          </cell>
          <cell r="CH193">
            <v>0</v>
          </cell>
          <cell r="CI193">
            <v>0</v>
          </cell>
          <cell r="CJ193">
            <v>0</v>
          </cell>
          <cell r="CK193">
            <v>0</v>
          </cell>
          <cell r="CL193">
            <v>0</v>
          </cell>
          <cell r="CM193">
            <v>0</v>
          </cell>
          <cell r="CN193">
            <v>0</v>
          </cell>
          <cell r="CO193">
            <v>0</v>
          </cell>
          <cell r="CP193">
            <v>0</v>
          </cell>
          <cell r="CQ193">
            <v>0</v>
          </cell>
          <cell r="CU193">
            <v>0</v>
          </cell>
          <cell r="CV193">
            <v>0</v>
          </cell>
          <cell r="CW193">
            <v>0</v>
          </cell>
          <cell r="CZ193" t="str">
            <v>s</v>
          </cell>
        </row>
        <row r="194">
          <cell r="A194" t="str">
            <v>HEL-32</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cell r="BM194">
            <v>0</v>
          </cell>
          <cell r="BN194">
            <v>0</v>
          </cell>
          <cell r="BO194">
            <v>0</v>
          </cell>
          <cell r="BP194">
            <v>0</v>
          </cell>
          <cell r="BQ194">
            <v>0</v>
          </cell>
          <cell r="BR194">
            <v>0</v>
          </cell>
          <cell r="BS194">
            <v>0</v>
          </cell>
          <cell r="BT194">
            <v>0</v>
          </cell>
          <cell r="BU194">
            <v>0</v>
          </cell>
          <cell r="BV194">
            <v>0</v>
          </cell>
          <cell r="BW194">
            <v>0</v>
          </cell>
          <cell r="BX194">
            <v>0</v>
          </cell>
          <cell r="BY194">
            <v>0</v>
          </cell>
          <cell r="BZ194">
            <v>0</v>
          </cell>
          <cell r="CA194">
            <v>0</v>
          </cell>
          <cell r="CB194">
            <v>0</v>
          </cell>
          <cell r="CC194">
            <v>0</v>
          </cell>
          <cell r="CD194">
            <v>0</v>
          </cell>
          <cell r="CE194">
            <v>0</v>
          </cell>
          <cell r="CF194">
            <v>0</v>
          </cell>
          <cell r="CG194">
            <v>0</v>
          </cell>
          <cell r="CH194">
            <v>0</v>
          </cell>
          <cell r="CI194">
            <v>0</v>
          </cell>
          <cell r="CJ194">
            <v>0</v>
          </cell>
          <cell r="CK194">
            <v>0</v>
          </cell>
          <cell r="CL194">
            <v>0</v>
          </cell>
          <cell r="CM194">
            <v>0</v>
          </cell>
          <cell r="CN194">
            <v>0</v>
          </cell>
          <cell r="CO194">
            <v>0</v>
          </cell>
          <cell r="CP194">
            <v>0</v>
          </cell>
          <cell r="CQ194">
            <v>0</v>
          </cell>
          <cell r="CU194">
            <v>0</v>
          </cell>
          <cell r="CV194">
            <v>0</v>
          </cell>
          <cell r="CW194">
            <v>0</v>
          </cell>
          <cell r="CZ194" t="str">
            <v>s</v>
          </cell>
        </row>
        <row r="195">
          <cell r="A195" t="str">
            <v>HEL-40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cell r="BM195">
            <v>0</v>
          </cell>
          <cell r="BN195">
            <v>0</v>
          </cell>
          <cell r="BO195">
            <v>0</v>
          </cell>
          <cell r="BP195">
            <v>0</v>
          </cell>
          <cell r="BQ195">
            <v>0</v>
          </cell>
          <cell r="BR195">
            <v>0</v>
          </cell>
          <cell r="BS195">
            <v>0</v>
          </cell>
          <cell r="BT195">
            <v>0</v>
          </cell>
          <cell r="BU195">
            <v>0</v>
          </cell>
          <cell r="BV195">
            <v>0</v>
          </cell>
          <cell r="BW195">
            <v>0</v>
          </cell>
          <cell r="BX195">
            <v>0</v>
          </cell>
          <cell r="BY195">
            <v>0</v>
          </cell>
          <cell r="BZ195">
            <v>0</v>
          </cell>
          <cell r="CA195">
            <v>0</v>
          </cell>
          <cell r="CB195">
            <v>0</v>
          </cell>
          <cell r="CC195">
            <v>0</v>
          </cell>
          <cell r="CD195">
            <v>0</v>
          </cell>
          <cell r="CE195">
            <v>0</v>
          </cell>
          <cell r="CF195">
            <v>0</v>
          </cell>
          <cell r="CG195">
            <v>0</v>
          </cell>
          <cell r="CH195">
            <v>0</v>
          </cell>
          <cell r="CI195">
            <v>0</v>
          </cell>
          <cell r="CJ195">
            <v>0</v>
          </cell>
          <cell r="CK195">
            <v>0</v>
          </cell>
          <cell r="CL195">
            <v>0</v>
          </cell>
          <cell r="CM195">
            <v>0</v>
          </cell>
          <cell r="CN195">
            <v>0</v>
          </cell>
          <cell r="CO195">
            <v>0</v>
          </cell>
          <cell r="CP195">
            <v>0</v>
          </cell>
          <cell r="CQ195">
            <v>0</v>
          </cell>
          <cell r="CU195">
            <v>0</v>
          </cell>
          <cell r="CV195">
            <v>0</v>
          </cell>
          <cell r="CW195">
            <v>0</v>
          </cell>
          <cell r="CZ195" t="str">
            <v>s</v>
          </cell>
        </row>
        <row r="196">
          <cell r="A196" t="str">
            <v>HEL-50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cell r="BM196">
            <v>0</v>
          </cell>
          <cell r="BN196">
            <v>0</v>
          </cell>
          <cell r="BO196">
            <v>0</v>
          </cell>
          <cell r="BP196">
            <v>0</v>
          </cell>
          <cell r="BQ196">
            <v>0</v>
          </cell>
          <cell r="BR196">
            <v>0</v>
          </cell>
          <cell r="BS196">
            <v>0</v>
          </cell>
          <cell r="BT196">
            <v>0</v>
          </cell>
          <cell r="BU196">
            <v>0</v>
          </cell>
          <cell r="BV196">
            <v>0</v>
          </cell>
          <cell r="BW196">
            <v>0</v>
          </cell>
          <cell r="BX196">
            <v>0</v>
          </cell>
          <cell r="BY196">
            <v>0</v>
          </cell>
          <cell r="BZ196">
            <v>0</v>
          </cell>
          <cell r="CA196">
            <v>0</v>
          </cell>
          <cell r="CB196">
            <v>0</v>
          </cell>
          <cell r="CC196">
            <v>0</v>
          </cell>
          <cell r="CD196">
            <v>0</v>
          </cell>
          <cell r="CE196">
            <v>0</v>
          </cell>
          <cell r="CF196">
            <v>0</v>
          </cell>
          <cell r="CG196">
            <v>0</v>
          </cell>
          <cell r="CH196">
            <v>0</v>
          </cell>
          <cell r="CI196">
            <v>0</v>
          </cell>
          <cell r="CJ196">
            <v>0</v>
          </cell>
          <cell r="CK196">
            <v>0</v>
          </cell>
          <cell r="CL196">
            <v>0</v>
          </cell>
          <cell r="CM196">
            <v>0</v>
          </cell>
          <cell r="CN196">
            <v>0</v>
          </cell>
          <cell r="CO196">
            <v>0</v>
          </cell>
          <cell r="CP196">
            <v>0</v>
          </cell>
          <cell r="CQ196">
            <v>0</v>
          </cell>
          <cell r="CU196">
            <v>0</v>
          </cell>
          <cell r="CV196">
            <v>0</v>
          </cell>
          <cell r="CW196">
            <v>0</v>
          </cell>
          <cell r="CZ196" t="str">
            <v>s</v>
          </cell>
        </row>
        <row r="197">
          <cell r="A197" t="str">
            <v>HEL-63</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cell r="BM197">
            <v>0</v>
          </cell>
          <cell r="BN197">
            <v>0</v>
          </cell>
          <cell r="BO197">
            <v>0</v>
          </cell>
          <cell r="BP197">
            <v>0</v>
          </cell>
          <cell r="BQ197">
            <v>0</v>
          </cell>
          <cell r="BR197">
            <v>0</v>
          </cell>
          <cell r="BS197">
            <v>0</v>
          </cell>
          <cell r="BT197">
            <v>0</v>
          </cell>
          <cell r="BU197">
            <v>0</v>
          </cell>
          <cell r="BV197">
            <v>0</v>
          </cell>
          <cell r="BW197">
            <v>0</v>
          </cell>
          <cell r="BX197">
            <v>0</v>
          </cell>
          <cell r="BY197">
            <v>0</v>
          </cell>
          <cell r="BZ197">
            <v>0</v>
          </cell>
          <cell r="CA197">
            <v>0</v>
          </cell>
          <cell r="CB197">
            <v>0</v>
          </cell>
          <cell r="CC197">
            <v>0</v>
          </cell>
          <cell r="CD197">
            <v>0</v>
          </cell>
          <cell r="CE197">
            <v>0</v>
          </cell>
          <cell r="CF197">
            <v>0</v>
          </cell>
          <cell r="CG197">
            <v>0</v>
          </cell>
          <cell r="CH197">
            <v>0</v>
          </cell>
          <cell r="CI197">
            <v>0</v>
          </cell>
          <cell r="CJ197">
            <v>0</v>
          </cell>
          <cell r="CK197">
            <v>0</v>
          </cell>
          <cell r="CL197">
            <v>0</v>
          </cell>
          <cell r="CM197">
            <v>0</v>
          </cell>
          <cell r="CN197">
            <v>0</v>
          </cell>
          <cell r="CO197">
            <v>0</v>
          </cell>
          <cell r="CP197">
            <v>0</v>
          </cell>
          <cell r="CQ197">
            <v>0</v>
          </cell>
          <cell r="CU197">
            <v>0</v>
          </cell>
          <cell r="CV197">
            <v>0</v>
          </cell>
          <cell r="CW197">
            <v>0</v>
          </cell>
          <cell r="CZ197" t="str">
            <v>s</v>
          </cell>
        </row>
        <row r="198">
          <cell r="A198" t="str">
            <v>HEL-75</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cell r="BM198">
            <v>0</v>
          </cell>
          <cell r="BN198">
            <v>0</v>
          </cell>
          <cell r="BO198">
            <v>0</v>
          </cell>
          <cell r="BP198">
            <v>0</v>
          </cell>
          <cell r="BQ198">
            <v>0</v>
          </cell>
          <cell r="BR198">
            <v>0</v>
          </cell>
          <cell r="BS198">
            <v>0</v>
          </cell>
          <cell r="BT198">
            <v>0</v>
          </cell>
          <cell r="BU198">
            <v>0</v>
          </cell>
          <cell r="BV198">
            <v>0</v>
          </cell>
          <cell r="BW198">
            <v>0</v>
          </cell>
          <cell r="BX198">
            <v>0</v>
          </cell>
          <cell r="BY198">
            <v>0</v>
          </cell>
          <cell r="BZ198">
            <v>0</v>
          </cell>
          <cell r="CA198">
            <v>0</v>
          </cell>
          <cell r="CB198">
            <v>0</v>
          </cell>
          <cell r="CC198">
            <v>0</v>
          </cell>
          <cell r="CD198">
            <v>0</v>
          </cell>
          <cell r="CE198">
            <v>0</v>
          </cell>
          <cell r="CF198">
            <v>0</v>
          </cell>
          <cell r="CG198">
            <v>0</v>
          </cell>
          <cell r="CH198">
            <v>0</v>
          </cell>
          <cell r="CI198">
            <v>0</v>
          </cell>
          <cell r="CJ198">
            <v>0</v>
          </cell>
          <cell r="CK198">
            <v>0</v>
          </cell>
          <cell r="CL198">
            <v>0</v>
          </cell>
          <cell r="CM198">
            <v>0</v>
          </cell>
          <cell r="CN198">
            <v>0</v>
          </cell>
          <cell r="CO198">
            <v>0</v>
          </cell>
          <cell r="CP198">
            <v>0</v>
          </cell>
          <cell r="CQ198">
            <v>0</v>
          </cell>
          <cell r="CU198">
            <v>0</v>
          </cell>
          <cell r="CV198">
            <v>0</v>
          </cell>
          <cell r="CW198">
            <v>0</v>
          </cell>
          <cell r="CZ198" t="str">
            <v>s</v>
          </cell>
        </row>
        <row r="199">
          <cell r="A199" t="str">
            <v>HEL-90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cell r="BM199">
            <v>0</v>
          </cell>
          <cell r="BN199">
            <v>0</v>
          </cell>
          <cell r="BO199">
            <v>0</v>
          </cell>
          <cell r="BP199">
            <v>0</v>
          </cell>
          <cell r="BQ199">
            <v>0</v>
          </cell>
          <cell r="BR199">
            <v>0</v>
          </cell>
          <cell r="BS199">
            <v>0</v>
          </cell>
          <cell r="BT199">
            <v>0</v>
          </cell>
          <cell r="BU199">
            <v>0</v>
          </cell>
          <cell r="BV199">
            <v>0</v>
          </cell>
          <cell r="BW199">
            <v>0</v>
          </cell>
          <cell r="BX199">
            <v>0</v>
          </cell>
          <cell r="BY199">
            <v>0</v>
          </cell>
          <cell r="BZ199">
            <v>0</v>
          </cell>
          <cell r="CA199">
            <v>0</v>
          </cell>
          <cell r="CB199">
            <v>0</v>
          </cell>
          <cell r="CC199">
            <v>0</v>
          </cell>
          <cell r="CD199">
            <v>0</v>
          </cell>
          <cell r="CE199">
            <v>0</v>
          </cell>
          <cell r="CF199">
            <v>0</v>
          </cell>
          <cell r="CG199">
            <v>0</v>
          </cell>
          <cell r="CH199">
            <v>0</v>
          </cell>
          <cell r="CI199">
            <v>0</v>
          </cell>
          <cell r="CJ199">
            <v>0</v>
          </cell>
          <cell r="CK199">
            <v>0</v>
          </cell>
          <cell r="CL199">
            <v>0</v>
          </cell>
          <cell r="CM199">
            <v>0</v>
          </cell>
          <cell r="CN199">
            <v>0</v>
          </cell>
          <cell r="CO199">
            <v>0</v>
          </cell>
          <cell r="CP199">
            <v>0</v>
          </cell>
          <cell r="CQ199">
            <v>0</v>
          </cell>
          <cell r="CU199">
            <v>0</v>
          </cell>
          <cell r="CV199">
            <v>0</v>
          </cell>
          <cell r="CW199">
            <v>0</v>
          </cell>
          <cell r="CZ199" t="str">
            <v>s</v>
          </cell>
        </row>
        <row r="200">
          <cell r="A200" t="str">
            <v>HEL-110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cell r="BM200">
            <v>0</v>
          </cell>
          <cell r="BN200">
            <v>0</v>
          </cell>
          <cell r="BO200">
            <v>0</v>
          </cell>
          <cell r="BP200">
            <v>0</v>
          </cell>
          <cell r="BQ200">
            <v>0</v>
          </cell>
          <cell r="BR200">
            <v>0</v>
          </cell>
          <cell r="BS200">
            <v>0</v>
          </cell>
          <cell r="BT200">
            <v>0</v>
          </cell>
          <cell r="BU200">
            <v>0</v>
          </cell>
          <cell r="BV200">
            <v>0</v>
          </cell>
          <cell r="BW200">
            <v>0</v>
          </cell>
          <cell r="BX200">
            <v>0</v>
          </cell>
          <cell r="BY200">
            <v>0</v>
          </cell>
          <cell r="BZ200">
            <v>0</v>
          </cell>
          <cell r="CA200">
            <v>0</v>
          </cell>
          <cell r="CB200">
            <v>0</v>
          </cell>
          <cell r="CC200">
            <v>0</v>
          </cell>
          <cell r="CD200">
            <v>0</v>
          </cell>
          <cell r="CE200">
            <v>0</v>
          </cell>
          <cell r="CF200">
            <v>0</v>
          </cell>
          <cell r="CG200">
            <v>0</v>
          </cell>
          <cell r="CH200">
            <v>0</v>
          </cell>
          <cell r="CI200">
            <v>0</v>
          </cell>
          <cell r="CJ200">
            <v>0</v>
          </cell>
          <cell r="CK200">
            <v>0</v>
          </cell>
          <cell r="CL200">
            <v>0</v>
          </cell>
          <cell r="CM200">
            <v>0</v>
          </cell>
          <cell r="CN200">
            <v>0</v>
          </cell>
          <cell r="CO200">
            <v>0</v>
          </cell>
          <cell r="CP200">
            <v>0</v>
          </cell>
          <cell r="CQ200">
            <v>0</v>
          </cell>
          <cell r="CU200">
            <v>0</v>
          </cell>
          <cell r="CV200">
            <v>0</v>
          </cell>
          <cell r="CW200">
            <v>0</v>
          </cell>
          <cell r="CZ200" t="str">
            <v>s</v>
          </cell>
        </row>
        <row r="201">
          <cell r="A201" t="str">
            <v>HST-32</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cell r="BM201">
            <v>0</v>
          </cell>
          <cell r="BN201">
            <v>0</v>
          </cell>
          <cell r="BO201">
            <v>0</v>
          </cell>
          <cell r="BP201">
            <v>0</v>
          </cell>
          <cell r="BQ201">
            <v>0</v>
          </cell>
          <cell r="BR201">
            <v>0</v>
          </cell>
          <cell r="BS201">
            <v>0</v>
          </cell>
          <cell r="BT201">
            <v>0</v>
          </cell>
          <cell r="BU201">
            <v>0</v>
          </cell>
          <cell r="BV201">
            <v>0</v>
          </cell>
          <cell r="BW201">
            <v>0</v>
          </cell>
          <cell r="BX201">
            <v>0</v>
          </cell>
          <cell r="BY201">
            <v>0</v>
          </cell>
          <cell r="BZ201">
            <v>0</v>
          </cell>
          <cell r="CA201">
            <v>0</v>
          </cell>
          <cell r="CB201">
            <v>0</v>
          </cell>
          <cell r="CC201">
            <v>0</v>
          </cell>
          <cell r="CD201">
            <v>0</v>
          </cell>
          <cell r="CE201">
            <v>0</v>
          </cell>
          <cell r="CF201">
            <v>0</v>
          </cell>
          <cell r="CG201">
            <v>0</v>
          </cell>
          <cell r="CH201">
            <v>0</v>
          </cell>
          <cell r="CI201">
            <v>0</v>
          </cell>
          <cell r="CJ201">
            <v>0</v>
          </cell>
          <cell r="CK201">
            <v>0</v>
          </cell>
          <cell r="CL201">
            <v>0</v>
          </cell>
          <cell r="CM201">
            <v>0</v>
          </cell>
          <cell r="CN201">
            <v>0</v>
          </cell>
          <cell r="CO201">
            <v>0</v>
          </cell>
          <cell r="CP201">
            <v>0</v>
          </cell>
          <cell r="CQ201">
            <v>0</v>
          </cell>
          <cell r="CU201">
            <v>0</v>
          </cell>
          <cell r="CV201">
            <v>0</v>
          </cell>
          <cell r="CW201">
            <v>0</v>
          </cell>
          <cell r="CZ201" t="str">
            <v>s</v>
          </cell>
        </row>
        <row r="202">
          <cell r="A202" t="str">
            <v>HST-40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cell r="BM202">
            <v>0</v>
          </cell>
          <cell r="BN202">
            <v>0</v>
          </cell>
          <cell r="BO202">
            <v>0</v>
          </cell>
          <cell r="BP202">
            <v>0</v>
          </cell>
          <cell r="BQ202">
            <v>0</v>
          </cell>
          <cell r="BR202">
            <v>0</v>
          </cell>
          <cell r="BS202">
            <v>0</v>
          </cell>
          <cell r="BT202">
            <v>0</v>
          </cell>
          <cell r="BU202">
            <v>0</v>
          </cell>
          <cell r="BV202">
            <v>0</v>
          </cell>
          <cell r="BW202">
            <v>0</v>
          </cell>
          <cell r="BX202">
            <v>0</v>
          </cell>
          <cell r="BY202">
            <v>0</v>
          </cell>
          <cell r="BZ202">
            <v>0</v>
          </cell>
          <cell r="CA202">
            <v>0</v>
          </cell>
          <cell r="CB202">
            <v>0</v>
          </cell>
          <cell r="CC202">
            <v>0</v>
          </cell>
          <cell r="CD202">
            <v>0</v>
          </cell>
          <cell r="CE202">
            <v>0</v>
          </cell>
          <cell r="CF202">
            <v>0</v>
          </cell>
          <cell r="CG202">
            <v>0</v>
          </cell>
          <cell r="CH202">
            <v>0</v>
          </cell>
          <cell r="CI202">
            <v>0</v>
          </cell>
          <cell r="CJ202">
            <v>0</v>
          </cell>
          <cell r="CK202">
            <v>0</v>
          </cell>
          <cell r="CL202">
            <v>0</v>
          </cell>
          <cell r="CM202">
            <v>0</v>
          </cell>
          <cell r="CN202">
            <v>0</v>
          </cell>
          <cell r="CO202">
            <v>0</v>
          </cell>
          <cell r="CP202">
            <v>0</v>
          </cell>
          <cell r="CQ202">
            <v>0</v>
          </cell>
          <cell r="CU202">
            <v>0</v>
          </cell>
          <cell r="CV202">
            <v>0</v>
          </cell>
          <cell r="CW202">
            <v>0</v>
          </cell>
          <cell r="CZ202" t="str">
            <v>s</v>
          </cell>
        </row>
        <row r="203">
          <cell r="A203" t="str">
            <v>HST-50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cell r="BM203">
            <v>0</v>
          </cell>
          <cell r="BN203">
            <v>0</v>
          </cell>
          <cell r="BO203">
            <v>0</v>
          </cell>
          <cell r="BP203">
            <v>0</v>
          </cell>
          <cell r="BQ203">
            <v>0</v>
          </cell>
          <cell r="BR203">
            <v>0</v>
          </cell>
          <cell r="BS203">
            <v>0</v>
          </cell>
          <cell r="BT203">
            <v>0</v>
          </cell>
          <cell r="BU203">
            <v>0</v>
          </cell>
          <cell r="BV203">
            <v>0</v>
          </cell>
          <cell r="BW203">
            <v>0</v>
          </cell>
          <cell r="BX203">
            <v>0</v>
          </cell>
          <cell r="BY203">
            <v>0</v>
          </cell>
          <cell r="BZ203">
            <v>0</v>
          </cell>
          <cell r="CA203">
            <v>0</v>
          </cell>
          <cell r="CB203">
            <v>0</v>
          </cell>
          <cell r="CC203">
            <v>0</v>
          </cell>
          <cell r="CD203">
            <v>0</v>
          </cell>
          <cell r="CE203">
            <v>0</v>
          </cell>
          <cell r="CF203">
            <v>0</v>
          </cell>
          <cell r="CG203">
            <v>0</v>
          </cell>
          <cell r="CH203">
            <v>0</v>
          </cell>
          <cell r="CI203">
            <v>0</v>
          </cell>
          <cell r="CJ203">
            <v>0</v>
          </cell>
          <cell r="CK203">
            <v>0</v>
          </cell>
          <cell r="CL203">
            <v>0</v>
          </cell>
          <cell r="CM203">
            <v>0</v>
          </cell>
          <cell r="CN203">
            <v>0</v>
          </cell>
          <cell r="CO203">
            <v>0</v>
          </cell>
          <cell r="CP203">
            <v>0</v>
          </cell>
          <cell r="CQ203">
            <v>0</v>
          </cell>
          <cell r="CU203">
            <v>0</v>
          </cell>
          <cell r="CV203">
            <v>0</v>
          </cell>
          <cell r="CW203">
            <v>0</v>
          </cell>
          <cell r="CZ203" t="str">
            <v>s</v>
          </cell>
        </row>
        <row r="204">
          <cell r="A204" t="str">
            <v>HST-63</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cell r="BM204">
            <v>0</v>
          </cell>
          <cell r="BN204">
            <v>0</v>
          </cell>
          <cell r="BO204">
            <v>0</v>
          </cell>
          <cell r="BP204">
            <v>0</v>
          </cell>
          <cell r="BQ204">
            <v>0</v>
          </cell>
          <cell r="BR204">
            <v>0</v>
          </cell>
          <cell r="BS204">
            <v>0</v>
          </cell>
          <cell r="BT204">
            <v>0</v>
          </cell>
          <cell r="BU204">
            <v>0</v>
          </cell>
          <cell r="BV204">
            <v>0</v>
          </cell>
          <cell r="BW204">
            <v>0</v>
          </cell>
          <cell r="BX204">
            <v>0</v>
          </cell>
          <cell r="BY204">
            <v>0</v>
          </cell>
          <cell r="BZ204">
            <v>0</v>
          </cell>
          <cell r="CA204">
            <v>0</v>
          </cell>
          <cell r="CB204">
            <v>0</v>
          </cell>
          <cell r="CC204">
            <v>0</v>
          </cell>
          <cell r="CD204">
            <v>0</v>
          </cell>
          <cell r="CE204">
            <v>0</v>
          </cell>
          <cell r="CF204">
            <v>0</v>
          </cell>
          <cell r="CG204">
            <v>0</v>
          </cell>
          <cell r="CH204">
            <v>0</v>
          </cell>
          <cell r="CI204">
            <v>0</v>
          </cell>
          <cell r="CJ204">
            <v>0</v>
          </cell>
          <cell r="CK204">
            <v>0</v>
          </cell>
          <cell r="CL204">
            <v>0</v>
          </cell>
          <cell r="CM204">
            <v>0</v>
          </cell>
          <cell r="CN204">
            <v>0</v>
          </cell>
          <cell r="CO204">
            <v>0</v>
          </cell>
          <cell r="CP204">
            <v>0</v>
          </cell>
          <cell r="CQ204">
            <v>0</v>
          </cell>
          <cell r="CU204">
            <v>0</v>
          </cell>
          <cell r="CV204">
            <v>0</v>
          </cell>
          <cell r="CW204">
            <v>0</v>
          </cell>
          <cell r="CZ204" t="str">
            <v>s</v>
          </cell>
        </row>
        <row r="205">
          <cell r="A205" t="str">
            <v>HST-75</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cell r="BM205">
            <v>0</v>
          </cell>
          <cell r="BN205">
            <v>0</v>
          </cell>
          <cell r="BO205">
            <v>0</v>
          </cell>
          <cell r="BP205">
            <v>0</v>
          </cell>
          <cell r="BQ205">
            <v>0</v>
          </cell>
          <cell r="BR205">
            <v>0</v>
          </cell>
          <cell r="BS205">
            <v>0</v>
          </cell>
          <cell r="BT205">
            <v>0</v>
          </cell>
          <cell r="BU205">
            <v>0</v>
          </cell>
          <cell r="BV205">
            <v>0</v>
          </cell>
          <cell r="BW205">
            <v>0</v>
          </cell>
          <cell r="BX205">
            <v>0</v>
          </cell>
          <cell r="BY205">
            <v>0</v>
          </cell>
          <cell r="BZ205">
            <v>0</v>
          </cell>
          <cell r="CA205">
            <v>0</v>
          </cell>
          <cell r="CB205">
            <v>0</v>
          </cell>
          <cell r="CC205">
            <v>0</v>
          </cell>
          <cell r="CD205">
            <v>0</v>
          </cell>
          <cell r="CE205">
            <v>0</v>
          </cell>
          <cell r="CF205">
            <v>0</v>
          </cell>
          <cell r="CG205">
            <v>0</v>
          </cell>
          <cell r="CH205">
            <v>0</v>
          </cell>
          <cell r="CI205">
            <v>0</v>
          </cell>
          <cell r="CJ205">
            <v>0</v>
          </cell>
          <cell r="CK205">
            <v>0</v>
          </cell>
          <cell r="CL205">
            <v>0</v>
          </cell>
          <cell r="CM205">
            <v>0</v>
          </cell>
          <cell r="CN205">
            <v>0</v>
          </cell>
          <cell r="CO205">
            <v>0</v>
          </cell>
          <cell r="CP205">
            <v>0</v>
          </cell>
          <cell r="CQ205">
            <v>0</v>
          </cell>
          <cell r="CU205">
            <v>0</v>
          </cell>
          <cell r="CV205">
            <v>0</v>
          </cell>
          <cell r="CW205">
            <v>0</v>
          </cell>
          <cell r="CZ205" t="str">
            <v>s</v>
          </cell>
        </row>
        <row r="206">
          <cell r="A206" t="str">
            <v>HST-90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cell r="BM206">
            <v>0</v>
          </cell>
          <cell r="BN206">
            <v>0</v>
          </cell>
          <cell r="BO206">
            <v>0</v>
          </cell>
          <cell r="BP206">
            <v>0</v>
          </cell>
          <cell r="BQ206">
            <v>0</v>
          </cell>
          <cell r="BR206">
            <v>0</v>
          </cell>
          <cell r="BS206">
            <v>0</v>
          </cell>
          <cell r="BT206">
            <v>0</v>
          </cell>
          <cell r="BU206">
            <v>0</v>
          </cell>
          <cell r="BV206">
            <v>0</v>
          </cell>
          <cell r="BW206">
            <v>0</v>
          </cell>
          <cell r="BX206">
            <v>0</v>
          </cell>
          <cell r="BY206">
            <v>0</v>
          </cell>
          <cell r="BZ206">
            <v>0</v>
          </cell>
          <cell r="CA206">
            <v>0</v>
          </cell>
          <cell r="CB206">
            <v>0</v>
          </cell>
          <cell r="CC206">
            <v>0</v>
          </cell>
          <cell r="CD206">
            <v>0</v>
          </cell>
          <cell r="CE206">
            <v>0</v>
          </cell>
          <cell r="CF206">
            <v>0</v>
          </cell>
          <cell r="CG206">
            <v>0</v>
          </cell>
          <cell r="CH206">
            <v>0</v>
          </cell>
          <cell r="CI206">
            <v>0</v>
          </cell>
          <cell r="CJ206">
            <v>0</v>
          </cell>
          <cell r="CK206">
            <v>0</v>
          </cell>
          <cell r="CL206">
            <v>0</v>
          </cell>
          <cell r="CM206">
            <v>0</v>
          </cell>
          <cell r="CN206">
            <v>0</v>
          </cell>
          <cell r="CO206">
            <v>0</v>
          </cell>
          <cell r="CP206">
            <v>0</v>
          </cell>
          <cell r="CQ206">
            <v>0</v>
          </cell>
          <cell r="CU206">
            <v>0</v>
          </cell>
          <cell r="CV206">
            <v>0</v>
          </cell>
          <cell r="CW206">
            <v>0</v>
          </cell>
          <cell r="CZ206" t="str">
            <v>s</v>
          </cell>
        </row>
        <row r="207">
          <cell r="A207" t="str">
            <v>HEC-16</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cell r="BM207">
            <v>0</v>
          </cell>
          <cell r="BN207">
            <v>0</v>
          </cell>
          <cell r="BO207">
            <v>0</v>
          </cell>
          <cell r="BP207">
            <v>0</v>
          </cell>
          <cell r="BQ207">
            <v>0</v>
          </cell>
          <cell r="BR207">
            <v>0</v>
          </cell>
          <cell r="BS207">
            <v>0</v>
          </cell>
          <cell r="BT207">
            <v>0</v>
          </cell>
          <cell r="BU207">
            <v>0</v>
          </cell>
          <cell r="BV207">
            <v>0</v>
          </cell>
          <cell r="BW207">
            <v>0</v>
          </cell>
          <cell r="BX207">
            <v>0</v>
          </cell>
          <cell r="BY207">
            <v>0</v>
          </cell>
          <cell r="BZ207">
            <v>0</v>
          </cell>
          <cell r="CA207">
            <v>0</v>
          </cell>
          <cell r="CB207">
            <v>0</v>
          </cell>
          <cell r="CC207">
            <v>0</v>
          </cell>
          <cell r="CD207">
            <v>0</v>
          </cell>
          <cell r="CE207">
            <v>0</v>
          </cell>
          <cell r="CF207">
            <v>0</v>
          </cell>
          <cell r="CG207">
            <v>0</v>
          </cell>
          <cell r="CH207">
            <v>0</v>
          </cell>
          <cell r="CI207">
            <v>0</v>
          </cell>
          <cell r="CJ207">
            <v>0</v>
          </cell>
          <cell r="CK207">
            <v>0</v>
          </cell>
          <cell r="CL207">
            <v>0</v>
          </cell>
          <cell r="CM207">
            <v>0</v>
          </cell>
          <cell r="CN207">
            <v>0</v>
          </cell>
          <cell r="CO207">
            <v>0</v>
          </cell>
          <cell r="CP207">
            <v>0</v>
          </cell>
          <cell r="CQ207">
            <v>0</v>
          </cell>
          <cell r="CU207">
            <v>0</v>
          </cell>
          <cell r="CV207">
            <v>0</v>
          </cell>
          <cell r="CW207">
            <v>0</v>
          </cell>
          <cell r="CZ207" t="str">
            <v>s</v>
          </cell>
        </row>
        <row r="208">
          <cell r="A208" t="str">
            <v>HEC-20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cell r="BM208">
            <v>0</v>
          </cell>
          <cell r="BN208">
            <v>0</v>
          </cell>
          <cell r="BO208">
            <v>0</v>
          </cell>
          <cell r="BP208">
            <v>0</v>
          </cell>
          <cell r="BQ208">
            <v>0</v>
          </cell>
          <cell r="BR208">
            <v>0</v>
          </cell>
          <cell r="BS208">
            <v>0</v>
          </cell>
          <cell r="BT208">
            <v>0</v>
          </cell>
          <cell r="BU208">
            <v>0</v>
          </cell>
          <cell r="BV208">
            <v>0</v>
          </cell>
          <cell r="BW208">
            <v>0</v>
          </cell>
          <cell r="BX208">
            <v>0</v>
          </cell>
          <cell r="BY208">
            <v>0</v>
          </cell>
          <cell r="BZ208">
            <v>0</v>
          </cell>
          <cell r="CA208">
            <v>0</v>
          </cell>
          <cell r="CB208">
            <v>0</v>
          </cell>
          <cell r="CC208">
            <v>0</v>
          </cell>
          <cell r="CD208">
            <v>0</v>
          </cell>
          <cell r="CE208">
            <v>0</v>
          </cell>
          <cell r="CF208">
            <v>0</v>
          </cell>
          <cell r="CG208">
            <v>0</v>
          </cell>
          <cell r="CH208">
            <v>0</v>
          </cell>
          <cell r="CI208">
            <v>0</v>
          </cell>
          <cell r="CJ208">
            <v>0</v>
          </cell>
          <cell r="CK208">
            <v>0</v>
          </cell>
          <cell r="CL208">
            <v>0</v>
          </cell>
          <cell r="CM208">
            <v>0</v>
          </cell>
          <cell r="CN208">
            <v>0</v>
          </cell>
          <cell r="CO208">
            <v>0</v>
          </cell>
          <cell r="CP208">
            <v>0</v>
          </cell>
          <cell r="CQ208">
            <v>0</v>
          </cell>
          <cell r="CU208">
            <v>0</v>
          </cell>
          <cell r="CV208">
            <v>0</v>
          </cell>
          <cell r="CW208">
            <v>0</v>
          </cell>
          <cell r="CZ208" t="str">
            <v>s</v>
          </cell>
        </row>
        <row r="209">
          <cell r="A209" t="str">
            <v>HEC-25</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cell r="BM209">
            <v>0</v>
          </cell>
          <cell r="BN209">
            <v>0</v>
          </cell>
          <cell r="BO209">
            <v>0</v>
          </cell>
          <cell r="BP209">
            <v>0</v>
          </cell>
          <cell r="BQ209">
            <v>0</v>
          </cell>
          <cell r="BR209">
            <v>0</v>
          </cell>
          <cell r="BS209">
            <v>0</v>
          </cell>
          <cell r="BT209">
            <v>0</v>
          </cell>
          <cell r="BU209">
            <v>0</v>
          </cell>
          <cell r="BV209">
            <v>0</v>
          </cell>
          <cell r="BW209">
            <v>0</v>
          </cell>
          <cell r="BX209">
            <v>0</v>
          </cell>
          <cell r="BY209">
            <v>0</v>
          </cell>
          <cell r="BZ209">
            <v>0</v>
          </cell>
          <cell r="CA209">
            <v>0</v>
          </cell>
          <cell r="CB209">
            <v>0</v>
          </cell>
          <cell r="CC209">
            <v>0</v>
          </cell>
          <cell r="CD209">
            <v>0</v>
          </cell>
          <cell r="CE209">
            <v>0</v>
          </cell>
          <cell r="CF209">
            <v>0</v>
          </cell>
          <cell r="CG209">
            <v>0</v>
          </cell>
          <cell r="CH209">
            <v>0</v>
          </cell>
          <cell r="CI209">
            <v>0</v>
          </cell>
          <cell r="CJ209">
            <v>0</v>
          </cell>
          <cell r="CK209">
            <v>0</v>
          </cell>
          <cell r="CL209">
            <v>0</v>
          </cell>
          <cell r="CM209">
            <v>0</v>
          </cell>
          <cell r="CN209">
            <v>0</v>
          </cell>
          <cell r="CO209">
            <v>0</v>
          </cell>
          <cell r="CP209">
            <v>0</v>
          </cell>
          <cell r="CQ209">
            <v>0</v>
          </cell>
          <cell r="CU209">
            <v>0</v>
          </cell>
          <cell r="CV209">
            <v>0</v>
          </cell>
          <cell r="CW209">
            <v>0</v>
          </cell>
          <cell r="CZ209" t="str">
            <v>s</v>
          </cell>
        </row>
        <row r="210">
          <cell r="A210" t="str">
            <v>HEC-32</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cell r="BM210">
            <v>0</v>
          </cell>
          <cell r="BN210">
            <v>0</v>
          </cell>
          <cell r="BO210">
            <v>0</v>
          </cell>
          <cell r="BP210">
            <v>0</v>
          </cell>
          <cell r="BQ210">
            <v>0</v>
          </cell>
          <cell r="BR210">
            <v>0</v>
          </cell>
          <cell r="BS210">
            <v>0</v>
          </cell>
          <cell r="BT210">
            <v>0</v>
          </cell>
          <cell r="BU210">
            <v>0</v>
          </cell>
          <cell r="BV210">
            <v>0</v>
          </cell>
          <cell r="BW210">
            <v>0</v>
          </cell>
          <cell r="BX210">
            <v>0</v>
          </cell>
          <cell r="BY210">
            <v>0</v>
          </cell>
          <cell r="BZ210">
            <v>0</v>
          </cell>
          <cell r="CA210">
            <v>0</v>
          </cell>
          <cell r="CB210">
            <v>0</v>
          </cell>
          <cell r="CC210">
            <v>0</v>
          </cell>
          <cell r="CD210">
            <v>0</v>
          </cell>
          <cell r="CE210">
            <v>0</v>
          </cell>
          <cell r="CF210">
            <v>0</v>
          </cell>
          <cell r="CG210">
            <v>0</v>
          </cell>
          <cell r="CH210">
            <v>0</v>
          </cell>
          <cell r="CI210">
            <v>0</v>
          </cell>
          <cell r="CJ210">
            <v>0</v>
          </cell>
          <cell r="CK210">
            <v>0</v>
          </cell>
          <cell r="CL210">
            <v>0</v>
          </cell>
          <cell r="CM210">
            <v>0</v>
          </cell>
          <cell r="CN210">
            <v>0</v>
          </cell>
          <cell r="CO210">
            <v>0</v>
          </cell>
          <cell r="CP210">
            <v>0</v>
          </cell>
          <cell r="CQ210">
            <v>0</v>
          </cell>
          <cell r="CU210">
            <v>0</v>
          </cell>
          <cell r="CV210">
            <v>0</v>
          </cell>
          <cell r="CW210">
            <v>0</v>
          </cell>
          <cell r="CZ210" t="str">
            <v>s</v>
          </cell>
        </row>
        <row r="211">
          <cell r="A211" t="str">
            <v>HEC-40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cell r="BM211">
            <v>0</v>
          </cell>
          <cell r="BN211">
            <v>0</v>
          </cell>
          <cell r="BO211">
            <v>0</v>
          </cell>
          <cell r="BP211">
            <v>0</v>
          </cell>
          <cell r="BQ211">
            <v>0</v>
          </cell>
          <cell r="BR211">
            <v>0</v>
          </cell>
          <cell r="BS211">
            <v>0</v>
          </cell>
          <cell r="BT211">
            <v>0</v>
          </cell>
          <cell r="BU211">
            <v>0</v>
          </cell>
          <cell r="BV211">
            <v>0</v>
          </cell>
          <cell r="BW211">
            <v>0</v>
          </cell>
          <cell r="BX211">
            <v>0</v>
          </cell>
          <cell r="BY211">
            <v>0</v>
          </cell>
          <cell r="BZ211">
            <v>0</v>
          </cell>
          <cell r="CA211">
            <v>0</v>
          </cell>
          <cell r="CB211">
            <v>0</v>
          </cell>
          <cell r="CC211">
            <v>0</v>
          </cell>
          <cell r="CD211">
            <v>0</v>
          </cell>
          <cell r="CE211">
            <v>0</v>
          </cell>
          <cell r="CF211">
            <v>0</v>
          </cell>
          <cell r="CG211">
            <v>0</v>
          </cell>
          <cell r="CH211">
            <v>0</v>
          </cell>
          <cell r="CI211">
            <v>0</v>
          </cell>
          <cell r="CJ211">
            <v>0</v>
          </cell>
          <cell r="CK211">
            <v>0</v>
          </cell>
          <cell r="CL211">
            <v>0</v>
          </cell>
          <cell r="CM211">
            <v>0</v>
          </cell>
          <cell r="CN211">
            <v>0</v>
          </cell>
          <cell r="CO211">
            <v>0</v>
          </cell>
          <cell r="CP211">
            <v>0</v>
          </cell>
          <cell r="CQ211">
            <v>0</v>
          </cell>
          <cell r="CU211">
            <v>0</v>
          </cell>
          <cell r="CV211">
            <v>0</v>
          </cell>
          <cell r="CW211">
            <v>0</v>
          </cell>
          <cell r="CZ211" t="str">
            <v>s</v>
          </cell>
        </row>
        <row r="212">
          <cell r="A212" t="str">
            <v>HEC-50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cell r="BM212">
            <v>0</v>
          </cell>
          <cell r="BN212">
            <v>0</v>
          </cell>
          <cell r="BO212">
            <v>0</v>
          </cell>
          <cell r="BP212">
            <v>0</v>
          </cell>
          <cell r="BQ212">
            <v>0</v>
          </cell>
          <cell r="BR212">
            <v>0</v>
          </cell>
          <cell r="BS212">
            <v>0</v>
          </cell>
          <cell r="BT212">
            <v>0</v>
          </cell>
          <cell r="BU212">
            <v>0</v>
          </cell>
          <cell r="BV212">
            <v>0</v>
          </cell>
          <cell r="BW212">
            <v>0</v>
          </cell>
          <cell r="BX212">
            <v>0</v>
          </cell>
          <cell r="BY212">
            <v>0</v>
          </cell>
          <cell r="BZ212">
            <v>0</v>
          </cell>
          <cell r="CA212">
            <v>0</v>
          </cell>
          <cell r="CB212">
            <v>0</v>
          </cell>
          <cell r="CC212">
            <v>0</v>
          </cell>
          <cell r="CD212">
            <v>0</v>
          </cell>
          <cell r="CE212">
            <v>0</v>
          </cell>
          <cell r="CF212">
            <v>0</v>
          </cell>
          <cell r="CG212">
            <v>0</v>
          </cell>
          <cell r="CH212">
            <v>0</v>
          </cell>
          <cell r="CI212">
            <v>0</v>
          </cell>
          <cell r="CJ212">
            <v>0</v>
          </cell>
          <cell r="CK212">
            <v>0</v>
          </cell>
          <cell r="CL212">
            <v>0</v>
          </cell>
          <cell r="CM212">
            <v>0</v>
          </cell>
          <cell r="CN212">
            <v>0</v>
          </cell>
          <cell r="CO212">
            <v>0</v>
          </cell>
          <cell r="CP212">
            <v>0</v>
          </cell>
          <cell r="CQ212">
            <v>0</v>
          </cell>
          <cell r="CU212">
            <v>0</v>
          </cell>
          <cell r="CV212">
            <v>0</v>
          </cell>
          <cell r="CW212">
            <v>0</v>
          </cell>
          <cell r="CZ212" t="str">
            <v>s</v>
          </cell>
        </row>
        <row r="213">
          <cell r="A213" t="str">
            <v>HEC-63</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cell r="BM213">
            <v>0</v>
          </cell>
          <cell r="BN213">
            <v>0</v>
          </cell>
          <cell r="BO213">
            <v>0</v>
          </cell>
          <cell r="BP213">
            <v>0</v>
          </cell>
          <cell r="BQ213">
            <v>0</v>
          </cell>
          <cell r="BR213">
            <v>0</v>
          </cell>
          <cell r="BS213">
            <v>0</v>
          </cell>
          <cell r="BT213">
            <v>0</v>
          </cell>
          <cell r="BU213">
            <v>0</v>
          </cell>
          <cell r="BV213">
            <v>0</v>
          </cell>
          <cell r="BW213">
            <v>0</v>
          </cell>
          <cell r="BX213">
            <v>0</v>
          </cell>
          <cell r="BY213">
            <v>0</v>
          </cell>
          <cell r="BZ213">
            <v>0</v>
          </cell>
          <cell r="CA213">
            <v>0</v>
          </cell>
          <cell r="CB213">
            <v>0</v>
          </cell>
          <cell r="CC213">
            <v>0</v>
          </cell>
          <cell r="CD213">
            <v>0</v>
          </cell>
          <cell r="CE213">
            <v>0</v>
          </cell>
          <cell r="CF213">
            <v>0</v>
          </cell>
          <cell r="CG213">
            <v>0</v>
          </cell>
          <cell r="CH213">
            <v>0</v>
          </cell>
          <cell r="CI213">
            <v>0</v>
          </cell>
          <cell r="CJ213">
            <v>0</v>
          </cell>
          <cell r="CK213">
            <v>0</v>
          </cell>
          <cell r="CL213">
            <v>0</v>
          </cell>
          <cell r="CM213">
            <v>0</v>
          </cell>
          <cell r="CN213">
            <v>0</v>
          </cell>
          <cell r="CO213">
            <v>0</v>
          </cell>
          <cell r="CP213">
            <v>0</v>
          </cell>
          <cell r="CQ213">
            <v>0</v>
          </cell>
          <cell r="CU213">
            <v>0</v>
          </cell>
          <cell r="CV213">
            <v>0</v>
          </cell>
          <cell r="CW213">
            <v>0</v>
          </cell>
          <cell r="CZ213" t="str">
            <v>s</v>
          </cell>
        </row>
        <row r="214">
          <cell r="A214" t="str">
            <v>HEC-75</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cell r="BM214">
            <v>0</v>
          </cell>
          <cell r="BN214">
            <v>0</v>
          </cell>
          <cell r="BO214">
            <v>0</v>
          </cell>
          <cell r="BP214">
            <v>0</v>
          </cell>
          <cell r="BQ214">
            <v>0</v>
          </cell>
          <cell r="BR214">
            <v>0</v>
          </cell>
          <cell r="BS214">
            <v>0</v>
          </cell>
          <cell r="BT214">
            <v>0</v>
          </cell>
          <cell r="BU214">
            <v>0</v>
          </cell>
          <cell r="BV214">
            <v>0</v>
          </cell>
          <cell r="BW214">
            <v>0</v>
          </cell>
          <cell r="BX214">
            <v>0</v>
          </cell>
          <cell r="BY214">
            <v>0</v>
          </cell>
          <cell r="BZ214">
            <v>0</v>
          </cell>
          <cell r="CA214">
            <v>0</v>
          </cell>
          <cell r="CB214">
            <v>0</v>
          </cell>
          <cell r="CC214">
            <v>0</v>
          </cell>
          <cell r="CD214">
            <v>0</v>
          </cell>
          <cell r="CE214">
            <v>0</v>
          </cell>
          <cell r="CF214">
            <v>0</v>
          </cell>
          <cell r="CG214">
            <v>0</v>
          </cell>
          <cell r="CH214">
            <v>0</v>
          </cell>
          <cell r="CI214">
            <v>0</v>
          </cell>
          <cell r="CJ214">
            <v>0</v>
          </cell>
          <cell r="CK214">
            <v>0</v>
          </cell>
          <cell r="CL214">
            <v>0</v>
          </cell>
          <cell r="CM214">
            <v>0</v>
          </cell>
          <cell r="CN214">
            <v>0</v>
          </cell>
          <cell r="CO214">
            <v>0</v>
          </cell>
          <cell r="CP214">
            <v>0</v>
          </cell>
          <cell r="CQ214">
            <v>0</v>
          </cell>
          <cell r="CU214">
            <v>0</v>
          </cell>
          <cell r="CV214">
            <v>0</v>
          </cell>
          <cell r="CW214">
            <v>0</v>
          </cell>
          <cell r="CZ214" t="str">
            <v>s</v>
          </cell>
        </row>
        <row r="215">
          <cell r="A215" t="str">
            <v>HEC-90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cell r="BM215">
            <v>0</v>
          </cell>
          <cell r="BN215">
            <v>0</v>
          </cell>
          <cell r="BO215">
            <v>0</v>
          </cell>
          <cell r="BP215">
            <v>0</v>
          </cell>
          <cell r="BQ215">
            <v>0</v>
          </cell>
          <cell r="BR215">
            <v>0</v>
          </cell>
          <cell r="BS215">
            <v>0</v>
          </cell>
          <cell r="BT215">
            <v>0</v>
          </cell>
          <cell r="BU215">
            <v>0</v>
          </cell>
          <cell r="BV215">
            <v>0</v>
          </cell>
          <cell r="BW215">
            <v>0</v>
          </cell>
          <cell r="BX215">
            <v>0</v>
          </cell>
          <cell r="BY215">
            <v>0</v>
          </cell>
          <cell r="BZ215">
            <v>0</v>
          </cell>
          <cell r="CA215">
            <v>0</v>
          </cell>
          <cell r="CB215">
            <v>0</v>
          </cell>
          <cell r="CC215">
            <v>0</v>
          </cell>
          <cell r="CD215">
            <v>0</v>
          </cell>
          <cell r="CE215">
            <v>0</v>
          </cell>
          <cell r="CF215">
            <v>0</v>
          </cell>
          <cell r="CG215">
            <v>0</v>
          </cell>
          <cell r="CH215">
            <v>0</v>
          </cell>
          <cell r="CI215">
            <v>0</v>
          </cell>
          <cell r="CJ215">
            <v>0</v>
          </cell>
          <cell r="CK215">
            <v>0</v>
          </cell>
          <cell r="CL215">
            <v>0</v>
          </cell>
          <cell r="CM215">
            <v>0</v>
          </cell>
          <cell r="CN215">
            <v>0</v>
          </cell>
          <cell r="CO215">
            <v>0</v>
          </cell>
          <cell r="CP215">
            <v>0</v>
          </cell>
          <cell r="CQ215">
            <v>0</v>
          </cell>
          <cell r="CU215">
            <v>0</v>
          </cell>
          <cell r="CV215">
            <v>0</v>
          </cell>
          <cell r="CW215">
            <v>0</v>
          </cell>
          <cell r="CZ215" t="str">
            <v>s</v>
          </cell>
        </row>
        <row r="217">
          <cell r="A217" t="str">
            <v>GST-15</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cell r="BM217">
            <v>0</v>
          </cell>
          <cell r="BN217">
            <v>0</v>
          </cell>
          <cell r="BO217">
            <v>0</v>
          </cell>
          <cell r="BP217">
            <v>0</v>
          </cell>
          <cell r="BQ217">
            <v>0</v>
          </cell>
          <cell r="BR217">
            <v>0</v>
          </cell>
          <cell r="BS217">
            <v>0</v>
          </cell>
          <cell r="BT217">
            <v>0</v>
          </cell>
          <cell r="BU217">
            <v>0</v>
          </cell>
          <cell r="BV217">
            <v>0</v>
          </cell>
          <cell r="BW217">
            <v>0</v>
          </cell>
          <cell r="BX217">
            <v>0</v>
          </cell>
          <cell r="BY217">
            <v>0</v>
          </cell>
          <cell r="BZ217">
            <v>0</v>
          </cell>
          <cell r="CA217">
            <v>0</v>
          </cell>
          <cell r="CB217">
            <v>0</v>
          </cell>
          <cell r="CC217">
            <v>0</v>
          </cell>
          <cell r="CD217">
            <v>0</v>
          </cell>
          <cell r="CE217">
            <v>0</v>
          </cell>
          <cell r="CF217">
            <v>0</v>
          </cell>
          <cell r="CG217">
            <v>0</v>
          </cell>
          <cell r="CH217">
            <v>0</v>
          </cell>
          <cell r="CI217">
            <v>0</v>
          </cell>
          <cell r="CJ217">
            <v>0</v>
          </cell>
          <cell r="CK217">
            <v>0</v>
          </cell>
          <cell r="CL217">
            <v>0</v>
          </cell>
          <cell r="CM217">
            <v>0</v>
          </cell>
          <cell r="CN217">
            <v>0</v>
          </cell>
          <cell r="CO217">
            <v>0</v>
          </cell>
          <cell r="CP217">
            <v>0</v>
          </cell>
          <cell r="CQ217">
            <v>0</v>
          </cell>
          <cell r="CU217">
            <v>0</v>
          </cell>
          <cell r="CV217">
            <v>0</v>
          </cell>
          <cell r="CW217">
            <v>0</v>
          </cell>
          <cell r="CZ217" t="str">
            <v>s</v>
          </cell>
        </row>
        <row r="218">
          <cell r="A218" t="str">
            <v>GST-25</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cell r="BM218">
            <v>0</v>
          </cell>
          <cell r="BN218">
            <v>0</v>
          </cell>
          <cell r="BO218">
            <v>0</v>
          </cell>
          <cell r="BP218">
            <v>0</v>
          </cell>
          <cell r="BQ218">
            <v>0</v>
          </cell>
          <cell r="BR218">
            <v>0</v>
          </cell>
          <cell r="BS218">
            <v>0</v>
          </cell>
          <cell r="BT218">
            <v>0</v>
          </cell>
          <cell r="BU218">
            <v>0</v>
          </cell>
          <cell r="BV218">
            <v>0</v>
          </cell>
          <cell r="BW218">
            <v>0</v>
          </cell>
          <cell r="BX218">
            <v>0</v>
          </cell>
          <cell r="BY218">
            <v>0</v>
          </cell>
          <cell r="BZ218">
            <v>0</v>
          </cell>
          <cell r="CA218">
            <v>0</v>
          </cell>
          <cell r="CB218">
            <v>0</v>
          </cell>
          <cell r="CC218">
            <v>0</v>
          </cell>
          <cell r="CD218">
            <v>0</v>
          </cell>
          <cell r="CE218">
            <v>0</v>
          </cell>
          <cell r="CF218">
            <v>0</v>
          </cell>
          <cell r="CG218">
            <v>0</v>
          </cell>
          <cell r="CH218">
            <v>0</v>
          </cell>
          <cell r="CI218">
            <v>0</v>
          </cell>
          <cell r="CJ218">
            <v>0</v>
          </cell>
          <cell r="CK218">
            <v>0</v>
          </cell>
          <cell r="CL218">
            <v>0</v>
          </cell>
          <cell r="CM218">
            <v>0</v>
          </cell>
          <cell r="CN218">
            <v>0</v>
          </cell>
          <cell r="CO218">
            <v>0</v>
          </cell>
          <cell r="CP218">
            <v>0</v>
          </cell>
          <cell r="CQ218">
            <v>0</v>
          </cell>
          <cell r="CU218">
            <v>0</v>
          </cell>
          <cell r="CV218">
            <v>0</v>
          </cell>
          <cell r="CW218">
            <v>0</v>
          </cell>
          <cell r="CZ218" t="str">
            <v>s</v>
          </cell>
        </row>
        <row r="219">
          <cell r="A219" t="str">
            <v>GST-40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0</v>
          </cell>
          <cell r="BW219">
            <v>0</v>
          </cell>
          <cell r="BX219">
            <v>0</v>
          </cell>
          <cell r="BY219">
            <v>0</v>
          </cell>
          <cell r="BZ219">
            <v>0</v>
          </cell>
          <cell r="CA219">
            <v>0</v>
          </cell>
          <cell r="CB219">
            <v>0</v>
          </cell>
          <cell r="CC219">
            <v>0</v>
          </cell>
          <cell r="CD219">
            <v>0</v>
          </cell>
          <cell r="CE219">
            <v>0</v>
          </cell>
          <cell r="CF219">
            <v>0</v>
          </cell>
          <cell r="CG219">
            <v>0</v>
          </cell>
          <cell r="CH219">
            <v>0</v>
          </cell>
          <cell r="CI219">
            <v>0</v>
          </cell>
          <cell r="CJ219">
            <v>0</v>
          </cell>
          <cell r="CK219">
            <v>0</v>
          </cell>
          <cell r="CL219">
            <v>0</v>
          </cell>
          <cell r="CM219">
            <v>0</v>
          </cell>
          <cell r="CN219">
            <v>0</v>
          </cell>
          <cell r="CO219">
            <v>0</v>
          </cell>
          <cell r="CP219">
            <v>0</v>
          </cell>
          <cell r="CQ219">
            <v>0</v>
          </cell>
          <cell r="CU219">
            <v>0</v>
          </cell>
          <cell r="CV219">
            <v>0</v>
          </cell>
          <cell r="CW219">
            <v>0</v>
          </cell>
          <cell r="CZ219" t="str">
            <v>s</v>
          </cell>
        </row>
        <row r="220">
          <cell r="A220" t="str">
            <v>GST-50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cell r="BM220">
            <v>0</v>
          </cell>
          <cell r="BN220">
            <v>0</v>
          </cell>
          <cell r="BO220">
            <v>0</v>
          </cell>
          <cell r="BP220">
            <v>0</v>
          </cell>
          <cell r="BQ220">
            <v>0</v>
          </cell>
          <cell r="BR220">
            <v>0</v>
          </cell>
          <cell r="BS220">
            <v>0</v>
          </cell>
          <cell r="BT220">
            <v>0</v>
          </cell>
          <cell r="BU220">
            <v>0</v>
          </cell>
          <cell r="BV220">
            <v>0</v>
          </cell>
          <cell r="BW220">
            <v>0</v>
          </cell>
          <cell r="BX220">
            <v>0</v>
          </cell>
          <cell r="BY220">
            <v>0</v>
          </cell>
          <cell r="BZ220">
            <v>0</v>
          </cell>
          <cell r="CA220">
            <v>0</v>
          </cell>
          <cell r="CB220">
            <v>0</v>
          </cell>
          <cell r="CC220">
            <v>0</v>
          </cell>
          <cell r="CD220">
            <v>0</v>
          </cell>
          <cell r="CE220">
            <v>0</v>
          </cell>
          <cell r="CF220">
            <v>0</v>
          </cell>
          <cell r="CG220">
            <v>0</v>
          </cell>
          <cell r="CH220">
            <v>0</v>
          </cell>
          <cell r="CI220">
            <v>0</v>
          </cell>
          <cell r="CJ220">
            <v>0</v>
          </cell>
          <cell r="CK220">
            <v>0</v>
          </cell>
          <cell r="CL220">
            <v>0</v>
          </cell>
          <cell r="CM220">
            <v>0</v>
          </cell>
          <cell r="CN220">
            <v>0</v>
          </cell>
          <cell r="CO220">
            <v>0</v>
          </cell>
          <cell r="CP220">
            <v>0</v>
          </cell>
          <cell r="CQ220">
            <v>0</v>
          </cell>
          <cell r="CU220">
            <v>0</v>
          </cell>
          <cell r="CV220">
            <v>0</v>
          </cell>
          <cell r="CW220">
            <v>0</v>
          </cell>
          <cell r="CZ220" t="str">
            <v>s</v>
          </cell>
        </row>
        <row r="221">
          <cell r="A221" t="str">
            <v>GST-63</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cell r="BM221">
            <v>0</v>
          </cell>
          <cell r="BN221">
            <v>0</v>
          </cell>
          <cell r="BO221">
            <v>0</v>
          </cell>
          <cell r="BP221">
            <v>0</v>
          </cell>
          <cell r="BQ221">
            <v>0</v>
          </cell>
          <cell r="BR221">
            <v>0</v>
          </cell>
          <cell r="BS221">
            <v>0</v>
          </cell>
          <cell r="BT221">
            <v>0</v>
          </cell>
          <cell r="BU221">
            <v>0</v>
          </cell>
          <cell r="BV221">
            <v>0</v>
          </cell>
          <cell r="BW221">
            <v>0</v>
          </cell>
          <cell r="BX221">
            <v>0</v>
          </cell>
          <cell r="BY221">
            <v>0</v>
          </cell>
          <cell r="BZ221">
            <v>0</v>
          </cell>
          <cell r="CA221">
            <v>0</v>
          </cell>
          <cell r="CB221">
            <v>0</v>
          </cell>
          <cell r="CC221">
            <v>0</v>
          </cell>
          <cell r="CD221">
            <v>0</v>
          </cell>
          <cell r="CE221">
            <v>0</v>
          </cell>
          <cell r="CF221">
            <v>0</v>
          </cell>
          <cell r="CG221">
            <v>0</v>
          </cell>
          <cell r="CH221">
            <v>0</v>
          </cell>
          <cell r="CI221">
            <v>0</v>
          </cell>
          <cell r="CJ221">
            <v>0</v>
          </cell>
          <cell r="CK221">
            <v>0</v>
          </cell>
          <cell r="CL221">
            <v>0</v>
          </cell>
          <cell r="CM221">
            <v>0</v>
          </cell>
          <cell r="CN221">
            <v>0</v>
          </cell>
          <cell r="CO221">
            <v>0</v>
          </cell>
          <cell r="CP221">
            <v>0</v>
          </cell>
          <cell r="CQ221">
            <v>0</v>
          </cell>
          <cell r="CU221">
            <v>0</v>
          </cell>
          <cell r="CV221">
            <v>0</v>
          </cell>
          <cell r="CW221">
            <v>0</v>
          </cell>
          <cell r="CZ221" t="str">
            <v>s</v>
          </cell>
        </row>
        <row r="222">
          <cell r="A222" t="str">
            <v>GST-75</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cell r="BM222">
            <v>0</v>
          </cell>
          <cell r="BN222">
            <v>0</v>
          </cell>
          <cell r="BO222">
            <v>0</v>
          </cell>
          <cell r="BP222">
            <v>0</v>
          </cell>
          <cell r="BQ222">
            <v>0</v>
          </cell>
          <cell r="BR222">
            <v>0</v>
          </cell>
          <cell r="BS222">
            <v>0</v>
          </cell>
          <cell r="BT222">
            <v>0</v>
          </cell>
          <cell r="BU222">
            <v>0</v>
          </cell>
          <cell r="BV222">
            <v>0</v>
          </cell>
          <cell r="BW222">
            <v>0</v>
          </cell>
          <cell r="BX222">
            <v>0</v>
          </cell>
          <cell r="BY222">
            <v>0</v>
          </cell>
          <cell r="BZ222">
            <v>0</v>
          </cell>
          <cell r="CA222">
            <v>0</v>
          </cell>
          <cell r="CB222">
            <v>0</v>
          </cell>
          <cell r="CC222">
            <v>0</v>
          </cell>
          <cell r="CD222">
            <v>0</v>
          </cell>
          <cell r="CE222">
            <v>0</v>
          </cell>
          <cell r="CF222">
            <v>0</v>
          </cell>
          <cell r="CG222">
            <v>0</v>
          </cell>
          <cell r="CH222">
            <v>0</v>
          </cell>
          <cell r="CI222">
            <v>0</v>
          </cell>
          <cell r="CJ222">
            <v>0</v>
          </cell>
          <cell r="CK222">
            <v>0</v>
          </cell>
          <cell r="CL222">
            <v>0</v>
          </cell>
          <cell r="CM222">
            <v>0</v>
          </cell>
          <cell r="CN222">
            <v>0</v>
          </cell>
          <cell r="CO222">
            <v>0</v>
          </cell>
          <cell r="CP222">
            <v>0</v>
          </cell>
          <cell r="CQ222">
            <v>0</v>
          </cell>
          <cell r="CU222">
            <v>0</v>
          </cell>
          <cell r="CV222">
            <v>0</v>
          </cell>
          <cell r="CW222">
            <v>0</v>
          </cell>
          <cell r="CZ222" t="str">
            <v>s</v>
          </cell>
        </row>
        <row r="223">
          <cell r="A223" t="str">
            <v>GC- 63</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cell r="BM223">
            <v>0</v>
          </cell>
          <cell r="BN223">
            <v>0</v>
          </cell>
          <cell r="BO223">
            <v>0</v>
          </cell>
          <cell r="BP223">
            <v>0</v>
          </cell>
          <cell r="BQ223">
            <v>0</v>
          </cell>
          <cell r="BR223">
            <v>0</v>
          </cell>
          <cell r="BS223">
            <v>0</v>
          </cell>
          <cell r="BT223">
            <v>0</v>
          </cell>
          <cell r="BU223">
            <v>0</v>
          </cell>
          <cell r="BV223">
            <v>0</v>
          </cell>
          <cell r="BW223">
            <v>0</v>
          </cell>
          <cell r="BX223">
            <v>0</v>
          </cell>
          <cell r="BY223">
            <v>0</v>
          </cell>
          <cell r="BZ223">
            <v>0</v>
          </cell>
          <cell r="CA223">
            <v>0</v>
          </cell>
          <cell r="CB223">
            <v>0</v>
          </cell>
          <cell r="CC223">
            <v>0</v>
          </cell>
          <cell r="CD223">
            <v>0</v>
          </cell>
          <cell r="CE223">
            <v>0</v>
          </cell>
          <cell r="CF223">
            <v>0</v>
          </cell>
          <cell r="CG223">
            <v>0</v>
          </cell>
          <cell r="CH223">
            <v>0</v>
          </cell>
          <cell r="CI223">
            <v>0</v>
          </cell>
          <cell r="CJ223">
            <v>0</v>
          </cell>
          <cell r="CK223">
            <v>0</v>
          </cell>
          <cell r="CL223">
            <v>0</v>
          </cell>
          <cell r="CM223">
            <v>0</v>
          </cell>
          <cell r="CN223">
            <v>0</v>
          </cell>
          <cell r="CO223">
            <v>0</v>
          </cell>
          <cell r="CP223">
            <v>0</v>
          </cell>
          <cell r="CQ223">
            <v>0</v>
          </cell>
          <cell r="CU223">
            <v>0</v>
          </cell>
          <cell r="CV223">
            <v>0</v>
          </cell>
          <cell r="CW223">
            <v>0</v>
          </cell>
          <cell r="CZ223" t="str">
            <v>s</v>
          </cell>
        </row>
        <row r="224">
          <cell r="A224" t="str">
            <v>GEL-15</v>
          </cell>
          <cell r="G224">
            <v>1</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2</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cell r="BM224">
            <v>0</v>
          </cell>
          <cell r="BN224">
            <v>0</v>
          </cell>
          <cell r="BO224">
            <v>0</v>
          </cell>
          <cell r="BP224">
            <v>0</v>
          </cell>
          <cell r="BQ224">
            <v>0</v>
          </cell>
          <cell r="BR224">
            <v>0</v>
          </cell>
          <cell r="BS224">
            <v>0</v>
          </cell>
          <cell r="BT224">
            <v>0</v>
          </cell>
          <cell r="BU224">
            <v>0</v>
          </cell>
          <cell r="BV224">
            <v>0</v>
          </cell>
          <cell r="BW224">
            <v>0</v>
          </cell>
          <cell r="BX224">
            <v>32</v>
          </cell>
          <cell r="BY224">
            <v>0</v>
          </cell>
          <cell r="BZ224">
            <v>0</v>
          </cell>
          <cell r="CA224">
            <v>0</v>
          </cell>
          <cell r="CB224">
            <v>0</v>
          </cell>
          <cell r="CC224">
            <v>0</v>
          </cell>
          <cell r="CD224">
            <v>0</v>
          </cell>
          <cell r="CE224">
            <v>0</v>
          </cell>
          <cell r="CF224">
            <v>0</v>
          </cell>
          <cell r="CG224">
            <v>0</v>
          </cell>
          <cell r="CH224">
            <v>0</v>
          </cell>
          <cell r="CI224">
            <v>0</v>
          </cell>
          <cell r="CJ224">
            <v>0</v>
          </cell>
          <cell r="CK224">
            <v>0</v>
          </cell>
          <cell r="CL224">
            <v>0</v>
          </cell>
          <cell r="CM224">
            <v>0</v>
          </cell>
          <cell r="CN224">
            <v>0</v>
          </cell>
          <cell r="CO224">
            <v>0</v>
          </cell>
          <cell r="CP224">
            <v>0</v>
          </cell>
          <cell r="CQ224">
            <v>0</v>
          </cell>
          <cell r="CU224">
            <v>35</v>
          </cell>
          <cell r="CV224">
            <v>952.04759999999987</v>
          </cell>
          <cell r="CW224">
            <v>3.15</v>
          </cell>
          <cell r="CZ224" t="str">
            <v>s</v>
          </cell>
        </row>
        <row r="225">
          <cell r="A225" t="str">
            <v>GEL-20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3</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cell r="BM225">
            <v>0</v>
          </cell>
          <cell r="BN225">
            <v>0</v>
          </cell>
          <cell r="BO225">
            <v>0</v>
          </cell>
          <cell r="BP225">
            <v>0</v>
          </cell>
          <cell r="BQ225">
            <v>0</v>
          </cell>
          <cell r="BR225">
            <v>0</v>
          </cell>
          <cell r="BS225">
            <v>0</v>
          </cell>
          <cell r="BT225">
            <v>0</v>
          </cell>
          <cell r="BU225">
            <v>0</v>
          </cell>
          <cell r="BV225">
            <v>0</v>
          </cell>
          <cell r="BW225">
            <v>0</v>
          </cell>
          <cell r="BX225">
            <v>0</v>
          </cell>
          <cell r="BY225">
            <v>0</v>
          </cell>
          <cell r="BZ225">
            <v>0</v>
          </cell>
          <cell r="CA225">
            <v>0</v>
          </cell>
          <cell r="CB225">
            <v>0</v>
          </cell>
          <cell r="CC225">
            <v>0</v>
          </cell>
          <cell r="CD225">
            <v>0</v>
          </cell>
          <cell r="CE225">
            <v>0</v>
          </cell>
          <cell r="CF225">
            <v>0</v>
          </cell>
          <cell r="CG225">
            <v>0</v>
          </cell>
          <cell r="CH225">
            <v>8</v>
          </cell>
          <cell r="CI225">
            <v>0</v>
          </cell>
          <cell r="CJ225">
            <v>0</v>
          </cell>
          <cell r="CK225">
            <v>0</v>
          </cell>
          <cell r="CL225">
            <v>0</v>
          </cell>
          <cell r="CM225">
            <v>0</v>
          </cell>
          <cell r="CN225">
            <v>0</v>
          </cell>
          <cell r="CO225">
            <v>0</v>
          </cell>
          <cell r="CP225">
            <v>0</v>
          </cell>
          <cell r="CQ225">
            <v>0</v>
          </cell>
          <cell r="CU225">
            <v>11</v>
          </cell>
          <cell r="CV225">
            <v>988.93079999999986</v>
          </cell>
          <cell r="CW225">
            <v>1.65</v>
          </cell>
          <cell r="CZ225" t="str">
            <v>s</v>
          </cell>
        </row>
        <row r="226">
          <cell r="A226" t="str">
            <v>GEL-25</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6</v>
          </cell>
          <cell r="BM226">
            <v>0</v>
          </cell>
          <cell r="BN226">
            <v>0</v>
          </cell>
          <cell r="BO226">
            <v>0</v>
          </cell>
          <cell r="BP226">
            <v>0</v>
          </cell>
          <cell r="BQ226">
            <v>0</v>
          </cell>
          <cell r="BR226">
            <v>0</v>
          </cell>
          <cell r="BS226">
            <v>0</v>
          </cell>
          <cell r="BT226">
            <v>0</v>
          </cell>
          <cell r="BU226">
            <v>0</v>
          </cell>
          <cell r="BV226">
            <v>0</v>
          </cell>
          <cell r="BW226">
            <v>0</v>
          </cell>
          <cell r="BX226">
            <v>0</v>
          </cell>
          <cell r="BY226">
            <v>0</v>
          </cell>
          <cell r="BZ226">
            <v>0</v>
          </cell>
          <cell r="CA226">
            <v>0</v>
          </cell>
          <cell r="CB226">
            <v>0</v>
          </cell>
          <cell r="CC226">
            <v>0</v>
          </cell>
          <cell r="CD226">
            <v>0</v>
          </cell>
          <cell r="CE226">
            <v>0</v>
          </cell>
          <cell r="CF226">
            <v>0</v>
          </cell>
          <cell r="CG226">
            <v>0</v>
          </cell>
          <cell r="CH226">
            <v>0</v>
          </cell>
          <cell r="CI226">
            <v>0</v>
          </cell>
          <cell r="CJ226">
            <v>0</v>
          </cell>
          <cell r="CK226">
            <v>0</v>
          </cell>
          <cell r="CL226">
            <v>0</v>
          </cell>
          <cell r="CM226">
            <v>0</v>
          </cell>
          <cell r="CN226">
            <v>0</v>
          </cell>
          <cell r="CO226">
            <v>0</v>
          </cell>
          <cell r="CP226">
            <v>0</v>
          </cell>
          <cell r="CQ226">
            <v>0</v>
          </cell>
          <cell r="CU226">
            <v>6</v>
          </cell>
          <cell r="CV226">
            <v>434.53020000000004</v>
          </cell>
          <cell r="CW226">
            <v>1.2000000000000002</v>
          </cell>
          <cell r="CZ226" t="str">
            <v>s</v>
          </cell>
        </row>
        <row r="227">
          <cell r="A227" t="str">
            <v>GEL-32</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cell r="BM227">
            <v>0</v>
          </cell>
          <cell r="BN227">
            <v>0</v>
          </cell>
          <cell r="BO227">
            <v>0</v>
          </cell>
          <cell r="BP227">
            <v>0</v>
          </cell>
          <cell r="BQ227">
            <v>0</v>
          </cell>
          <cell r="BR227">
            <v>0</v>
          </cell>
          <cell r="BS227">
            <v>0</v>
          </cell>
          <cell r="BT227">
            <v>0</v>
          </cell>
          <cell r="BU227">
            <v>0</v>
          </cell>
          <cell r="BV227">
            <v>0</v>
          </cell>
          <cell r="BW227">
            <v>0</v>
          </cell>
          <cell r="BX227">
            <v>0</v>
          </cell>
          <cell r="BY227">
            <v>0</v>
          </cell>
          <cell r="BZ227">
            <v>0</v>
          </cell>
          <cell r="CA227">
            <v>0</v>
          </cell>
          <cell r="CB227">
            <v>0</v>
          </cell>
          <cell r="CC227">
            <v>0</v>
          </cell>
          <cell r="CD227">
            <v>0</v>
          </cell>
          <cell r="CE227">
            <v>0</v>
          </cell>
          <cell r="CF227">
            <v>0</v>
          </cell>
          <cell r="CG227">
            <v>0</v>
          </cell>
          <cell r="CH227">
            <v>0</v>
          </cell>
          <cell r="CI227">
            <v>0</v>
          </cell>
          <cell r="CJ227">
            <v>0</v>
          </cell>
          <cell r="CK227">
            <v>0</v>
          </cell>
          <cell r="CL227">
            <v>0</v>
          </cell>
          <cell r="CM227">
            <v>0</v>
          </cell>
          <cell r="CN227">
            <v>0</v>
          </cell>
          <cell r="CO227">
            <v>0</v>
          </cell>
          <cell r="CP227">
            <v>0</v>
          </cell>
          <cell r="CQ227">
            <v>0</v>
          </cell>
          <cell r="CU227">
            <v>0</v>
          </cell>
          <cell r="CV227">
            <v>0</v>
          </cell>
          <cell r="CW227">
            <v>0</v>
          </cell>
          <cell r="CZ227" t="str">
            <v>s</v>
          </cell>
        </row>
        <row r="228">
          <cell r="A228" t="str">
            <v>GEL-40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cell r="BM228">
            <v>0</v>
          </cell>
          <cell r="BN228">
            <v>0</v>
          </cell>
          <cell r="BO228">
            <v>0</v>
          </cell>
          <cell r="BP228">
            <v>0</v>
          </cell>
          <cell r="BQ228">
            <v>0</v>
          </cell>
          <cell r="BR228">
            <v>0</v>
          </cell>
          <cell r="BS228">
            <v>0</v>
          </cell>
          <cell r="BT228">
            <v>0</v>
          </cell>
          <cell r="BU228">
            <v>0</v>
          </cell>
          <cell r="BV228">
            <v>0</v>
          </cell>
          <cell r="BW228">
            <v>0</v>
          </cell>
          <cell r="BX228">
            <v>0</v>
          </cell>
          <cell r="BY228">
            <v>0</v>
          </cell>
          <cell r="BZ228">
            <v>0</v>
          </cell>
          <cell r="CA228">
            <v>0</v>
          </cell>
          <cell r="CB228">
            <v>0</v>
          </cell>
          <cell r="CC228">
            <v>0</v>
          </cell>
          <cell r="CD228">
            <v>0</v>
          </cell>
          <cell r="CE228">
            <v>0</v>
          </cell>
          <cell r="CF228">
            <v>0</v>
          </cell>
          <cell r="CG228">
            <v>0</v>
          </cell>
          <cell r="CH228">
            <v>0</v>
          </cell>
          <cell r="CI228">
            <v>0</v>
          </cell>
          <cell r="CJ228">
            <v>0</v>
          </cell>
          <cell r="CK228">
            <v>0</v>
          </cell>
          <cell r="CL228">
            <v>0</v>
          </cell>
          <cell r="CM228">
            <v>0</v>
          </cell>
          <cell r="CN228">
            <v>0</v>
          </cell>
          <cell r="CO228">
            <v>0</v>
          </cell>
          <cell r="CP228">
            <v>0</v>
          </cell>
          <cell r="CQ228">
            <v>0</v>
          </cell>
          <cell r="CU228">
            <v>0</v>
          </cell>
          <cell r="CV228">
            <v>0</v>
          </cell>
          <cell r="CW228">
            <v>0</v>
          </cell>
          <cell r="CZ228" t="str">
            <v>s</v>
          </cell>
        </row>
        <row r="229">
          <cell r="A229" t="str">
            <v>GEL-50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4</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8</v>
          </cell>
          <cell r="BM229">
            <v>0</v>
          </cell>
          <cell r="BN229">
            <v>0</v>
          </cell>
          <cell r="BO229">
            <v>0</v>
          </cell>
          <cell r="BP229">
            <v>0</v>
          </cell>
          <cell r="BQ229">
            <v>0</v>
          </cell>
          <cell r="BR229">
            <v>0</v>
          </cell>
          <cell r="BS229">
            <v>0</v>
          </cell>
          <cell r="BT229">
            <v>0</v>
          </cell>
          <cell r="BU229">
            <v>0</v>
          </cell>
          <cell r="BV229">
            <v>0</v>
          </cell>
          <cell r="BW229">
            <v>0</v>
          </cell>
          <cell r="BX229">
            <v>0</v>
          </cell>
          <cell r="BY229">
            <v>0</v>
          </cell>
          <cell r="BZ229">
            <v>0</v>
          </cell>
          <cell r="CA229">
            <v>0</v>
          </cell>
          <cell r="CB229">
            <v>0</v>
          </cell>
          <cell r="CC229">
            <v>0</v>
          </cell>
          <cell r="CD229">
            <v>0</v>
          </cell>
          <cell r="CE229">
            <v>0</v>
          </cell>
          <cell r="CF229">
            <v>0</v>
          </cell>
          <cell r="CG229">
            <v>0</v>
          </cell>
          <cell r="CH229">
            <v>0</v>
          </cell>
          <cell r="CI229">
            <v>0</v>
          </cell>
          <cell r="CJ229">
            <v>0</v>
          </cell>
          <cell r="CK229">
            <v>0</v>
          </cell>
          <cell r="CL229">
            <v>0</v>
          </cell>
          <cell r="CM229">
            <v>0</v>
          </cell>
          <cell r="CN229">
            <v>0</v>
          </cell>
          <cell r="CO229">
            <v>0</v>
          </cell>
          <cell r="CP229">
            <v>0</v>
          </cell>
          <cell r="CQ229">
            <v>0</v>
          </cell>
          <cell r="CU229">
            <v>12</v>
          </cell>
          <cell r="CV229">
            <v>2977.3963199999994</v>
          </cell>
          <cell r="CW229">
            <v>7.8000000000000007</v>
          </cell>
          <cell r="CZ229" t="str">
            <v>s</v>
          </cell>
        </row>
        <row r="230">
          <cell r="A230" t="str">
            <v>GEL-63</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cell r="BM230">
            <v>0</v>
          </cell>
          <cell r="BN230">
            <v>0</v>
          </cell>
          <cell r="BO230">
            <v>0</v>
          </cell>
          <cell r="BP230">
            <v>0</v>
          </cell>
          <cell r="BQ230">
            <v>0</v>
          </cell>
          <cell r="BR230">
            <v>0</v>
          </cell>
          <cell r="BS230">
            <v>0</v>
          </cell>
          <cell r="BT230">
            <v>0</v>
          </cell>
          <cell r="BU230">
            <v>0</v>
          </cell>
          <cell r="BV230">
            <v>0</v>
          </cell>
          <cell r="BW230">
            <v>0</v>
          </cell>
          <cell r="BX230">
            <v>0</v>
          </cell>
          <cell r="BY230">
            <v>0</v>
          </cell>
          <cell r="BZ230">
            <v>0</v>
          </cell>
          <cell r="CA230">
            <v>0</v>
          </cell>
          <cell r="CB230">
            <v>0</v>
          </cell>
          <cell r="CC230">
            <v>0</v>
          </cell>
          <cell r="CD230">
            <v>0</v>
          </cell>
          <cell r="CE230">
            <v>0</v>
          </cell>
          <cell r="CF230">
            <v>0</v>
          </cell>
          <cell r="CG230">
            <v>0</v>
          </cell>
          <cell r="CH230">
            <v>0</v>
          </cell>
          <cell r="CI230">
            <v>0</v>
          </cell>
          <cell r="CJ230">
            <v>0</v>
          </cell>
          <cell r="CK230">
            <v>0</v>
          </cell>
          <cell r="CL230">
            <v>0</v>
          </cell>
          <cell r="CM230">
            <v>0</v>
          </cell>
          <cell r="CN230">
            <v>0</v>
          </cell>
          <cell r="CO230">
            <v>0</v>
          </cell>
          <cell r="CP230">
            <v>0</v>
          </cell>
          <cell r="CQ230">
            <v>0</v>
          </cell>
          <cell r="CU230">
            <v>0</v>
          </cell>
          <cell r="CV230">
            <v>0</v>
          </cell>
          <cell r="CW230">
            <v>0</v>
          </cell>
          <cell r="CZ230" t="str">
            <v>s</v>
          </cell>
        </row>
        <row r="231">
          <cell r="A231" t="str">
            <v>GEL-75</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cell r="BM231">
            <v>0</v>
          </cell>
          <cell r="BN231">
            <v>0</v>
          </cell>
          <cell r="BO231">
            <v>0</v>
          </cell>
          <cell r="BP231">
            <v>0</v>
          </cell>
          <cell r="BQ231">
            <v>0</v>
          </cell>
          <cell r="BR231">
            <v>0</v>
          </cell>
          <cell r="BS231">
            <v>0</v>
          </cell>
          <cell r="BT231">
            <v>0</v>
          </cell>
          <cell r="BU231">
            <v>0</v>
          </cell>
          <cell r="BV231">
            <v>0</v>
          </cell>
          <cell r="BW231">
            <v>0</v>
          </cell>
          <cell r="BX231">
            <v>0</v>
          </cell>
          <cell r="BY231">
            <v>0</v>
          </cell>
          <cell r="BZ231">
            <v>0</v>
          </cell>
          <cell r="CA231">
            <v>0</v>
          </cell>
          <cell r="CB231">
            <v>0</v>
          </cell>
          <cell r="CC231">
            <v>0</v>
          </cell>
          <cell r="CD231">
            <v>0</v>
          </cell>
          <cell r="CE231">
            <v>0</v>
          </cell>
          <cell r="CF231">
            <v>0</v>
          </cell>
          <cell r="CG231">
            <v>0</v>
          </cell>
          <cell r="CH231">
            <v>0</v>
          </cell>
          <cell r="CI231">
            <v>0</v>
          </cell>
          <cell r="CJ231">
            <v>0</v>
          </cell>
          <cell r="CK231">
            <v>0</v>
          </cell>
          <cell r="CL231">
            <v>0</v>
          </cell>
          <cell r="CM231">
            <v>0</v>
          </cell>
          <cell r="CN231">
            <v>0</v>
          </cell>
          <cell r="CO231">
            <v>0</v>
          </cell>
          <cell r="CP231">
            <v>0</v>
          </cell>
          <cell r="CQ231">
            <v>0</v>
          </cell>
          <cell r="CU231">
            <v>0</v>
          </cell>
          <cell r="CV231">
            <v>0</v>
          </cell>
          <cell r="CW231">
            <v>0</v>
          </cell>
          <cell r="CZ231" t="str">
            <v>s</v>
          </cell>
        </row>
        <row r="232">
          <cell r="A232" t="str">
            <v>GNI-15</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1</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cell r="BM232">
            <v>0</v>
          </cell>
          <cell r="BN232">
            <v>0</v>
          </cell>
          <cell r="BO232">
            <v>0</v>
          </cell>
          <cell r="BP232">
            <v>2</v>
          </cell>
          <cell r="BQ232">
            <v>0</v>
          </cell>
          <cell r="BR232">
            <v>0</v>
          </cell>
          <cell r="BS232">
            <v>0</v>
          </cell>
          <cell r="BT232">
            <v>2</v>
          </cell>
          <cell r="BU232">
            <v>0</v>
          </cell>
          <cell r="BV232">
            <v>0</v>
          </cell>
          <cell r="BW232">
            <v>0</v>
          </cell>
          <cell r="BX232">
            <v>0</v>
          </cell>
          <cell r="BY232">
            <v>0</v>
          </cell>
          <cell r="BZ232">
            <v>0</v>
          </cell>
          <cell r="CA232">
            <v>0</v>
          </cell>
          <cell r="CB232">
            <v>0</v>
          </cell>
          <cell r="CC232">
            <v>0</v>
          </cell>
          <cell r="CD232">
            <v>0</v>
          </cell>
          <cell r="CE232">
            <v>0</v>
          </cell>
          <cell r="CF232">
            <v>0</v>
          </cell>
          <cell r="CG232">
            <v>0</v>
          </cell>
          <cell r="CH232">
            <v>0</v>
          </cell>
          <cell r="CI232">
            <v>0</v>
          </cell>
          <cell r="CJ232">
            <v>0</v>
          </cell>
          <cell r="CK232">
            <v>0</v>
          </cell>
          <cell r="CL232">
            <v>0</v>
          </cell>
          <cell r="CM232">
            <v>0</v>
          </cell>
          <cell r="CN232">
            <v>0</v>
          </cell>
          <cell r="CO232">
            <v>0</v>
          </cell>
          <cell r="CP232">
            <v>0</v>
          </cell>
          <cell r="CQ232">
            <v>0</v>
          </cell>
          <cell r="CU232">
            <v>5</v>
          </cell>
          <cell r="CV232">
            <v>385</v>
          </cell>
          <cell r="CW232">
            <v>0.2</v>
          </cell>
          <cell r="CZ232" t="str">
            <v>s</v>
          </cell>
        </row>
        <row r="233">
          <cell r="A233" t="str">
            <v>GNI-20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cell r="BM233">
            <v>0</v>
          </cell>
          <cell r="BN233">
            <v>0</v>
          </cell>
          <cell r="BO233">
            <v>0</v>
          </cell>
          <cell r="BP233">
            <v>0</v>
          </cell>
          <cell r="BQ233">
            <v>0</v>
          </cell>
          <cell r="BR233">
            <v>0</v>
          </cell>
          <cell r="BS233">
            <v>0</v>
          </cell>
          <cell r="BT233">
            <v>0</v>
          </cell>
          <cell r="BU233">
            <v>0</v>
          </cell>
          <cell r="BV233">
            <v>0</v>
          </cell>
          <cell r="BW233">
            <v>0</v>
          </cell>
          <cell r="BX233">
            <v>0</v>
          </cell>
          <cell r="BY233">
            <v>0</v>
          </cell>
          <cell r="BZ233">
            <v>0</v>
          </cell>
          <cell r="CA233">
            <v>0</v>
          </cell>
          <cell r="CB233">
            <v>0</v>
          </cell>
          <cell r="CC233">
            <v>0</v>
          </cell>
          <cell r="CD233">
            <v>0</v>
          </cell>
          <cell r="CE233">
            <v>0</v>
          </cell>
          <cell r="CF233">
            <v>0</v>
          </cell>
          <cell r="CG233">
            <v>0</v>
          </cell>
          <cell r="CH233">
            <v>0</v>
          </cell>
          <cell r="CI233">
            <v>0</v>
          </cell>
          <cell r="CJ233">
            <v>0</v>
          </cell>
          <cell r="CK233">
            <v>0</v>
          </cell>
          <cell r="CL233">
            <v>0</v>
          </cell>
          <cell r="CM233">
            <v>0</v>
          </cell>
          <cell r="CN233">
            <v>0</v>
          </cell>
          <cell r="CO233">
            <v>0</v>
          </cell>
          <cell r="CP233">
            <v>0</v>
          </cell>
          <cell r="CQ233">
            <v>0</v>
          </cell>
          <cell r="CU233">
            <v>0</v>
          </cell>
          <cell r="CV233">
            <v>0</v>
          </cell>
          <cell r="CW233">
            <v>0</v>
          </cell>
          <cell r="CZ233" t="str">
            <v>s</v>
          </cell>
        </row>
        <row r="234">
          <cell r="A234" t="str">
            <v>GNI-25</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cell r="BM234">
            <v>0</v>
          </cell>
          <cell r="BN234">
            <v>0</v>
          </cell>
          <cell r="BO234">
            <v>0</v>
          </cell>
          <cell r="BP234">
            <v>0</v>
          </cell>
          <cell r="BQ234">
            <v>0</v>
          </cell>
          <cell r="BR234">
            <v>0</v>
          </cell>
          <cell r="BS234">
            <v>0</v>
          </cell>
          <cell r="BT234">
            <v>0</v>
          </cell>
          <cell r="BU234">
            <v>0</v>
          </cell>
          <cell r="BV234">
            <v>0</v>
          </cell>
          <cell r="BW234">
            <v>0</v>
          </cell>
          <cell r="BX234">
            <v>0</v>
          </cell>
          <cell r="BY234">
            <v>0</v>
          </cell>
          <cell r="BZ234">
            <v>0</v>
          </cell>
          <cell r="CA234">
            <v>0</v>
          </cell>
          <cell r="CB234">
            <v>0</v>
          </cell>
          <cell r="CC234">
            <v>0</v>
          </cell>
          <cell r="CD234">
            <v>0</v>
          </cell>
          <cell r="CE234">
            <v>0</v>
          </cell>
          <cell r="CF234">
            <v>0</v>
          </cell>
          <cell r="CG234">
            <v>0</v>
          </cell>
          <cell r="CH234">
            <v>0</v>
          </cell>
          <cell r="CI234">
            <v>0</v>
          </cell>
          <cell r="CJ234">
            <v>0</v>
          </cell>
          <cell r="CK234">
            <v>0</v>
          </cell>
          <cell r="CL234">
            <v>0</v>
          </cell>
          <cell r="CM234">
            <v>0</v>
          </cell>
          <cell r="CN234">
            <v>0</v>
          </cell>
          <cell r="CO234">
            <v>0</v>
          </cell>
          <cell r="CP234">
            <v>0</v>
          </cell>
          <cell r="CQ234">
            <v>0</v>
          </cell>
          <cell r="CU234">
            <v>0</v>
          </cell>
          <cell r="CV234">
            <v>0</v>
          </cell>
          <cell r="CW234">
            <v>0</v>
          </cell>
          <cell r="CZ234" t="str">
            <v>s</v>
          </cell>
        </row>
        <row r="235">
          <cell r="A235" t="str">
            <v>GNI-32</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cell r="BM235">
            <v>0</v>
          </cell>
          <cell r="BN235">
            <v>0</v>
          </cell>
          <cell r="BO235">
            <v>0</v>
          </cell>
          <cell r="BP235">
            <v>0</v>
          </cell>
          <cell r="BQ235">
            <v>0</v>
          </cell>
          <cell r="BR235">
            <v>0</v>
          </cell>
          <cell r="BS235">
            <v>0</v>
          </cell>
          <cell r="BT235">
            <v>0</v>
          </cell>
          <cell r="BU235">
            <v>0</v>
          </cell>
          <cell r="BV235">
            <v>0</v>
          </cell>
          <cell r="BW235">
            <v>0</v>
          </cell>
          <cell r="BX235">
            <v>0</v>
          </cell>
          <cell r="BY235">
            <v>0</v>
          </cell>
          <cell r="BZ235">
            <v>0</v>
          </cell>
          <cell r="CA235">
            <v>0</v>
          </cell>
          <cell r="CB235">
            <v>0</v>
          </cell>
          <cell r="CC235">
            <v>0</v>
          </cell>
          <cell r="CD235">
            <v>0</v>
          </cell>
          <cell r="CE235">
            <v>0</v>
          </cell>
          <cell r="CF235">
            <v>0</v>
          </cell>
          <cell r="CG235">
            <v>0</v>
          </cell>
          <cell r="CH235">
            <v>0</v>
          </cell>
          <cell r="CI235">
            <v>0</v>
          </cell>
          <cell r="CJ235">
            <v>0</v>
          </cell>
          <cell r="CK235">
            <v>0</v>
          </cell>
          <cell r="CL235">
            <v>0</v>
          </cell>
          <cell r="CM235">
            <v>0</v>
          </cell>
          <cell r="CN235">
            <v>0</v>
          </cell>
          <cell r="CO235">
            <v>0</v>
          </cell>
          <cell r="CP235">
            <v>0</v>
          </cell>
          <cell r="CQ235">
            <v>0</v>
          </cell>
          <cell r="CU235">
            <v>0</v>
          </cell>
          <cell r="CV235">
            <v>0</v>
          </cell>
          <cell r="CW235">
            <v>0</v>
          </cell>
          <cell r="CZ235" t="str">
            <v>s</v>
          </cell>
        </row>
        <row r="236">
          <cell r="A236" t="str">
            <v>GNI-40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2</v>
          </cell>
          <cell r="BC236">
            <v>0</v>
          </cell>
          <cell r="BD236">
            <v>0</v>
          </cell>
          <cell r="BE236">
            <v>0</v>
          </cell>
          <cell r="BF236">
            <v>0</v>
          </cell>
          <cell r="BG236">
            <v>0</v>
          </cell>
          <cell r="BH236">
            <v>0</v>
          </cell>
          <cell r="BI236">
            <v>0</v>
          </cell>
          <cell r="BJ236">
            <v>0</v>
          </cell>
          <cell r="BK236">
            <v>0</v>
          </cell>
          <cell r="BL236">
            <v>0</v>
          </cell>
          <cell r="BM236">
            <v>0</v>
          </cell>
          <cell r="BN236">
            <v>0</v>
          </cell>
          <cell r="BO236">
            <v>0</v>
          </cell>
          <cell r="BP236">
            <v>0</v>
          </cell>
          <cell r="BQ236">
            <v>0</v>
          </cell>
          <cell r="BR236">
            <v>0</v>
          </cell>
          <cell r="BS236">
            <v>0</v>
          </cell>
          <cell r="BT236">
            <v>0</v>
          </cell>
          <cell r="BU236">
            <v>0</v>
          </cell>
          <cell r="BV236">
            <v>0</v>
          </cell>
          <cell r="BW236">
            <v>0</v>
          </cell>
          <cell r="BX236">
            <v>0</v>
          </cell>
          <cell r="BY236">
            <v>0</v>
          </cell>
          <cell r="BZ236">
            <v>0</v>
          </cell>
          <cell r="CA236">
            <v>0</v>
          </cell>
          <cell r="CB236">
            <v>0</v>
          </cell>
          <cell r="CC236">
            <v>0</v>
          </cell>
          <cell r="CD236">
            <v>0</v>
          </cell>
          <cell r="CE236">
            <v>0</v>
          </cell>
          <cell r="CF236">
            <v>0</v>
          </cell>
          <cell r="CG236">
            <v>0</v>
          </cell>
          <cell r="CH236">
            <v>0</v>
          </cell>
          <cell r="CI236">
            <v>0</v>
          </cell>
          <cell r="CJ236">
            <v>0</v>
          </cell>
          <cell r="CK236">
            <v>0</v>
          </cell>
          <cell r="CL236">
            <v>0</v>
          </cell>
          <cell r="CM236">
            <v>0</v>
          </cell>
          <cell r="CN236">
            <v>0</v>
          </cell>
          <cell r="CO236">
            <v>0</v>
          </cell>
          <cell r="CP236">
            <v>0</v>
          </cell>
          <cell r="CQ236">
            <v>0</v>
          </cell>
          <cell r="CU236">
            <v>2</v>
          </cell>
          <cell r="CV236">
            <v>520</v>
          </cell>
          <cell r="CW236">
            <v>0.28000000000000003</v>
          </cell>
          <cell r="CZ236" t="str">
            <v>s</v>
          </cell>
        </row>
        <row r="237">
          <cell r="A237" t="str">
            <v>GNI-50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4</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4</v>
          </cell>
          <cell r="BM237">
            <v>0</v>
          </cell>
          <cell r="BN237">
            <v>0</v>
          </cell>
          <cell r="BO237">
            <v>0</v>
          </cell>
          <cell r="BP237">
            <v>0</v>
          </cell>
          <cell r="BQ237">
            <v>0</v>
          </cell>
          <cell r="BR237">
            <v>0</v>
          </cell>
          <cell r="BS237">
            <v>0</v>
          </cell>
          <cell r="BT237">
            <v>0</v>
          </cell>
          <cell r="BU237">
            <v>0</v>
          </cell>
          <cell r="BV237">
            <v>0</v>
          </cell>
          <cell r="BW237">
            <v>0</v>
          </cell>
          <cell r="BX237">
            <v>0</v>
          </cell>
          <cell r="BY237">
            <v>0</v>
          </cell>
          <cell r="BZ237">
            <v>0</v>
          </cell>
          <cell r="CA237">
            <v>0</v>
          </cell>
          <cell r="CB237">
            <v>0</v>
          </cell>
          <cell r="CC237">
            <v>0</v>
          </cell>
          <cell r="CD237">
            <v>0</v>
          </cell>
          <cell r="CE237">
            <v>0</v>
          </cell>
          <cell r="CF237">
            <v>0</v>
          </cell>
          <cell r="CG237">
            <v>0</v>
          </cell>
          <cell r="CH237">
            <v>0</v>
          </cell>
          <cell r="CI237">
            <v>0</v>
          </cell>
          <cell r="CJ237">
            <v>0</v>
          </cell>
          <cell r="CK237">
            <v>0</v>
          </cell>
          <cell r="CL237">
            <v>0</v>
          </cell>
          <cell r="CM237">
            <v>0</v>
          </cell>
          <cell r="CN237">
            <v>0</v>
          </cell>
          <cell r="CO237">
            <v>0</v>
          </cell>
          <cell r="CP237">
            <v>0</v>
          </cell>
          <cell r="CQ237">
            <v>0</v>
          </cell>
          <cell r="CU237">
            <v>8</v>
          </cell>
          <cell r="CV237">
            <v>2520</v>
          </cell>
          <cell r="CW237">
            <v>1.44</v>
          </cell>
          <cell r="CZ237" t="str">
            <v>s</v>
          </cell>
        </row>
        <row r="238">
          <cell r="A238" t="str">
            <v>GNI-63</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cell r="BM238">
            <v>0</v>
          </cell>
          <cell r="BN238">
            <v>0</v>
          </cell>
          <cell r="BO238">
            <v>0</v>
          </cell>
          <cell r="BP238">
            <v>0</v>
          </cell>
          <cell r="BQ238">
            <v>0</v>
          </cell>
          <cell r="BR238">
            <v>0</v>
          </cell>
          <cell r="BS238">
            <v>0</v>
          </cell>
          <cell r="BT238">
            <v>0</v>
          </cell>
          <cell r="BU238">
            <v>0</v>
          </cell>
          <cell r="BV238">
            <v>0</v>
          </cell>
          <cell r="BW238">
            <v>0</v>
          </cell>
          <cell r="BX238">
            <v>0</v>
          </cell>
          <cell r="BY238">
            <v>0</v>
          </cell>
          <cell r="BZ238">
            <v>0</v>
          </cell>
          <cell r="CA238">
            <v>0</v>
          </cell>
          <cell r="CB238">
            <v>0</v>
          </cell>
          <cell r="CC238">
            <v>0</v>
          </cell>
          <cell r="CD238">
            <v>0</v>
          </cell>
          <cell r="CE238">
            <v>0</v>
          </cell>
          <cell r="CF238">
            <v>0</v>
          </cell>
          <cell r="CG238">
            <v>0</v>
          </cell>
          <cell r="CH238">
            <v>0</v>
          </cell>
          <cell r="CI238">
            <v>0</v>
          </cell>
          <cell r="CJ238">
            <v>0</v>
          </cell>
          <cell r="CK238">
            <v>0</v>
          </cell>
          <cell r="CL238">
            <v>0</v>
          </cell>
          <cell r="CM238">
            <v>0</v>
          </cell>
          <cell r="CN238">
            <v>0</v>
          </cell>
          <cell r="CO238">
            <v>0</v>
          </cell>
          <cell r="CP238">
            <v>0</v>
          </cell>
          <cell r="CQ238">
            <v>0</v>
          </cell>
          <cell r="CU238">
            <v>0</v>
          </cell>
          <cell r="CV238">
            <v>0</v>
          </cell>
          <cell r="CW238">
            <v>0</v>
          </cell>
          <cell r="CZ238" t="str">
            <v>s</v>
          </cell>
        </row>
        <row r="239">
          <cell r="A239" t="str">
            <v>GNI-75</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cell r="BM239">
            <v>0</v>
          </cell>
          <cell r="BN239">
            <v>0</v>
          </cell>
          <cell r="BO239">
            <v>0</v>
          </cell>
          <cell r="BP239">
            <v>0</v>
          </cell>
          <cell r="BQ239">
            <v>0</v>
          </cell>
          <cell r="BR239">
            <v>0</v>
          </cell>
          <cell r="BS239">
            <v>0</v>
          </cell>
          <cell r="BT239">
            <v>0</v>
          </cell>
          <cell r="BU239">
            <v>0</v>
          </cell>
          <cell r="BV239">
            <v>0</v>
          </cell>
          <cell r="BW239">
            <v>0</v>
          </cell>
          <cell r="BX239">
            <v>0</v>
          </cell>
          <cell r="BY239">
            <v>0</v>
          </cell>
          <cell r="BZ239">
            <v>0</v>
          </cell>
          <cell r="CA239">
            <v>0</v>
          </cell>
          <cell r="CB239">
            <v>0</v>
          </cell>
          <cell r="CC239">
            <v>0</v>
          </cell>
          <cell r="CD239">
            <v>0</v>
          </cell>
          <cell r="CE239">
            <v>0</v>
          </cell>
          <cell r="CF239">
            <v>0</v>
          </cell>
          <cell r="CG239">
            <v>0</v>
          </cell>
          <cell r="CH239">
            <v>0</v>
          </cell>
          <cell r="CI239">
            <v>0</v>
          </cell>
          <cell r="CJ239">
            <v>0</v>
          </cell>
          <cell r="CK239">
            <v>0</v>
          </cell>
          <cell r="CL239">
            <v>0</v>
          </cell>
          <cell r="CM239">
            <v>0</v>
          </cell>
          <cell r="CN239">
            <v>0</v>
          </cell>
          <cell r="CO239">
            <v>0</v>
          </cell>
          <cell r="CP239">
            <v>0</v>
          </cell>
          <cell r="CQ239">
            <v>0</v>
          </cell>
          <cell r="CU239">
            <v>0</v>
          </cell>
          <cell r="CV239">
            <v>0</v>
          </cell>
          <cell r="CW239">
            <v>0</v>
          </cell>
          <cell r="CZ239" t="str">
            <v>s</v>
          </cell>
        </row>
        <row r="240">
          <cell r="A240" t="str">
            <v>GNI150-15</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cell r="BM240">
            <v>0</v>
          </cell>
          <cell r="BN240">
            <v>0</v>
          </cell>
          <cell r="BO240">
            <v>0</v>
          </cell>
          <cell r="BP240">
            <v>0</v>
          </cell>
          <cell r="BQ240">
            <v>0</v>
          </cell>
          <cell r="BR240">
            <v>0</v>
          </cell>
          <cell r="BS240">
            <v>0</v>
          </cell>
          <cell r="BT240">
            <v>0</v>
          </cell>
          <cell r="BU240">
            <v>0</v>
          </cell>
          <cell r="BV240">
            <v>0</v>
          </cell>
          <cell r="BW240">
            <v>0</v>
          </cell>
          <cell r="BX240">
            <v>0</v>
          </cell>
          <cell r="BY240">
            <v>0</v>
          </cell>
          <cell r="BZ240">
            <v>0</v>
          </cell>
          <cell r="CA240">
            <v>0</v>
          </cell>
          <cell r="CB240">
            <v>0</v>
          </cell>
          <cell r="CC240">
            <v>0</v>
          </cell>
          <cell r="CD240">
            <v>0</v>
          </cell>
          <cell r="CE240">
            <v>0</v>
          </cell>
          <cell r="CF240">
            <v>0</v>
          </cell>
          <cell r="CG240">
            <v>0</v>
          </cell>
          <cell r="CH240">
            <v>0</v>
          </cell>
          <cell r="CI240">
            <v>0</v>
          </cell>
          <cell r="CJ240">
            <v>0</v>
          </cell>
          <cell r="CK240">
            <v>0</v>
          </cell>
          <cell r="CL240">
            <v>0</v>
          </cell>
          <cell r="CM240">
            <v>0</v>
          </cell>
          <cell r="CN240">
            <v>0</v>
          </cell>
          <cell r="CO240">
            <v>0</v>
          </cell>
          <cell r="CP240">
            <v>0</v>
          </cell>
          <cell r="CQ240">
            <v>0</v>
          </cell>
          <cell r="CU240">
            <v>0</v>
          </cell>
          <cell r="CV240">
            <v>0</v>
          </cell>
          <cell r="CW240">
            <v>0</v>
          </cell>
          <cell r="CZ240" t="str">
            <v>s</v>
          </cell>
        </row>
        <row r="241">
          <cell r="A241" t="str">
            <v>GNH-15</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cell r="BM241">
            <v>0</v>
          </cell>
          <cell r="BN241">
            <v>0</v>
          </cell>
          <cell r="BO241">
            <v>0</v>
          </cell>
          <cell r="BP241">
            <v>0</v>
          </cell>
          <cell r="BQ241">
            <v>0</v>
          </cell>
          <cell r="BR241">
            <v>0</v>
          </cell>
          <cell r="BS241">
            <v>0</v>
          </cell>
          <cell r="BT241">
            <v>0</v>
          </cell>
          <cell r="BU241">
            <v>0</v>
          </cell>
          <cell r="BV241">
            <v>0</v>
          </cell>
          <cell r="BW241">
            <v>0</v>
          </cell>
          <cell r="BX241">
            <v>0</v>
          </cell>
          <cell r="BY241">
            <v>0</v>
          </cell>
          <cell r="BZ241">
            <v>0</v>
          </cell>
          <cell r="CA241">
            <v>0</v>
          </cell>
          <cell r="CB241">
            <v>0</v>
          </cell>
          <cell r="CC241">
            <v>0</v>
          </cell>
          <cell r="CD241">
            <v>0</v>
          </cell>
          <cell r="CE241">
            <v>0</v>
          </cell>
          <cell r="CF241">
            <v>0</v>
          </cell>
          <cell r="CG241">
            <v>0</v>
          </cell>
          <cell r="CH241">
            <v>0</v>
          </cell>
          <cell r="CI241">
            <v>0</v>
          </cell>
          <cell r="CJ241">
            <v>0</v>
          </cell>
          <cell r="CK241">
            <v>0</v>
          </cell>
          <cell r="CL241">
            <v>0</v>
          </cell>
          <cell r="CM241">
            <v>0</v>
          </cell>
          <cell r="CN241">
            <v>0</v>
          </cell>
          <cell r="CO241">
            <v>0</v>
          </cell>
          <cell r="CP241">
            <v>0</v>
          </cell>
          <cell r="CQ241">
            <v>0</v>
          </cell>
          <cell r="CU241">
            <v>0</v>
          </cell>
          <cell r="CV241">
            <v>0</v>
          </cell>
          <cell r="CW241">
            <v>0</v>
          </cell>
          <cell r="CZ241" t="str">
            <v>s</v>
          </cell>
        </row>
        <row r="242">
          <cell r="A242" t="str">
            <v>GNH-63</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cell r="BM242">
            <v>0</v>
          </cell>
          <cell r="BN242">
            <v>0</v>
          </cell>
          <cell r="BO242">
            <v>0</v>
          </cell>
          <cell r="BP242">
            <v>0</v>
          </cell>
          <cell r="BQ242">
            <v>0</v>
          </cell>
          <cell r="BR242">
            <v>0</v>
          </cell>
          <cell r="BS242">
            <v>0</v>
          </cell>
          <cell r="BT242">
            <v>0</v>
          </cell>
          <cell r="BU242">
            <v>0</v>
          </cell>
          <cell r="BV242">
            <v>0</v>
          </cell>
          <cell r="BW242">
            <v>0</v>
          </cell>
          <cell r="BX242">
            <v>0</v>
          </cell>
          <cell r="BY242">
            <v>0</v>
          </cell>
          <cell r="BZ242">
            <v>0</v>
          </cell>
          <cell r="CA242">
            <v>0</v>
          </cell>
          <cell r="CB242">
            <v>0</v>
          </cell>
          <cell r="CC242">
            <v>0</v>
          </cell>
          <cell r="CD242">
            <v>0</v>
          </cell>
          <cell r="CE242">
            <v>0</v>
          </cell>
          <cell r="CF242">
            <v>0</v>
          </cell>
          <cell r="CG242">
            <v>0</v>
          </cell>
          <cell r="CH242">
            <v>0</v>
          </cell>
          <cell r="CI242">
            <v>0</v>
          </cell>
          <cell r="CJ242">
            <v>0</v>
          </cell>
          <cell r="CK242">
            <v>0</v>
          </cell>
          <cell r="CL242">
            <v>0</v>
          </cell>
          <cell r="CM242">
            <v>0</v>
          </cell>
          <cell r="CN242">
            <v>0</v>
          </cell>
          <cell r="CO242">
            <v>0</v>
          </cell>
          <cell r="CP242">
            <v>0</v>
          </cell>
          <cell r="CQ242">
            <v>0</v>
          </cell>
          <cell r="CU242">
            <v>0</v>
          </cell>
          <cell r="CV242">
            <v>0</v>
          </cell>
          <cell r="CW242">
            <v>0</v>
          </cell>
          <cell r="CZ242" t="str">
            <v>s</v>
          </cell>
        </row>
        <row r="243">
          <cell r="A243" t="str">
            <v>GNI150-15</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cell r="BM243">
            <v>0</v>
          </cell>
          <cell r="BN243">
            <v>0</v>
          </cell>
          <cell r="BO243">
            <v>0</v>
          </cell>
          <cell r="BP243">
            <v>0</v>
          </cell>
          <cell r="BQ243">
            <v>0</v>
          </cell>
          <cell r="BR243">
            <v>0</v>
          </cell>
          <cell r="BS243">
            <v>0</v>
          </cell>
          <cell r="BT243">
            <v>0</v>
          </cell>
          <cell r="BU243">
            <v>0</v>
          </cell>
          <cell r="BV243">
            <v>0</v>
          </cell>
          <cell r="BW243">
            <v>0</v>
          </cell>
          <cell r="BX243">
            <v>0</v>
          </cell>
          <cell r="BY243">
            <v>0</v>
          </cell>
          <cell r="BZ243">
            <v>0</v>
          </cell>
          <cell r="CA243">
            <v>0</v>
          </cell>
          <cell r="CB243">
            <v>0</v>
          </cell>
          <cell r="CC243">
            <v>0</v>
          </cell>
          <cell r="CD243">
            <v>0</v>
          </cell>
          <cell r="CE243">
            <v>0</v>
          </cell>
          <cell r="CF243">
            <v>0</v>
          </cell>
          <cell r="CG243">
            <v>0</v>
          </cell>
          <cell r="CH243">
            <v>0</v>
          </cell>
          <cell r="CI243">
            <v>0</v>
          </cell>
          <cell r="CJ243">
            <v>0</v>
          </cell>
          <cell r="CK243">
            <v>0</v>
          </cell>
          <cell r="CL243">
            <v>0</v>
          </cell>
          <cell r="CM243">
            <v>0</v>
          </cell>
          <cell r="CN243">
            <v>0</v>
          </cell>
          <cell r="CO243">
            <v>0</v>
          </cell>
          <cell r="CP243">
            <v>0</v>
          </cell>
          <cell r="CQ243">
            <v>0</v>
          </cell>
          <cell r="CU243">
            <v>0</v>
          </cell>
          <cell r="CV243">
            <v>0</v>
          </cell>
          <cell r="CW243">
            <v>0</v>
          </cell>
          <cell r="CZ243" t="str">
            <v>s</v>
          </cell>
        </row>
        <row r="244">
          <cell r="A244" t="str">
            <v>GSO-15</v>
          </cell>
          <cell r="G244">
            <v>1</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cell r="BM244">
            <v>0</v>
          </cell>
          <cell r="BN244">
            <v>0</v>
          </cell>
          <cell r="BO244">
            <v>0</v>
          </cell>
          <cell r="BP244">
            <v>0</v>
          </cell>
          <cell r="BQ244">
            <v>0</v>
          </cell>
          <cell r="BR244">
            <v>0</v>
          </cell>
          <cell r="BS244">
            <v>0</v>
          </cell>
          <cell r="BT244">
            <v>0</v>
          </cell>
          <cell r="BU244">
            <v>0</v>
          </cell>
          <cell r="BV244">
            <v>0</v>
          </cell>
          <cell r="BW244">
            <v>0</v>
          </cell>
          <cell r="BX244">
            <v>16</v>
          </cell>
          <cell r="BY244">
            <v>0</v>
          </cell>
          <cell r="BZ244">
            <v>0</v>
          </cell>
          <cell r="CA244">
            <v>0</v>
          </cell>
          <cell r="CB244">
            <v>0</v>
          </cell>
          <cell r="CC244">
            <v>0</v>
          </cell>
          <cell r="CD244">
            <v>0</v>
          </cell>
          <cell r="CE244">
            <v>0</v>
          </cell>
          <cell r="CF244">
            <v>0</v>
          </cell>
          <cell r="CG244">
            <v>0</v>
          </cell>
          <cell r="CH244">
            <v>0</v>
          </cell>
          <cell r="CI244">
            <v>0</v>
          </cell>
          <cell r="CJ244">
            <v>0</v>
          </cell>
          <cell r="CK244">
            <v>0</v>
          </cell>
          <cell r="CL244">
            <v>0</v>
          </cell>
          <cell r="CM244">
            <v>0</v>
          </cell>
          <cell r="CN244">
            <v>0</v>
          </cell>
          <cell r="CO244">
            <v>0</v>
          </cell>
          <cell r="CP244">
            <v>0</v>
          </cell>
          <cell r="CQ244">
            <v>0</v>
          </cell>
          <cell r="CU244">
            <v>17</v>
          </cell>
          <cell r="CV244">
            <v>680</v>
          </cell>
          <cell r="CW244">
            <v>1.02</v>
          </cell>
          <cell r="CZ244" t="str">
            <v>s</v>
          </cell>
        </row>
        <row r="245">
          <cell r="A245" t="str">
            <v>GSO-20</v>
          </cell>
          <cell r="G245">
            <v>0</v>
          </cell>
          <cell r="H245">
            <v>0</v>
          </cell>
          <cell r="I245">
            <v>0</v>
          </cell>
          <cell r="J245">
            <v>0</v>
          </cell>
          <cell r="K245">
            <v>0</v>
          </cell>
          <cell r="L245">
            <v>1</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cell r="BM245">
            <v>0</v>
          </cell>
          <cell r="BN245">
            <v>0</v>
          </cell>
          <cell r="BO245">
            <v>0</v>
          </cell>
          <cell r="BP245">
            <v>0</v>
          </cell>
          <cell r="BQ245">
            <v>0</v>
          </cell>
          <cell r="BR245">
            <v>0</v>
          </cell>
          <cell r="BS245">
            <v>0</v>
          </cell>
          <cell r="BT245">
            <v>0</v>
          </cell>
          <cell r="BU245">
            <v>0</v>
          </cell>
          <cell r="BV245">
            <v>0</v>
          </cell>
          <cell r="BW245">
            <v>0</v>
          </cell>
          <cell r="BX245">
            <v>0</v>
          </cell>
          <cell r="BY245">
            <v>0</v>
          </cell>
          <cell r="BZ245">
            <v>0</v>
          </cell>
          <cell r="CA245">
            <v>0</v>
          </cell>
          <cell r="CB245">
            <v>0</v>
          </cell>
          <cell r="CC245">
            <v>0</v>
          </cell>
          <cell r="CD245">
            <v>0</v>
          </cell>
          <cell r="CE245">
            <v>0</v>
          </cell>
          <cell r="CF245">
            <v>0</v>
          </cell>
          <cell r="CG245">
            <v>0</v>
          </cell>
          <cell r="CH245">
            <v>0</v>
          </cell>
          <cell r="CI245">
            <v>0</v>
          </cell>
          <cell r="CJ245">
            <v>0</v>
          </cell>
          <cell r="CK245">
            <v>0</v>
          </cell>
          <cell r="CL245">
            <v>0</v>
          </cell>
          <cell r="CM245">
            <v>0</v>
          </cell>
          <cell r="CN245">
            <v>0</v>
          </cell>
          <cell r="CO245">
            <v>0</v>
          </cell>
          <cell r="CP245">
            <v>0</v>
          </cell>
          <cell r="CQ245">
            <v>0</v>
          </cell>
          <cell r="CU245">
            <v>1</v>
          </cell>
          <cell r="CV245">
            <v>65</v>
          </cell>
          <cell r="CW245">
            <v>0.09</v>
          </cell>
          <cell r="CZ245" t="str">
            <v>s</v>
          </cell>
        </row>
        <row r="246">
          <cell r="A246" t="str">
            <v>GSO-25</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cell r="BM246">
            <v>0</v>
          </cell>
          <cell r="BN246">
            <v>0</v>
          </cell>
          <cell r="BO246">
            <v>0</v>
          </cell>
          <cell r="BP246">
            <v>0</v>
          </cell>
          <cell r="BQ246">
            <v>0</v>
          </cell>
          <cell r="BR246">
            <v>0</v>
          </cell>
          <cell r="BS246">
            <v>0</v>
          </cell>
          <cell r="BT246">
            <v>0</v>
          </cell>
          <cell r="BU246">
            <v>0</v>
          </cell>
          <cell r="BV246">
            <v>0</v>
          </cell>
          <cell r="BW246">
            <v>0</v>
          </cell>
          <cell r="BX246">
            <v>0</v>
          </cell>
          <cell r="BY246">
            <v>0</v>
          </cell>
          <cell r="BZ246">
            <v>0</v>
          </cell>
          <cell r="CA246">
            <v>0</v>
          </cell>
          <cell r="CB246">
            <v>0</v>
          </cell>
          <cell r="CC246">
            <v>0</v>
          </cell>
          <cell r="CD246">
            <v>0</v>
          </cell>
          <cell r="CE246">
            <v>0</v>
          </cell>
          <cell r="CF246">
            <v>0</v>
          </cell>
          <cell r="CG246">
            <v>0</v>
          </cell>
          <cell r="CH246">
            <v>0</v>
          </cell>
          <cell r="CI246">
            <v>0</v>
          </cell>
          <cell r="CJ246">
            <v>0</v>
          </cell>
          <cell r="CK246">
            <v>0</v>
          </cell>
          <cell r="CL246">
            <v>0</v>
          </cell>
          <cell r="CM246">
            <v>0</v>
          </cell>
          <cell r="CN246">
            <v>0</v>
          </cell>
          <cell r="CO246">
            <v>0</v>
          </cell>
          <cell r="CP246">
            <v>0</v>
          </cell>
          <cell r="CQ246">
            <v>0</v>
          </cell>
          <cell r="CU246">
            <v>0</v>
          </cell>
          <cell r="CV246">
            <v>0</v>
          </cell>
          <cell r="CW246">
            <v>0</v>
          </cell>
          <cell r="CZ246" t="str">
            <v>s</v>
          </cell>
        </row>
        <row r="247">
          <cell r="A247" t="str">
            <v>GSO-32</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cell r="BM247">
            <v>0</v>
          </cell>
          <cell r="BN247">
            <v>0</v>
          </cell>
          <cell r="BO247">
            <v>0</v>
          </cell>
          <cell r="BP247">
            <v>0</v>
          </cell>
          <cell r="BQ247">
            <v>0</v>
          </cell>
          <cell r="BR247">
            <v>0</v>
          </cell>
          <cell r="BS247">
            <v>0</v>
          </cell>
          <cell r="BT247">
            <v>0</v>
          </cell>
          <cell r="BU247">
            <v>0</v>
          </cell>
          <cell r="BV247">
            <v>0</v>
          </cell>
          <cell r="BW247">
            <v>0</v>
          </cell>
          <cell r="BX247">
            <v>0</v>
          </cell>
          <cell r="BY247">
            <v>0</v>
          </cell>
          <cell r="BZ247">
            <v>0</v>
          </cell>
          <cell r="CA247">
            <v>0</v>
          </cell>
          <cell r="CB247">
            <v>0</v>
          </cell>
          <cell r="CC247">
            <v>0</v>
          </cell>
          <cell r="CD247">
            <v>0</v>
          </cell>
          <cell r="CE247">
            <v>0</v>
          </cell>
          <cell r="CF247">
            <v>0</v>
          </cell>
          <cell r="CG247">
            <v>0</v>
          </cell>
          <cell r="CH247">
            <v>0</v>
          </cell>
          <cell r="CI247">
            <v>0</v>
          </cell>
          <cell r="CJ247">
            <v>0</v>
          </cell>
          <cell r="CK247">
            <v>0</v>
          </cell>
          <cell r="CL247">
            <v>0</v>
          </cell>
          <cell r="CM247">
            <v>0</v>
          </cell>
          <cell r="CN247">
            <v>0</v>
          </cell>
          <cell r="CO247">
            <v>0</v>
          </cell>
          <cell r="CP247">
            <v>0</v>
          </cell>
          <cell r="CQ247">
            <v>0</v>
          </cell>
          <cell r="CU247">
            <v>0</v>
          </cell>
          <cell r="CV247">
            <v>0</v>
          </cell>
          <cell r="CW247">
            <v>0</v>
          </cell>
          <cell r="CZ247" t="str">
            <v>s</v>
          </cell>
        </row>
        <row r="248">
          <cell r="A248" t="str">
            <v>GSO-40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cell r="BM248">
            <v>0</v>
          </cell>
          <cell r="BN248">
            <v>0</v>
          </cell>
          <cell r="BO248">
            <v>0</v>
          </cell>
          <cell r="BP248">
            <v>0</v>
          </cell>
          <cell r="BQ248">
            <v>0</v>
          </cell>
          <cell r="BR248">
            <v>0</v>
          </cell>
          <cell r="BS248">
            <v>0</v>
          </cell>
          <cell r="BT248">
            <v>0</v>
          </cell>
          <cell r="BU248">
            <v>0</v>
          </cell>
          <cell r="BV248">
            <v>0</v>
          </cell>
          <cell r="BW248">
            <v>0</v>
          </cell>
          <cell r="BX248">
            <v>0</v>
          </cell>
          <cell r="BY248">
            <v>0</v>
          </cell>
          <cell r="BZ248">
            <v>0</v>
          </cell>
          <cell r="CA248">
            <v>0</v>
          </cell>
          <cell r="CB248">
            <v>0</v>
          </cell>
          <cell r="CC248">
            <v>0</v>
          </cell>
          <cell r="CD248">
            <v>0</v>
          </cell>
          <cell r="CE248">
            <v>0</v>
          </cell>
          <cell r="CF248">
            <v>0</v>
          </cell>
          <cell r="CG248">
            <v>0</v>
          </cell>
          <cell r="CH248">
            <v>0</v>
          </cell>
          <cell r="CI248">
            <v>0</v>
          </cell>
          <cell r="CJ248">
            <v>0</v>
          </cell>
          <cell r="CK248">
            <v>0</v>
          </cell>
          <cell r="CL248">
            <v>0</v>
          </cell>
          <cell r="CM248">
            <v>0</v>
          </cell>
          <cell r="CN248">
            <v>0</v>
          </cell>
          <cell r="CO248">
            <v>0</v>
          </cell>
          <cell r="CP248">
            <v>0</v>
          </cell>
          <cell r="CQ248">
            <v>0</v>
          </cell>
          <cell r="CU248">
            <v>0</v>
          </cell>
          <cell r="CV248">
            <v>0</v>
          </cell>
          <cell r="CW248">
            <v>0</v>
          </cell>
          <cell r="CZ248" t="str">
            <v>s</v>
          </cell>
        </row>
        <row r="249">
          <cell r="A249" t="str">
            <v>GSO-50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4</v>
          </cell>
          <cell r="BM249">
            <v>0</v>
          </cell>
          <cell r="BN249">
            <v>0</v>
          </cell>
          <cell r="BO249">
            <v>0</v>
          </cell>
          <cell r="BP249">
            <v>0</v>
          </cell>
          <cell r="BQ249">
            <v>0</v>
          </cell>
          <cell r="BR249">
            <v>0</v>
          </cell>
          <cell r="BS249">
            <v>0</v>
          </cell>
          <cell r="BT249">
            <v>0</v>
          </cell>
          <cell r="BU249">
            <v>0</v>
          </cell>
          <cell r="BV249">
            <v>0</v>
          </cell>
          <cell r="BW249">
            <v>0</v>
          </cell>
          <cell r="BX249">
            <v>0</v>
          </cell>
          <cell r="BY249">
            <v>0</v>
          </cell>
          <cell r="BZ249">
            <v>0</v>
          </cell>
          <cell r="CA249">
            <v>0</v>
          </cell>
          <cell r="CB249">
            <v>0</v>
          </cell>
          <cell r="CC249">
            <v>0</v>
          </cell>
          <cell r="CD249">
            <v>0</v>
          </cell>
          <cell r="CE249">
            <v>0</v>
          </cell>
          <cell r="CF249">
            <v>0</v>
          </cell>
          <cell r="CG249">
            <v>0</v>
          </cell>
          <cell r="CH249">
            <v>0</v>
          </cell>
          <cell r="CI249">
            <v>0</v>
          </cell>
          <cell r="CJ249">
            <v>0</v>
          </cell>
          <cell r="CK249">
            <v>0</v>
          </cell>
          <cell r="CL249">
            <v>0</v>
          </cell>
          <cell r="CM249">
            <v>0</v>
          </cell>
          <cell r="CN249">
            <v>0</v>
          </cell>
          <cell r="CO249">
            <v>0</v>
          </cell>
          <cell r="CP249">
            <v>0</v>
          </cell>
          <cell r="CQ249">
            <v>0</v>
          </cell>
          <cell r="CU249">
            <v>4</v>
          </cell>
          <cell r="CV249">
            <v>1072</v>
          </cell>
          <cell r="CW249">
            <v>1.76</v>
          </cell>
          <cell r="CZ249" t="str">
            <v>s</v>
          </cell>
        </row>
        <row r="250">
          <cell r="A250" t="str">
            <v>GSO-63</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cell r="BM250">
            <v>0</v>
          </cell>
          <cell r="BN250">
            <v>0</v>
          </cell>
          <cell r="BO250">
            <v>0</v>
          </cell>
          <cell r="BP250">
            <v>0</v>
          </cell>
          <cell r="BQ250">
            <v>0</v>
          </cell>
          <cell r="BR250">
            <v>0</v>
          </cell>
          <cell r="BS250">
            <v>0</v>
          </cell>
          <cell r="BT250">
            <v>0</v>
          </cell>
          <cell r="BU250">
            <v>0</v>
          </cell>
          <cell r="BV250">
            <v>0</v>
          </cell>
          <cell r="BW250">
            <v>0</v>
          </cell>
          <cell r="BX250">
            <v>0</v>
          </cell>
          <cell r="BY250">
            <v>0</v>
          </cell>
          <cell r="BZ250">
            <v>0</v>
          </cell>
          <cell r="CA250">
            <v>0</v>
          </cell>
          <cell r="CB250">
            <v>0</v>
          </cell>
          <cell r="CC250">
            <v>0</v>
          </cell>
          <cell r="CD250">
            <v>0</v>
          </cell>
          <cell r="CE250">
            <v>0</v>
          </cell>
          <cell r="CF250">
            <v>0</v>
          </cell>
          <cell r="CG250">
            <v>0</v>
          </cell>
          <cell r="CH250">
            <v>0</v>
          </cell>
          <cell r="CI250">
            <v>0</v>
          </cell>
          <cell r="CJ250">
            <v>0</v>
          </cell>
          <cell r="CK250">
            <v>0</v>
          </cell>
          <cell r="CL250">
            <v>0</v>
          </cell>
          <cell r="CM250">
            <v>0</v>
          </cell>
          <cell r="CN250">
            <v>0</v>
          </cell>
          <cell r="CO250">
            <v>0</v>
          </cell>
          <cell r="CP250">
            <v>0</v>
          </cell>
          <cell r="CQ250">
            <v>0</v>
          </cell>
          <cell r="CU250">
            <v>0</v>
          </cell>
          <cell r="CV250">
            <v>0</v>
          </cell>
          <cell r="CW250">
            <v>0</v>
          </cell>
          <cell r="CZ250" t="str">
            <v>s</v>
          </cell>
        </row>
        <row r="251">
          <cell r="A251" t="str">
            <v>GSO-75</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cell r="BM251">
            <v>0</v>
          </cell>
          <cell r="BN251">
            <v>0</v>
          </cell>
          <cell r="BO251">
            <v>0</v>
          </cell>
          <cell r="BP251">
            <v>0</v>
          </cell>
          <cell r="BQ251">
            <v>0</v>
          </cell>
          <cell r="BR251">
            <v>0</v>
          </cell>
          <cell r="BS251">
            <v>0</v>
          </cell>
          <cell r="BT251">
            <v>0</v>
          </cell>
          <cell r="BU251">
            <v>0</v>
          </cell>
          <cell r="BV251">
            <v>0</v>
          </cell>
          <cell r="BW251">
            <v>0</v>
          </cell>
          <cell r="BX251">
            <v>0</v>
          </cell>
          <cell r="BY251">
            <v>0</v>
          </cell>
          <cell r="BZ251">
            <v>0</v>
          </cell>
          <cell r="CA251">
            <v>0</v>
          </cell>
          <cell r="CB251">
            <v>0</v>
          </cell>
          <cell r="CC251">
            <v>0</v>
          </cell>
          <cell r="CD251">
            <v>0</v>
          </cell>
          <cell r="CE251">
            <v>0</v>
          </cell>
          <cell r="CF251">
            <v>0</v>
          </cell>
          <cell r="CG251">
            <v>0</v>
          </cell>
          <cell r="CH251">
            <v>0</v>
          </cell>
          <cell r="CI251">
            <v>0</v>
          </cell>
          <cell r="CJ251">
            <v>0</v>
          </cell>
          <cell r="CK251">
            <v>0</v>
          </cell>
          <cell r="CL251">
            <v>0</v>
          </cell>
          <cell r="CM251">
            <v>0</v>
          </cell>
          <cell r="CN251">
            <v>0</v>
          </cell>
          <cell r="CO251">
            <v>0</v>
          </cell>
          <cell r="CP251">
            <v>0</v>
          </cell>
          <cell r="CQ251">
            <v>0</v>
          </cell>
          <cell r="CU251">
            <v>0</v>
          </cell>
          <cell r="CV251">
            <v>0</v>
          </cell>
          <cell r="CW251">
            <v>0</v>
          </cell>
          <cell r="CZ251" t="str">
            <v>s</v>
          </cell>
        </row>
        <row r="252">
          <cell r="A252" t="str">
            <v>GET-15</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1</v>
          </cell>
          <cell r="BC252">
            <v>0</v>
          </cell>
          <cell r="BD252">
            <v>0</v>
          </cell>
          <cell r="BE252">
            <v>0</v>
          </cell>
          <cell r="BF252">
            <v>0</v>
          </cell>
          <cell r="BG252">
            <v>0</v>
          </cell>
          <cell r="BH252">
            <v>0</v>
          </cell>
          <cell r="BI252">
            <v>0</v>
          </cell>
          <cell r="BJ252">
            <v>0</v>
          </cell>
          <cell r="BK252">
            <v>0</v>
          </cell>
          <cell r="BL252">
            <v>4</v>
          </cell>
          <cell r="BM252">
            <v>0</v>
          </cell>
          <cell r="BN252">
            <v>0</v>
          </cell>
          <cell r="BO252">
            <v>0</v>
          </cell>
          <cell r="BP252">
            <v>0</v>
          </cell>
          <cell r="BQ252">
            <v>0</v>
          </cell>
          <cell r="BR252">
            <v>0</v>
          </cell>
          <cell r="BS252">
            <v>0</v>
          </cell>
          <cell r="BT252">
            <v>0</v>
          </cell>
          <cell r="BU252">
            <v>0</v>
          </cell>
          <cell r="BV252">
            <v>0</v>
          </cell>
          <cell r="BW252">
            <v>0</v>
          </cell>
          <cell r="BX252">
            <v>0</v>
          </cell>
          <cell r="BY252">
            <v>0</v>
          </cell>
          <cell r="BZ252">
            <v>0</v>
          </cell>
          <cell r="CA252">
            <v>0</v>
          </cell>
          <cell r="CB252">
            <v>0</v>
          </cell>
          <cell r="CC252">
            <v>0</v>
          </cell>
          <cell r="CD252">
            <v>0</v>
          </cell>
          <cell r="CE252">
            <v>0</v>
          </cell>
          <cell r="CF252">
            <v>0</v>
          </cell>
          <cell r="CG252">
            <v>0</v>
          </cell>
          <cell r="CH252">
            <v>0</v>
          </cell>
          <cell r="CI252">
            <v>0</v>
          </cell>
          <cell r="CJ252">
            <v>0</v>
          </cell>
          <cell r="CK252">
            <v>0</v>
          </cell>
          <cell r="CL252">
            <v>0</v>
          </cell>
          <cell r="CM252">
            <v>0</v>
          </cell>
          <cell r="CN252">
            <v>0</v>
          </cell>
          <cell r="CO252">
            <v>0</v>
          </cell>
          <cell r="CP252">
            <v>0</v>
          </cell>
          <cell r="CQ252">
            <v>0</v>
          </cell>
          <cell r="CU252">
            <v>5</v>
          </cell>
          <cell r="CV252">
            <v>530</v>
          </cell>
          <cell r="CW252">
            <v>0.65</v>
          </cell>
          <cell r="CZ252" t="str">
            <v>s</v>
          </cell>
        </row>
        <row r="253">
          <cell r="A253" t="str">
            <v>GET-20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cell r="BM253">
            <v>0</v>
          </cell>
          <cell r="BN253">
            <v>0</v>
          </cell>
          <cell r="BO253">
            <v>0</v>
          </cell>
          <cell r="BP253">
            <v>0</v>
          </cell>
          <cell r="BQ253">
            <v>0</v>
          </cell>
          <cell r="BR253">
            <v>0</v>
          </cell>
          <cell r="BS253">
            <v>0</v>
          </cell>
          <cell r="BT253">
            <v>0</v>
          </cell>
          <cell r="BU253">
            <v>0</v>
          </cell>
          <cell r="BV253">
            <v>0</v>
          </cell>
          <cell r="BW253">
            <v>0</v>
          </cell>
          <cell r="BX253">
            <v>0</v>
          </cell>
          <cell r="BY253">
            <v>0</v>
          </cell>
          <cell r="BZ253">
            <v>0</v>
          </cell>
          <cell r="CA253">
            <v>0</v>
          </cell>
          <cell r="CB253">
            <v>0</v>
          </cell>
          <cell r="CC253">
            <v>0</v>
          </cell>
          <cell r="CD253">
            <v>0</v>
          </cell>
          <cell r="CE253">
            <v>0</v>
          </cell>
          <cell r="CF253">
            <v>0</v>
          </cell>
          <cell r="CG253">
            <v>0</v>
          </cell>
          <cell r="CH253">
            <v>0</v>
          </cell>
          <cell r="CI253">
            <v>0</v>
          </cell>
          <cell r="CJ253">
            <v>0</v>
          </cell>
          <cell r="CK253">
            <v>0</v>
          </cell>
          <cell r="CL253">
            <v>0</v>
          </cell>
          <cell r="CM253">
            <v>0</v>
          </cell>
          <cell r="CN253">
            <v>0</v>
          </cell>
          <cell r="CO253">
            <v>0</v>
          </cell>
          <cell r="CP253">
            <v>0</v>
          </cell>
          <cell r="CQ253">
            <v>0</v>
          </cell>
          <cell r="CU253">
            <v>0</v>
          </cell>
          <cell r="CV253">
            <v>0</v>
          </cell>
          <cell r="CW253">
            <v>0</v>
          </cell>
          <cell r="CZ253" t="str">
            <v>s</v>
          </cell>
        </row>
        <row r="254">
          <cell r="A254" t="str">
            <v>GET-25</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cell r="BM254">
            <v>0</v>
          </cell>
          <cell r="BN254">
            <v>0</v>
          </cell>
          <cell r="BO254">
            <v>0</v>
          </cell>
          <cell r="BP254">
            <v>0</v>
          </cell>
          <cell r="BQ254">
            <v>0</v>
          </cell>
          <cell r="BR254">
            <v>0</v>
          </cell>
          <cell r="BS254">
            <v>0</v>
          </cell>
          <cell r="BT254">
            <v>0</v>
          </cell>
          <cell r="BU254">
            <v>0</v>
          </cell>
          <cell r="BV254">
            <v>0</v>
          </cell>
          <cell r="BW254">
            <v>0</v>
          </cell>
          <cell r="BX254">
            <v>0</v>
          </cell>
          <cell r="BY254">
            <v>0</v>
          </cell>
          <cell r="BZ254">
            <v>0</v>
          </cell>
          <cell r="CA254">
            <v>0</v>
          </cell>
          <cell r="CB254">
            <v>0</v>
          </cell>
          <cell r="CC254">
            <v>0</v>
          </cell>
          <cell r="CD254">
            <v>0</v>
          </cell>
          <cell r="CE254">
            <v>0</v>
          </cell>
          <cell r="CF254">
            <v>0</v>
          </cell>
          <cell r="CG254">
            <v>0</v>
          </cell>
          <cell r="CH254">
            <v>0</v>
          </cell>
          <cell r="CI254">
            <v>0</v>
          </cell>
          <cell r="CJ254">
            <v>0</v>
          </cell>
          <cell r="CK254">
            <v>0</v>
          </cell>
          <cell r="CL254">
            <v>0</v>
          </cell>
          <cell r="CM254">
            <v>0</v>
          </cell>
          <cell r="CN254">
            <v>0</v>
          </cell>
          <cell r="CO254">
            <v>0</v>
          </cell>
          <cell r="CP254">
            <v>0</v>
          </cell>
          <cell r="CQ254">
            <v>0</v>
          </cell>
          <cell r="CU254">
            <v>0</v>
          </cell>
          <cell r="CV254">
            <v>0</v>
          </cell>
          <cell r="CW254">
            <v>0</v>
          </cell>
          <cell r="CZ254" t="str">
            <v>s</v>
          </cell>
        </row>
        <row r="255">
          <cell r="A255" t="str">
            <v>GET-32</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cell r="BX255">
            <v>0</v>
          </cell>
          <cell r="BY255">
            <v>0</v>
          </cell>
          <cell r="BZ255">
            <v>0</v>
          </cell>
          <cell r="CA255">
            <v>0</v>
          </cell>
          <cell r="CB255">
            <v>0</v>
          </cell>
          <cell r="CC255">
            <v>0</v>
          </cell>
          <cell r="CD255">
            <v>0</v>
          </cell>
          <cell r="CE255">
            <v>0</v>
          </cell>
          <cell r="CF255">
            <v>0</v>
          </cell>
          <cell r="CG255">
            <v>0</v>
          </cell>
          <cell r="CH255">
            <v>0</v>
          </cell>
          <cell r="CI255">
            <v>0</v>
          </cell>
          <cell r="CJ255">
            <v>0</v>
          </cell>
          <cell r="CK255">
            <v>0</v>
          </cell>
          <cell r="CL255">
            <v>0</v>
          </cell>
          <cell r="CM255">
            <v>0</v>
          </cell>
          <cell r="CN255">
            <v>0</v>
          </cell>
          <cell r="CO255">
            <v>0</v>
          </cell>
          <cell r="CP255">
            <v>0</v>
          </cell>
          <cell r="CQ255">
            <v>0</v>
          </cell>
          <cell r="CU255">
            <v>0</v>
          </cell>
          <cell r="CV255">
            <v>0</v>
          </cell>
          <cell r="CW255">
            <v>0</v>
          </cell>
          <cell r="CZ255" t="str">
            <v>s</v>
          </cell>
        </row>
        <row r="256">
          <cell r="A256" t="str">
            <v>GET-40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cell r="BM256">
            <v>0</v>
          </cell>
          <cell r="BN256">
            <v>0</v>
          </cell>
          <cell r="BO256">
            <v>0</v>
          </cell>
          <cell r="BP256">
            <v>0</v>
          </cell>
          <cell r="BQ256">
            <v>0</v>
          </cell>
          <cell r="BR256">
            <v>0</v>
          </cell>
          <cell r="BS256">
            <v>0</v>
          </cell>
          <cell r="BT256">
            <v>0</v>
          </cell>
          <cell r="BU256">
            <v>0</v>
          </cell>
          <cell r="BV256">
            <v>0</v>
          </cell>
          <cell r="BW256">
            <v>0</v>
          </cell>
          <cell r="BX256">
            <v>0</v>
          </cell>
          <cell r="BY256">
            <v>0</v>
          </cell>
          <cell r="BZ256">
            <v>0</v>
          </cell>
          <cell r="CA256">
            <v>0</v>
          </cell>
          <cell r="CB256">
            <v>0</v>
          </cell>
          <cell r="CC256">
            <v>0</v>
          </cell>
          <cell r="CD256">
            <v>0</v>
          </cell>
          <cell r="CE256">
            <v>0</v>
          </cell>
          <cell r="CF256">
            <v>0</v>
          </cell>
          <cell r="CG256">
            <v>0</v>
          </cell>
          <cell r="CH256">
            <v>0</v>
          </cell>
          <cell r="CI256">
            <v>0</v>
          </cell>
          <cell r="CJ256">
            <v>0</v>
          </cell>
          <cell r="CK256">
            <v>0</v>
          </cell>
          <cell r="CL256">
            <v>0</v>
          </cell>
          <cell r="CM256">
            <v>0</v>
          </cell>
          <cell r="CN256">
            <v>0</v>
          </cell>
          <cell r="CO256">
            <v>0</v>
          </cell>
          <cell r="CP256">
            <v>0</v>
          </cell>
          <cell r="CQ256">
            <v>0</v>
          </cell>
          <cell r="CU256">
            <v>0</v>
          </cell>
          <cell r="CV256">
            <v>0</v>
          </cell>
          <cell r="CW256">
            <v>0</v>
          </cell>
          <cell r="CZ256" t="str">
            <v>s</v>
          </cell>
        </row>
        <row r="257">
          <cell r="A257" t="str">
            <v>GET-50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cell r="BM257">
            <v>0</v>
          </cell>
          <cell r="BN257">
            <v>0</v>
          </cell>
          <cell r="BO257">
            <v>0</v>
          </cell>
          <cell r="BP257">
            <v>0</v>
          </cell>
          <cell r="BQ257">
            <v>0</v>
          </cell>
          <cell r="BR257">
            <v>0</v>
          </cell>
          <cell r="BS257">
            <v>0</v>
          </cell>
          <cell r="BT257">
            <v>0</v>
          </cell>
          <cell r="BU257">
            <v>0</v>
          </cell>
          <cell r="BV257">
            <v>0</v>
          </cell>
          <cell r="BW257">
            <v>0</v>
          </cell>
          <cell r="BX257">
            <v>0</v>
          </cell>
          <cell r="BY257">
            <v>0</v>
          </cell>
          <cell r="BZ257">
            <v>0</v>
          </cell>
          <cell r="CA257">
            <v>0</v>
          </cell>
          <cell r="CB257">
            <v>0</v>
          </cell>
          <cell r="CC257">
            <v>0</v>
          </cell>
          <cell r="CD257">
            <v>0</v>
          </cell>
          <cell r="CE257">
            <v>0</v>
          </cell>
          <cell r="CF257">
            <v>0</v>
          </cell>
          <cell r="CG257">
            <v>0</v>
          </cell>
          <cell r="CH257">
            <v>0</v>
          </cell>
          <cell r="CI257">
            <v>0</v>
          </cell>
          <cell r="CJ257">
            <v>0</v>
          </cell>
          <cell r="CK257">
            <v>0</v>
          </cell>
          <cell r="CL257">
            <v>0</v>
          </cell>
          <cell r="CM257">
            <v>0</v>
          </cell>
          <cell r="CN257">
            <v>0</v>
          </cell>
          <cell r="CO257">
            <v>0</v>
          </cell>
          <cell r="CP257">
            <v>0</v>
          </cell>
          <cell r="CQ257">
            <v>0</v>
          </cell>
          <cell r="CU257">
            <v>0</v>
          </cell>
          <cell r="CV257">
            <v>0</v>
          </cell>
          <cell r="CW257">
            <v>0</v>
          </cell>
          <cell r="CZ257" t="str">
            <v>s</v>
          </cell>
        </row>
        <row r="258">
          <cell r="A258" t="str">
            <v>GET-63</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cell r="BM258">
            <v>0</v>
          </cell>
          <cell r="BN258">
            <v>0</v>
          </cell>
          <cell r="BO258">
            <v>0</v>
          </cell>
          <cell r="BP258">
            <v>0</v>
          </cell>
          <cell r="BQ258">
            <v>0</v>
          </cell>
          <cell r="BR258">
            <v>0</v>
          </cell>
          <cell r="BS258">
            <v>0</v>
          </cell>
          <cell r="BT258">
            <v>0</v>
          </cell>
          <cell r="BU258">
            <v>0</v>
          </cell>
          <cell r="BV258">
            <v>0</v>
          </cell>
          <cell r="BW258">
            <v>0</v>
          </cell>
          <cell r="BX258">
            <v>0</v>
          </cell>
          <cell r="BY258">
            <v>0</v>
          </cell>
          <cell r="BZ258">
            <v>0</v>
          </cell>
          <cell r="CA258">
            <v>0</v>
          </cell>
          <cell r="CB258">
            <v>0</v>
          </cell>
          <cell r="CC258">
            <v>0</v>
          </cell>
          <cell r="CD258">
            <v>0</v>
          </cell>
          <cell r="CE258">
            <v>0</v>
          </cell>
          <cell r="CF258">
            <v>0</v>
          </cell>
          <cell r="CG258">
            <v>0</v>
          </cell>
          <cell r="CH258">
            <v>0</v>
          </cell>
          <cell r="CI258">
            <v>0</v>
          </cell>
          <cell r="CJ258">
            <v>0</v>
          </cell>
          <cell r="CK258">
            <v>0</v>
          </cell>
          <cell r="CL258">
            <v>0</v>
          </cell>
          <cell r="CM258">
            <v>0</v>
          </cell>
          <cell r="CN258">
            <v>0</v>
          </cell>
          <cell r="CO258">
            <v>0</v>
          </cell>
          <cell r="CP258">
            <v>0</v>
          </cell>
          <cell r="CQ258">
            <v>0</v>
          </cell>
          <cell r="CU258">
            <v>0</v>
          </cell>
          <cell r="CV258">
            <v>0</v>
          </cell>
          <cell r="CW258">
            <v>0</v>
          </cell>
          <cell r="CZ258" t="str">
            <v>s</v>
          </cell>
        </row>
        <row r="259">
          <cell r="A259" t="str">
            <v>GET-75</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cell r="BM259">
            <v>0</v>
          </cell>
          <cell r="BN259">
            <v>0</v>
          </cell>
          <cell r="BO259">
            <v>0</v>
          </cell>
          <cell r="BP259">
            <v>0</v>
          </cell>
          <cell r="BQ259">
            <v>0</v>
          </cell>
          <cell r="BR259">
            <v>0</v>
          </cell>
          <cell r="BS259">
            <v>0</v>
          </cell>
          <cell r="BT259">
            <v>0</v>
          </cell>
          <cell r="BU259">
            <v>0</v>
          </cell>
          <cell r="BV259">
            <v>0</v>
          </cell>
          <cell r="BW259">
            <v>0</v>
          </cell>
          <cell r="BX259">
            <v>0</v>
          </cell>
          <cell r="BY259">
            <v>0</v>
          </cell>
          <cell r="BZ259">
            <v>0</v>
          </cell>
          <cell r="CA259">
            <v>0</v>
          </cell>
          <cell r="CB259">
            <v>0</v>
          </cell>
          <cell r="CC259">
            <v>0</v>
          </cell>
          <cell r="CD259">
            <v>0</v>
          </cell>
          <cell r="CE259">
            <v>0</v>
          </cell>
          <cell r="CF259">
            <v>0</v>
          </cell>
          <cell r="CG259">
            <v>0</v>
          </cell>
          <cell r="CH259">
            <v>0</v>
          </cell>
          <cell r="CI259">
            <v>0</v>
          </cell>
          <cell r="CJ259">
            <v>0</v>
          </cell>
          <cell r="CK259">
            <v>0</v>
          </cell>
          <cell r="CL259">
            <v>0</v>
          </cell>
          <cell r="CM259">
            <v>0</v>
          </cell>
          <cell r="CN259">
            <v>0</v>
          </cell>
          <cell r="CO259">
            <v>0</v>
          </cell>
          <cell r="CP259">
            <v>0</v>
          </cell>
          <cell r="CQ259">
            <v>0</v>
          </cell>
          <cell r="CU259">
            <v>0</v>
          </cell>
          <cell r="CV259">
            <v>0</v>
          </cell>
          <cell r="CW259">
            <v>0</v>
          </cell>
          <cell r="CZ259" t="str">
            <v>s</v>
          </cell>
        </row>
        <row r="260">
          <cell r="A260" t="str">
            <v>GUT-20x15</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cell r="BM260">
            <v>0</v>
          </cell>
          <cell r="BN260">
            <v>0</v>
          </cell>
          <cell r="BO260">
            <v>0</v>
          </cell>
          <cell r="BP260">
            <v>0</v>
          </cell>
          <cell r="BQ260">
            <v>0</v>
          </cell>
          <cell r="BR260">
            <v>0</v>
          </cell>
          <cell r="BS260">
            <v>0</v>
          </cell>
          <cell r="BT260">
            <v>0</v>
          </cell>
          <cell r="BU260">
            <v>0</v>
          </cell>
          <cell r="BV260">
            <v>0</v>
          </cell>
          <cell r="BW260">
            <v>0</v>
          </cell>
          <cell r="BX260">
            <v>0</v>
          </cell>
          <cell r="BY260">
            <v>0</v>
          </cell>
          <cell r="BZ260">
            <v>0</v>
          </cell>
          <cell r="CA260">
            <v>0</v>
          </cell>
          <cell r="CB260">
            <v>0</v>
          </cell>
          <cell r="CC260">
            <v>0</v>
          </cell>
          <cell r="CD260">
            <v>0</v>
          </cell>
          <cell r="CE260">
            <v>0</v>
          </cell>
          <cell r="CF260">
            <v>0</v>
          </cell>
          <cell r="CG260">
            <v>0</v>
          </cell>
          <cell r="CH260">
            <v>0</v>
          </cell>
          <cell r="CI260">
            <v>0</v>
          </cell>
          <cell r="CJ260">
            <v>0</v>
          </cell>
          <cell r="CK260">
            <v>0</v>
          </cell>
          <cell r="CL260">
            <v>0</v>
          </cell>
          <cell r="CM260">
            <v>0</v>
          </cell>
          <cell r="CN260">
            <v>0</v>
          </cell>
          <cell r="CO260">
            <v>0</v>
          </cell>
          <cell r="CP260">
            <v>0</v>
          </cell>
          <cell r="CQ260">
            <v>0</v>
          </cell>
          <cell r="CU260">
            <v>0</v>
          </cell>
          <cell r="CV260">
            <v>0</v>
          </cell>
          <cell r="CW260">
            <v>0</v>
          </cell>
          <cell r="CZ260" t="str">
            <v>s</v>
          </cell>
        </row>
        <row r="261">
          <cell r="A261" t="str">
            <v>GUT-25x15</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cell r="BM261">
            <v>0</v>
          </cell>
          <cell r="BN261">
            <v>0</v>
          </cell>
          <cell r="BO261">
            <v>0</v>
          </cell>
          <cell r="BP261">
            <v>0</v>
          </cell>
          <cell r="BQ261">
            <v>0</v>
          </cell>
          <cell r="BR261">
            <v>0</v>
          </cell>
          <cell r="BS261">
            <v>0</v>
          </cell>
          <cell r="BT261">
            <v>0</v>
          </cell>
          <cell r="BU261">
            <v>0</v>
          </cell>
          <cell r="BV261">
            <v>0</v>
          </cell>
          <cell r="BW261">
            <v>0</v>
          </cell>
          <cell r="BX261">
            <v>0</v>
          </cell>
          <cell r="BY261">
            <v>0</v>
          </cell>
          <cell r="BZ261">
            <v>0</v>
          </cell>
          <cell r="CA261">
            <v>0</v>
          </cell>
          <cell r="CB261">
            <v>0</v>
          </cell>
          <cell r="CC261">
            <v>0</v>
          </cell>
          <cell r="CD261">
            <v>0</v>
          </cell>
          <cell r="CE261">
            <v>0</v>
          </cell>
          <cell r="CF261">
            <v>0</v>
          </cell>
          <cell r="CG261">
            <v>0</v>
          </cell>
          <cell r="CH261">
            <v>0</v>
          </cell>
          <cell r="CI261">
            <v>0</v>
          </cell>
          <cell r="CJ261">
            <v>0</v>
          </cell>
          <cell r="CK261">
            <v>0</v>
          </cell>
          <cell r="CL261">
            <v>0</v>
          </cell>
          <cell r="CM261">
            <v>0</v>
          </cell>
          <cell r="CN261">
            <v>0</v>
          </cell>
          <cell r="CO261">
            <v>0</v>
          </cell>
          <cell r="CP261">
            <v>0</v>
          </cell>
          <cell r="CQ261">
            <v>0</v>
          </cell>
          <cell r="CU261">
            <v>0</v>
          </cell>
          <cell r="CV261">
            <v>0</v>
          </cell>
          <cell r="CW261">
            <v>0</v>
          </cell>
          <cell r="CZ261" t="str">
            <v>s</v>
          </cell>
        </row>
        <row r="262">
          <cell r="A262" t="str">
            <v>GUT-25x20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cell r="BM262">
            <v>0</v>
          </cell>
          <cell r="BN262">
            <v>0</v>
          </cell>
          <cell r="BO262">
            <v>0</v>
          </cell>
          <cell r="BP262">
            <v>0</v>
          </cell>
          <cell r="BQ262">
            <v>0</v>
          </cell>
          <cell r="BR262">
            <v>0</v>
          </cell>
          <cell r="BS262">
            <v>0</v>
          </cell>
          <cell r="BT262">
            <v>0</v>
          </cell>
          <cell r="BU262">
            <v>0</v>
          </cell>
          <cell r="BV262">
            <v>0</v>
          </cell>
          <cell r="BW262">
            <v>0</v>
          </cell>
          <cell r="BX262">
            <v>0</v>
          </cell>
          <cell r="BY262">
            <v>0</v>
          </cell>
          <cell r="BZ262">
            <v>0</v>
          </cell>
          <cell r="CA262">
            <v>0</v>
          </cell>
          <cell r="CB262">
            <v>0</v>
          </cell>
          <cell r="CC262">
            <v>0</v>
          </cell>
          <cell r="CD262">
            <v>0</v>
          </cell>
          <cell r="CE262">
            <v>0</v>
          </cell>
          <cell r="CF262">
            <v>0</v>
          </cell>
          <cell r="CG262">
            <v>0</v>
          </cell>
          <cell r="CH262">
            <v>0</v>
          </cell>
          <cell r="CI262">
            <v>0</v>
          </cell>
          <cell r="CJ262">
            <v>0</v>
          </cell>
          <cell r="CK262">
            <v>0</v>
          </cell>
          <cell r="CL262">
            <v>0</v>
          </cell>
          <cell r="CM262">
            <v>0</v>
          </cell>
          <cell r="CN262">
            <v>0</v>
          </cell>
          <cell r="CO262">
            <v>0</v>
          </cell>
          <cell r="CP262">
            <v>0</v>
          </cell>
          <cell r="CQ262">
            <v>0</v>
          </cell>
          <cell r="CU262">
            <v>0</v>
          </cell>
          <cell r="CV262">
            <v>0</v>
          </cell>
          <cell r="CW262">
            <v>0</v>
          </cell>
          <cell r="CZ262" t="str">
            <v>s</v>
          </cell>
        </row>
        <row r="263">
          <cell r="A263" t="str">
            <v>GUT-32x15</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cell r="BM263">
            <v>0</v>
          </cell>
          <cell r="BN263">
            <v>0</v>
          </cell>
          <cell r="BO263">
            <v>0</v>
          </cell>
          <cell r="BP263">
            <v>0</v>
          </cell>
          <cell r="BQ263">
            <v>0</v>
          </cell>
          <cell r="BR263">
            <v>0</v>
          </cell>
          <cell r="BS263">
            <v>0</v>
          </cell>
          <cell r="BT263">
            <v>0</v>
          </cell>
          <cell r="BU263">
            <v>0</v>
          </cell>
          <cell r="BV263">
            <v>0</v>
          </cell>
          <cell r="BW263">
            <v>0</v>
          </cell>
          <cell r="BX263">
            <v>0</v>
          </cell>
          <cell r="BY263">
            <v>0</v>
          </cell>
          <cell r="BZ263">
            <v>0</v>
          </cell>
          <cell r="CA263">
            <v>0</v>
          </cell>
          <cell r="CB263">
            <v>0</v>
          </cell>
          <cell r="CC263">
            <v>0</v>
          </cell>
          <cell r="CD263">
            <v>0</v>
          </cell>
          <cell r="CE263">
            <v>0</v>
          </cell>
          <cell r="CF263">
            <v>0</v>
          </cell>
          <cell r="CG263">
            <v>0</v>
          </cell>
          <cell r="CH263">
            <v>0</v>
          </cell>
          <cell r="CI263">
            <v>0</v>
          </cell>
          <cell r="CJ263">
            <v>0</v>
          </cell>
          <cell r="CK263">
            <v>0</v>
          </cell>
          <cell r="CL263">
            <v>0</v>
          </cell>
          <cell r="CM263">
            <v>0</v>
          </cell>
          <cell r="CN263">
            <v>0</v>
          </cell>
          <cell r="CO263">
            <v>0</v>
          </cell>
          <cell r="CP263">
            <v>0</v>
          </cell>
          <cell r="CQ263">
            <v>0</v>
          </cell>
          <cell r="CU263">
            <v>0</v>
          </cell>
          <cell r="CV263">
            <v>0</v>
          </cell>
          <cell r="CW263">
            <v>0</v>
          </cell>
          <cell r="CZ263" t="str">
            <v>s</v>
          </cell>
        </row>
        <row r="264">
          <cell r="A264" t="str">
            <v>GUT-32x20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cell r="BM264">
            <v>0</v>
          </cell>
          <cell r="BN264">
            <v>0</v>
          </cell>
          <cell r="BO264">
            <v>0</v>
          </cell>
          <cell r="BP264">
            <v>0</v>
          </cell>
          <cell r="BQ264">
            <v>0</v>
          </cell>
          <cell r="BR264">
            <v>0</v>
          </cell>
          <cell r="BS264">
            <v>0</v>
          </cell>
          <cell r="BT264">
            <v>0</v>
          </cell>
          <cell r="BU264">
            <v>0</v>
          </cell>
          <cell r="BV264">
            <v>0</v>
          </cell>
          <cell r="BW264">
            <v>0</v>
          </cell>
          <cell r="BX264">
            <v>0</v>
          </cell>
          <cell r="BY264">
            <v>0</v>
          </cell>
          <cell r="BZ264">
            <v>0</v>
          </cell>
          <cell r="CA264">
            <v>0</v>
          </cell>
          <cell r="CB264">
            <v>0</v>
          </cell>
          <cell r="CC264">
            <v>0</v>
          </cell>
          <cell r="CD264">
            <v>0</v>
          </cell>
          <cell r="CE264">
            <v>0</v>
          </cell>
          <cell r="CF264">
            <v>0</v>
          </cell>
          <cell r="CG264">
            <v>0</v>
          </cell>
          <cell r="CH264">
            <v>0</v>
          </cell>
          <cell r="CI264">
            <v>0</v>
          </cell>
          <cell r="CJ264">
            <v>0</v>
          </cell>
          <cell r="CK264">
            <v>0</v>
          </cell>
          <cell r="CL264">
            <v>0</v>
          </cell>
          <cell r="CM264">
            <v>0</v>
          </cell>
          <cell r="CN264">
            <v>0</v>
          </cell>
          <cell r="CO264">
            <v>0</v>
          </cell>
          <cell r="CP264">
            <v>0</v>
          </cell>
          <cell r="CQ264">
            <v>0</v>
          </cell>
          <cell r="CU264">
            <v>0</v>
          </cell>
          <cell r="CV264">
            <v>0</v>
          </cell>
          <cell r="CW264">
            <v>0</v>
          </cell>
          <cell r="CZ264" t="str">
            <v>s</v>
          </cell>
        </row>
        <row r="265">
          <cell r="A265" t="str">
            <v>GUT-32x25</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cell r="BM265">
            <v>0</v>
          </cell>
          <cell r="BN265">
            <v>0</v>
          </cell>
          <cell r="BO265">
            <v>0</v>
          </cell>
          <cell r="BP265">
            <v>0</v>
          </cell>
          <cell r="BQ265">
            <v>0</v>
          </cell>
          <cell r="BR265">
            <v>0</v>
          </cell>
          <cell r="BS265">
            <v>0</v>
          </cell>
          <cell r="BT265">
            <v>0</v>
          </cell>
          <cell r="BU265">
            <v>0</v>
          </cell>
          <cell r="BV265">
            <v>0</v>
          </cell>
          <cell r="BW265">
            <v>0</v>
          </cell>
          <cell r="BX265">
            <v>0</v>
          </cell>
          <cell r="BY265">
            <v>0</v>
          </cell>
          <cell r="BZ265">
            <v>0</v>
          </cell>
          <cell r="CA265">
            <v>0</v>
          </cell>
          <cell r="CB265">
            <v>0</v>
          </cell>
          <cell r="CC265">
            <v>0</v>
          </cell>
          <cell r="CD265">
            <v>0</v>
          </cell>
          <cell r="CE265">
            <v>0</v>
          </cell>
          <cell r="CF265">
            <v>0</v>
          </cell>
          <cell r="CG265">
            <v>0</v>
          </cell>
          <cell r="CH265">
            <v>0</v>
          </cell>
          <cell r="CI265">
            <v>0</v>
          </cell>
          <cell r="CJ265">
            <v>0</v>
          </cell>
          <cell r="CK265">
            <v>0</v>
          </cell>
          <cell r="CL265">
            <v>0</v>
          </cell>
          <cell r="CM265">
            <v>0</v>
          </cell>
          <cell r="CN265">
            <v>0</v>
          </cell>
          <cell r="CO265">
            <v>0</v>
          </cell>
          <cell r="CP265">
            <v>0</v>
          </cell>
          <cell r="CQ265">
            <v>0</v>
          </cell>
          <cell r="CU265">
            <v>0</v>
          </cell>
          <cell r="CV265">
            <v>0</v>
          </cell>
          <cell r="CW265">
            <v>0</v>
          </cell>
          <cell r="CZ265" t="str">
            <v>s</v>
          </cell>
        </row>
        <row r="266">
          <cell r="A266" t="str">
            <v>GUT-40x15</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1</v>
          </cell>
          <cell r="BC266">
            <v>0</v>
          </cell>
          <cell r="BD266">
            <v>0</v>
          </cell>
          <cell r="BE266">
            <v>0</v>
          </cell>
          <cell r="BF266">
            <v>0</v>
          </cell>
          <cell r="BG266">
            <v>0</v>
          </cell>
          <cell r="BH266">
            <v>0</v>
          </cell>
          <cell r="BI266">
            <v>0</v>
          </cell>
          <cell r="BJ266">
            <v>0</v>
          </cell>
          <cell r="BK266">
            <v>0</v>
          </cell>
          <cell r="BL266">
            <v>0</v>
          </cell>
          <cell r="BM266">
            <v>0</v>
          </cell>
          <cell r="BN266">
            <v>0</v>
          </cell>
          <cell r="BO266">
            <v>0</v>
          </cell>
          <cell r="BP266">
            <v>0</v>
          </cell>
          <cell r="BQ266">
            <v>0</v>
          </cell>
          <cell r="BR266">
            <v>0</v>
          </cell>
          <cell r="BS266">
            <v>0</v>
          </cell>
          <cell r="BT266">
            <v>0</v>
          </cell>
          <cell r="BU266">
            <v>0</v>
          </cell>
          <cell r="BV266">
            <v>0</v>
          </cell>
          <cell r="BW266">
            <v>0</v>
          </cell>
          <cell r="BX266">
            <v>0</v>
          </cell>
          <cell r="BY266">
            <v>0</v>
          </cell>
          <cell r="BZ266">
            <v>0</v>
          </cell>
          <cell r="CA266">
            <v>0</v>
          </cell>
          <cell r="CB266">
            <v>0</v>
          </cell>
          <cell r="CC266">
            <v>0</v>
          </cell>
          <cell r="CD266">
            <v>0</v>
          </cell>
          <cell r="CE266">
            <v>0</v>
          </cell>
          <cell r="CF266">
            <v>0</v>
          </cell>
          <cell r="CG266">
            <v>0</v>
          </cell>
          <cell r="CH266">
            <v>0</v>
          </cell>
          <cell r="CI266">
            <v>0</v>
          </cell>
          <cell r="CJ266">
            <v>0</v>
          </cell>
          <cell r="CK266">
            <v>0</v>
          </cell>
          <cell r="CL266">
            <v>0</v>
          </cell>
          <cell r="CM266">
            <v>0</v>
          </cell>
          <cell r="CN266">
            <v>0</v>
          </cell>
          <cell r="CO266">
            <v>0</v>
          </cell>
          <cell r="CP266">
            <v>0</v>
          </cell>
          <cell r="CQ266">
            <v>0</v>
          </cell>
          <cell r="CU266">
            <v>1</v>
          </cell>
          <cell r="CV266">
            <v>217.63008999999997</v>
          </cell>
          <cell r="CW266">
            <v>0.4</v>
          </cell>
          <cell r="CZ266" t="str">
            <v>s</v>
          </cell>
        </row>
        <row r="267">
          <cell r="A267" t="str">
            <v>GUT-40x20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cell r="BM267">
            <v>0</v>
          </cell>
          <cell r="BN267">
            <v>0</v>
          </cell>
          <cell r="BO267">
            <v>0</v>
          </cell>
          <cell r="BP267">
            <v>0</v>
          </cell>
          <cell r="BQ267">
            <v>0</v>
          </cell>
          <cell r="BR267">
            <v>0</v>
          </cell>
          <cell r="BS267">
            <v>0</v>
          </cell>
          <cell r="BT267">
            <v>0</v>
          </cell>
          <cell r="BU267">
            <v>0</v>
          </cell>
          <cell r="BV267">
            <v>0</v>
          </cell>
          <cell r="BW267">
            <v>0</v>
          </cell>
          <cell r="BX267">
            <v>0</v>
          </cell>
          <cell r="BY267">
            <v>0</v>
          </cell>
          <cell r="BZ267">
            <v>0</v>
          </cell>
          <cell r="CA267">
            <v>0</v>
          </cell>
          <cell r="CB267">
            <v>0</v>
          </cell>
          <cell r="CC267">
            <v>0</v>
          </cell>
          <cell r="CD267">
            <v>0</v>
          </cell>
          <cell r="CE267">
            <v>0</v>
          </cell>
          <cell r="CF267">
            <v>0</v>
          </cell>
          <cell r="CG267">
            <v>0</v>
          </cell>
          <cell r="CH267">
            <v>0</v>
          </cell>
          <cell r="CI267">
            <v>0</v>
          </cell>
          <cell r="CJ267">
            <v>0</v>
          </cell>
          <cell r="CK267">
            <v>0</v>
          </cell>
          <cell r="CL267">
            <v>0</v>
          </cell>
          <cell r="CM267">
            <v>0</v>
          </cell>
          <cell r="CN267">
            <v>0</v>
          </cell>
          <cell r="CO267">
            <v>0</v>
          </cell>
          <cell r="CP267">
            <v>0</v>
          </cell>
          <cell r="CQ267">
            <v>0</v>
          </cell>
          <cell r="CU267">
            <v>0</v>
          </cell>
          <cell r="CV267">
            <v>0</v>
          </cell>
          <cell r="CW267">
            <v>0</v>
          </cell>
          <cell r="CZ267" t="str">
            <v>s</v>
          </cell>
        </row>
        <row r="268">
          <cell r="A268" t="str">
            <v>GUT-40x25</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cell r="BM268">
            <v>0</v>
          </cell>
          <cell r="BN268">
            <v>0</v>
          </cell>
          <cell r="BO268">
            <v>0</v>
          </cell>
          <cell r="BP268">
            <v>0</v>
          </cell>
          <cell r="BQ268">
            <v>0</v>
          </cell>
          <cell r="BR268">
            <v>0</v>
          </cell>
          <cell r="BS268">
            <v>0</v>
          </cell>
          <cell r="BT268">
            <v>0</v>
          </cell>
          <cell r="BU268">
            <v>0</v>
          </cell>
          <cell r="BV268">
            <v>0</v>
          </cell>
          <cell r="BW268">
            <v>0</v>
          </cell>
          <cell r="BX268">
            <v>0</v>
          </cell>
          <cell r="BY268">
            <v>0</v>
          </cell>
          <cell r="BZ268">
            <v>0</v>
          </cell>
          <cell r="CA268">
            <v>0</v>
          </cell>
          <cell r="CB268">
            <v>0</v>
          </cell>
          <cell r="CC268">
            <v>0</v>
          </cell>
          <cell r="CD268">
            <v>0</v>
          </cell>
          <cell r="CE268">
            <v>0</v>
          </cell>
          <cell r="CF268">
            <v>0</v>
          </cell>
          <cell r="CG268">
            <v>0</v>
          </cell>
          <cell r="CH268">
            <v>0</v>
          </cell>
          <cell r="CI268">
            <v>0</v>
          </cell>
          <cell r="CJ268">
            <v>0</v>
          </cell>
          <cell r="CK268">
            <v>0</v>
          </cell>
          <cell r="CL268">
            <v>0</v>
          </cell>
          <cell r="CM268">
            <v>0</v>
          </cell>
          <cell r="CN268">
            <v>0</v>
          </cell>
          <cell r="CO268">
            <v>0</v>
          </cell>
          <cell r="CP268">
            <v>0</v>
          </cell>
          <cell r="CQ268">
            <v>0</v>
          </cell>
          <cell r="CU268">
            <v>0</v>
          </cell>
          <cell r="CV268">
            <v>0</v>
          </cell>
          <cell r="CW268">
            <v>0</v>
          </cell>
          <cell r="CZ268" t="str">
            <v>s</v>
          </cell>
        </row>
        <row r="269">
          <cell r="A269" t="str">
            <v>GUT-40x30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cell r="BM269">
            <v>0</v>
          </cell>
          <cell r="BN269">
            <v>0</v>
          </cell>
          <cell r="BO269">
            <v>0</v>
          </cell>
          <cell r="BP269">
            <v>0</v>
          </cell>
          <cell r="BQ269">
            <v>0</v>
          </cell>
          <cell r="BR269">
            <v>0</v>
          </cell>
          <cell r="BS269">
            <v>0</v>
          </cell>
          <cell r="BT269">
            <v>0</v>
          </cell>
          <cell r="BU269">
            <v>0</v>
          </cell>
          <cell r="BV269">
            <v>0</v>
          </cell>
          <cell r="BW269">
            <v>0</v>
          </cell>
          <cell r="BX269">
            <v>0</v>
          </cell>
          <cell r="BY269">
            <v>0</v>
          </cell>
          <cell r="BZ269">
            <v>0</v>
          </cell>
          <cell r="CA269">
            <v>0</v>
          </cell>
          <cell r="CB269">
            <v>0</v>
          </cell>
          <cell r="CC269">
            <v>0</v>
          </cell>
          <cell r="CD269">
            <v>0</v>
          </cell>
          <cell r="CE269">
            <v>0</v>
          </cell>
          <cell r="CF269">
            <v>0</v>
          </cell>
          <cell r="CG269">
            <v>0</v>
          </cell>
          <cell r="CH269">
            <v>0</v>
          </cell>
          <cell r="CI269">
            <v>0</v>
          </cell>
          <cell r="CJ269">
            <v>0</v>
          </cell>
          <cell r="CK269">
            <v>0</v>
          </cell>
          <cell r="CL269">
            <v>0</v>
          </cell>
          <cell r="CM269">
            <v>0</v>
          </cell>
          <cell r="CN269">
            <v>0</v>
          </cell>
          <cell r="CO269">
            <v>0</v>
          </cell>
          <cell r="CP269">
            <v>0</v>
          </cell>
          <cell r="CQ269">
            <v>0</v>
          </cell>
          <cell r="CU269">
            <v>0</v>
          </cell>
          <cell r="CV269">
            <v>0</v>
          </cell>
          <cell r="CW269">
            <v>0</v>
          </cell>
          <cell r="CZ269" t="str">
            <v>s</v>
          </cell>
        </row>
        <row r="270">
          <cell r="A270" t="str">
            <v>GUT-50x15</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1</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4</v>
          </cell>
          <cell r="BM270">
            <v>0</v>
          </cell>
          <cell r="BN270">
            <v>0</v>
          </cell>
          <cell r="BO270">
            <v>0</v>
          </cell>
          <cell r="BP270">
            <v>0</v>
          </cell>
          <cell r="BQ270">
            <v>0</v>
          </cell>
          <cell r="BR270">
            <v>0</v>
          </cell>
          <cell r="BS270">
            <v>0</v>
          </cell>
          <cell r="BT270">
            <v>0</v>
          </cell>
          <cell r="BU270">
            <v>0</v>
          </cell>
          <cell r="BV270">
            <v>0</v>
          </cell>
          <cell r="BW270">
            <v>0</v>
          </cell>
          <cell r="BX270">
            <v>0</v>
          </cell>
          <cell r="BY270">
            <v>0</v>
          </cell>
          <cell r="BZ270">
            <v>0</v>
          </cell>
          <cell r="CA270">
            <v>0</v>
          </cell>
          <cell r="CB270">
            <v>0</v>
          </cell>
          <cell r="CC270">
            <v>0</v>
          </cell>
          <cell r="CD270">
            <v>0</v>
          </cell>
          <cell r="CE270">
            <v>0</v>
          </cell>
          <cell r="CF270">
            <v>0</v>
          </cell>
          <cell r="CG270">
            <v>0</v>
          </cell>
          <cell r="CH270">
            <v>0</v>
          </cell>
          <cell r="CI270">
            <v>0</v>
          </cell>
          <cell r="CJ270">
            <v>0</v>
          </cell>
          <cell r="CK270">
            <v>0</v>
          </cell>
          <cell r="CL270">
            <v>0</v>
          </cell>
          <cell r="CM270">
            <v>0</v>
          </cell>
          <cell r="CN270">
            <v>0</v>
          </cell>
          <cell r="CO270">
            <v>0</v>
          </cell>
          <cell r="CP270">
            <v>0</v>
          </cell>
          <cell r="CQ270">
            <v>0</v>
          </cell>
          <cell r="CU270">
            <v>5</v>
          </cell>
          <cell r="CV270">
            <v>1755.0255999999999</v>
          </cell>
          <cell r="CW270">
            <v>1.9</v>
          </cell>
          <cell r="CZ270" t="str">
            <v>s</v>
          </cell>
        </row>
        <row r="271">
          <cell r="A271" t="str">
            <v>GUT-50x20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cell r="BM271">
            <v>0</v>
          </cell>
          <cell r="BN271">
            <v>0</v>
          </cell>
          <cell r="BO271">
            <v>0</v>
          </cell>
          <cell r="BP271">
            <v>0</v>
          </cell>
          <cell r="BQ271">
            <v>0</v>
          </cell>
          <cell r="BR271">
            <v>0</v>
          </cell>
          <cell r="BS271">
            <v>0</v>
          </cell>
          <cell r="BT271">
            <v>0</v>
          </cell>
          <cell r="BU271">
            <v>0</v>
          </cell>
          <cell r="BV271">
            <v>0</v>
          </cell>
          <cell r="BW271">
            <v>0</v>
          </cell>
          <cell r="BX271">
            <v>0</v>
          </cell>
          <cell r="BY271">
            <v>0</v>
          </cell>
          <cell r="BZ271">
            <v>0</v>
          </cell>
          <cell r="CA271">
            <v>0</v>
          </cell>
          <cell r="CB271">
            <v>0</v>
          </cell>
          <cell r="CC271">
            <v>0</v>
          </cell>
          <cell r="CD271">
            <v>0</v>
          </cell>
          <cell r="CE271">
            <v>0</v>
          </cell>
          <cell r="CF271">
            <v>0</v>
          </cell>
          <cell r="CG271">
            <v>0</v>
          </cell>
          <cell r="CH271">
            <v>0</v>
          </cell>
          <cell r="CI271">
            <v>0</v>
          </cell>
          <cell r="CJ271">
            <v>0</v>
          </cell>
          <cell r="CK271">
            <v>0</v>
          </cell>
          <cell r="CL271">
            <v>0</v>
          </cell>
          <cell r="CM271">
            <v>0</v>
          </cell>
          <cell r="CN271">
            <v>0</v>
          </cell>
          <cell r="CO271">
            <v>0</v>
          </cell>
          <cell r="CP271">
            <v>0</v>
          </cell>
          <cell r="CQ271">
            <v>0</v>
          </cell>
          <cell r="CU271">
            <v>0</v>
          </cell>
          <cell r="CV271">
            <v>0</v>
          </cell>
          <cell r="CW271">
            <v>0</v>
          </cell>
          <cell r="CZ271" t="str">
            <v>s</v>
          </cell>
        </row>
        <row r="272">
          <cell r="A272" t="str">
            <v>GUT-50x25</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cell r="BM272">
            <v>0</v>
          </cell>
          <cell r="BN272">
            <v>0</v>
          </cell>
          <cell r="BO272">
            <v>0</v>
          </cell>
          <cell r="BP272">
            <v>0</v>
          </cell>
          <cell r="BQ272">
            <v>0</v>
          </cell>
          <cell r="BR272">
            <v>0</v>
          </cell>
          <cell r="BS272">
            <v>0</v>
          </cell>
          <cell r="BT272">
            <v>0</v>
          </cell>
          <cell r="BU272">
            <v>0</v>
          </cell>
          <cell r="BV272">
            <v>0</v>
          </cell>
          <cell r="BW272">
            <v>0</v>
          </cell>
          <cell r="BX272">
            <v>0</v>
          </cell>
          <cell r="BY272">
            <v>0</v>
          </cell>
          <cell r="BZ272">
            <v>0</v>
          </cell>
          <cell r="CA272">
            <v>0</v>
          </cell>
          <cell r="CB272">
            <v>0</v>
          </cell>
          <cell r="CC272">
            <v>0</v>
          </cell>
          <cell r="CD272">
            <v>0</v>
          </cell>
          <cell r="CE272">
            <v>0</v>
          </cell>
          <cell r="CF272">
            <v>0</v>
          </cell>
          <cell r="CG272">
            <v>0</v>
          </cell>
          <cell r="CH272">
            <v>0</v>
          </cell>
          <cell r="CI272">
            <v>0</v>
          </cell>
          <cell r="CJ272">
            <v>0</v>
          </cell>
          <cell r="CK272">
            <v>0</v>
          </cell>
          <cell r="CL272">
            <v>0</v>
          </cell>
          <cell r="CM272">
            <v>0</v>
          </cell>
          <cell r="CN272">
            <v>0</v>
          </cell>
          <cell r="CO272">
            <v>0</v>
          </cell>
          <cell r="CP272">
            <v>0</v>
          </cell>
          <cell r="CQ272">
            <v>0</v>
          </cell>
          <cell r="CU272">
            <v>0</v>
          </cell>
          <cell r="CV272">
            <v>0</v>
          </cell>
          <cell r="CW272">
            <v>0</v>
          </cell>
          <cell r="CZ272" t="str">
            <v>s</v>
          </cell>
        </row>
        <row r="273">
          <cell r="A273" t="str">
            <v>GUT-50x32</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cell r="BM273">
            <v>0</v>
          </cell>
          <cell r="BN273">
            <v>0</v>
          </cell>
          <cell r="BO273">
            <v>0</v>
          </cell>
          <cell r="BP273">
            <v>0</v>
          </cell>
          <cell r="BQ273">
            <v>0</v>
          </cell>
          <cell r="BR273">
            <v>0</v>
          </cell>
          <cell r="BS273">
            <v>0</v>
          </cell>
          <cell r="BT273">
            <v>0</v>
          </cell>
          <cell r="BU273">
            <v>0</v>
          </cell>
          <cell r="BV273">
            <v>0</v>
          </cell>
          <cell r="BW273">
            <v>0</v>
          </cell>
          <cell r="BX273">
            <v>0</v>
          </cell>
          <cell r="BY273">
            <v>0</v>
          </cell>
          <cell r="BZ273">
            <v>0</v>
          </cell>
          <cell r="CA273">
            <v>0</v>
          </cell>
          <cell r="CB273">
            <v>0</v>
          </cell>
          <cell r="CC273">
            <v>0</v>
          </cell>
          <cell r="CD273">
            <v>0</v>
          </cell>
          <cell r="CE273">
            <v>0</v>
          </cell>
          <cell r="CF273">
            <v>0</v>
          </cell>
          <cell r="CG273">
            <v>0</v>
          </cell>
          <cell r="CH273">
            <v>0</v>
          </cell>
          <cell r="CI273">
            <v>0</v>
          </cell>
          <cell r="CJ273">
            <v>0</v>
          </cell>
          <cell r="CK273">
            <v>0</v>
          </cell>
          <cell r="CL273">
            <v>0</v>
          </cell>
          <cell r="CM273">
            <v>0</v>
          </cell>
          <cell r="CN273">
            <v>0</v>
          </cell>
          <cell r="CO273">
            <v>0</v>
          </cell>
          <cell r="CP273">
            <v>0</v>
          </cell>
          <cell r="CQ273">
            <v>0</v>
          </cell>
          <cell r="CU273">
            <v>0</v>
          </cell>
          <cell r="CV273">
            <v>0</v>
          </cell>
          <cell r="CW273">
            <v>0</v>
          </cell>
          <cell r="CZ273" t="str">
            <v>s</v>
          </cell>
        </row>
        <row r="274">
          <cell r="A274" t="str">
            <v>GUT-50x40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cell r="BM274">
            <v>0</v>
          </cell>
          <cell r="BN274">
            <v>0</v>
          </cell>
          <cell r="BO274">
            <v>0</v>
          </cell>
          <cell r="BP274">
            <v>0</v>
          </cell>
          <cell r="BQ274">
            <v>0</v>
          </cell>
          <cell r="BR274">
            <v>0</v>
          </cell>
          <cell r="BS274">
            <v>0</v>
          </cell>
          <cell r="BT274">
            <v>0</v>
          </cell>
          <cell r="BU274">
            <v>0</v>
          </cell>
          <cell r="BV274">
            <v>0</v>
          </cell>
          <cell r="BW274">
            <v>0</v>
          </cell>
          <cell r="BX274">
            <v>0</v>
          </cell>
          <cell r="BY274">
            <v>0</v>
          </cell>
          <cell r="BZ274">
            <v>0</v>
          </cell>
          <cell r="CA274">
            <v>0</v>
          </cell>
          <cell r="CB274">
            <v>0</v>
          </cell>
          <cell r="CC274">
            <v>0</v>
          </cell>
          <cell r="CD274">
            <v>0</v>
          </cell>
          <cell r="CE274">
            <v>0</v>
          </cell>
          <cell r="CF274">
            <v>0</v>
          </cell>
          <cell r="CG274">
            <v>0</v>
          </cell>
          <cell r="CH274">
            <v>0</v>
          </cell>
          <cell r="CI274">
            <v>0</v>
          </cell>
          <cell r="CJ274">
            <v>0</v>
          </cell>
          <cell r="CK274">
            <v>0</v>
          </cell>
          <cell r="CL274">
            <v>0</v>
          </cell>
          <cell r="CM274">
            <v>0</v>
          </cell>
          <cell r="CN274">
            <v>0</v>
          </cell>
          <cell r="CO274">
            <v>0</v>
          </cell>
          <cell r="CP274">
            <v>0</v>
          </cell>
          <cell r="CQ274">
            <v>0</v>
          </cell>
          <cell r="CU274">
            <v>0</v>
          </cell>
          <cell r="CV274">
            <v>0</v>
          </cell>
          <cell r="CW274">
            <v>0</v>
          </cell>
          <cell r="CZ274" t="str">
            <v>s</v>
          </cell>
        </row>
        <row r="275">
          <cell r="A275" t="str">
            <v>GUT-63x15</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cell r="BM275">
            <v>0</v>
          </cell>
          <cell r="BN275">
            <v>0</v>
          </cell>
          <cell r="BO275">
            <v>0</v>
          </cell>
          <cell r="BP275">
            <v>0</v>
          </cell>
          <cell r="BQ275">
            <v>0</v>
          </cell>
          <cell r="BR275">
            <v>0</v>
          </cell>
          <cell r="BS275">
            <v>0</v>
          </cell>
          <cell r="BT275">
            <v>0</v>
          </cell>
          <cell r="BU275">
            <v>0</v>
          </cell>
          <cell r="BV275">
            <v>0</v>
          </cell>
          <cell r="BW275">
            <v>0</v>
          </cell>
          <cell r="BX275">
            <v>0</v>
          </cell>
          <cell r="BY275">
            <v>0</v>
          </cell>
          <cell r="BZ275">
            <v>0</v>
          </cell>
          <cell r="CA275">
            <v>0</v>
          </cell>
          <cell r="CB275">
            <v>0</v>
          </cell>
          <cell r="CC275">
            <v>0</v>
          </cell>
          <cell r="CD275">
            <v>0</v>
          </cell>
          <cell r="CE275">
            <v>0</v>
          </cell>
          <cell r="CF275">
            <v>0</v>
          </cell>
          <cell r="CG275">
            <v>0</v>
          </cell>
          <cell r="CH275">
            <v>0</v>
          </cell>
          <cell r="CI275">
            <v>0</v>
          </cell>
          <cell r="CJ275">
            <v>0</v>
          </cell>
          <cell r="CK275">
            <v>0</v>
          </cell>
          <cell r="CL275">
            <v>0</v>
          </cell>
          <cell r="CM275">
            <v>0</v>
          </cell>
          <cell r="CN275">
            <v>0</v>
          </cell>
          <cell r="CO275">
            <v>0</v>
          </cell>
          <cell r="CP275">
            <v>0</v>
          </cell>
          <cell r="CQ275">
            <v>0</v>
          </cell>
          <cell r="CU275">
            <v>0</v>
          </cell>
          <cell r="CV275">
            <v>0</v>
          </cell>
          <cell r="CW275">
            <v>0</v>
          </cell>
          <cell r="CZ275" t="str">
            <v>s</v>
          </cell>
        </row>
        <row r="276">
          <cell r="A276" t="str">
            <v>GUT-63x20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cell r="BM276">
            <v>0</v>
          </cell>
          <cell r="BN276">
            <v>0</v>
          </cell>
          <cell r="BO276">
            <v>0</v>
          </cell>
          <cell r="BP276">
            <v>0</v>
          </cell>
          <cell r="BQ276">
            <v>0</v>
          </cell>
          <cell r="BR276">
            <v>0</v>
          </cell>
          <cell r="BS276">
            <v>0</v>
          </cell>
          <cell r="BT276">
            <v>0</v>
          </cell>
          <cell r="BU276">
            <v>0</v>
          </cell>
          <cell r="BV276">
            <v>0</v>
          </cell>
          <cell r="BW276">
            <v>0</v>
          </cell>
          <cell r="BX276">
            <v>0</v>
          </cell>
          <cell r="BY276">
            <v>0</v>
          </cell>
          <cell r="BZ276">
            <v>0</v>
          </cell>
          <cell r="CA276">
            <v>0</v>
          </cell>
          <cell r="CB276">
            <v>0</v>
          </cell>
          <cell r="CC276">
            <v>0</v>
          </cell>
          <cell r="CD276">
            <v>0</v>
          </cell>
          <cell r="CE276">
            <v>0</v>
          </cell>
          <cell r="CF276">
            <v>0</v>
          </cell>
          <cell r="CG276">
            <v>0</v>
          </cell>
          <cell r="CH276">
            <v>0</v>
          </cell>
          <cell r="CI276">
            <v>0</v>
          </cell>
          <cell r="CJ276">
            <v>0</v>
          </cell>
          <cell r="CK276">
            <v>0</v>
          </cell>
          <cell r="CL276">
            <v>0</v>
          </cell>
          <cell r="CM276">
            <v>0</v>
          </cell>
          <cell r="CN276">
            <v>0</v>
          </cell>
          <cell r="CO276">
            <v>0</v>
          </cell>
          <cell r="CP276">
            <v>0</v>
          </cell>
          <cell r="CQ276">
            <v>0</v>
          </cell>
          <cell r="CU276">
            <v>0</v>
          </cell>
          <cell r="CV276">
            <v>0</v>
          </cell>
          <cell r="CW276">
            <v>0</v>
          </cell>
          <cell r="CZ276" t="str">
            <v>s</v>
          </cell>
        </row>
        <row r="277">
          <cell r="A277" t="str">
            <v>GUT-63x25</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cell r="BM277">
            <v>0</v>
          </cell>
          <cell r="BN277">
            <v>0</v>
          </cell>
          <cell r="BO277">
            <v>0</v>
          </cell>
          <cell r="BP277">
            <v>0</v>
          </cell>
          <cell r="BQ277">
            <v>0</v>
          </cell>
          <cell r="BR277">
            <v>0</v>
          </cell>
          <cell r="BS277">
            <v>0</v>
          </cell>
          <cell r="BT277">
            <v>0</v>
          </cell>
          <cell r="BU277">
            <v>0</v>
          </cell>
          <cell r="BV277">
            <v>0</v>
          </cell>
          <cell r="BW277">
            <v>0</v>
          </cell>
          <cell r="BX277">
            <v>0</v>
          </cell>
          <cell r="BY277">
            <v>0</v>
          </cell>
          <cell r="BZ277">
            <v>0</v>
          </cell>
          <cell r="CA277">
            <v>0</v>
          </cell>
          <cell r="CB277">
            <v>0</v>
          </cell>
          <cell r="CC277">
            <v>0</v>
          </cell>
          <cell r="CD277">
            <v>0</v>
          </cell>
          <cell r="CE277">
            <v>0</v>
          </cell>
          <cell r="CF277">
            <v>0</v>
          </cell>
          <cell r="CG277">
            <v>0</v>
          </cell>
          <cell r="CH277">
            <v>0</v>
          </cell>
          <cell r="CI277">
            <v>0</v>
          </cell>
          <cell r="CJ277">
            <v>0</v>
          </cell>
          <cell r="CK277">
            <v>0</v>
          </cell>
          <cell r="CL277">
            <v>0</v>
          </cell>
          <cell r="CM277">
            <v>0</v>
          </cell>
          <cell r="CN277">
            <v>0</v>
          </cell>
          <cell r="CO277">
            <v>0</v>
          </cell>
          <cell r="CP277">
            <v>0</v>
          </cell>
          <cell r="CQ277">
            <v>0</v>
          </cell>
          <cell r="CU277">
            <v>0</v>
          </cell>
          <cell r="CV277">
            <v>0</v>
          </cell>
          <cell r="CW277">
            <v>0</v>
          </cell>
          <cell r="CZ277" t="str">
            <v>s</v>
          </cell>
        </row>
        <row r="278">
          <cell r="A278" t="str">
            <v>GUT-63x32</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cell r="BM278">
            <v>0</v>
          </cell>
          <cell r="BN278">
            <v>0</v>
          </cell>
          <cell r="BO278">
            <v>0</v>
          </cell>
          <cell r="BP278">
            <v>0</v>
          </cell>
          <cell r="BQ278">
            <v>0</v>
          </cell>
          <cell r="BR278">
            <v>0</v>
          </cell>
          <cell r="BS278">
            <v>0</v>
          </cell>
          <cell r="BT278">
            <v>0</v>
          </cell>
          <cell r="BU278">
            <v>0</v>
          </cell>
          <cell r="BV278">
            <v>0</v>
          </cell>
          <cell r="BW278">
            <v>0</v>
          </cell>
          <cell r="BX278">
            <v>0</v>
          </cell>
          <cell r="BY278">
            <v>0</v>
          </cell>
          <cell r="BZ278">
            <v>0</v>
          </cell>
          <cell r="CA278">
            <v>0</v>
          </cell>
          <cell r="CB278">
            <v>0</v>
          </cell>
          <cell r="CC278">
            <v>0</v>
          </cell>
          <cell r="CD278">
            <v>0</v>
          </cell>
          <cell r="CE278">
            <v>0</v>
          </cell>
          <cell r="CF278">
            <v>0</v>
          </cell>
          <cell r="CG278">
            <v>0</v>
          </cell>
          <cell r="CH278">
            <v>0</v>
          </cell>
          <cell r="CI278">
            <v>0</v>
          </cell>
          <cell r="CJ278">
            <v>0</v>
          </cell>
          <cell r="CK278">
            <v>0</v>
          </cell>
          <cell r="CL278">
            <v>0</v>
          </cell>
          <cell r="CM278">
            <v>0</v>
          </cell>
          <cell r="CN278">
            <v>0</v>
          </cell>
          <cell r="CO278">
            <v>0</v>
          </cell>
          <cell r="CP278">
            <v>0</v>
          </cell>
          <cell r="CQ278">
            <v>0</v>
          </cell>
          <cell r="CU278">
            <v>0</v>
          </cell>
          <cell r="CV278">
            <v>0</v>
          </cell>
          <cell r="CW278">
            <v>0</v>
          </cell>
          <cell r="CZ278" t="str">
            <v>s</v>
          </cell>
        </row>
        <row r="279">
          <cell r="A279" t="str">
            <v>GUT-63x40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cell r="BM279">
            <v>0</v>
          </cell>
          <cell r="BN279">
            <v>0</v>
          </cell>
          <cell r="BO279">
            <v>0</v>
          </cell>
          <cell r="BP279">
            <v>0</v>
          </cell>
          <cell r="BQ279">
            <v>0</v>
          </cell>
          <cell r="BR279">
            <v>0</v>
          </cell>
          <cell r="BS279">
            <v>0</v>
          </cell>
          <cell r="BT279">
            <v>0</v>
          </cell>
          <cell r="BU279">
            <v>0</v>
          </cell>
          <cell r="BV279">
            <v>0</v>
          </cell>
          <cell r="BW279">
            <v>0</v>
          </cell>
          <cell r="BX279">
            <v>0</v>
          </cell>
          <cell r="BY279">
            <v>0</v>
          </cell>
          <cell r="BZ279">
            <v>0</v>
          </cell>
          <cell r="CA279">
            <v>0</v>
          </cell>
          <cell r="CB279">
            <v>0</v>
          </cell>
          <cell r="CC279">
            <v>0</v>
          </cell>
          <cell r="CD279">
            <v>0</v>
          </cell>
          <cell r="CE279">
            <v>0</v>
          </cell>
          <cell r="CF279">
            <v>0</v>
          </cell>
          <cell r="CG279">
            <v>0</v>
          </cell>
          <cell r="CH279">
            <v>0</v>
          </cell>
          <cell r="CI279">
            <v>0</v>
          </cell>
          <cell r="CJ279">
            <v>0</v>
          </cell>
          <cell r="CK279">
            <v>0</v>
          </cell>
          <cell r="CL279">
            <v>0</v>
          </cell>
          <cell r="CM279">
            <v>0</v>
          </cell>
          <cell r="CN279">
            <v>0</v>
          </cell>
          <cell r="CO279">
            <v>0</v>
          </cell>
          <cell r="CP279">
            <v>0</v>
          </cell>
          <cell r="CQ279">
            <v>0</v>
          </cell>
          <cell r="CU279">
            <v>0</v>
          </cell>
          <cell r="CV279">
            <v>0</v>
          </cell>
          <cell r="CW279">
            <v>0</v>
          </cell>
          <cell r="CZ279" t="str">
            <v>s</v>
          </cell>
        </row>
        <row r="280">
          <cell r="A280" t="str">
            <v>GUT-63x50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cell r="BM280">
            <v>0</v>
          </cell>
          <cell r="BN280">
            <v>0</v>
          </cell>
          <cell r="BO280">
            <v>0</v>
          </cell>
          <cell r="BP280">
            <v>0</v>
          </cell>
          <cell r="BQ280">
            <v>0</v>
          </cell>
          <cell r="BR280">
            <v>0</v>
          </cell>
          <cell r="BS280">
            <v>0</v>
          </cell>
          <cell r="BT280">
            <v>0</v>
          </cell>
          <cell r="BU280">
            <v>0</v>
          </cell>
          <cell r="BV280">
            <v>0</v>
          </cell>
          <cell r="BW280">
            <v>0</v>
          </cell>
          <cell r="BX280">
            <v>0</v>
          </cell>
          <cell r="BY280">
            <v>0</v>
          </cell>
          <cell r="BZ280">
            <v>0</v>
          </cell>
          <cell r="CA280">
            <v>0</v>
          </cell>
          <cell r="CB280">
            <v>0</v>
          </cell>
          <cell r="CC280">
            <v>0</v>
          </cell>
          <cell r="CD280">
            <v>0</v>
          </cell>
          <cell r="CE280">
            <v>0</v>
          </cell>
          <cell r="CF280">
            <v>0</v>
          </cell>
          <cell r="CG280">
            <v>0</v>
          </cell>
          <cell r="CH280">
            <v>0</v>
          </cell>
          <cell r="CI280">
            <v>0</v>
          </cell>
          <cell r="CJ280">
            <v>0</v>
          </cell>
          <cell r="CK280">
            <v>0</v>
          </cell>
          <cell r="CL280">
            <v>0</v>
          </cell>
          <cell r="CM280">
            <v>0</v>
          </cell>
          <cell r="CN280">
            <v>0</v>
          </cell>
          <cell r="CO280">
            <v>0</v>
          </cell>
          <cell r="CP280">
            <v>0</v>
          </cell>
          <cell r="CQ280">
            <v>0</v>
          </cell>
          <cell r="CU280">
            <v>0</v>
          </cell>
          <cell r="CV280">
            <v>0</v>
          </cell>
          <cell r="CW280">
            <v>0</v>
          </cell>
          <cell r="CZ280" t="str">
            <v>s</v>
          </cell>
        </row>
        <row r="281">
          <cell r="A281" t="str">
            <v>GUT-75x15</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cell r="BM281">
            <v>0</v>
          </cell>
          <cell r="BN281">
            <v>0</v>
          </cell>
          <cell r="BO281">
            <v>0</v>
          </cell>
          <cell r="BP281">
            <v>0</v>
          </cell>
          <cell r="BQ281">
            <v>0</v>
          </cell>
          <cell r="BR281">
            <v>0</v>
          </cell>
          <cell r="BS281">
            <v>0</v>
          </cell>
          <cell r="BT281">
            <v>0</v>
          </cell>
          <cell r="BU281">
            <v>0</v>
          </cell>
          <cell r="BV281">
            <v>0</v>
          </cell>
          <cell r="BW281">
            <v>0</v>
          </cell>
          <cell r="BX281">
            <v>0</v>
          </cell>
          <cell r="BY281">
            <v>0</v>
          </cell>
          <cell r="BZ281">
            <v>0</v>
          </cell>
          <cell r="CA281">
            <v>0</v>
          </cell>
          <cell r="CB281">
            <v>0</v>
          </cell>
          <cell r="CC281">
            <v>0</v>
          </cell>
          <cell r="CD281">
            <v>0</v>
          </cell>
          <cell r="CE281">
            <v>0</v>
          </cell>
          <cell r="CF281">
            <v>0</v>
          </cell>
          <cell r="CG281">
            <v>0</v>
          </cell>
          <cell r="CH281">
            <v>0</v>
          </cell>
          <cell r="CI281">
            <v>0</v>
          </cell>
          <cell r="CJ281">
            <v>0</v>
          </cell>
          <cell r="CK281">
            <v>0</v>
          </cell>
          <cell r="CL281">
            <v>0</v>
          </cell>
          <cell r="CM281">
            <v>0</v>
          </cell>
          <cell r="CN281">
            <v>0</v>
          </cell>
          <cell r="CO281">
            <v>0</v>
          </cell>
          <cell r="CP281">
            <v>0</v>
          </cell>
          <cell r="CQ281">
            <v>0</v>
          </cell>
          <cell r="CU281">
            <v>0</v>
          </cell>
          <cell r="CV281">
            <v>0</v>
          </cell>
          <cell r="CW281">
            <v>0</v>
          </cell>
          <cell r="CZ281" t="str">
            <v>s</v>
          </cell>
        </row>
        <row r="282">
          <cell r="A282" t="str">
            <v>GUT-75x20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cell r="BM282">
            <v>0</v>
          </cell>
          <cell r="BN282">
            <v>0</v>
          </cell>
          <cell r="BO282">
            <v>0</v>
          </cell>
          <cell r="BP282">
            <v>0</v>
          </cell>
          <cell r="BQ282">
            <v>0</v>
          </cell>
          <cell r="BR282">
            <v>0</v>
          </cell>
          <cell r="BS282">
            <v>0</v>
          </cell>
          <cell r="BT282">
            <v>0</v>
          </cell>
          <cell r="BU282">
            <v>0</v>
          </cell>
          <cell r="BV282">
            <v>0</v>
          </cell>
          <cell r="BW282">
            <v>0</v>
          </cell>
          <cell r="BX282">
            <v>0</v>
          </cell>
          <cell r="BY282">
            <v>0</v>
          </cell>
          <cell r="BZ282">
            <v>0</v>
          </cell>
          <cell r="CA282">
            <v>0</v>
          </cell>
          <cell r="CB282">
            <v>0</v>
          </cell>
          <cell r="CC282">
            <v>0</v>
          </cell>
          <cell r="CD282">
            <v>0</v>
          </cell>
          <cell r="CE282">
            <v>0</v>
          </cell>
          <cell r="CF282">
            <v>0</v>
          </cell>
          <cell r="CG282">
            <v>0</v>
          </cell>
          <cell r="CH282">
            <v>0</v>
          </cell>
          <cell r="CI282">
            <v>0</v>
          </cell>
          <cell r="CJ282">
            <v>0</v>
          </cell>
          <cell r="CK282">
            <v>0</v>
          </cell>
          <cell r="CL282">
            <v>0</v>
          </cell>
          <cell r="CM282">
            <v>0</v>
          </cell>
          <cell r="CN282">
            <v>0</v>
          </cell>
          <cell r="CO282">
            <v>0</v>
          </cell>
          <cell r="CP282">
            <v>0</v>
          </cell>
          <cell r="CQ282">
            <v>0</v>
          </cell>
          <cell r="CU282">
            <v>0</v>
          </cell>
          <cell r="CV282">
            <v>0</v>
          </cell>
          <cell r="CW282">
            <v>0</v>
          </cell>
          <cell r="CZ282" t="str">
            <v>s</v>
          </cell>
        </row>
        <row r="283">
          <cell r="A283" t="str">
            <v>GUT-75x25</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cell r="BM283">
            <v>0</v>
          </cell>
          <cell r="BN283">
            <v>0</v>
          </cell>
          <cell r="BO283">
            <v>0</v>
          </cell>
          <cell r="BP283">
            <v>0</v>
          </cell>
          <cell r="BQ283">
            <v>0</v>
          </cell>
          <cell r="BR283">
            <v>0</v>
          </cell>
          <cell r="BS283">
            <v>0</v>
          </cell>
          <cell r="BT283">
            <v>0</v>
          </cell>
          <cell r="BU283">
            <v>0</v>
          </cell>
          <cell r="BV283">
            <v>0</v>
          </cell>
          <cell r="BW283">
            <v>0</v>
          </cell>
          <cell r="BX283">
            <v>0</v>
          </cell>
          <cell r="BY283">
            <v>0</v>
          </cell>
          <cell r="BZ283">
            <v>0</v>
          </cell>
          <cell r="CA283">
            <v>0</v>
          </cell>
          <cell r="CB283">
            <v>0</v>
          </cell>
          <cell r="CC283">
            <v>0</v>
          </cell>
          <cell r="CD283">
            <v>0</v>
          </cell>
          <cell r="CE283">
            <v>0</v>
          </cell>
          <cell r="CF283">
            <v>0</v>
          </cell>
          <cell r="CG283">
            <v>0</v>
          </cell>
          <cell r="CH283">
            <v>0</v>
          </cell>
          <cell r="CI283">
            <v>0</v>
          </cell>
          <cell r="CJ283">
            <v>0</v>
          </cell>
          <cell r="CK283">
            <v>0</v>
          </cell>
          <cell r="CL283">
            <v>0</v>
          </cell>
          <cell r="CM283">
            <v>0</v>
          </cell>
          <cell r="CN283">
            <v>0</v>
          </cell>
          <cell r="CO283">
            <v>0</v>
          </cell>
          <cell r="CP283">
            <v>0</v>
          </cell>
          <cell r="CQ283">
            <v>0</v>
          </cell>
          <cell r="CU283">
            <v>0</v>
          </cell>
          <cell r="CV283">
            <v>0</v>
          </cell>
          <cell r="CW283">
            <v>0</v>
          </cell>
          <cell r="CZ283" t="str">
            <v>s</v>
          </cell>
        </row>
        <row r="284">
          <cell r="A284" t="str">
            <v>GUT-75x32</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cell r="BM284">
            <v>0</v>
          </cell>
          <cell r="BN284">
            <v>0</v>
          </cell>
          <cell r="BO284">
            <v>0</v>
          </cell>
          <cell r="BP284">
            <v>0</v>
          </cell>
          <cell r="BQ284">
            <v>0</v>
          </cell>
          <cell r="BR284">
            <v>0</v>
          </cell>
          <cell r="BS284">
            <v>0</v>
          </cell>
          <cell r="BT284">
            <v>0</v>
          </cell>
          <cell r="BU284">
            <v>0</v>
          </cell>
          <cell r="BV284">
            <v>0</v>
          </cell>
          <cell r="BW284">
            <v>0</v>
          </cell>
          <cell r="BX284">
            <v>0</v>
          </cell>
          <cell r="BY284">
            <v>0</v>
          </cell>
          <cell r="BZ284">
            <v>0</v>
          </cell>
          <cell r="CA284">
            <v>0</v>
          </cell>
          <cell r="CB284">
            <v>0</v>
          </cell>
          <cell r="CC284">
            <v>0</v>
          </cell>
          <cell r="CD284">
            <v>0</v>
          </cell>
          <cell r="CE284">
            <v>0</v>
          </cell>
          <cell r="CF284">
            <v>0</v>
          </cell>
          <cell r="CG284">
            <v>0</v>
          </cell>
          <cell r="CH284">
            <v>0</v>
          </cell>
          <cell r="CI284">
            <v>0</v>
          </cell>
          <cell r="CJ284">
            <v>0</v>
          </cell>
          <cell r="CK284">
            <v>0</v>
          </cell>
          <cell r="CL284">
            <v>0</v>
          </cell>
          <cell r="CM284">
            <v>0</v>
          </cell>
          <cell r="CN284">
            <v>0</v>
          </cell>
          <cell r="CO284">
            <v>0</v>
          </cell>
          <cell r="CP284">
            <v>0</v>
          </cell>
          <cell r="CQ284">
            <v>0</v>
          </cell>
          <cell r="CU284">
            <v>0</v>
          </cell>
          <cell r="CV284">
            <v>0</v>
          </cell>
          <cell r="CW284">
            <v>0</v>
          </cell>
          <cell r="CZ284" t="str">
            <v>s</v>
          </cell>
        </row>
        <row r="285">
          <cell r="A285" t="str">
            <v>GUT-75x40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cell r="BM285">
            <v>0</v>
          </cell>
          <cell r="BN285">
            <v>0</v>
          </cell>
          <cell r="BO285">
            <v>0</v>
          </cell>
          <cell r="BP285">
            <v>0</v>
          </cell>
          <cell r="BQ285">
            <v>0</v>
          </cell>
          <cell r="BR285">
            <v>0</v>
          </cell>
          <cell r="BS285">
            <v>0</v>
          </cell>
          <cell r="BT285">
            <v>0</v>
          </cell>
          <cell r="BU285">
            <v>0</v>
          </cell>
          <cell r="BV285">
            <v>0</v>
          </cell>
          <cell r="BW285">
            <v>0</v>
          </cell>
          <cell r="BX285">
            <v>0</v>
          </cell>
          <cell r="BY285">
            <v>0</v>
          </cell>
          <cell r="BZ285">
            <v>0</v>
          </cell>
          <cell r="CA285">
            <v>0</v>
          </cell>
          <cell r="CB285">
            <v>0</v>
          </cell>
          <cell r="CC285">
            <v>0</v>
          </cell>
          <cell r="CD285">
            <v>0</v>
          </cell>
          <cell r="CE285">
            <v>0</v>
          </cell>
          <cell r="CF285">
            <v>0</v>
          </cell>
          <cell r="CG285">
            <v>0</v>
          </cell>
          <cell r="CH285">
            <v>0</v>
          </cell>
          <cell r="CI285">
            <v>0</v>
          </cell>
          <cell r="CJ285">
            <v>0</v>
          </cell>
          <cell r="CK285">
            <v>0</v>
          </cell>
          <cell r="CL285">
            <v>0</v>
          </cell>
          <cell r="CM285">
            <v>0</v>
          </cell>
          <cell r="CN285">
            <v>0</v>
          </cell>
          <cell r="CO285">
            <v>0</v>
          </cell>
          <cell r="CP285">
            <v>0</v>
          </cell>
          <cell r="CQ285">
            <v>0</v>
          </cell>
          <cell r="CU285">
            <v>0</v>
          </cell>
          <cell r="CV285">
            <v>0</v>
          </cell>
          <cell r="CW285">
            <v>0</v>
          </cell>
          <cell r="CZ285" t="str">
            <v>s</v>
          </cell>
        </row>
        <row r="286">
          <cell r="A286" t="str">
            <v>GUT-75x50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cell r="BM286">
            <v>0</v>
          </cell>
          <cell r="BN286">
            <v>0</v>
          </cell>
          <cell r="BO286">
            <v>0</v>
          </cell>
          <cell r="BP286">
            <v>0</v>
          </cell>
          <cell r="BQ286">
            <v>0</v>
          </cell>
          <cell r="BR286">
            <v>0</v>
          </cell>
          <cell r="BS286">
            <v>0</v>
          </cell>
          <cell r="BT286">
            <v>0</v>
          </cell>
          <cell r="BU286">
            <v>0</v>
          </cell>
          <cell r="BV286">
            <v>0</v>
          </cell>
          <cell r="BW286">
            <v>0</v>
          </cell>
          <cell r="BX286">
            <v>0</v>
          </cell>
          <cell r="BY286">
            <v>0</v>
          </cell>
          <cell r="BZ286">
            <v>0</v>
          </cell>
          <cell r="CA286">
            <v>0</v>
          </cell>
          <cell r="CB286">
            <v>0</v>
          </cell>
          <cell r="CC286">
            <v>0</v>
          </cell>
          <cell r="CD286">
            <v>0</v>
          </cell>
          <cell r="CE286">
            <v>0</v>
          </cell>
          <cell r="CF286">
            <v>0</v>
          </cell>
          <cell r="CG286">
            <v>0</v>
          </cell>
          <cell r="CH286">
            <v>0</v>
          </cell>
          <cell r="CI286">
            <v>0</v>
          </cell>
          <cell r="CJ286">
            <v>0</v>
          </cell>
          <cell r="CK286">
            <v>0</v>
          </cell>
          <cell r="CL286">
            <v>0</v>
          </cell>
          <cell r="CM286">
            <v>0</v>
          </cell>
          <cell r="CN286">
            <v>0</v>
          </cell>
          <cell r="CO286">
            <v>0</v>
          </cell>
          <cell r="CP286">
            <v>0</v>
          </cell>
          <cell r="CQ286">
            <v>0</v>
          </cell>
          <cell r="CU286">
            <v>0</v>
          </cell>
          <cell r="CV286">
            <v>0</v>
          </cell>
          <cell r="CW286">
            <v>0</v>
          </cell>
          <cell r="CZ286" t="str">
            <v>s</v>
          </cell>
        </row>
        <row r="287">
          <cell r="A287" t="str">
            <v>GUT-75x63</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cell r="BM287">
            <v>0</v>
          </cell>
          <cell r="BN287">
            <v>0</v>
          </cell>
          <cell r="BO287">
            <v>0</v>
          </cell>
          <cell r="BP287">
            <v>0</v>
          </cell>
          <cell r="BQ287">
            <v>0</v>
          </cell>
          <cell r="BR287">
            <v>0</v>
          </cell>
          <cell r="BS287">
            <v>0</v>
          </cell>
          <cell r="BT287">
            <v>0</v>
          </cell>
          <cell r="BU287">
            <v>0</v>
          </cell>
          <cell r="BV287">
            <v>0</v>
          </cell>
          <cell r="BW287">
            <v>0</v>
          </cell>
          <cell r="BX287">
            <v>0</v>
          </cell>
          <cell r="BY287">
            <v>0</v>
          </cell>
          <cell r="BZ287">
            <v>0</v>
          </cell>
          <cell r="CA287">
            <v>0</v>
          </cell>
          <cell r="CB287">
            <v>0</v>
          </cell>
          <cell r="CC287">
            <v>0</v>
          </cell>
          <cell r="CD287">
            <v>0</v>
          </cell>
          <cell r="CE287">
            <v>0</v>
          </cell>
          <cell r="CF287">
            <v>0</v>
          </cell>
          <cell r="CG287">
            <v>0</v>
          </cell>
          <cell r="CH287">
            <v>0</v>
          </cell>
          <cell r="CI287">
            <v>0</v>
          </cell>
          <cell r="CJ287">
            <v>0</v>
          </cell>
          <cell r="CK287">
            <v>0</v>
          </cell>
          <cell r="CL287">
            <v>0</v>
          </cell>
          <cell r="CM287">
            <v>0</v>
          </cell>
          <cell r="CN287">
            <v>0</v>
          </cell>
          <cell r="CO287">
            <v>0</v>
          </cell>
          <cell r="CP287">
            <v>0</v>
          </cell>
          <cell r="CQ287">
            <v>0</v>
          </cell>
          <cell r="CU287">
            <v>0</v>
          </cell>
          <cell r="CV287">
            <v>0</v>
          </cell>
          <cell r="CW287">
            <v>0</v>
          </cell>
          <cell r="CZ287" t="str">
            <v>s</v>
          </cell>
        </row>
        <row r="288">
          <cell r="A288" t="str">
            <v>GEC-15</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cell r="BM288">
            <v>0</v>
          </cell>
          <cell r="BN288">
            <v>0</v>
          </cell>
          <cell r="BO288">
            <v>0</v>
          </cell>
          <cell r="BP288">
            <v>0</v>
          </cell>
          <cell r="BQ288">
            <v>0</v>
          </cell>
          <cell r="BR288">
            <v>0</v>
          </cell>
          <cell r="BS288">
            <v>0</v>
          </cell>
          <cell r="BT288">
            <v>0</v>
          </cell>
          <cell r="BU288">
            <v>0</v>
          </cell>
          <cell r="BV288">
            <v>0</v>
          </cell>
          <cell r="BW288">
            <v>0</v>
          </cell>
          <cell r="BX288">
            <v>0</v>
          </cell>
          <cell r="BY288">
            <v>0</v>
          </cell>
          <cell r="BZ288">
            <v>0</v>
          </cell>
          <cell r="CA288">
            <v>0</v>
          </cell>
          <cell r="CB288">
            <v>0</v>
          </cell>
          <cell r="CC288">
            <v>0</v>
          </cell>
          <cell r="CD288">
            <v>0</v>
          </cell>
          <cell r="CE288">
            <v>0</v>
          </cell>
          <cell r="CF288">
            <v>0</v>
          </cell>
          <cell r="CG288">
            <v>0</v>
          </cell>
          <cell r="CH288">
            <v>0</v>
          </cell>
          <cell r="CI288">
            <v>0</v>
          </cell>
          <cell r="CJ288">
            <v>0</v>
          </cell>
          <cell r="CK288">
            <v>0</v>
          </cell>
          <cell r="CL288">
            <v>0</v>
          </cell>
          <cell r="CM288">
            <v>0</v>
          </cell>
          <cell r="CN288">
            <v>0</v>
          </cell>
          <cell r="CO288">
            <v>0</v>
          </cell>
          <cell r="CP288">
            <v>0</v>
          </cell>
          <cell r="CQ288">
            <v>0</v>
          </cell>
          <cell r="CU288">
            <v>0</v>
          </cell>
          <cell r="CV288">
            <v>0</v>
          </cell>
          <cell r="CW288">
            <v>0</v>
          </cell>
          <cell r="CZ288" t="str">
            <v>s</v>
          </cell>
        </row>
        <row r="289">
          <cell r="A289" t="str">
            <v>GEC-20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cell r="BM289">
            <v>0</v>
          </cell>
          <cell r="BN289">
            <v>0</v>
          </cell>
          <cell r="BO289">
            <v>0</v>
          </cell>
          <cell r="BP289">
            <v>0</v>
          </cell>
          <cell r="BQ289">
            <v>0</v>
          </cell>
          <cell r="BR289">
            <v>0</v>
          </cell>
          <cell r="BS289">
            <v>0</v>
          </cell>
          <cell r="BT289">
            <v>0</v>
          </cell>
          <cell r="BU289">
            <v>0</v>
          </cell>
          <cell r="BV289">
            <v>0</v>
          </cell>
          <cell r="BW289">
            <v>0</v>
          </cell>
          <cell r="BX289">
            <v>0</v>
          </cell>
          <cell r="BY289">
            <v>0</v>
          </cell>
          <cell r="BZ289">
            <v>0</v>
          </cell>
          <cell r="CA289">
            <v>0</v>
          </cell>
          <cell r="CB289">
            <v>0</v>
          </cell>
          <cell r="CC289">
            <v>0</v>
          </cell>
          <cell r="CD289">
            <v>0</v>
          </cell>
          <cell r="CE289">
            <v>0</v>
          </cell>
          <cell r="CF289">
            <v>0</v>
          </cell>
          <cell r="CG289">
            <v>0</v>
          </cell>
          <cell r="CH289">
            <v>0</v>
          </cell>
          <cell r="CI289">
            <v>0</v>
          </cell>
          <cell r="CJ289">
            <v>0</v>
          </cell>
          <cell r="CK289">
            <v>0</v>
          </cell>
          <cell r="CL289">
            <v>0</v>
          </cell>
          <cell r="CM289">
            <v>0</v>
          </cell>
          <cell r="CN289">
            <v>0</v>
          </cell>
          <cell r="CO289">
            <v>0</v>
          </cell>
          <cell r="CP289">
            <v>0</v>
          </cell>
          <cell r="CQ289">
            <v>0</v>
          </cell>
          <cell r="CU289">
            <v>0</v>
          </cell>
          <cell r="CV289">
            <v>0</v>
          </cell>
          <cell r="CW289">
            <v>0</v>
          </cell>
          <cell r="CZ289" t="str">
            <v>s</v>
          </cell>
        </row>
        <row r="290">
          <cell r="A290" t="str">
            <v>GEC-25</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cell r="BM290">
            <v>0</v>
          </cell>
          <cell r="BN290">
            <v>0</v>
          </cell>
          <cell r="BO290">
            <v>0</v>
          </cell>
          <cell r="BP290">
            <v>0</v>
          </cell>
          <cell r="BQ290">
            <v>0</v>
          </cell>
          <cell r="BR290">
            <v>0</v>
          </cell>
          <cell r="BS290">
            <v>0</v>
          </cell>
          <cell r="BT290">
            <v>0</v>
          </cell>
          <cell r="BU290">
            <v>0</v>
          </cell>
          <cell r="BV290">
            <v>0</v>
          </cell>
          <cell r="BW290">
            <v>0</v>
          </cell>
          <cell r="BX290">
            <v>0</v>
          </cell>
          <cell r="BY290">
            <v>0</v>
          </cell>
          <cell r="BZ290">
            <v>0</v>
          </cell>
          <cell r="CA290">
            <v>0</v>
          </cell>
          <cell r="CB290">
            <v>0</v>
          </cell>
          <cell r="CC290">
            <v>0</v>
          </cell>
          <cell r="CD290">
            <v>0</v>
          </cell>
          <cell r="CE290">
            <v>0</v>
          </cell>
          <cell r="CF290">
            <v>0</v>
          </cell>
          <cell r="CG290">
            <v>0</v>
          </cell>
          <cell r="CH290">
            <v>0</v>
          </cell>
          <cell r="CI290">
            <v>0</v>
          </cell>
          <cell r="CJ290">
            <v>0</v>
          </cell>
          <cell r="CK290">
            <v>0</v>
          </cell>
          <cell r="CL290">
            <v>0</v>
          </cell>
          <cell r="CM290">
            <v>0</v>
          </cell>
          <cell r="CN290">
            <v>0</v>
          </cell>
          <cell r="CO290">
            <v>0</v>
          </cell>
          <cell r="CP290">
            <v>0</v>
          </cell>
          <cell r="CQ290">
            <v>0</v>
          </cell>
          <cell r="CU290">
            <v>0</v>
          </cell>
          <cell r="CV290">
            <v>0</v>
          </cell>
          <cell r="CW290">
            <v>0</v>
          </cell>
          <cell r="CZ290" t="str">
            <v>s</v>
          </cell>
        </row>
        <row r="291">
          <cell r="A291" t="str">
            <v>GEC-32</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cell r="BM291">
            <v>0</v>
          </cell>
          <cell r="BN291">
            <v>0</v>
          </cell>
          <cell r="BO291">
            <v>0</v>
          </cell>
          <cell r="BP291">
            <v>0</v>
          </cell>
          <cell r="BQ291">
            <v>0</v>
          </cell>
          <cell r="BR291">
            <v>0</v>
          </cell>
          <cell r="BS291">
            <v>0</v>
          </cell>
          <cell r="BT291">
            <v>0</v>
          </cell>
          <cell r="BU291">
            <v>0</v>
          </cell>
          <cell r="BV291">
            <v>0</v>
          </cell>
          <cell r="BW291">
            <v>0</v>
          </cell>
          <cell r="BX291">
            <v>0</v>
          </cell>
          <cell r="BY291">
            <v>0</v>
          </cell>
          <cell r="BZ291">
            <v>0</v>
          </cell>
          <cell r="CA291">
            <v>0</v>
          </cell>
          <cell r="CB291">
            <v>0</v>
          </cell>
          <cell r="CC291">
            <v>0</v>
          </cell>
          <cell r="CD291">
            <v>0</v>
          </cell>
          <cell r="CE291">
            <v>0</v>
          </cell>
          <cell r="CF291">
            <v>0</v>
          </cell>
          <cell r="CG291">
            <v>0</v>
          </cell>
          <cell r="CH291">
            <v>0</v>
          </cell>
          <cell r="CI291">
            <v>0</v>
          </cell>
          <cell r="CJ291">
            <v>0</v>
          </cell>
          <cell r="CK291">
            <v>0</v>
          </cell>
          <cell r="CL291">
            <v>0</v>
          </cell>
          <cell r="CM291">
            <v>0</v>
          </cell>
          <cell r="CN291">
            <v>0</v>
          </cell>
          <cell r="CO291">
            <v>0</v>
          </cell>
          <cell r="CP291">
            <v>0</v>
          </cell>
          <cell r="CQ291">
            <v>0</v>
          </cell>
          <cell r="CU291">
            <v>0</v>
          </cell>
          <cell r="CV291">
            <v>0</v>
          </cell>
          <cell r="CW291">
            <v>0</v>
          </cell>
          <cell r="CZ291" t="str">
            <v>s</v>
          </cell>
        </row>
        <row r="292">
          <cell r="A292" t="str">
            <v>GEC-40</v>
          </cell>
          <cell r="G292">
            <v>0</v>
          </cell>
          <cell r="H292">
            <v>0</v>
          </cell>
          <cell r="I292">
            <v>0</v>
          </cell>
          <cell r="J292">
            <v>0</v>
          </cell>
          <cell r="K292">
            <v>0</v>
          </cell>
          <cell r="L292">
            <v>1</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cell r="BM292">
            <v>0</v>
          </cell>
          <cell r="BN292">
            <v>0</v>
          </cell>
          <cell r="BO292">
            <v>0</v>
          </cell>
          <cell r="BP292">
            <v>0</v>
          </cell>
          <cell r="BQ292">
            <v>0</v>
          </cell>
          <cell r="BR292">
            <v>0</v>
          </cell>
          <cell r="BS292">
            <v>0</v>
          </cell>
          <cell r="BT292">
            <v>0</v>
          </cell>
          <cell r="BU292">
            <v>0</v>
          </cell>
          <cell r="BV292">
            <v>0</v>
          </cell>
          <cell r="BW292">
            <v>0</v>
          </cell>
          <cell r="BX292">
            <v>0</v>
          </cell>
          <cell r="BY292">
            <v>0</v>
          </cell>
          <cell r="BZ292">
            <v>0</v>
          </cell>
          <cell r="CA292">
            <v>0</v>
          </cell>
          <cell r="CB292">
            <v>0</v>
          </cell>
          <cell r="CC292">
            <v>0</v>
          </cell>
          <cell r="CD292">
            <v>0</v>
          </cell>
          <cell r="CE292">
            <v>0</v>
          </cell>
          <cell r="CF292">
            <v>0</v>
          </cell>
          <cell r="CG292">
            <v>0</v>
          </cell>
          <cell r="CH292">
            <v>0</v>
          </cell>
          <cell r="CI292">
            <v>0</v>
          </cell>
          <cell r="CJ292">
            <v>0</v>
          </cell>
          <cell r="CK292">
            <v>0</v>
          </cell>
          <cell r="CL292">
            <v>0</v>
          </cell>
          <cell r="CM292">
            <v>0</v>
          </cell>
          <cell r="CN292">
            <v>0</v>
          </cell>
          <cell r="CO292">
            <v>0</v>
          </cell>
          <cell r="CP292">
            <v>0</v>
          </cell>
          <cell r="CQ292">
            <v>0</v>
          </cell>
          <cell r="CU292">
            <v>1</v>
          </cell>
          <cell r="CV292">
            <v>49.945999999999998</v>
          </cell>
          <cell r="CW292">
            <v>0.16</v>
          </cell>
          <cell r="CZ292" t="str">
            <v>s</v>
          </cell>
        </row>
        <row r="293">
          <cell r="A293" t="str">
            <v>GEC-50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1</v>
          </cell>
          <cell r="BC293">
            <v>0</v>
          </cell>
          <cell r="BD293">
            <v>0</v>
          </cell>
          <cell r="BE293">
            <v>0</v>
          </cell>
          <cell r="BF293">
            <v>0</v>
          </cell>
          <cell r="BG293">
            <v>0</v>
          </cell>
          <cell r="BH293">
            <v>0</v>
          </cell>
          <cell r="BI293">
            <v>0</v>
          </cell>
          <cell r="BJ293">
            <v>0</v>
          </cell>
          <cell r="BK293">
            <v>0</v>
          </cell>
          <cell r="BL293">
            <v>2</v>
          </cell>
          <cell r="BM293">
            <v>0</v>
          </cell>
          <cell r="BN293">
            <v>0</v>
          </cell>
          <cell r="BO293">
            <v>0</v>
          </cell>
          <cell r="BP293">
            <v>0</v>
          </cell>
          <cell r="BQ293">
            <v>0</v>
          </cell>
          <cell r="BR293">
            <v>0</v>
          </cell>
          <cell r="BS293">
            <v>0</v>
          </cell>
          <cell r="BT293">
            <v>0</v>
          </cell>
          <cell r="BU293">
            <v>0</v>
          </cell>
          <cell r="BV293">
            <v>0</v>
          </cell>
          <cell r="BW293">
            <v>0</v>
          </cell>
          <cell r="BX293">
            <v>0</v>
          </cell>
          <cell r="BY293">
            <v>0</v>
          </cell>
          <cell r="BZ293">
            <v>0</v>
          </cell>
          <cell r="CA293">
            <v>0</v>
          </cell>
          <cell r="CB293">
            <v>0</v>
          </cell>
          <cell r="CC293">
            <v>0</v>
          </cell>
          <cell r="CD293">
            <v>0</v>
          </cell>
          <cell r="CE293">
            <v>0</v>
          </cell>
          <cell r="CF293">
            <v>0</v>
          </cell>
          <cell r="CG293">
            <v>0</v>
          </cell>
          <cell r="CH293">
            <v>0</v>
          </cell>
          <cell r="CI293">
            <v>0</v>
          </cell>
          <cell r="CJ293">
            <v>0</v>
          </cell>
          <cell r="CK293">
            <v>0</v>
          </cell>
          <cell r="CL293">
            <v>0</v>
          </cell>
          <cell r="CM293">
            <v>0</v>
          </cell>
          <cell r="CN293">
            <v>0</v>
          </cell>
          <cell r="CO293">
            <v>0</v>
          </cell>
          <cell r="CP293">
            <v>0</v>
          </cell>
          <cell r="CQ293">
            <v>0</v>
          </cell>
          <cell r="CU293">
            <v>3</v>
          </cell>
          <cell r="CV293">
            <v>358.34333999999996</v>
          </cell>
          <cell r="CW293">
            <v>0.60000000000000009</v>
          </cell>
          <cell r="CZ293" t="str">
            <v>s</v>
          </cell>
        </row>
        <row r="294">
          <cell r="A294" t="str">
            <v>GEC-63</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cell r="BM294">
            <v>0</v>
          </cell>
          <cell r="BN294">
            <v>0</v>
          </cell>
          <cell r="BO294">
            <v>0</v>
          </cell>
          <cell r="BP294">
            <v>0</v>
          </cell>
          <cell r="BQ294">
            <v>0</v>
          </cell>
          <cell r="BR294">
            <v>0</v>
          </cell>
          <cell r="BS294">
            <v>0</v>
          </cell>
          <cell r="BT294">
            <v>0</v>
          </cell>
          <cell r="BU294">
            <v>0</v>
          </cell>
          <cell r="BV294">
            <v>0</v>
          </cell>
          <cell r="BW294">
            <v>0</v>
          </cell>
          <cell r="BX294">
            <v>0</v>
          </cell>
          <cell r="BY294">
            <v>0</v>
          </cell>
          <cell r="BZ294">
            <v>0</v>
          </cell>
          <cell r="CA294">
            <v>0</v>
          </cell>
          <cell r="CB294">
            <v>0</v>
          </cell>
          <cell r="CC294">
            <v>0</v>
          </cell>
          <cell r="CD294">
            <v>0</v>
          </cell>
          <cell r="CE294">
            <v>0</v>
          </cell>
          <cell r="CF294">
            <v>0</v>
          </cell>
          <cell r="CG294">
            <v>0</v>
          </cell>
          <cell r="CH294">
            <v>0</v>
          </cell>
          <cell r="CI294">
            <v>0</v>
          </cell>
          <cell r="CJ294">
            <v>0</v>
          </cell>
          <cell r="CK294">
            <v>0</v>
          </cell>
          <cell r="CL294">
            <v>0</v>
          </cell>
          <cell r="CM294">
            <v>0</v>
          </cell>
          <cell r="CN294">
            <v>0</v>
          </cell>
          <cell r="CO294">
            <v>0</v>
          </cell>
          <cell r="CP294">
            <v>0</v>
          </cell>
          <cell r="CQ294">
            <v>0</v>
          </cell>
          <cell r="CU294">
            <v>0</v>
          </cell>
          <cell r="CV294">
            <v>0</v>
          </cell>
          <cell r="CW294">
            <v>0</v>
          </cell>
          <cell r="CZ294" t="str">
            <v>s</v>
          </cell>
        </row>
        <row r="295">
          <cell r="A295" t="str">
            <v>GEC-75</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cell r="BM295">
            <v>0</v>
          </cell>
          <cell r="BN295">
            <v>0</v>
          </cell>
          <cell r="BO295">
            <v>0</v>
          </cell>
          <cell r="BP295">
            <v>0</v>
          </cell>
          <cell r="BQ295">
            <v>0</v>
          </cell>
          <cell r="BR295">
            <v>0</v>
          </cell>
          <cell r="BS295">
            <v>0</v>
          </cell>
          <cell r="BT295">
            <v>0</v>
          </cell>
          <cell r="BU295">
            <v>0</v>
          </cell>
          <cell r="BV295">
            <v>0</v>
          </cell>
          <cell r="BW295">
            <v>0</v>
          </cell>
          <cell r="BX295">
            <v>0</v>
          </cell>
          <cell r="BY295">
            <v>0</v>
          </cell>
          <cell r="BZ295">
            <v>0</v>
          </cell>
          <cell r="CA295">
            <v>0</v>
          </cell>
          <cell r="CB295">
            <v>0</v>
          </cell>
          <cell r="CC295">
            <v>0</v>
          </cell>
          <cell r="CD295">
            <v>0</v>
          </cell>
          <cell r="CE295">
            <v>0</v>
          </cell>
          <cell r="CF295">
            <v>0</v>
          </cell>
          <cell r="CG295">
            <v>0</v>
          </cell>
          <cell r="CH295">
            <v>0</v>
          </cell>
          <cell r="CI295">
            <v>0</v>
          </cell>
          <cell r="CJ295">
            <v>0</v>
          </cell>
          <cell r="CK295">
            <v>0</v>
          </cell>
          <cell r="CL295">
            <v>0</v>
          </cell>
          <cell r="CM295">
            <v>0</v>
          </cell>
          <cell r="CN295">
            <v>0</v>
          </cell>
          <cell r="CO295">
            <v>0</v>
          </cell>
          <cell r="CP295">
            <v>0</v>
          </cell>
          <cell r="CQ295">
            <v>0</v>
          </cell>
          <cell r="CU295">
            <v>0</v>
          </cell>
          <cell r="CV295">
            <v>0</v>
          </cell>
          <cell r="CW295">
            <v>0</v>
          </cell>
          <cell r="CZ295" t="str">
            <v>s</v>
          </cell>
        </row>
        <row r="296">
          <cell r="A296" t="str">
            <v>GFL-40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cell r="BM296">
            <v>0</v>
          </cell>
          <cell r="BN296">
            <v>0</v>
          </cell>
          <cell r="BO296">
            <v>0</v>
          </cell>
          <cell r="BP296">
            <v>0</v>
          </cell>
          <cell r="BQ296">
            <v>0</v>
          </cell>
          <cell r="BR296">
            <v>0</v>
          </cell>
          <cell r="BS296">
            <v>0</v>
          </cell>
          <cell r="BT296">
            <v>0</v>
          </cell>
          <cell r="BU296">
            <v>0</v>
          </cell>
          <cell r="BV296">
            <v>0</v>
          </cell>
          <cell r="BW296">
            <v>0</v>
          </cell>
          <cell r="BX296">
            <v>0</v>
          </cell>
          <cell r="BY296">
            <v>0</v>
          </cell>
          <cell r="BZ296">
            <v>0</v>
          </cell>
          <cell r="CA296">
            <v>0</v>
          </cell>
          <cell r="CB296">
            <v>0</v>
          </cell>
          <cell r="CC296">
            <v>0</v>
          </cell>
          <cell r="CD296">
            <v>0</v>
          </cell>
          <cell r="CE296">
            <v>0</v>
          </cell>
          <cell r="CF296">
            <v>0</v>
          </cell>
          <cell r="CG296">
            <v>0</v>
          </cell>
          <cell r="CH296">
            <v>0</v>
          </cell>
          <cell r="CI296">
            <v>0</v>
          </cell>
          <cell r="CJ296">
            <v>0</v>
          </cell>
          <cell r="CK296">
            <v>0</v>
          </cell>
          <cell r="CL296">
            <v>0</v>
          </cell>
          <cell r="CM296">
            <v>0</v>
          </cell>
          <cell r="CN296">
            <v>0</v>
          </cell>
          <cell r="CO296">
            <v>0</v>
          </cell>
          <cell r="CP296">
            <v>0</v>
          </cell>
          <cell r="CQ296">
            <v>0</v>
          </cell>
          <cell r="CU296">
            <v>0</v>
          </cell>
          <cell r="CV296">
            <v>0</v>
          </cell>
          <cell r="CW296">
            <v>0</v>
          </cell>
          <cell r="CZ296" t="str">
            <v>s</v>
          </cell>
        </row>
        <row r="297">
          <cell r="A297" t="str">
            <v>GFL-50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cell r="BM297">
            <v>0</v>
          </cell>
          <cell r="BN297">
            <v>0</v>
          </cell>
          <cell r="BO297">
            <v>0</v>
          </cell>
          <cell r="BP297">
            <v>0</v>
          </cell>
          <cell r="BQ297">
            <v>0</v>
          </cell>
          <cell r="BR297">
            <v>0</v>
          </cell>
          <cell r="BS297">
            <v>0</v>
          </cell>
          <cell r="BT297">
            <v>0</v>
          </cell>
          <cell r="BU297">
            <v>0</v>
          </cell>
          <cell r="BV297">
            <v>0</v>
          </cell>
          <cell r="BW297">
            <v>0</v>
          </cell>
          <cell r="BX297">
            <v>0</v>
          </cell>
          <cell r="BY297">
            <v>0</v>
          </cell>
          <cell r="BZ297">
            <v>0</v>
          </cell>
          <cell r="CA297">
            <v>0</v>
          </cell>
          <cell r="CB297">
            <v>0</v>
          </cell>
          <cell r="CC297">
            <v>0</v>
          </cell>
          <cell r="CD297">
            <v>0</v>
          </cell>
          <cell r="CE297">
            <v>0</v>
          </cell>
          <cell r="CF297">
            <v>0</v>
          </cell>
          <cell r="CG297">
            <v>0</v>
          </cell>
          <cell r="CH297">
            <v>0</v>
          </cell>
          <cell r="CI297">
            <v>0</v>
          </cell>
          <cell r="CJ297">
            <v>0</v>
          </cell>
          <cell r="CK297">
            <v>0</v>
          </cell>
          <cell r="CL297">
            <v>0</v>
          </cell>
          <cell r="CM297">
            <v>0</v>
          </cell>
          <cell r="CN297">
            <v>0</v>
          </cell>
          <cell r="CO297">
            <v>0</v>
          </cell>
          <cell r="CP297">
            <v>0</v>
          </cell>
          <cell r="CQ297">
            <v>0</v>
          </cell>
          <cell r="CU297">
            <v>0</v>
          </cell>
          <cell r="CV297">
            <v>0</v>
          </cell>
          <cell r="CW297">
            <v>0</v>
          </cell>
          <cell r="CZ297" t="str">
            <v>s</v>
          </cell>
        </row>
        <row r="298">
          <cell r="A298" t="str">
            <v>GFL-63</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cell r="BM298">
            <v>0</v>
          </cell>
          <cell r="BN298">
            <v>0</v>
          </cell>
          <cell r="BO298">
            <v>0</v>
          </cell>
          <cell r="BP298">
            <v>0</v>
          </cell>
          <cell r="BQ298">
            <v>0</v>
          </cell>
          <cell r="BR298">
            <v>0</v>
          </cell>
          <cell r="BS298">
            <v>0</v>
          </cell>
          <cell r="BT298">
            <v>0</v>
          </cell>
          <cell r="BU298">
            <v>0</v>
          </cell>
          <cell r="BV298">
            <v>0</v>
          </cell>
          <cell r="BW298">
            <v>0</v>
          </cell>
          <cell r="BX298">
            <v>0</v>
          </cell>
          <cell r="BY298">
            <v>0</v>
          </cell>
          <cell r="BZ298">
            <v>0</v>
          </cell>
          <cell r="CA298">
            <v>0</v>
          </cell>
          <cell r="CB298">
            <v>0</v>
          </cell>
          <cell r="CC298">
            <v>0</v>
          </cell>
          <cell r="CD298">
            <v>0</v>
          </cell>
          <cell r="CE298">
            <v>0</v>
          </cell>
          <cell r="CF298">
            <v>0</v>
          </cell>
          <cell r="CG298">
            <v>0</v>
          </cell>
          <cell r="CH298">
            <v>0</v>
          </cell>
          <cell r="CI298">
            <v>0</v>
          </cell>
          <cell r="CJ298">
            <v>0</v>
          </cell>
          <cell r="CK298">
            <v>0</v>
          </cell>
          <cell r="CL298">
            <v>0</v>
          </cell>
          <cell r="CM298">
            <v>0</v>
          </cell>
          <cell r="CN298">
            <v>0</v>
          </cell>
          <cell r="CO298">
            <v>0</v>
          </cell>
          <cell r="CP298">
            <v>0</v>
          </cell>
          <cell r="CQ298">
            <v>0</v>
          </cell>
          <cell r="CU298">
            <v>0</v>
          </cell>
          <cell r="CV298">
            <v>0</v>
          </cell>
          <cell r="CW298">
            <v>0</v>
          </cell>
          <cell r="CZ298" t="str">
            <v>s</v>
          </cell>
        </row>
        <row r="299">
          <cell r="A299" t="str">
            <v>GFL-75</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cell r="BM299">
            <v>0</v>
          </cell>
          <cell r="BN299">
            <v>0</v>
          </cell>
          <cell r="BO299">
            <v>0</v>
          </cell>
          <cell r="BP299">
            <v>0</v>
          </cell>
          <cell r="BQ299">
            <v>0</v>
          </cell>
          <cell r="BR299">
            <v>0</v>
          </cell>
          <cell r="BS299">
            <v>0</v>
          </cell>
          <cell r="BT299">
            <v>0</v>
          </cell>
          <cell r="BU299">
            <v>0</v>
          </cell>
          <cell r="BV299">
            <v>0</v>
          </cell>
          <cell r="BW299">
            <v>0</v>
          </cell>
          <cell r="BX299">
            <v>0</v>
          </cell>
          <cell r="BY299">
            <v>0</v>
          </cell>
          <cell r="BZ299">
            <v>0</v>
          </cell>
          <cell r="CA299">
            <v>0</v>
          </cell>
          <cell r="CB299">
            <v>0</v>
          </cell>
          <cell r="CC299">
            <v>0</v>
          </cell>
          <cell r="CD299">
            <v>0</v>
          </cell>
          <cell r="CE299">
            <v>0</v>
          </cell>
          <cell r="CF299">
            <v>0</v>
          </cell>
          <cell r="CG299">
            <v>0</v>
          </cell>
          <cell r="CH299">
            <v>0</v>
          </cell>
          <cell r="CI299">
            <v>0</v>
          </cell>
          <cell r="CJ299">
            <v>0</v>
          </cell>
          <cell r="CK299">
            <v>0</v>
          </cell>
          <cell r="CL299">
            <v>0</v>
          </cell>
          <cell r="CM299">
            <v>0</v>
          </cell>
          <cell r="CN299">
            <v>0</v>
          </cell>
          <cell r="CO299">
            <v>0</v>
          </cell>
          <cell r="CP299">
            <v>0</v>
          </cell>
          <cell r="CQ299">
            <v>0</v>
          </cell>
          <cell r="CU299">
            <v>0</v>
          </cell>
          <cell r="CV299">
            <v>0</v>
          </cell>
          <cell r="CW299">
            <v>0</v>
          </cell>
          <cell r="CZ299" t="str">
            <v>s</v>
          </cell>
        </row>
        <row r="300">
          <cell r="A300" t="str">
            <v>GFL-32</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cell r="BM300">
            <v>0</v>
          </cell>
          <cell r="BN300">
            <v>0</v>
          </cell>
          <cell r="BO300">
            <v>0</v>
          </cell>
          <cell r="BP300">
            <v>0</v>
          </cell>
          <cell r="BQ300">
            <v>0</v>
          </cell>
          <cell r="BR300">
            <v>0</v>
          </cell>
          <cell r="BS300">
            <v>0</v>
          </cell>
          <cell r="BT300">
            <v>0</v>
          </cell>
          <cell r="BU300">
            <v>0</v>
          </cell>
          <cell r="BV300">
            <v>0</v>
          </cell>
          <cell r="BW300">
            <v>0</v>
          </cell>
          <cell r="BX300">
            <v>0</v>
          </cell>
          <cell r="BY300">
            <v>0</v>
          </cell>
          <cell r="BZ300">
            <v>0</v>
          </cell>
          <cell r="CA300">
            <v>0</v>
          </cell>
          <cell r="CB300">
            <v>0</v>
          </cell>
          <cell r="CC300">
            <v>0</v>
          </cell>
          <cell r="CD300">
            <v>0</v>
          </cell>
          <cell r="CE300">
            <v>0</v>
          </cell>
          <cell r="CF300">
            <v>0</v>
          </cell>
          <cell r="CG300">
            <v>0</v>
          </cell>
          <cell r="CH300">
            <v>0</v>
          </cell>
          <cell r="CI300">
            <v>0</v>
          </cell>
          <cell r="CJ300">
            <v>0</v>
          </cell>
          <cell r="CK300">
            <v>0</v>
          </cell>
          <cell r="CL300">
            <v>0</v>
          </cell>
          <cell r="CM300">
            <v>0</v>
          </cell>
          <cell r="CN300">
            <v>0</v>
          </cell>
          <cell r="CO300">
            <v>0</v>
          </cell>
          <cell r="CP300">
            <v>0</v>
          </cell>
          <cell r="CQ300">
            <v>0</v>
          </cell>
          <cell r="CU300">
            <v>0</v>
          </cell>
          <cell r="CV300">
            <v>0</v>
          </cell>
          <cell r="CW300">
            <v>0</v>
          </cell>
          <cell r="CZ300" t="str">
            <v>s</v>
          </cell>
        </row>
        <row r="301">
          <cell r="A301" t="str">
            <v>GEP-15</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cell r="BM301">
            <v>0</v>
          </cell>
          <cell r="BN301">
            <v>0</v>
          </cell>
          <cell r="BO301">
            <v>0</v>
          </cell>
          <cell r="BP301">
            <v>0</v>
          </cell>
          <cell r="BQ301">
            <v>0</v>
          </cell>
          <cell r="BR301">
            <v>0</v>
          </cell>
          <cell r="BS301">
            <v>0</v>
          </cell>
          <cell r="BT301">
            <v>0</v>
          </cell>
          <cell r="BU301">
            <v>0</v>
          </cell>
          <cell r="BV301">
            <v>0</v>
          </cell>
          <cell r="BW301">
            <v>0</v>
          </cell>
          <cell r="BX301">
            <v>0</v>
          </cell>
          <cell r="BY301">
            <v>0</v>
          </cell>
          <cell r="BZ301">
            <v>0</v>
          </cell>
          <cell r="CA301">
            <v>0</v>
          </cell>
          <cell r="CB301">
            <v>0</v>
          </cell>
          <cell r="CC301">
            <v>0</v>
          </cell>
          <cell r="CD301">
            <v>0</v>
          </cell>
          <cell r="CE301">
            <v>0</v>
          </cell>
          <cell r="CF301">
            <v>0</v>
          </cell>
          <cell r="CG301">
            <v>0</v>
          </cell>
          <cell r="CH301">
            <v>0</v>
          </cell>
          <cell r="CI301">
            <v>0</v>
          </cell>
          <cell r="CJ301">
            <v>0</v>
          </cell>
          <cell r="CK301">
            <v>0</v>
          </cell>
          <cell r="CL301">
            <v>0</v>
          </cell>
          <cell r="CM301">
            <v>0</v>
          </cell>
          <cell r="CN301">
            <v>0</v>
          </cell>
          <cell r="CO301">
            <v>0</v>
          </cell>
          <cell r="CP301">
            <v>0</v>
          </cell>
          <cell r="CQ301">
            <v>0</v>
          </cell>
          <cell r="CU301">
            <v>0</v>
          </cell>
          <cell r="CV301">
            <v>0</v>
          </cell>
          <cell r="CW301">
            <v>0</v>
          </cell>
          <cell r="CZ301" t="str">
            <v>s</v>
          </cell>
        </row>
        <row r="302">
          <cell r="A302" t="str">
            <v>GEP-20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cell r="BM302">
            <v>0</v>
          </cell>
          <cell r="BN302">
            <v>0</v>
          </cell>
          <cell r="BO302">
            <v>0</v>
          </cell>
          <cell r="BP302">
            <v>0</v>
          </cell>
          <cell r="BQ302">
            <v>0</v>
          </cell>
          <cell r="BR302">
            <v>0</v>
          </cell>
          <cell r="BS302">
            <v>0</v>
          </cell>
          <cell r="BT302">
            <v>0</v>
          </cell>
          <cell r="BU302">
            <v>0</v>
          </cell>
          <cell r="BV302">
            <v>0</v>
          </cell>
          <cell r="BW302">
            <v>0</v>
          </cell>
          <cell r="BX302">
            <v>0</v>
          </cell>
          <cell r="BY302">
            <v>0</v>
          </cell>
          <cell r="BZ302">
            <v>0</v>
          </cell>
          <cell r="CA302">
            <v>0</v>
          </cell>
          <cell r="CB302">
            <v>0</v>
          </cell>
          <cell r="CC302">
            <v>0</v>
          </cell>
          <cell r="CD302">
            <v>0</v>
          </cell>
          <cell r="CE302">
            <v>0</v>
          </cell>
          <cell r="CF302">
            <v>0</v>
          </cell>
          <cell r="CG302">
            <v>0</v>
          </cell>
          <cell r="CH302">
            <v>0</v>
          </cell>
          <cell r="CI302">
            <v>0</v>
          </cell>
          <cell r="CJ302">
            <v>0</v>
          </cell>
          <cell r="CK302">
            <v>0</v>
          </cell>
          <cell r="CL302">
            <v>0</v>
          </cell>
          <cell r="CM302">
            <v>0</v>
          </cell>
          <cell r="CN302">
            <v>0</v>
          </cell>
          <cell r="CO302">
            <v>0</v>
          </cell>
          <cell r="CP302">
            <v>0</v>
          </cell>
          <cell r="CQ302">
            <v>0</v>
          </cell>
          <cell r="CU302">
            <v>0</v>
          </cell>
          <cell r="CV302">
            <v>0</v>
          </cell>
          <cell r="CW302">
            <v>0</v>
          </cell>
          <cell r="CZ302" t="str">
            <v>s</v>
          </cell>
        </row>
        <row r="303">
          <cell r="A303" t="str">
            <v>GEP-25</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cell r="BM303">
            <v>0</v>
          </cell>
          <cell r="BN303">
            <v>0</v>
          </cell>
          <cell r="BO303">
            <v>0</v>
          </cell>
          <cell r="BP303">
            <v>0</v>
          </cell>
          <cell r="BQ303">
            <v>0</v>
          </cell>
          <cell r="BR303">
            <v>0</v>
          </cell>
          <cell r="BS303">
            <v>0</v>
          </cell>
          <cell r="BT303">
            <v>0</v>
          </cell>
          <cell r="BU303">
            <v>0</v>
          </cell>
          <cell r="BV303">
            <v>0</v>
          </cell>
          <cell r="BW303">
            <v>0</v>
          </cell>
          <cell r="BX303">
            <v>0</v>
          </cell>
          <cell r="BY303">
            <v>0</v>
          </cell>
          <cell r="BZ303">
            <v>0</v>
          </cell>
          <cell r="CA303">
            <v>0</v>
          </cell>
          <cell r="CB303">
            <v>0</v>
          </cell>
          <cell r="CC303">
            <v>0</v>
          </cell>
          <cell r="CD303">
            <v>0</v>
          </cell>
          <cell r="CE303">
            <v>0</v>
          </cell>
          <cell r="CF303">
            <v>0</v>
          </cell>
          <cell r="CG303">
            <v>0</v>
          </cell>
          <cell r="CH303">
            <v>0</v>
          </cell>
          <cell r="CI303">
            <v>0</v>
          </cell>
          <cell r="CJ303">
            <v>0</v>
          </cell>
          <cell r="CK303">
            <v>0</v>
          </cell>
          <cell r="CL303">
            <v>0</v>
          </cell>
          <cell r="CM303">
            <v>0</v>
          </cell>
          <cell r="CN303">
            <v>0</v>
          </cell>
          <cell r="CO303">
            <v>0</v>
          </cell>
          <cell r="CP303">
            <v>0</v>
          </cell>
          <cell r="CQ303">
            <v>0</v>
          </cell>
          <cell r="CU303">
            <v>0</v>
          </cell>
          <cell r="CV303">
            <v>0</v>
          </cell>
          <cell r="CW303">
            <v>0</v>
          </cell>
          <cell r="CZ303" t="str">
            <v>s</v>
          </cell>
        </row>
        <row r="304">
          <cell r="A304" t="str">
            <v>GEP-32</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cell r="BM304">
            <v>0</v>
          </cell>
          <cell r="BN304">
            <v>0</v>
          </cell>
          <cell r="BO304">
            <v>0</v>
          </cell>
          <cell r="BP304">
            <v>0</v>
          </cell>
          <cell r="BQ304">
            <v>0</v>
          </cell>
          <cell r="BR304">
            <v>0</v>
          </cell>
          <cell r="BS304">
            <v>0</v>
          </cell>
          <cell r="BT304">
            <v>0</v>
          </cell>
          <cell r="BU304">
            <v>0</v>
          </cell>
          <cell r="BV304">
            <v>0</v>
          </cell>
          <cell r="BW304">
            <v>0</v>
          </cell>
          <cell r="BX304">
            <v>0</v>
          </cell>
          <cell r="BY304">
            <v>0</v>
          </cell>
          <cell r="BZ304">
            <v>0</v>
          </cell>
          <cell r="CA304">
            <v>0</v>
          </cell>
          <cell r="CB304">
            <v>0</v>
          </cell>
          <cell r="CC304">
            <v>0</v>
          </cell>
          <cell r="CD304">
            <v>0</v>
          </cell>
          <cell r="CE304">
            <v>0</v>
          </cell>
          <cell r="CF304">
            <v>0</v>
          </cell>
          <cell r="CG304">
            <v>0</v>
          </cell>
          <cell r="CH304">
            <v>0</v>
          </cell>
          <cell r="CI304">
            <v>0</v>
          </cell>
          <cell r="CJ304">
            <v>0</v>
          </cell>
          <cell r="CK304">
            <v>0</v>
          </cell>
          <cell r="CL304">
            <v>0</v>
          </cell>
          <cell r="CM304">
            <v>0</v>
          </cell>
          <cell r="CN304">
            <v>0</v>
          </cell>
          <cell r="CO304">
            <v>0</v>
          </cell>
          <cell r="CP304">
            <v>0</v>
          </cell>
          <cell r="CQ304">
            <v>0</v>
          </cell>
          <cell r="CU304">
            <v>0</v>
          </cell>
          <cell r="CV304">
            <v>0</v>
          </cell>
          <cell r="CW304">
            <v>0</v>
          </cell>
          <cell r="CZ304" t="str">
            <v>s</v>
          </cell>
        </row>
        <row r="305">
          <cell r="A305" t="str">
            <v>GEP-40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cell r="BM305">
            <v>0</v>
          </cell>
          <cell r="BN305">
            <v>0</v>
          </cell>
          <cell r="BO305">
            <v>0</v>
          </cell>
          <cell r="BP305">
            <v>0</v>
          </cell>
          <cell r="BQ305">
            <v>0</v>
          </cell>
          <cell r="BR305">
            <v>0</v>
          </cell>
          <cell r="BS305">
            <v>0</v>
          </cell>
          <cell r="BT305">
            <v>0</v>
          </cell>
          <cell r="BU305">
            <v>0</v>
          </cell>
          <cell r="BV305">
            <v>0</v>
          </cell>
          <cell r="BW305">
            <v>0</v>
          </cell>
          <cell r="BX305">
            <v>0</v>
          </cell>
          <cell r="BY305">
            <v>0</v>
          </cell>
          <cell r="BZ305">
            <v>0</v>
          </cell>
          <cell r="CA305">
            <v>0</v>
          </cell>
          <cell r="CB305">
            <v>0</v>
          </cell>
          <cell r="CC305">
            <v>0</v>
          </cell>
          <cell r="CD305">
            <v>0</v>
          </cell>
          <cell r="CE305">
            <v>0</v>
          </cell>
          <cell r="CF305">
            <v>0</v>
          </cell>
          <cell r="CG305">
            <v>0</v>
          </cell>
          <cell r="CH305">
            <v>0</v>
          </cell>
          <cell r="CI305">
            <v>0</v>
          </cell>
          <cell r="CJ305">
            <v>0</v>
          </cell>
          <cell r="CK305">
            <v>0</v>
          </cell>
          <cell r="CL305">
            <v>0</v>
          </cell>
          <cell r="CM305">
            <v>0</v>
          </cell>
          <cell r="CN305">
            <v>0</v>
          </cell>
          <cell r="CO305">
            <v>0</v>
          </cell>
          <cell r="CP305">
            <v>0</v>
          </cell>
          <cell r="CQ305">
            <v>0</v>
          </cell>
          <cell r="CU305">
            <v>0</v>
          </cell>
          <cell r="CV305">
            <v>0</v>
          </cell>
          <cell r="CW305">
            <v>0</v>
          </cell>
          <cell r="CZ305" t="str">
            <v>s</v>
          </cell>
        </row>
        <row r="306">
          <cell r="A306" t="str">
            <v>GEP-50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cell r="BM306">
            <v>0</v>
          </cell>
          <cell r="BN306">
            <v>0</v>
          </cell>
          <cell r="BO306">
            <v>0</v>
          </cell>
          <cell r="BP306">
            <v>0</v>
          </cell>
          <cell r="BQ306">
            <v>0</v>
          </cell>
          <cell r="BR306">
            <v>0</v>
          </cell>
          <cell r="BS306">
            <v>0</v>
          </cell>
          <cell r="BT306">
            <v>0</v>
          </cell>
          <cell r="BU306">
            <v>0</v>
          </cell>
          <cell r="BV306">
            <v>0</v>
          </cell>
          <cell r="BW306">
            <v>0</v>
          </cell>
          <cell r="BX306">
            <v>0</v>
          </cell>
          <cell r="BY306">
            <v>0</v>
          </cell>
          <cell r="BZ306">
            <v>0</v>
          </cell>
          <cell r="CA306">
            <v>0</v>
          </cell>
          <cell r="CB306">
            <v>0</v>
          </cell>
          <cell r="CC306">
            <v>0</v>
          </cell>
          <cell r="CD306">
            <v>0</v>
          </cell>
          <cell r="CE306">
            <v>0</v>
          </cell>
          <cell r="CF306">
            <v>0</v>
          </cell>
          <cell r="CG306">
            <v>0</v>
          </cell>
          <cell r="CH306">
            <v>0</v>
          </cell>
          <cell r="CI306">
            <v>0</v>
          </cell>
          <cell r="CJ306">
            <v>0</v>
          </cell>
          <cell r="CK306">
            <v>0</v>
          </cell>
          <cell r="CL306">
            <v>0</v>
          </cell>
          <cell r="CM306">
            <v>0</v>
          </cell>
          <cell r="CN306">
            <v>0</v>
          </cell>
          <cell r="CO306">
            <v>0</v>
          </cell>
          <cell r="CP306">
            <v>0</v>
          </cell>
          <cell r="CQ306">
            <v>0</v>
          </cell>
          <cell r="CU306">
            <v>0</v>
          </cell>
          <cell r="CV306">
            <v>0</v>
          </cell>
          <cell r="CW306">
            <v>0</v>
          </cell>
          <cell r="CZ306" t="str">
            <v>s</v>
          </cell>
        </row>
        <row r="307">
          <cell r="A307" t="str">
            <v>GEP-63</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cell r="BM307">
            <v>0</v>
          </cell>
          <cell r="BN307">
            <v>0</v>
          </cell>
          <cell r="BO307">
            <v>0</v>
          </cell>
          <cell r="BP307">
            <v>0</v>
          </cell>
          <cell r="BQ307">
            <v>0</v>
          </cell>
          <cell r="BR307">
            <v>0</v>
          </cell>
          <cell r="BS307">
            <v>0</v>
          </cell>
          <cell r="BT307">
            <v>0</v>
          </cell>
          <cell r="BU307">
            <v>0</v>
          </cell>
          <cell r="BV307">
            <v>0</v>
          </cell>
          <cell r="BW307">
            <v>0</v>
          </cell>
          <cell r="BX307">
            <v>0</v>
          </cell>
          <cell r="BY307">
            <v>0</v>
          </cell>
          <cell r="BZ307">
            <v>0</v>
          </cell>
          <cell r="CA307">
            <v>0</v>
          </cell>
          <cell r="CB307">
            <v>0</v>
          </cell>
          <cell r="CC307">
            <v>0</v>
          </cell>
          <cell r="CD307">
            <v>0</v>
          </cell>
          <cell r="CE307">
            <v>0</v>
          </cell>
          <cell r="CF307">
            <v>0</v>
          </cell>
          <cell r="CG307">
            <v>0</v>
          </cell>
          <cell r="CH307">
            <v>0</v>
          </cell>
          <cell r="CI307">
            <v>0</v>
          </cell>
          <cell r="CJ307">
            <v>0</v>
          </cell>
          <cell r="CK307">
            <v>0</v>
          </cell>
          <cell r="CL307">
            <v>0</v>
          </cell>
          <cell r="CM307">
            <v>0</v>
          </cell>
          <cell r="CN307">
            <v>0</v>
          </cell>
          <cell r="CO307">
            <v>0</v>
          </cell>
          <cell r="CP307">
            <v>0</v>
          </cell>
          <cell r="CQ307">
            <v>0</v>
          </cell>
          <cell r="CU307">
            <v>0</v>
          </cell>
          <cell r="CV307">
            <v>0</v>
          </cell>
          <cell r="CW307">
            <v>0</v>
          </cell>
          <cell r="CZ307" t="str">
            <v>s</v>
          </cell>
        </row>
        <row r="308">
          <cell r="A308" t="str">
            <v>GEP-75</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cell r="BM308">
            <v>0</v>
          </cell>
          <cell r="BN308">
            <v>0</v>
          </cell>
          <cell r="BO308">
            <v>0</v>
          </cell>
          <cell r="BP308">
            <v>0</v>
          </cell>
          <cell r="BQ308">
            <v>0</v>
          </cell>
          <cell r="BR308">
            <v>0</v>
          </cell>
          <cell r="BS308">
            <v>0</v>
          </cell>
          <cell r="BT308">
            <v>0</v>
          </cell>
          <cell r="BU308">
            <v>0</v>
          </cell>
          <cell r="BV308">
            <v>0</v>
          </cell>
          <cell r="BW308">
            <v>0</v>
          </cell>
          <cell r="BX308">
            <v>0</v>
          </cell>
          <cell r="BY308">
            <v>0</v>
          </cell>
          <cell r="BZ308">
            <v>0</v>
          </cell>
          <cell r="CA308">
            <v>0</v>
          </cell>
          <cell r="CB308">
            <v>0</v>
          </cell>
          <cell r="CC308">
            <v>0</v>
          </cell>
          <cell r="CD308">
            <v>0</v>
          </cell>
          <cell r="CE308">
            <v>0</v>
          </cell>
          <cell r="CF308">
            <v>0</v>
          </cell>
          <cell r="CG308">
            <v>0</v>
          </cell>
          <cell r="CH308">
            <v>0</v>
          </cell>
          <cell r="CI308">
            <v>0</v>
          </cell>
          <cell r="CJ308">
            <v>0</v>
          </cell>
          <cell r="CK308">
            <v>0</v>
          </cell>
          <cell r="CL308">
            <v>0</v>
          </cell>
          <cell r="CM308">
            <v>0</v>
          </cell>
          <cell r="CN308">
            <v>0</v>
          </cell>
          <cell r="CO308">
            <v>0</v>
          </cell>
          <cell r="CP308">
            <v>0</v>
          </cell>
          <cell r="CQ308">
            <v>0</v>
          </cell>
          <cell r="CU308">
            <v>0</v>
          </cell>
          <cell r="CV308">
            <v>0</v>
          </cell>
          <cell r="CW308">
            <v>0</v>
          </cell>
          <cell r="CZ308" t="str">
            <v>s</v>
          </cell>
        </row>
        <row r="309">
          <cell r="A309" t="str">
            <v>GRS-20x15</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cell r="BM309">
            <v>0</v>
          </cell>
          <cell r="BN309">
            <v>0</v>
          </cell>
          <cell r="BO309">
            <v>0</v>
          </cell>
          <cell r="BP309">
            <v>0</v>
          </cell>
          <cell r="BQ309">
            <v>0</v>
          </cell>
          <cell r="BR309">
            <v>0</v>
          </cell>
          <cell r="BS309">
            <v>0</v>
          </cell>
          <cell r="BT309">
            <v>0</v>
          </cell>
          <cell r="BU309">
            <v>0</v>
          </cell>
          <cell r="BV309">
            <v>0</v>
          </cell>
          <cell r="BW309">
            <v>0</v>
          </cell>
          <cell r="BX309">
            <v>0</v>
          </cell>
          <cell r="BY309">
            <v>0</v>
          </cell>
          <cell r="BZ309">
            <v>0</v>
          </cell>
          <cell r="CA309">
            <v>0</v>
          </cell>
          <cell r="CB309">
            <v>0</v>
          </cell>
          <cell r="CC309">
            <v>0</v>
          </cell>
          <cell r="CD309">
            <v>0</v>
          </cell>
          <cell r="CE309">
            <v>0</v>
          </cell>
          <cell r="CF309">
            <v>0</v>
          </cell>
          <cell r="CG309">
            <v>0</v>
          </cell>
          <cell r="CH309">
            <v>0</v>
          </cell>
          <cell r="CI309">
            <v>0</v>
          </cell>
          <cell r="CJ309">
            <v>0</v>
          </cell>
          <cell r="CK309">
            <v>0</v>
          </cell>
          <cell r="CL309">
            <v>0</v>
          </cell>
          <cell r="CM309">
            <v>0</v>
          </cell>
          <cell r="CN309">
            <v>0</v>
          </cell>
          <cell r="CO309">
            <v>0</v>
          </cell>
          <cell r="CP309">
            <v>0</v>
          </cell>
          <cell r="CQ309">
            <v>0</v>
          </cell>
          <cell r="CU309">
            <v>0</v>
          </cell>
          <cell r="CV309">
            <v>0</v>
          </cell>
          <cell r="CW309">
            <v>0</v>
          </cell>
          <cell r="CZ309" t="str">
            <v>s</v>
          </cell>
        </row>
        <row r="310">
          <cell r="A310" t="str">
            <v>GRS-25x20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cell r="BM310">
            <v>0</v>
          </cell>
          <cell r="BN310">
            <v>0</v>
          </cell>
          <cell r="BO310">
            <v>0</v>
          </cell>
          <cell r="BP310">
            <v>0</v>
          </cell>
          <cell r="BQ310">
            <v>0</v>
          </cell>
          <cell r="BR310">
            <v>0</v>
          </cell>
          <cell r="BS310">
            <v>0</v>
          </cell>
          <cell r="BT310">
            <v>0</v>
          </cell>
          <cell r="BU310">
            <v>0</v>
          </cell>
          <cell r="BV310">
            <v>0</v>
          </cell>
          <cell r="BW310">
            <v>0</v>
          </cell>
          <cell r="BX310">
            <v>0</v>
          </cell>
          <cell r="BY310">
            <v>0</v>
          </cell>
          <cell r="BZ310">
            <v>0</v>
          </cell>
          <cell r="CA310">
            <v>0</v>
          </cell>
          <cell r="CB310">
            <v>0</v>
          </cell>
          <cell r="CC310">
            <v>0</v>
          </cell>
          <cell r="CD310">
            <v>0</v>
          </cell>
          <cell r="CE310">
            <v>0</v>
          </cell>
          <cell r="CF310">
            <v>0</v>
          </cell>
          <cell r="CG310">
            <v>0</v>
          </cell>
          <cell r="CH310">
            <v>0</v>
          </cell>
          <cell r="CI310">
            <v>0</v>
          </cell>
          <cell r="CJ310">
            <v>0</v>
          </cell>
          <cell r="CK310">
            <v>0</v>
          </cell>
          <cell r="CL310">
            <v>0</v>
          </cell>
          <cell r="CM310">
            <v>0</v>
          </cell>
          <cell r="CN310">
            <v>0</v>
          </cell>
          <cell r="CO310">
            <v>0</v>
          </cell>
          <cell r="CP310">
            <v>0</v>
          </cell>
          <cell r="CQ310">
            <v>0</v>
          </cell>
          <cell r="CU310">
            <v>0</v>
          </cell>
          <cell r="CV310">
            <v>0</v>
          </cell>
          <cell r="CW310">
            <v>0</v>
          </cell>
          <cell r="CZ310" t="str">
            <v>s</v>
          </cell>
        </row>
        <row r="311">
          <cell r="A311" t="str">
            <v>GRS-25x15</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cell r="BM311">
            <v>0</v>
          </cell>
          <cell r="BN311">
            <v>0</v>
          </cell>
          <cell r="BO311">
            <v>0</v>
          </cell>
          <cell r="BP311">
            <v>0</v>
          </cell>
          <cell r="BQ311">
            <v>0</v>
          </cell>
          <cell r="BR311">
            <v>0</v>
          </cell>
          <cell r="BS311">
            <v>0</v>
          </cell>
          <cell r="BT311">
            <v>0</v>
          </cell>
          <cell r="BU311">
            <v>0</v>
          </cell>
          <cell r="BV311">
            <v>0</v>
          </cell>
          <cell r="BW311">
            <v>0</v>
          </cell>
          <cell r="BX311">
            <v>0</v>
          </cell>
          <cell r="BY311">
            <v>0</v>
          </cell>
          <cell r="BZ311">
            <v>0</v>
          </cell>
          <cell r="CA311">
            <v>0</v>
          </cell>
          <cell r="CB311">
            <v>0</v>
          </cell>
          <cell r="CC311">
            <v>0</v>
          </cell>
          <cell r="CD311">
            <v>0</v>
          </cell>
          <cell r="CE311">
            <v>0</v>
          </cell>
          <cell r="CF311">
            <v>0</v>
          </cell>
          <cell r="CG311">
            <v>0</v>
          </cell>
          <cell r="CH311">
            <v>0</v>
          </cell>
          <cell r="CI311">
            <v>0</v>
          </cell>
          <cell r="CJ311">
            <v>0</v>
          </cell>
          <cell r="CK311">
            <v>0</v>
          </cell>
          <cell r="CL311">
            <v>0</v>
          </cell>
          <cell r="CM311">
            <v>0</v>
          </cell>
          <cell r="CN311">
            <v>0</v>
          </cell>
          <cell r="CO311">
            <v>0</v>
          </cell>
          <cell r="CP311">
            <v>0</v>
          </cell>
          <cell r="CQ311">
            <v>0</v>
          </cell>
          <cell r="CU311">
            <v>0</v>
          </cell>
          <cell r="CV311">
            <v>0</v>
          </cell>
          <cell r="CW311">
            <v>0</v>
          </cell>
          <cell r="CZ311" t="str">
            <v>s</v>
          </cell>
        </row>
        <row r="312">
          <cell r="A312" t="str">
            <v>GRS-32x25</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cell r="BM312">
            <v>0</v>
          </cell>
          <cell r="BN312">
            <v>0</v>
          </cell>
          <cell r="BO312">
            <v>0</v>
          </cell>
          <cell r="BP312">
            <v>0</v>
          </cell>
          <cell r="BQ312">
            <v>0</v>
          </cell>
          <cell r="BR312">
            <v>0</v>
          </cell>
          <cell r="BS312">
            <v>0</v>
          </cell>
          <cell r="BT312">
            <v>0</v>
          </cell>
          <cell r="BU312">
            <v>0</v>
          </cell>
          <cell r="BV312">
            <v>0</v>
          </cell>
          <cell r="BW312">
            <v>0</v>
          </cell>
          <cell r="BX312">
            <v>0</v>
          </cell>
          <cell r="BY312">
            <v>0</v>
          </cell>
          <cell r="BZ312">
            <v>0</v>
          </cell>
          <cell r="CA312">
            <v>0</v>
          </cell>
          <cell r="CB312">
            <v>0</v>
          </cell>
          <cell r="CC312">
            <v>0</v>
          </cell>
          <cell r="CD312">
            <v>0</v>
          </cell>
          <cell r="CE312">
            <v>0</v>
          </cell>
          <cell r="CF312">
            <v>0</v>
          </cell>
          <cell r="CG312">
            <v>0</v>
          </cell>
          <cell r="CH312">
            <v>0</v>
          </cell>
          <cell r="CI312">
            <v>0</v>
          </cell>
          <cell r="CJ312">
            <v>0</v>
          </cell>
          <cell r="CK312">
            <v>0</v>
          </cell>
          <cell r="CL312">
            <v>0</v>
          </cell>
          <cell r="CM312">
            <v>0</v>
          </cell>
          <cell r="CN312">
            <v>0</v>
          </cell>
          <cell r="CO312">
            <v>0</v>
          </cell>
          <cell r="CP312">
            <v>0</v>
          </cell>
          <cell r="CQ312">
            <v>0</v>
          </cell>
          <cell r="CU312">
            <v>0</v>
          </cell>
          <cell r="CV312">
            <v>0</v>
          </cell>
          <cell r="CW312">
            <v>0</v>
          </cell>
          <cell r="CZ312" t="str">
            <v>s</v>
          </cell>
        </row>
        <row r="313">
          <cell r="A313" t="str">
            <v>GRS-32x20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cell r="BM313">
            <v>0</v>
          </cell>
          <cell r="BN313">
            <v>0</v>
          </cell>
          <cell r="BO313">
            <v>0</v>
          </cell>
          <cell r="BP313">
            <v>0</v>
          </cell>
          <cell r="BQ313">
            <v>0</v>
          </cell>
          <cell r="BR313">
            <v>0</v>
          </cell>
          <cell r="BS313">
            <v>0</v>
          </cell>
          <cell r="BT313">
            <v>0</v>
          </cell>
          <cell r="BU313">
            <v>0</v>
          </cell>
          <cell r="BV313">
            <v>0</v>
          </cell>
          <cell r="BW313">
            <v>0</v>
          </cell>
          <cell r="BX313">
            <v>0</v>
          </cell>
          <cell r="BY313">
            <v>0</v>
          </cell>
          <cell r="BZ313">
            <v>0</v>
          </cell>
          <cell r="CA313">
            <v>0</v>
          </cell>
          <cell r="CB313">
            <v>0</v>
          </cell>
          <cell r="CC313">
            <v>0</v>
          </cell>
          <cell r="CD313">
            <v>0</v>
          </cell>
          <cell r="CE313">
            <v>0</v>
          </cell>
          <cell r="CF313">
            <v>0</v>
          </cell>
          <cell r="CG313">
            <v>0</v>
          </cell>
          <cell r="CH313">
            <v>0</v>
          </cell>
          <cell r="CI313">
            <v>0</v>
          </cell>
          <cell r="CJ313">
            <v>0</v>
          </cell>
          <cell r="CK313">
            <v>0</v>
          </cell>
          <cell r="CL313">
            <v>0</v>
          </cell>
          <cell r="CM313">
            <v>0</v>
          </cell>
          <cell r="CN313">
            <v>0</v>
          </cell>
          <cell r="CO313">
            <v>0</v>
          </cell>
          <cell r="CP313">
            <v>0</v>
          </cell>
          <cell r="CQ313">
            <v>0</v>
          </cell>
          <cell r="CU313">
            <v>0</v>
          </cell>
          <cell r="CV313">
            <v>0</v>
          </cell>
          <cell r="CW313">
            <v>0</v>
          </cell>
          <cell r="CZ313" t="str">
            <v>s</v>
          </cell>
        </row>
        <row r="314">
          <cell r="A314" t="str">
            <v>GRS-32x15</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cell r="BM314">
            <v>0</v>
          </cell>
          <cell r="BN314">
            <v>0</v>
          </cell>
          <cell r="BO314">
            <v>0</v>
          </cell>
          <cell r="BP314">
            <v>0</v>
          </cell>
          <cell r="BQ314">
            <v>0</v>
          </cell>
          <cell r="BR314">
            <v>0</v>
          </cell>
          <cell r="BS314">
            <v>0</v>
          </cell>
          <cell r="BT314">
            <v>0</v>
          </cell>
          <cell r="BU314">
            <v>0</v>
          </cell>
          <cell r="BV314">
            <v>0</v>
          </cell>
          <cell r="BW314">
            <v>0</v>
          </cell>
          <cell r="BX314">
            <v>0</v>
          </cell>
          <cell r="BY314">
            <v>0</v>
          </cell>
          <cell r="BZ314">
            <v>0</v>
          </cell>
          <cell r="CA314">
            <v>0</v>
          </cell>
          <cell r="CB314">
            <v>0</v>
          </cell>
          <cell r="CC314">
            <v>0</v>
          </cell>
          <cell r="CD314">
            <v>0</v>
          </cell>
          <cell r="CE314">
            <v>0</v>
          </cell>
          <cell r="CF314">
            <v>0</v>
          </cell>
          <cell r="CG314">
            <v>0</v>
          </cell>
          <cell r="CH314">
            <v>0</v>
          </cell>
          <cell r="CI314">
            <v>0</v>
          </cell>
          <cell r="CJ314">
            <v>0</v>
          </cell>
          <cell r="CK314">
            <v>0</v>
          </cell>
          <cell r="CL314">
            <v>0</v>
          </cell>
          <cell r="CM314">
            <v>0</v>
          </cell>
          <cell r="CN314">
            <v>0</v>
          </cell>
          <cell r="CO314">
            <v>0</v>
          </cell>
          <cell r="CP314">
            <v>0</v>
          </cell>
          <cell r="CQ314">
            <v>0</v>
          </cell>
          <cell r="CU314">
            <v>0</v>
          </cell>
          <cell r="CV314">
            <v>0</v>
          </cell>
          <cell r="CW314">
            <v>0</v>
          </cell>
          <cell r="CZ314" t="str">
            <v>s</v>
          </cell>
        </row>
        <row r="315">
          <cell r="A315" t="str">
            <v>GRS-40x32</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cell r="BM315">
            <v>0</v>
          </cell>
          <cell r="BN315">
            <v>0</v>
          </cell>
          <cell r="BO315">
            <v>0</v>
          </cell>
          <cell r="BP315">
            <v>0</v>
          </cell>
          <cell r="BQ315">
            <v>0</v>
          </cell>
          <cell r="BR315">
            <v>0</v>
          </cell>
          <cell r="BS315">
            <v>0</v>
          </cell>
          <cell r="BT315">
            <v>0</v>
          </cell>
          <cell r="BU315">
            <v>0</v>
          </cell>
          <cell r="BV315">
            <v>0</v>
          </cell>
          <cell r="BW315">
            <v>0</v>
          </cell>
          <cell r="BX315">
            <v>0</v>
          </cell>
          <cell r="BY315">
            <v>0</v>
          </cell>
          <cell r="BZ315">
            <v>0</v>
          </cell>
          <cell r="CA315">
            <v>0</v>
          </cell>
          <cell r="CB315">
            <v>0</v>
          </cell>
          <cell r="CC315">
            <v>0</v>
          </cell>
          <cell r="CD315">
            <v>0</v>
          </cell>
          <cell r="CE315">
            <v>0</v>
          </cell>
          <cell r="CF315">
            <v>0</v>
          </cell>
          <cell r="CG315">
            <v>0</v>
          </cell>
          <cell r="CH315">
            <v>0</v>
          </cell>
          <cell r="CI315">
            <v>0</v>
          </cell>
          <cell r="CJ315">
            <v>0</v>
          </cell>
          <cell r="CK315">
            <v>0</v>
          </cell>
          <cell r="CL315">
            <v>0</v>
          </cell>
          <cell r="CM315">
            <v>0</v>
          </cell>
          <cell r="CN315">
            <v>0</v>
          </cell>
          <cell r="CO315">
            <v>0</v>
          </cell>
          <cell r="CP315">
            <v>0</v>
          </cell>
          <cell r="CQ315">
            <v>0</v>
          </cell>
          <cell r="CU315">
            <v>0</v>
          </cell>
          <cell r="CV315">
            <v>0</v>
          </cell>
          <cell r="CW315">
            <v>0</v>
          </cell>
          <cell r="CZ315" t="str">
            <v>s</v>
          </cell>
        </row>
        <row r="316">
          <cell r="A316" t="str">
            <v>GRS-40x25</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cell r="BM316">
            <v>0</v>
          </cell>
          <cell r="BN316">
            <v>0</v>
          </cell>
          <cell r="BO316">
            <v>0</v>
          </cell>
          <cell r="BP316">
            <v>0</v>
          </cell>
          <cell r="BQ316">
            <v>0</v>
          </cell>
          <cell r="BR316">
            <v>0</v>
          </cell>
          <cell r="BS316">
            <v>0</v>
          </cell>
          <cell r="BT316">
            <v>0</v>
          </cell>
          <cell r="BU316">
            <v>0</v>
          </cell>
          <cell r="BV316">
            <v>0</v>
          </cell>
          <cell r="BW316">
            <v>0</v>
          </cell>
          <cell r="BX316">
            <v>0</v>
          </cell>
          <cell r="BY316">
            <v>0</v>
          </cell>
          <cell r="BZ316">
            <v>0</v>
          </cell>
          <cell r="CA316">
            <v>0</v>
          </cell>
          <cell r="CB316">
            <v>0</v>
          </cell>
          <cell r="CC316">
            <v>0</v>
          </cell>
          <cell r="CD316">
            <v>0</v>
          </cell>
          <cell r="CE316">
            <v>0</v>
          </cell>
          <cell r="CF316">
            <v>0</v>
          </cell>
          <cell r="CG316">
            <v>0</v>
          </cell>
          <cell r="CH316">
            <v>0</v>
          </cell>
          <cell r="CI316">
            <v>0</v>
          </cell>
          <cell r="CJ316">
            <v>0</v>
          </cell>
          <cell r="CK316">
            <v>0</v>
          </cell>
          <cell r="CL316">
            <v>0</v>
          </cell>
          <cell r="CM316">
            <v>0</v>
          </cell>
          <cell r="CN316">
            <v>0</v>
          </cell>
          <cell r="CO316">
            <v>0</v>
          </cell>
          <cell r="CP316">
            <v>0</v>
          </cell>
          <cell r="CQ316">
            <v>0</v>
          </cell>
          <cell r="CU316">
            <v>0</v>
          </cell>
          <cell r="CV316">
            <v>0</v>
          </cell>
          <cell r="CW316">
            <v>0</v>
          </cell>
          <cell r="CZ316" t="str">
            <v>s</v>
          </cell>
        </row>
        <row r="317">
          <cell r="A317" t="str">
            <v>GRS-40x20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cell r="BM317">
            <v>0</v>
          </cell>
          <cell r="BN317">
            <v>0</v>
          </cell>
          <cell r="BO317">
            <v>0</v>
          </cell>
          <cell r="BP317">
            <v>0</v>
          </cell>
          <cell r="BQ317">
            <v>0</v>
          </cell>
          <cell r="BR317">
            <v>0</v>
          </cell>
          <cell r="BS317">
            <v>0</v>
          </cell>
          <cell r="BT317">
            <v>0</v>
          </cell>
          <cell r="BU317">
            <v>0</v>
          </cell>
          <cell r="BV317">
            <v>0</v>
          </cell>
          <cell r="BW317">
            <v>0</v>
          </cell>
          <cell r="BX317">
            <v>0</v>
          </cell>
          <cell r="BY317">
            <v>0</v>
          </cell>
          <cell r="BZ317">
            <v>0</v>
          </cell>
          <cell r="CA317">
            <v>0</v>
          </cell>
          <cell r="CB317">
            <v>0</v>
          </cell>
          <cell r="CC317">
            <v>0</v>
          </cell>
          <cell r="CD317">
            <v>0</v>
          </cell>
          <cell r="CE317">
            <v>0</v>
          </cell>
          <cell r="CF317">
            <v>0</v>
          </cell>
          <cell r="CG317">
            <v>0</v>
          </cell>
          <cell r="CH317">
            <v>0</v>
          </cell>
          <cell r="CI317">
            <v>0</v>
          </cell>
          <cell r="CJ317">
            <v>0</v>
          </cell>
          <cell r="CK317">
            <v>0</v>
          </cell>
          <cell r="CL317">
            <v>0</v>
          </cell>
          <cell r="CM317">
            <v>0</v>
          </cell>
          <cell r="CN317">
            <v>0</v>
          </cell>
          <cell r="CO317">
            <v>0</v>
          </cell>
          <cell r="CP317">
            <v>0</v>
          </cell>
          <cell r="CQ317">
            <v>0</v>
          </cell>
          <cell r="CU317">
            <v>0</v>
          </cell>
          <cell r="CV317">
            <v>0</v>
          </cell>
          <cell r="CW317">
            <v>0</v>
          </cell>
          <cell r="CZ317" t="str">
            <v>s</v>
          </cell>
        </row>
        <row r="318">
          <cell r="A318" t="str">
            <v>GRS-40x15</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cell r="BM318">
            <v>0</v>
          </cell>
          <cell r="BN318">
            <v>0</v>
          </cell>
          <cell r="BO318">
            <v>0</v>
          </cell>
          <cell r="BP318">
            <v>0</v>
          </cell>
          <cell r="BQ318">
            <v>0</v>
          </cell>
          <cell r="BR318">
            <v>0</v>
          </cell>
          <cell r="BS318">
            <v>0</v>
          </cell>
          <cell r="BT318">
            <v>0</v>
          </cell>
          <cell r="BU318">
            <v>0</v>
          </cell>
          <cell r="BV318">
            <v>0</v>
          </cell>
          <cell r="BW318">
            <v>0</v>
          </cell>
          <cell r="BX318">
            <v>0</v>
          </cell>
          <cell r="BY318">
            <v>0</v>
          </cell>
          <cell r="BZ318">
            <v>0</v>
          </cell>
          <cell r="CA318">
            <v>0</v>
          </cell>
          <cell r="CB318">
            <v>0</v>
          </cell>
          <cell r="CC318">
            <v>0</v>
          </cell>
          <cell r="CD318">
            <v>0</v>
          </cell>
          <cell r="CE318">
            <v>0</v>
          </cell>
          <cell r="CF318">
            <v>0</v>
          </cell>
          <cell r="CG318">
            <v>0</v>
          </cell>
          <cell r="CH318">
            <v>0</v>
          </cell>
          <cell r="CI318">
            <v>0</v>
          </cell>
          <cell r="CJ318">
            <v>0</v>
          </cell>
          <cell r="CK318">
            <v>0</v>
          </cell>
          <cell r="CL318">
            <v>0</v>
          </cell>
          <cell r="CM318">
            <v>0</v>
          </cell>
          <cell r="CN318">
            <v>0</v>
          </cell>
          <cell r="CO318">
            <v>0</v>
          </cell>
          <cell r="CP318">
            <v>0</v>
          </cell>
          <cell r="CQ318">
            <v>0</v>
          </cell>
          <cell r="CU318">
            <v>0</v>
          </cell>
          <cell r="CV318">
            <v>0</v>
          </cell>
          <cell r="CW318">
            <v>0</v>
          </cell>
          <cell r="CZ318" t="str">
            <v>s</v>
          </cell>
        </row>
        <row r="319">
          <cell r="A319" t="str">
            <v>GRS-50x40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cell r="BM319">
            <v>0</v>
          </cell>
          <cell r="BN319">
            <v>0</v>
          </cell>
          <cell r="BO319">
            <v>0</v>
          </cell>
          <cell r="BP319">
            <v>0</v>
          </cell>
          <cell r="BQ319">
            <v>0</v>
          </cell>
          <cell r="BR319">
            <v>0</v>
          </cell>
          <cell r="BS319">
            <v>0</v>
          </cell>
          <cell r="BT319">
            <v>0</v>
          </cell>
          <cell r="BU319">
            <v>0</v>
          </cell>
          <cell r="BV319">
            <v>0</v>
          </cell>
          <cell r="BW319">
            <v>0</v>
          </cell>
          <cell r="BX319">
            <v>0</v>
          </cell>
          <cell r="BY319">
            <v>0</v>
          </cell>
          <cell r="BZ319">
            <v>0</v>
          </cell>
          <cell r="CA319">
            <v>0</v>
          </cell>
          <cell r="CB319">
            <v>0</v>
          </cell>
          <cell r="CC319">
            <v>0</v>
          </cell>
          <cell r="CD319">
            <v>0</v>
          </cell>
          <cell r="CE319">
            <v>0</v>
          </cell>
          <cell r="CF319">
            <v>0</v>
          </cell>
          <cell r="CG319">
            <v>0</v>
          </cell>
          <cell r="CH319">
            <v>0</v>
          </cell>
          <cell r="CI319">
            <v>0</v>
          </cell>
          <cell r="CJ319">
            <v>0</v>
          </cell>
          <cell r="CK319">
            <v>0</v>
          </cell>
          <cell r="CL319">
            <v>0</v>
          </cell>
          <cell r="CM319">
            <v>0</v>
          </cell>
          <cell r="CN319">
            <v>0</v>
          </cell>
          <cell r="CO319">
            <v>0</v>
          </cell>
          <cell r="CP319">
            <v>0</v>
          </cell>
          <cell r="CQ319">
            <v>0</v>
          </cell>
          <cell r="CU319">
            <v>0</v>
          </cell>
          <cell r="CV319">
            <v>0</v>
          </cell>
          <cell r="CW319">
            <v>0</v>
          </cell>
          <cell r="CZ319" t="str">
            <v>s</v>
          </cell>
        </row>
        <row r="320">
          <cell r="A320" t="str">
            <v>GRS-50x32</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cell r="BM320">
            <v>0</v>
          </cell>
          <cell r="BN320">
            <v>0</v>
          </cell>
          <cell r="BO320">
            <v>0</v>
          </cell>
          <cell r="BP320">
            <v>0</v>
          </cell>
          <cell r="BQ320">
            <v>0</v>
          </cell>
          <cell r="BR320">
            <v>0</v>
          </cell>
          <cell r="BS320">
            <v>0</v>
          </cell>
          <cell r="BT320">
            <v>0</v>
          </cell>
          <cell r="BU320">
            <v>0</v>
          </cell>
          <cell r="BV320">
            <v>0</v>
          </cell>
          <cell r="BW320">
            <v>0</v>
          </cell>
          <cell r="BX320">
            <v>0</v>
          </cell>
          <cell r="BY320">
            <v>0</v>
          </cell>
          <cell r="BZ320">
            <v>0</v>
          </cell>
          <cell r="CA320">
            <v>0</v>
          </cell>
          <cell r="CB320">
            <v>0</v>
          </cell>
          <cell r="CC320">
            <v>0</v>
          </cell>
          <cell r="CD320">
            <v>0</v>
          </cell>
          <cell r="CE320">
            <v>0</v>
          </cell>
          <cell r="CF320">
            <v>0</v>
          </cell>
          <cell r="CG320">
            <v>0</v>
          </cell>
          <cell r="CH320">
            <v>0</v>
          </cell>
          <cell r="CI320">
            <v>0</v>
          </cell>
          <cell r="CJ320">
            <v>0</v>
          </cell>
          <cell r="CK320">
            <v>0</v>
          </cell>
          <cell r="CL320">
            <v>0</v>
          </cell>
          <cell r="CM320">
            <v>0</v>
          </cell>
          <cell r="CN320">
            <v>0</v>
          </cell>
          <cell r="CO320">
            <v>0</v>
          </cell>
          <cell r="CP320">
            <v>0</v>
          </cell>
          <cell r="CQ320">
            <v>0</v>
          </cell>
          <cell r="CU320">
            <v>0</v>
          </cell>
          <cell r="CV320">
            <v>0</v>
          </cell>
          <cell r="CW320">
            <v>0</v>
          </cell>
          <cell r="CZ320" t="str">
            <v>s</v>
          </cell>
        </row>
        <row r="321">
          <cell r="A321" t="str">
            <v>GRS-50x25</v>
          </cell>
          <cell r="G321">
            <v>0</v>
          </cell>
          <cell r="H321">
            <v>0</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cell r="BM321">
            <v>0</v>
          </cell>
          <cell r="BN321">
            <v>0</v>
          </cell>
          <cell r="BO321">
            <v>0</v>
          </cell>
          <cell r="BP321">
            <v>0</v>
          </cell>
          <cell r="BQ321">
            <v>0</v>
          </cell>
          <cell r="BR321">
            <v>0</v>
          </cell>
          <cell r="BS321">
            <v>0</v>
          </cell>
          <cell r="BT321">
            <v>0</v>
          </cell>
          <cell r="BU321">
            <v>0</v>
          </cell>
          <cell r="BV321">
            <v>0</v>
          </cell>
          <cell r="BW321">
            <v>0</v>
          </cell>
          <cell r="BX321">
            <v>0</v>
          </cell>
          <cell r="BY321">
            <v>0</v>
          </cell>
          <cell r="BZ321">
            <v>0</v>
          </cell>
          <cell r="CA321">
            <v>0</v>
          </cell>
          <cell r="CB321">
            <v>0</v>
          </cell>
          <cell r="CC321">
            <v>0</v>
          </cell>
          <cell r="CD321">
            <v>0</v>
          </cell>
          <cell r="CE321">
            <v>0</v>
          </cell>
          <cell r="CF321">
            <v>0</v>
          </cell>
          <cell r="CG321">
            <v>0</v>
          </cell>
          <cell r="CH321">
            <v>0</v>
          </cell>
          <cell r="CI321">
            <v>0</v>
          </cell>
          <cell r="CJ321">
            <v>0</v>
          </cell>
          <cell r="CK321">
            <v>0</v>
          </cell>
          <cell r="CL321">
            <v>0</v>
          </cell>
          <cell r="CM321">
            <v>0</v>
          </cell>
          <cell r="CN321">
            <v>0</v>
          </cell>
          <cell r="CO321">
            <v>0</v>
          </cell>
          <cell r="CP321">
            <v>0</v>
          </cell>
          <cell r="CQ321">
            <v>0</v>
          </cell>
          <cell r="CU321">
            <v>0</v>
          </cell>
          <cell r="CV321">
            <v>0</v>
          </cell>
          <cell r="CW321">
            <v>0</v>
          </cell>
          <cell r="CZ321" t="str">
            <v>s</v>
          </cell>
        </row>
        <row r="322">
          <cell r="A322" t="str">
            <v>GRS-50x20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cell r="BM322">
            <v>0</v>
          </cell>
          <cell r="BN322">
            <v>0</v>
          </cell>
          <cell r="BO322">
            <v>0</v>
          </cell>
          <cell r="BP322">
            <v>0</v>
          </cell>
          <cell r="BQ322">
            <v>0</v>
          </cell>
          <cell r="BR322">
            <v>0</v>
          </cell>
          <cell r="BS322">
            <v>0</v>
          </cell>
          <cell r="BT322">
            <v>0</v>
          </cell>
          <cell r="BU322">
            <v>0</v>
          </cell>
          <cell r="BV322">
            <v>0</v>
          </cell>
          <cell r="BW322">
            <v>0</v>
          </cell>
          <cell r="BX322">
            <v>0</v>
          </cell>
          <cell r="BY322">
            <v>0</v>
          </cell>
          <cell r="BZ322">
            <v>0</v>
          </cell>
          <cell r="CA322">
            <v>0</v>
          </cell>
          <cell r="CB322">
            <v>0</v>
          </cell>
          <cell r="CC322">
            <v>0</v>
          </cell>
          <cell r="CD322">
            <v>0</v>
          </cell>
          <cell r="CE322">
            <v>0</v>
          </cell>
          <cell r="CF322">
            <v>0</v>
          </cell>
          <cell r="CG322">
            <v>0</v>
          </cell>
          <cell r="CH322">
            <v>0</v>
          </cell>
          <cell r="CI322">
            <v>0</v>
          </cell>
          <cell r="CJ322">
            <v>0</v>
          </cell>
          <cell r="CK322">
            <v>0</v>
          </cell>
          <cell r="CL322">
            <v>0</v>
          </cell>
          <cell r="CM322">
            <v>0</v>
          </cell>
          <cell r="CN322">
            <v>0</v>
          </cell>
          <cell r="CO322">
            <v>0</v>
          </cell>
          <cell r="CP322">
            <v>0</v>
          </cell>
          <cell r="CQ322">
            <v>0</v>
          </cell>
          <cell r="CU322">
            <v>0</v>
          </cell>
          <cell r="CV322">
            <v>0</v>
          </cell>
          <cell r="CW322">
            <v>0</v>
          </cell>
          <cell r="CZ322" t="str">
            <v>s</v>
          </cell>
        </row>
        <row r="323">
          <cell r="A323" t="str">
            <v>GRS-50x15</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cell r="BM323">
            <v>0</v>
          </cell>
          <cell r="BN323">
            <v>0</v>
          </cell>
          <cell r="BO323">
            <v>0</v>
          </cell>
          <cell r="BP323">
            <v>0</v>
          </cell>
          <cell r="BQ323">
            <v>0</v>
          </cell>
          <cell r="BR323">
            <v>0</v>
          </cell>
          <cell r="BS323">
            <v>0</v>
          </cell>
          <cell r="BT323">
            <v>0</v>
          </cell>
          <cell r="BU323">
            <v>0</v>
          </cell>
          <cell r="BV323">
            <v>0</v>
          </cell>
          <cell r="BW323">
            <v>0</v>
          </cell>
          <cell r="BX323">
            <v>0</v>
          </cell>
          <cell r="BY323">
            <v>0</v>
          </cell>
          <cell r="BZ323">
            <v>0</v>
          </cell>
          <cell r="CA323">
            <v>0</v>
          </cell>
          <cell r="CB323">
            <v>0</v>
          </cell>
          <cell r="CC323">
            <v>0</v>
          </cell>
          <cell r="CD323">
            <v>0</v>
          </cell>
          <cell r="CE323">
            <v>0</v>
          </cell>
          <cell r="CF323">
            <v>0</v>
          </cell>
          <cell r="CG323">
            <v>0</v>
          </cell>
          <cell r="CH323">
            <v>0</v>
          </cell>
          <cell r="CI323">
            <v>0</v>
          </cell>
          <cell r="CJ323">
            <v>0</v>
          </cell>
          <cell r="CK323">
            <v>0</v>
          </cell>
          <cell r="CL323">
            <v>0</v>
          </cell>
          <cell r="CM323">
            <v>0</v>
          </cell>
          <cell r="CN323">
            <v>0</v>
          </cell>
          <cell r="CO323">
            <v>0</v>
          </cell>
          <cell r="CP323">
            <v>0</v>
          </cell>
          <cell r="CQ323">
            <v>0</v>
          </cell>
          <cell r="CU323">
            <v>0</v>
          </cell>
          <cell r="CV323">
            <v>0</v>
          </cell>
          <cell r="CW323">
            <v>0</v>
          </cell>
          <cell r="CZ323" t="str">
            <v>s</v>
          </cell>
        </row>
        <row r="324">
          <cell r="A324" t="str">
            <v>GRS-63x50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cell r="BM324">
            <v>0</v>
          </cell>
          <cell r="BN324">
            <v>0</v>
          </cell>
          <cell r="BO324">
            <v>0</v>
          </cell>
          <cell r="BP324">
            <v>0</v>
          </cell>
          <cell r="BQ324">
            <v>0</v>
          </cell>
          <cell r="BR324">
            <v>0</v>
          </cell>
          <cell r="BS324">
            <v>0</v>
          </cell>
          <cell r="BT324">
            <v>0</v>
          </cell>
          <cell r="BU324">
            <v>0</v>
          </cell>
          <cell r="BV324">
            <v>0</v>
          </cell>
          <cell r="BW324">
            <v>0</v>
          </cell>
          <cell r="BX324">
            <v>0</v>
          </cell>
          <cell r="BY324">
            <v>0</v>
          </cell>
          <cell r="BZ324">
            <v>0</v>
          </cell>
          <cell r="CA324">
            <v>0</v>
          </cell>
          <cell r="CB324">
            <v>0</v>
          </cell>
          <cell r="CC324">
            <v>0</v>
          </cell>
          <cell r="CD324">
            <v>0</v>
          </cell>
          <cell r="CE324">
            <v>0</v>
          </cell>
          <cell r="CF324">
            <v>0</v>
          </cell>
          <cell r="CG324">
            <v>0</v>
          </cell>
          <cell r="CH324">
            <v>0</v>
          </cell>
          <cell r="CI324">
            <v>0</v>
          </cell>
          <cell r="CJ324">
            <v>0</v>
          </cell>
          <cell r="CK324">
            <v>0</v>
          </cell>
          <cell r="CL324">
            <v>0</v>
          </cell>
          <cell r="CM324">
            <v>0</v>
          </cell>
          <cell r="CN324">
            <v>0</v>
          </cell>
          <cell r="CO324">
            <v>0</v>
          </cell>
          <cell r="CP324">
            <v>0</v>
          </cell>
          <cell r="CQ324">
            <v>0</v>
          </cell>
          <cell r="CU324">
            <v>0</v>
          </cell>
          <cell r="CV324">
            <v>0</v>
          </cell>
          <cell r="CW324">
            <v>0</v>
          </cell>
          <cell r="CZ324" t="str">
            <v>s</v>
          </cell>
        </row>
        <row r="325">
          <cell r="A325" t="str">
            <v>GRS-63x40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cell r="BM325">
            <v>0</v>
          </cell>
          <cell r="BN325">
            <v>0</v>
          </cell>
          <cell r="BO325">
            <v>0</v>
          </cell>
          <cell r="BP325">
            <v>0</v>
          </cell>
          <cell r="BQ325">
            <v>0</v>
          </cell>
          <cell r="BR325">
            <v>0</v>
          </cell>
          <cell r="BS325">
            <v>0</v>
          </cell>
          <cell r="BT325">
            <v>0</v>
          </cell>
          <cell r="BU325">
            <v>0</v>
          </cell>
          <cell r="BV325">
            <v>0</v>
          </cell>
          <cell r="BW325">
            <v>0</v>
          </cell>
          <cell r="BX325">
            <v>0</v>
          </cell>
          <cell r="BY325">
            <v>0</v>
          </cell>
          <cell r="BZ325">
            <v>0</v>
          </cell>
          <cell r="CA325">
            <v>0</v>
          </cell>
          <cell r="CB325">
            <v>0</v>
          </cell>
          <cell r="CC325">
            <v>0</v>
          </cell>
          <cell r="CD325">
            <v>0</v>
          </cell>
          <cell r="CE325">
            <v>0</v>
          </cell>
          <cell r="CF325">
            <v>0</v>
          </cell>
          <cell r="CG325">
            <v>0</v>
          </cell>
          <cell r="CH325">
            <v>0</v>
          </cell>
          <cell r="CI325">
            <v>0</v>
          </cell>
          <cell r="CJ325">
            <v>0</v>
          </cell>
          <cell r="CK325">
            <v>0</v>
          </cell>
          <cell r="CL325">
            <v>0</v>
          </cell>
          <cell r="CM325">
            <v>0</v>
          </cell>
          <cell r="CN325">
            <v>0</v>
          </cell>
          <cell r="CO325">
            <v>0</v>
          </cell>
          <cell r="CP325">
            <v>0</v>
          </cell>
          <cell r="CQ325">
            <v>0</v>
          </cell>
          <cell r="CU325">
            <v>0</v>
          </cell>
          <cell r="CV325">
            <v>0</v>
          </cell>
          <cell r="CW325">
            <v>0</v>
          </cell>
          <cell r="CZ325" t="str">
            <v>s</v>
          </cell>
        </row>
        <row r="326">
          <cell r="A326" t="str">
            <v>GRS-63x32</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cell r="BM326">
            <v>0</v>
          </cell>
          <cell r="BN326">
            <v>0</v>
          </cell>
          <cell r="BO326">
            <v>0</v>
          </cell>
          <cell r="BP326">
            <v>0</v>
          </cell>
          <cell r="BQ326">
            <v>0</v>
          </cell>
          <cell r="BR326">
            <v>0</v>
          </cell>
          <cell r="BS326">
            <v>0</v>
          </cell>
          <cell r="BT326">
            <v>0</v>
          </cell>
          <cell r="BU326">
            <v>0</v>
          </cell>
          <cell r="BV326">
            <v>0</v>
          </cell>
          <cell r="BW326">
            <v>0</v>
          </cell>
          <cell r="BX326">
            <v>0</v>
          </cell>
          <cell r="BY326">
            <v>0</v>
          </cell>
          <cell r="BZ326">
            <v>0</v>
          </cell>
          <cell r="CA326">
            <v>0</v>
          </cell>
          <cell r="CB326">
            <v>0</v>
          </cell>
          <cell r="CC326">
            <v>0</v>
          </cell>
          <cell r="CD326">
            <v>0</v>
          </cell>
          <cell r="CE326">
            <v>0</v>
          </cell>
          <cell r="CF326">
            <v>0</v>
          </cell>
          <cell r="CG326">
            <v>0</v>
          </cell>
          <cell r="CH326">
            <v>0</v>
          </cell>
          <cell r="CI326">
            <v>0</v>
          </cell>
          <cell r="CJ326">
            <v>0</v>
          </cell>
          <cell r="CK326">
            <v>0</v>
          </cell>
          <cell r="CL326">
            <v>0</v>
          </cell>
          <cell r="CM326">
            <v>0</v>
          </cell>
          <cell r="CN326">
            <v>0</v>
          </cell>
          <cell r="CO326">
            <v>0</v>
          </cell>
          <cell r="CP326">
            <v>0</v>
          </cell>
          <cell r="CQ326">
            <v>0</v>
          </cell>
          <cell r="CU326">
            <v>0</v>
          </cell>
          <cell r="CV326">
            <v>0</v>
          </cell>
          <cell r="CW326">
            <v>0</v>
          </cell>
          <cell r="CZ326" t="str">
            <v>s</v>
          </cell>
        </row>
        <row r="327">
          <cell r="A327" t="str">
            <v>GRS-63x25</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cell r="BM327">
            <v>0</v>
          </cell>
          <cell r="BN327">
            <v>0</v>
          </cell>
          <cell r="BO327">
            <v>0</v>
          </cell>
          <cell r="BP327">
            <v>0</v>
          </cell>
          <cell r="BQ327">
            <v>0</v>
          </cell>
          <cell r="BR327">
            <v>0</v>
          </cell>
          <cell r="BS327">
            <v>0</v>
          </cell>
          <cell r="BT327">
            <v>0</v>
          </cell>
          <cell r="BU327">
            <v>0</v>
          </cell>
          <cell r="BV327">
            <v>0</v>
          </cell>
          <cell r="BW327">
            <v>0</v>
          </cell>
          <cell r="BX327">
            <v>0</v>
          </cell>
          <cell r="BY327">
            <v>0</v>
          </cell>
          <cell r="BZ327">
            <v>0</v>
          </cell>
          <cell r="CA327">
            <v>0</v>
          </cell>
          <cell r="CB327">
            <v>0</v>
          </cell>
          <cell r="CC327">
            <v>0</v>
          </cell>
          <cell r="CD327">
            <v>0</v>
          </cell>
          <cell r="CE327">
            <v>0</v>
          </cell>
          <cell r="CF327">
            <v>0</v>
          </cell>
          <cell r="CG327">
            <v>0</v>
          </cell>
          <cell r="CH327">
            <v>0</v>
          </cell>
          <cell r="CI327">
            <v>0</v>
          </cell>
          <cell r="CJ327">
            <v>0</v>
          </cell>
          <cell r="CK327">
            <v>0</v>
          </cell>
          <cell r="CL327">
            <v>0</v>
          </cell>
          <cell r="CM327">
            <v>0</v>
          </cell>
          <cell r="CN327">
            <v>0</v>
          </cell>
          <cell r="CO327">
            <v>0</v>
          </cell>
          <cell r="CP327">
            <v>0</v>
          </cell>
          <cell r="CQ327">
            <v>0</v>
          </cell>
          <cell r="CU327">
            <v>0</v>
          </cell>
          <cell r="CV327">
            <v>0</v>
          </cell>
          <cell r="CW327">
            <v>0</v>
          </cell>
          <cell r="CZ327" t="str">
            <v>s</v>
          </cell>
        </row>
        <row r="328">
          <cell r="A328" t="str">
            <v>GRS-63x20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cell r="BM328">
            <v>0</v>
          </cell>
          <cell r="BN328">
            <v>0</v>
          </cell>
          <cell r="BO328">
            <v>0</v>
          </cell>
          <cell r="BP328">
            <v>0</v>
          </cell>
          <cell r="BQ328">
            <v>0</v>
          </cell>
          <cell r="BR328">
            <v>0</v>
          </cell>
          <cell r="BS328">
            <v>0</v>
          </cell>
          <cell r="BT328">
            <v>0</v>
          </cell>
          <cell r="BU328">
            <v>0</v>
          </cell>
          <cell r="BV328">
            <v>0</v>
          </cell>
          <cell r="BW328">
            <v>0</v>
          </cell>
          <cell r="BX328">
            <v>0</v>
          </cell>
          <cell r="BY328">
            <v>0</v>
          </cell>
          <cell r="BZ328">
            <v>0</v>
          </cell>
          <cell r="CA328">
            <v>0</v>
          </cell>
          <cell r="CB328">
            <v>0</v>
          </cell>
          <cell r="CC328">
            <v>0</v>
          </cell>
          <cell r="CD328">
            <v>0</v>
          </cell>
          <cell r="CE328">
            <v>0</v>
          </cell>
          <cell r="CF328">
            <v>0</v>
          </cell>
          <cell r="CG328">
            <v>0</v>
          </cell>
          <cell r="CH328">
            <v>0</v>
          </cell>
          <cell r="CI328">
            <v>0</v>
          </cell>
          <cell r="CJ328">
            <v>0</v>
          </cell>
          <cell r="CK328">
            <v>0</v>
          </cell>
          <cell r="CL328">
            <v>0</v>
          </cell>
          <cell r="CM328">
            <v>0</v>
          </cell>
          <cell r="CN328">
            <v>0</v>
          </cell>
          <cell r="CO328">
            <v>0</v>
          </cell>
          <cell r="CP328">
            <v>0</v>
          </cell>
          <cell r="CQ328">
            <v>0</v>
          </cell>
          <cell r="CU328">
            <v>0</v>
          </cell>
          <cell r="CV328">
            <v>0</v>
          </cell>
          <cell r="CW328">
            <v>0</v>
          </cell>
          <cell r="CZ328" t="str">
            <v>s</v>
          </cell>
        </row>
        <row r="329">
          <cell r="A329" t="str">
            <v>GRS-63x15</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cell r="BM329">
            <v>0</v>
          </cell>
          <cell r="BN329">
            <v>0</v>
          </cell>
          <cell r="BO329">
            <v>0</v>
          </cell>
          <cell r="BP329">
            <v>0</v>
          </cell>
          <cell r="BQ329">
            <v>0</v>
          </cell>
          <cell r="BR329">
            <v>0</v>
          </cell>
          <cell r="BS329">
            <v>0</v>
          </cell>
          <cell r="BT329">
            <v>0</v>
          </cell>
          <cell r="BU329">
            <v>0</v>
          </cell>
          <cell r="BV329">
            <v>0</v>
          </cell>
          <cell r="BW329">
            <v>0</v>
          </cell>
          <cell r="BX329">
            <v>0</v>
          </cell>
          <cell r="BY329">
            <v>0</v>
          </cell>
          <cell r="BZ329">
            <v>0</v>
          </cell>
          <cell r="CA329">
            <v>0</v>
          </cell>
          <cell r="CB329">
            <v>0</v>
          </cell>
          <cell r="CC329">
            <v>0</v>
          </cell>
          <cell r="CD329">
            <v>0</v>
          </cell>
          <cell r="CE329">
            <v>0</v>
          </cell>
          <cell r="CF329">
            <v>0</v>
          </cell>
          <cell r="CG329">
            <v>0</v>
          </cell>
          <cell r="CH329">
            <v>0</v>
          </cell>
          <cell r="CI329">
            <v>0</v>
          </cell>
          <cell r="CJ329">
            <v>0</v>
          </cell>
          <cell r="CK329">
            <v>0</v>
          </cell>
          <cell r="CL329">
            <v>0</v>
          </cell>
          <cell r="CM329">
            <v>0</v>
          </cell>
          <cell r="CN329">
            <v>0</v>
          </cell>
          <cell r="CO329">
            <v>0</v>
          </cell>
          <cell r="CP329">
            <v>0</v>
          </cell>
          <cell r="CQ329">
            <v>0</v>
          </cell>
          <cell r="CU329">
            <v>0</v>
          </cell>
          <cell r="CV329">
            <v>0</v>
          </cell>
          <cell r="CW329">
            <v>0</v>
          </cell>
          <cell r="CZ329" t="str">
            <v>s</v>
          </cell>
        </row>
        <row r="330">
          <cell r="A330" t="str">
            <v>GRS-75x63</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cell r="BM330">
            <v>0</v>
          </cell>
          <cell r="BN330">
            <v>0</v>
          </cell>
          <cell r="BO330">
            <v>0</v>
          </cell>
          <cell r="BP330">
            <v>0</v>
          </cell>
          <cell r="BQ330">
            <v>0</v>
          </cell>
          <cell r="BR330">
            <v>0</v>
          </cell>
          <cell r="BS330">
            <v>0</v>
          </cell>
          <cell r="BT330">
            <v>0</v>
          </cell>
          <cell r="BU330">
            <v>0</v>
          </cell>
          <cell r="BV330">
            <v>0</v>
          </cell>
          <cell r="BW330">
            <v>0</v>
          </cell>
          <cell r="BX330">
            <v>0</v>
          </cell>
          <cell r="BY330">
            <v>0</v>
          </cell>
          <cell r="BZ330">
            <v>0</v>
          </cell>
          <cell r="CA330">
            <v>0</v>
          </cell>
          <cell r="CB330">
            <v>0</v>
          </cell>
          <cell r="CC330">
            <v>0</v>
          </cell>
          <cell r="CD330">
            <v>0</v>
          </cell>
          <cell r="CE330">
            <v>0</v>
          </cell>
          <cell r="CF330">
            <v>0</v>
          </cell>
          <cell r="CG330">
            <v>0</v>
          </cell>
          <cell r="CH330">
            <v>0</v>
          </cell>
          <cell r="CI330">
            <v>0</v>
          </cell>
          <cell r="CJ330">
            <v>0</v>
          </cell>
          <cell r="CK330">
            <v>0</v>
          </cell>
          <cell r="CL330">
            <v>0</v>
          </cell>
          <cell r="CM330">
            <v>0</v>
          </cell>
          <cell r="CN330">
            <v>0</v>
          </cell>
          <cell r="CO330">
            <v>0</v>
          </cell>
          <cell r="CP330">
            <v>0</v>
          </cell>
          <cell r="CQ330">
            <v>0</v>
          </cell>
          <cell r="CU330">
            <v>0</v>
          </cell>
          <cell r="CV330">
            <v>0</v>
          </cell>
          <cell r="CW330">
            <v>0</v>
          </cell>
          <cell r="CZ330" t="str">
            <v>s</v>
          </cell>
        </row>
        <row r="331">
          <cell r="A331" t="str">
            <v>GRS-75x50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cell r="BM331">
            <v>0</v>
          </cell>
          <cell r="BN331">
            <v>0</v>
          </cell>
          <cell r="BO331">
            <v>0</v>
          </cell>
          <cell r="BP331">
            <v>0</v>
          </cell>
          <cell r="BQ331">
            <v>0</v>
          </cell>
          <cell r="BR331">
            <v>0</v>
          </cell>
          <cell r="BS331">
            <v>0</v>
          </cell>
          <cell r="BT331">
            <v>0</v>
          </cell>
          <cell r="BU331">
            <v>0</v>
          </cell>
          <cell r="BV331">
            <v>0</v>
          </cell>
          <cell r="BW331">
            <v>0</v>
          </cell>
          <cell r="BX331">
            <v>0</v>
          </cell>
          <cell r="BY331">
            <v>0</v>
          </cell>
          <cell r="BZ331">
            <v>0</v>
          </cell>
          <cell r="CA331">
            <v>0</v>
          </cell>
          <cell r="CB331">
            <v>0</v>
          </cell>
          <cell r="CC331">
            <v>0</v>
          </cell>
          <cell r="CD331">
            <v>0</v>
          </cell>
          <cell r="CE331">
            <v>0</v>
          </cell>
          <cell r="CF331">
            <v>0</v>
          </cell>
          <cell r="CG331">
            <v>0</v>
          </cell>
          <cell r="CH331">
            <v>0</v>
          </cell>
          <cell r="CI331">
            <v>0</v>
          </cell>
          <cell r="CJ331">
            <v>0</v>
          </cell>
          <cell r="CK331">
            <v>0</v>
          </cell>
          <cell r="CL331">
            <v>0</v>
          </cell>
          <cell r="CM331">
            <v>0</v>
          </cell>
          <cell r="CN331">
            <v>0</v>
          </cell>
          <cell r="CO331">
            <v>0</v>
          </cell>
          <cell r="CP331">
            <v>0</v>
          </cell>
          <cell r="CQ331">
            <v>0</v>
          </cell>
          <cell r="CU331">
            <v>0</v>
          </cell>
          <cell r="CV331">
            <v>0</v>
          </cell>
          <cell r="CW331">
            <v>0</v>
          </cell>
          <cell r="CZ331" t="str">
            <v>s</v>
          </cell>
        </row>
        <row r="332">
          <cell r="A332" t="str">
            <v>GRS-75x40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cell r="BM332">
            <v>0</v>
          </cell>
          <cell r="BN332">
            <v>0</v>
          </cell>
          <cell r="BO332">
            <v>0</v>
          </cell>
          <cell r="BP332">
            <v>0</v>
          </cell>
          <cell r="BQ332">
            <v>0</v>
          </cell>
          <cell r="BR332">
            <v>0</v>
          </cell>
          <cell r="BS332">
            <v>0</v>
          </cell>
          <cell r="BT332">
            <v>0</v>
          </cell>
          <cell r="BU332">
            <v>0</v>
          </cell>
          <cell r="BV332">
            <v>0</v>
          </cell>
          <cell r="BW332">
            <v>0</v>
          </cell>
          <cell r="BX332">
            <v>0</v>
          </cell>
          <cell r="BY332">
            <v>0</v>
          </cell>
          <cell r="BZ332">
            <v>0</v>
          </cell>
          <cell r="CA332">
            <v>0</v>
          </cell>
          <cell r="CB332">
            <v>0</v>
          </cell>
          <cell r="CC332">
            <v>0</v>
          </cell>
          <cell r="CD332">
            <v>0</v>
          </cell>
          <cell r="CE332">
            <v>0</v>
          </cell>
          <cell r="CF332">
            <v>0</v>
          </cell>
          <cell r="CG332">
            <v>0</v>
          </cell>
          <cell r="CH332">
            <v>0</v>
          </cell>
          <cell r="CI332">
            <v>0</v>
          </cell>
          <cell r="CJ332">
            <v>0</v>
          </cell>
          <cell r="CK332">
            <v>0</v>
          </cell>
          <cell r="CL332">
            <v>0</v>
          </cell>
          <cell r="CM332">
            <v>0</v>
          </cell>
          <cell r="CN332">
            <v>0</v>
          </cell>
          <cell r="CO332">
            <v>0</v>
          </cell>
          <cell r="CP332">
            <v>0</v>
          </cell>
          <cell r="CQ332">
            <v>0</v>
          </cell>
          <cell r="CU332">
            <v>0</v>
          </cell>
          <cell r="CV332">
            <v>0</v>
          </cell>
          <cell r="CW332">
            <v>0</v>
          </cell>
          <cell r="CZ332" t="str">
            <v>s</v>
          </cell>
        </row>
        <row r="333">
          <cell r="A333" t="str">
            <v>GRS-75x32</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cell r="BM333">
            <v>0</v>
          </cell>
          <cell r="BN333">
            <v>0</v>
          </cell>
          <cell r="BO333">
            <v>0</v>
          </cell>
          <cell r="BP333">
            <v>0</v>
          </cell>
          <cell r="BQ333">
            <v>0</v>
          </cell>
          <cell r="BR333">
            <v>0</v>
          </cell>
          <cell r="BS333">
            <v>0</v>
          </cell>
          <cell r="BT333">
            <v>0</v>
          </cell>
          <cell r="BU333">
            <v>0</v>
          </cell>
          <cell r="BV333">
            <v>0</v>
          </cell>
          <cell r="BW333">
            <v>0</v>
          </cell>
          <cell r="BX333">
            <v>0</v>
          </cell>
          <cell r="BY333">
            <v>0</v>
          </cell>
          <cell r="BZ333">
            <v>0</v>
          </cell>
          <cell r="CA333">
            <v>0</v>
          </cell>
          <cell r="CB333">
            <v>0</v>
          </cell>
          <cell r="CC333">
            <v>0</v>
          </cell>
          <cell r="CD333">
            <v>0</v>
          </cell>
          <cell r="CE333">
            <v>0</v>
          </cell>
          <cell r="CF333">
            <v>0</v>
          </cell>
          <cell r="CG333">
            <v>0</v>
          </cell>
          <cell r="CH333">
            <v>0</v>
          </cell>
          <cell r="CI333">
            <v>0</v>
          </cell>
          <cell r="CJ333">
            <v>0</v>
          </cell>
          <cell r="CK333">
            <v>0</v>
          </cell>
          <cell r="CL333">
            <v>0</v>
          </cell>
          <cell r="CM333">
            <v>0</v>
          </cell>
          <cell r="CN333">
            <v>0</v>
          </cell>
          <cell r="CO333">
            <v>0</v>
          </cell>
          <cell r="CP333">
            <v>0</v>
          </cell>
          <cell r="CQ333">
            <v>0</v>
          </cell>
          <cell r="CU333">
            <v>0</v>
          </cell>
          <cell r="CV333">
            <v>0</v>
          </cell>
          <cell r="CW333">
            <v>0</v>
          </cell>
          <cell r="CZ333" t="str">
            <v>s</v>
          </cell>
        </row>
        <row r="334">
          <cell r="A334" t="str">
            <v>GRS-75x25</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cell r="BM334">
            <v>0</v>
          </cell>
          <cell r="BN334">
            <v>0</v>
          </cell>
          <cell r="BO334">
            <v>0</v>
          </cell>
          <cell r="BP334">
            <v>0</v>
          </cell>
          <cell r="BQ334">
            <v>0</v>
          </cell>
          <cell r="BR334">
            <v>0</v>
          </cell>
          <cell r="BS334">
            <v>0</v>
          </cell>
          <cell r="BT334">
            <v>0</v>
          </cell>
          <cell r="BU334">
            <v>0</v>
          </cell>
          <cell r="BV334">
            <v>0</v>
          </cell>
          <cell r="BW334">
            <v>0</v>
          </cell>
          <cell r="BX334">
            <v>0</v>
          </cell>
          <cell r="BY334">
            <v>0</v>
          </cell>
          <cell r="BZ334">
            <v>0</v>
          </cell>
          <cell r="CA334">
            <v>0</v>
          </cell>
          <cell r="CB334">
            <v>0</v>
          </cell>
          <cell r="CC334">
            <v>0</v>
          </cell>
          <cell r="CD334">
            <v>0</v>
          </cell>
          <cell r="CE334">
            <v>0</v>
          </cell>
          <cell r="CF334">
            <v>0</v>
          </cell>
          <cell r="CG334">
            <v>0</v>
          </cell>
          <cell r="CH334">
            <v>0</v>
          </cell>
          <cell r="CI334">
            <v>0</v>
          </cell>
          <cell r="CJ334">
            <v>0</v>
          </cell>
          <cell r="CK334">
            <v>0</v>
          </cell>
          <cell r="CL334">
            <v>0</v>
          </cell>
          <cell r="CM334">
            <v>0</v>
          </cell>
          <cell r="CN334">
            <v>0</v>
          </cell>
          <cell r="CO334">
            <v>0</v>
          </cell>
          <cell r="CP334">
            <v>0</v>
          </cell>
          <cell r="CQ334">
            <v>0</v>
          </cell>
          <cell r="CU334">
            <v>0</v>
          </cell>
          <cell r="CV334">
            <v>0</v>
          </cell>
          <cell r="CW334">
            <v>0</v>
          </cell>
          <cell r="CZ334" t="str">
            <v>s</v>
          </cell>
        </row>
        <row r="335">
          <cell r="A335" t="str">
            <v>GRS-75x20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cell r="BM335">
            <v>0</v>
          </cell>
          <cell r="BN335">
            <v>0</v>
          </cell>
          <cell r="BO335">
            <v>0</v>
          </cell>
          <cell r="BP335">
            <v>0</v>
          </cell>
          <cell r="BQ335">
            <v>0</v>
          </cell>
          <cell r="BR335">
            <v>0</v>
          </cell>
          <cell r="BS335">
            <v>0</v>
          </cell>
          <cell r="BT335">
            <v>0</v>
          </cell>
          <cell r="BU335">
            <v>0</v>
          </cell>
          <cell r="BV335">
            <v>0</v>
          </cell>
          <cell r="BW335">
            <v>0</v>
          </cell>
          <cell r="BX335">
            <v>0</v>
          </cell>
          <cell r="BY335">
            <v>0</v>
          </cell>
          <cell r="BZ335">
            <v>0</v>
          </cell>
          <cell r="CA335">
            <v>0</v>
          </cell>
          <cell r="CB335">
            <v>0</v>
          </cell>
          <cell r="CC335">
            <v>0</v>
          </cell>
          <cell r="CD335">
            <v>0</v>
          </cell>
          <cell r="CE335">
            <v>0</v>
          </cell>
          <cell r="CF335">
            <v>0</v>
          </cell>
          <cell r="CG335">
            <v>0</v>
          </cell>
          <cell r="CH335">
            <v>0</v>
          </cell>
          <cell r="CI335">
            <v>0</v>
          </cell>
          <cell r="CJ335">
            <v>0</v>
          </cell>
          <cell r="CK335">
            <v>0</v>
          </cell>
          <cell r="CL335">
            <v>0</v>
          </cell>
          <cell r="CM335">
            <v>0</v>
          </cell>
          <cell r="CN335">
            <v>0</v>
          </cell>
          <cell r="CO335">
            <v>0</v>
          </cell>
          <cell r="CP335">
            <v>0</v>
          </cell>
          <cell r="CQ335">
            <v>0</v>
          </cell>
          <cell r="CU335">
            <v>0</v>
          </cell>
          <cell r="CV335">
            <v>0</v>
          </cell>
          <cell r="CW335">
            <v>0</v>
          </cell>
          <cell r="CZ335" t="str">
            <v>s</v>
          </cell>
        </row>
        <row r="336">
          <cell r="A336" t="str">
            <v>GRS-75x15</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cell r="BM336">
            <v>0</v>
          </cell>
          <cell r="BN336">
            <v>0</v>
          </cell>
          <cell r="BO336">
            <v>0</v>
          </cell>
          <cell r="BP336">
            <v>0</v>
          </cell>
          <cell r="BQ336">
            <v>0</v>
          </cell>
          <cell r="BR336">
            <v>0</v>
          </cell>
          <cell r="BS336">
            <v>0</v>
          </cell>
          <cell r="BT336">
            <v>0</v>
          </cell>
          <cell r="BU336">
            <v>0</v>
          </cell>
          <cell r="BV336">
            <v>0</v>
          </cell>
          <cell r="BW336">
            <v>0</v>
          </cell>
          <cell r="BX336">
            <v>0</v>
          </cell>
          <cell r="BY336">
            <v>0</v>
          </cell>
          <cell r="BZ336">
            <v>0</v>
          </cell>
          <cell r="CA336">
            <v>0</v>
          </cell>
          <cell r="CB336">
            <v>0</v>
          </cell>
          <cell r="CC336">
            <v>0</v>
          </cell>
          <cell r="CD336">
            <v>0</v>
          </cell>
          <cell r="CE336">
            <v>0</v>
          </cell>
          <cell r="CF336">
            <v>0</v>
          </cell>
          <cell r="CG336">
            <v>0</v>
          </cell>
          <cell r="CH336">
            <v>0</v>
          </cell>
          <cell r="CI336">
            <v>0</v>
          </cell>
          <cell r="CJ336">
            <v>0</v>
          </cell>
          <cell r="CK336">
            <v>0</v>
          </cell>
          <cell r="CL336">
            <v>0</v>
          </cell>
          <cell r="CM336">
            <v>0</v>
          </cell>
          <cell r="CN336">
            <v>0</v>
          </cell>
          <cell r="CO336">
            <v>0</v>
          </cell>
          <cell r="CP336">
            <v>0</v>
          </cell>
          <cell r="CQ336">
            <v>0</v>
          </cell>
          <cell r="CU336">
            <v>0</v>
          </cell>
          <cell r="CV336">
            <v>0</v>
          </cell>
          <cell r="CW336">
            <v>0</v>
          </cell>
          <cell r="CZ336" t="str">
            <v>s</v>
          </cell>
        </row>
        <row r="337">
          <cell r="A337" t="str">
            <v>GUN-15</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1</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cell r="BM337">
            <v>0</v>
          </cell>
          <cell r="BN337">
            <v>0</v>
          </cell>
          <cell r="BO337">
            <v>0</v>
          </cell>
          <cell r="BP337">
            <v>0</v>
          </cell>
          <cell r="BQ337">
            <v>0</v>
          </cell>
          <cell r="BR337">
            <v>0</v>
          </cell>
          <cell r="BS337">
            <v>0</v>
          </cell>
          <cell r="BT337">
            <v>0</v>
          </cell>
          <cell r="BU337">
            <v>0</v>
          </cell>
          <cell r="BV337">
            <v>0</v>
          </cell>
          <cell r="BW337">
            <v>0</v>
          </cell>
          <cell r="BX337">
            <v>0</v>
          </cell>
          <cell r="BY337">
            <v>0</v>
          </cell>
          <cell r="BZ337">
            <v>0</v>
          </cell>
          <cell r="CA337">
            <v>0</v>
          </cell>
          <cell r="CB337">
            <v>0</v>
          </cell>
          <cell r="CC337">
            <v>0</v>
          </cell>
          <cell r="CD337">
            <v>0</v>
          </cell>
          <cell r="CE337">
            <v>0</v>
          </cell>
          <cell r="CF337">
            <v>0</v>
          </cell>
          <cell r="CG337">
            <v>0</v>
          </cell>
          <cell r="CH337">
            <v>0</v>
          </cell>
          <cell r="CI337">
            <v>0</v>
          </cell>
          <cell r="CJ337">
            <v>0</v>
          </cell>
          <cell r="CK337">
            <v>0</v>
          </cell>
          <cell r="CL337">
            <v>0</v>
          </cell>
          <cell r="CM337">
            <v>0</v>
          </cell>
          <cell r="CN337">
            <v>0</v>
          </cell>
          <cell r="CO337">
            <v>0</v>
          </cell>
          <cell r="CP337">
            <v>0</v>
          </cell>
          <cell r="CQ337">
            <v>0</v>
          </cell>
          <cell r="CU337">
            <v>1</v>
          </cell>
          <cell r="CV337">
            <v>115</v>
          </cell>
          <cell r="CW337">
            <v>0.2</v>
          </cell>
          <cell r="CZ337" t="str">
            <v>s</v>
          </cell>
        </row>
        <row r="338">
          <cell r="A338" t="str">
            <v>GUN-20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cell r="BM338">
            <v>0</v>
          </cell>
          <cell r="BN338">
            <v>0</v>
          </cell>
          <cell r="BO338">
            <v>0</v>
          </cell>
          <cell r="BP338">
            <v>0</v>
          </cell>
          <cell r="BQ338">
            <v>0</v>
          </cell>
          <cell r="BR338">
            <v>0</v>
          </cell>
          <cell r="BS338">
            <v>0</v>
          </cell>
          <cell r="BT338">
            <v>0</v>
          </cell>
          <cell r="BU338">
            <v>0</v>
          </cell>
          <cell r="BV338">
            <v>0</v>
          </cell>
          <cell r="BW338">
            <v>0</v>
          </cell>
          <cell r="BX338">
            <v>0</v>
          </cell>
          <cell r="BY338">
            <v>0</v>
          </cell>
          <cell r="BZ338">
            <v>0</v>
          </cell>
          <cell r="CA338">
            <v>0</v>
          </cell>
          <cell r="CB338">
            <v>0</v>
          </cell>
          <cell r="CC338">
            <v>0</v>
          </cell>
          <cell r="CD338">
            <v>0</v>
          </cell>
          <cell r="CE338">
            <v>0</v>
          </cell>
          <cell r="CF338">
            <v>0</v>
          </cell>
          <cell r="CG338">
            <v>0</v>
          </cell>
          <cell r="CH338">
            <v>0</v>
          </cell>
          <cell r="CI338">
            <v>0</v>
          </cell>
          <cell r="CJ338">
            <v>0</v>
          </cell>
          <cell r="CK338">
            <v>0</v>
          </cell>
          <cell r="CL338">
            <v>0</v>
          </cell>
          <cell r="CM338">
            <v>0</v>
          </cell>
          <cell r="CN338">
            <v>0</v>
          </cell>
          <cell r="CO338">
            <v>0</v>
          </cell>
          <cell r="CP338">
            <v>0</v>
          </cell>
          <cell r="CQ338">
            <v>0</v>
          </cell>
          <cell r="CU338">
            <v>0</v>
          </cell>
          <cell r="CV338">
            <v>0</v>
          </cell>
          <cell r="CW338">
            <v>0</v>
          </cell>
          <cell r="CZ338" t="str">
            <v>s</v>
          </cell>
        </row>
        <row r="339">
          <cell r="A339" t="str">
            <v>GUN-25</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cell r="BM339">
            <v>0</v>
          </cell>
          <cell r="BN339">
            <v>0</v>
          </cell>
          <cell r="BO339">
            <v>0</v>
          </cell>
          <cell r="BP339">
            <v>0</v>
          </cell>
          <cell r="BQ339">
            <v>0</v>
          </cell>
          <cell r="BR339">
            <v>0</v>
          </cell>
          <cell r="BS339">
            <v>0</v>
          </cell>
          <cell r="BT339">
            <v>0</v>
          </cell>
          <cell r="BU339">
            <v>0</v>
          </cell>
          <cell r="BV339">
            <v>0</v>
          </cell>
          <cell r="BW339">
            <v>0</v>
          </cell>
          <cell r="BX339">
            <v>0</v>
          </cell>
          <cell r="BY339">
            <v>0</v>
          </cell>
          <cell r="BZ339">
            <v>0</v>
          </cell>
          <cell r="CA339">
            <v>0</v>
          </cell>
          <cell r="CB339">
            <v>0</v>
          </cell>
          <cell r="CC339">
            <v>0</v>
          </cell>
          <cell r="CD339">
            <v>0</v>
          </cell>
          <cell r="CE339">
            <v>0</v>
          </cell>
          <cell r="CF339">
            <v>0</v>
          </cell>
          <cell r="CG339">
            <v>0</v>
          </cell>
          <cell r="CH339">
            <v>0</v>
          </cell>
          <cell r="CI339">
            <v>0</v>
          </cell>
          <cell r="CJ339">
            <v>0</v>
          </cell>
          <cell r="CK339">
            <v>0</v>
          </cell>
          <cell r="CL339">
            <v>0</v>
          </cell>
          <cell r="CM339">
            <v>0</v>
          </cell>
          <cell r="CN339">
            <v>0</v>
          </cell>
          <cell r="CO339">
            <v>0</v>
          </cell>
          <cell r="CP339">
            <v>0</v>
          </cell>
          <cell r="CQ339">
            <v>0</v>
          </cell>
          <cell r="CU339">
            <v>0</v>
          </cell>
          <cell r="CV339">
            <v>0</v>
          </cell>
          <cell r="CW339">
            <v>0</v>
          </cell>
          <cell r="CZ339" t="str">
            <v>s</v>
          </cell>
        </row>
        <row r="340">
          <cell r="A340" t="str">
            <v>GUN-32</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cell r="BM340">
            <v>0</v>
          </cell>
          <cell r="BN340">
            <v>0</v>
          </cell>
          <cell r="BO340">
            <v>0</v>
          </cell>
          <cell r="BP340">
            <v>0</v>
          </cell>
          <cell r="BQ340">
            <v>0</v>
          </cell>
          <cell r="BR340">
            <v>0</v>
          </cell>
          <cell r="BS340">
            <v>0</v>
          </cell>
          <cell r="BT340">
            <v>0</v>
          </cell>
          <cell r="BU340">
            <v>0</v>
          </cell>
          <cell r="BV340">
            <v>0</v>
          </cell>
          <cell r="BW340">
            <v>0</v>
          </cell>
          <cell r="BX340">
            <v>0</v>
          </cell>
          <cell r="BY340">
            <v>0</v>
          </cell>
          <cell r="BZ340">
            <v>0</v>
          </cell>
          <cell r="CA340">
            <v>0</v>
          </cell>
          <cell r="CB340">
            <v>0</v>
          </cell>
          <cell r="CC340">
            <v>0</v>
          </cell>
          <cell r="CD340">
            <v>0</v>
          </cell>
          <cell r="CE340">
            <v>0</v>
          </cell>
          <cell r="CF340">
            <v>0</v>
          </cell>
          <cell r="CG340">
            <v>0</v>
          </cell>
          <cell r="CH340">
            <v>0</v>
          </cell>
          <cell r="CI340">
            <v>0</v>
          </cell>
          <cell r="CJ340">
            <v>0</v>
          </cell>
          <cell r="CK340">
            <v>0</v>
          </cell>
          <cell r="CL340">
            <v>0</v>
          </cell>
          <cell r="CM340">
            <v>0</v>
          </cell>
          <cell r="CN340">
            <v>0</v>
          </cell>
          <cell r="CO340">
            <v>0</v>
          </cell>
          <cell r="CP340">
            <v>0</v>
          </cell>
          <cell r="CQ340">
            <v>0</v>
          </cell>
          <cell r="CU340">
            <v>0</v>
          </cell>
          <cell r="CV340">
            <v>0</v>
          </cell>
          <cell r="CW340">
            <v>0</v>
          </cell>
          <cell r="CZ340" t="str">
            <v>s</v>
          </cell>
        </row>
        <row r="341">
          <cell r="A341" t="str">
            <v>GUN-40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1</v>
          </cell>
          <cell r="BC341">
            <v>0</v>
          </cell>
          <cell r="BD341">
            <v>0</v>
          </cell>
          <cell r="BE341">
            <v>0</v>
          </cell>
          <cell r="BF341">
            <v>0</v>
          </cell>
          <cell r="BG341">
            <v>0</v>
          </cell>
          <cell r="BH341">
            <v>0</v>
          </cell>
          <cell r="BI341">
            <v>0</v>
          </cell>
          <cell r="BJ341">
            <v>0</v>
          </cell>
          <cell r="BK341">
            <v>0</v>
          </cell>
          <cell r="BL341">
            <v>0</v>
          </cell>
          <cell r="BM341">
            <v>0</v>
          </cell>
          <cell r="BN341">
            <v>0</v>
          </cell>
          <cell r="BO341">
            <v>0</v>
          </cell>
          <cell r="BP341">
            <v>0</v>
          </cell>
          <cell r="BQ341">
            <v>0</v>
          </cell>
          <cell r="BR341">
            <v>0</v>
          </cell>
          <cell r="BS341">
            <v>0</v>
          </cell>
          <cell r="BT341">
            <v>0</v>
          </cell>
          <cell r="BU341">
            <v>0</v>
          </cell>
          <cell r="BV341">
            <v>0</v>
          </cell>
          <cell r="BW341">
            <v>0</v>
          </cell>
          <cell r="BX341">
            <v>0</v>
          </cell>
          <cell r="BY341">
            <v>0</v>
          </cell>
          <cell r="BZ341">
            <v>0</v>
          </cell>
          <cell r="CA341">
            <v>0</v>
          </cell>
          <cell r="CB341">
            <v>0</v>
          </cell>
          <cell r="CC341">
            <v>0</v>
          </cell>
          <cell r="CD341">
            <v>0</v>
          </cell>
          <cell r="CE341">
            <v>0</v>
          </cell>
          <cell r="CF341">
            <v>0</v>
          </cell>
          <cell r="CG341">
            <v>0</v>
          </cell>
          <cell r="CH341">
            <v>0</v>
          </cell>
          <cell r="CI341">
            <v>0</v>
          </cell>
          <cell r="CJ341">
            <v>0</v>
          </cell>
          <cell r="CK341">
            <v>0</v>
          </cell>
          <cell r="CL341">
            <v>0</v>
          </cell>
          <cell r="CM341">
            <v>0</v>
          </cell>
          <cell r="CN341">
            <v>0</v>
          </cell>
          <cell r="CO341">
            <v>0</v>
          </cell>
          <cell r="CP341">
            <v>0</v>
          </cell>
          <cell r="CQ341">
            <v>0</v>
          </cell>
          <cell r="CU341">
            <v>1</v>
          </cell>
          <cell r="CV341">
            <v>430</v>
          </cell>
          <cell r="CW341">
            <v>0.73</v>
          </cell>
          <cell r="CZ341" t="str">
            <v>s</v>
          </cell>
        </row>
        <row r="342">
          <cell r="A342" t="str">
            <v>GUN-50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1</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4</v>
          </cell>
          <cell r="BM342">
            <v>0</v>
          </cell>
          <cell r="BN342">
            <v>0</v>
          </cell>
          <cell r="BO342">
            <v>0</v>
          </cell>
          <cell r="BP342">
            <v>0</v>
          </cell>
          <cell r="BQ342">
            <v>0</v>
          </cell>
          <cell r="BR342">
            <v>0</v>
          </cell>
          <cell r="BS342">
            <v>0</v>
          </cell>
          <cell r="BT342">
            <v>0</v>
          </cell>
          <cell r="BU342">
            <v>0</v>
          </cell>
          <cell r="BV342">
            <v>0</v>
          </cell>
          <cell r="BW342">
            <v>0</v>
          </cell>
          <cell r="BX342">
            <v>0</v>
          </cell>
          <cell r="BY342">
            <v>0</v>
          </cell>
          <cell r="BZ342">
            <v>0</v>
          </cell>
          <cell r="CA342">
            <v>0</v>
          </cell>
          <cell r="CB342">
            <v>0</v>
          </cell>
          <cell r="CC342">
            <v>0</v>
          </cell>
          <cell r="CD342">
            <v>0</v>
          </cell>
          <cell r="CE342">
            <v>0</v>
          </cell>
          <cell r="CF342">
            <v>0</v>
          </cell>
          <cell r="CG342">
            <v>0</v>
          </cell>
          <cell r="CH342">
            <v>0</v>
          </cell>
          <cell r="CI342">
            <v>0</v>
          </cell>
          <cell r="CJ342">
            <v>0</v>
          </cell>
          <cell r="CK342">
            <v>0</v>
          </cell>
          <cell r="CL342">
            <v>0</v>
          </cell>
          <cell r="CM342">
            <v>0</v>
          </cell>
          <cell r="CN342">
            <v>0</v>
          </cell>
          <cell r="CO342">
            <v>0</v>
          </cell>
          <cell r="CP342">
            <v>0</v>
          </cell>
          <cell r="CQ342">
            <v>0</v>
          </cell>
          <cell r="CU342">
            <v>5</v>
          </cell>
          <cell r="CV342">
            <v>2900</v>
          </cell>
          <cell r="CW342">
            <v>5.45</v>
          </cell>
          <cell r="CZ342" t="str">
            <v>s</v>
          </cell>
        </row>
        <row r="343">
          <cell r="A343" t="str">
            <v>GUN-63</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cell r="BM343">
            <v>0</v>
          </cell>
          <cell r="BN343">
            <v>0</v>
          </cell>
          <cell r="BO343">
            <v>0</v>
          </cell>
          <cell r="BP343">
            <v>0</v>
          </cell>
          <cell r="BQ343">
            <v>0</v>
          </cell>
          <cell r="BR343">
            <v>0</v>
          </cell>
          <cell r="BS343">
            <v>0</v>
          </cell>
          <cell r="BT343">
            <v>0</v>
          </cell>
          <cell r="BU343">
            <v>0</v>
          </cell>
          <cell r="BV343">
            <v>0</v>
          </cell>
          <cell r="BW343">
            <v>0</v>
          </cell>
          <cell r="BX343">
            <v>0</v>
          </cell>
          <cell r="BY343">
            <v>0</v>
          </cell>
          <cell r="BZ343">
            <v>0</v>
          </cell>
          <cell r="CA343">
            <v>0</v>
          </cell>
          <cell r="CB343">
            <v>0</v>
          </cell>
          <cell r="CC343">
            <v>0</v>
          </cell>
          <cell r="CD343">
            <v>0</v>
          </cell>
          <cell r="CE343">
            <v>0</v>
          </cell>
          <cell r="CF343">
            <v>0</v>
          </cell>
          <cell r="CG343">
            <v>0</v>
          </cell>
          <cell r="CH343">
            <v>0</v>
          </cell>
          <cell r="CI343">
            <v>0</v>
          </cell>
          <cell r="CJ343">
            <v>0</v>
          </cell>
          <cell r="CK343">
            <v>0</v>
          </cell>
          <cell r="CL343">
            <v>0</v>
          </cell>
          <cell r="CM343">
            <v>0</v>
          </cell>
          <cell r="CN343">
            <v>0</v>
          </cell>
          <cell r="CO343">
            <v>0</v>
          </cell>
          <cell r="CP343">
            <v>0</v>
          </cell>
          <cell r="CQ343">
            <v>0</v>
          </cell>
          <cell r="CU343">
            <v>0</v>
          </cell>
          <cell r="CV343">
            <v>0</v>
          </cell>
          <cell r="CW343">
            <v>0</v>
          </cell>
          <cell r="CZ343" t="str">
            <v>s</v>
          </cell>
        </row>
        <row r="344">
          <cell r="A344" t="str">
            <v>GUN-75</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cell r="BM344">
            <v>0</v>
          </cell>
          <cell r="BN344">
            <v>0</v>
          </cell>
          <cell r="BO344">
            <v>0</v>
          </cell>
          <cell r="BP344">
            <v>0</v>
          </cell>
          <cell r="BQ344">
            <v>0</v>
          </cell>
          <cell r="BR344">
            <v>0</v>
          </cell>
          <cell r="BS344">
            <v>0</v>
          </cell>
          <cell r="BT344">
            <v>0</v>
          </cell>
          <cell r="BU344">
            <v>0</v>
          </cell>
          <cell r="BV344">
            <v>0</v>
          </cell>
          <cell r="BW344">
            <v>0</v>
          </cell>
          <cell r="BX344">
            <v>0</v>
          </cell>
          <cell r="BY344">
            <v>0</v>
          </cell>
          <cell r="BZ344">
            <v>0</v>
          </cell>
          <cell r="CA344">
            <v>0</v>
          </cell>
          <cell r="CB344">
            <v>0</v>
          </cell>
          <cell r="CC344">
            <v>0</v>
          </cell>
          <cell r="CD344">
            <v>0</v>
          </cell>
          <cell r="CE344">
            <v>0</v>
          </cell>
          <cell r="CF344">
            <v>0</v>
          </cell>
          <cell r="CG344">
            <v>0</v>
          </cell>
          <cell r="CH344">
            <v>0</v>
          </cell>
          <cell r="CI344">
            <v>0</v>
          </cell>
          <cell r="CJ344">
            <v>0</v>
          </cell>
          <cell r="CK344">
            <v>0</v>
          </cell>
          <cell r="CL344">
            <v>0</v>
          </cell>
          <cell r="CM344">
            <v>0</v>
          </cell>
          <cell r="CN344">
            <v>0</v>
          </cell>
          <cell r="CO344">
            <v>0</v>
          </cell>
          <cell r="CP344">
            <v>0</v>
          </cell>
          <cell r="CQ344">
            <v>0</v>
          </cell>
          <cell r="CU344">
            <v>0</v>
          </cell>
          <cell r="CV344">
            <v>0</v>
          </cell>
          <cell r="CW344">
            <v>0</v>
          </cell>
          <cell r="CZ344" t="str">
            <v>s</v>
          </cell>
        </row>
        <row r="345">
          <cell r="A345" t="str">
            <v>GBR-15</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1</v>
          </cell>
          <cell r="BC345">
            <v>0</v>
          </cell>
          <cell r="BD345">
            <v>0</v>
          </cell>
          <cell r="BE345">
            <v>0</v>
          </cell>
          <cell r="BF345">
            <v>0</v>
          </cell>
          <cell r="BG345">
            <v>0</v>
          </cell>
          <cell r="BH345">
            <v>0</v>
          </cell>
          <cell r="BI345">
            <v>0</v>
          </cell>
          <cell r="BJ345">
            <v>0</v>
          </cell>
          <cell r="BK345">
            <v>0</v>
          </cell>
          <cell r="BL345">
            <v>4</v>
          </cell>
          <cell r="BM345">
            <v>0</v>
          </cell>
          <cell r="BN345">
            <v>0</v>
          </cell>
          <cell r="BO345">
            <v>0</v>
          </cell>
          <cell r="BP345">
            <v>0</v>
          </cell>
          <cell r="BQ345">
            <v>0</v>
          </cell>
          <cell r="BR345">
            <v>0</v>
          </cell>
          <cell r="BS345">
            <v>0</v>
          </cell>
          <cell r="BT345">
            <v>0</v>
          </cell>
          <cell r="BU345">
            <v>0</v>
          </cell>
          <cell r="BV345">
            <v>0</v>
          </cell>
          <cell r="BW345">
            <v>0</v>
          </cell>
          <cell r="BX345">
            <v>0</v>
          </cell>
          <cell r="BY345">
            <v>0</v>
          </cell>
          <cell r="BZ345">
            <v>0</v>
          </cell>
          <cell r="CA345">
            <v>0</v>
          </cell>
          <cell r="CB345">
            <v>0</v>
          </cell>
          <cell r="CC345">
            <v>0</v>
          </cell>
          <cell r="CD345">
            <v>0</v>
          </cell>
          <cell r="CE345">
            <v>0</v>
          </cell>
          <cell r="CF345">
            <v>0</v>
          </cell>
          <cell r="CG345">
            <v>0</v>
          </cell>
          <cell r="CH345">
            <v>0</v>
          </cell>
          <cell r="CI345">
            <v>0</v>
          </cell>
          <cell r="CJ345">
            <v>0</v>
          </cell>
          <cell r="CK345">
            <v>0</v>
          </cell>
          <cell r="CL345">
            <v>0</v>
          </cell>
          <cell r="CM345">
            <v>0</v>
          </cell>
          <cell r="CN345">
            <v>0</v>
          </cell>
          <cell r="CO345">
            <v>0</v>
          </cell>
          <cell r="CP345">
            <v>0</v>
          </cell>
          <cell r="CQ345">
            <v>0</v>
          </cell>
          <cell r="CU345">
            <v>5</v>
          </cell>
          <cell r="CV345">
            <v>1500.9733499999998</v>
          </cell>
          <cell r="CW345">
            <v>0.70000000000000007</v>
          </cell>
          <cell r="CZ345" t="str">
            <v>s</v>
          </cell>
        </row>
        <row r="346">
          <cell r="A346" t="str">
            <v>GBR-20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cell r="BM346">
            <v>0</v>
          </cell>
          <cell r="BN346">
            <v>0</v>
          </cell>
          <cell r="BO346">
            <v>0</v>
          </cell>
          <cell r="BP346">
            <v>0</v>
          </cell>
          <cell r="BQ346">
            <v>0</v>
          </cell>
          <cell r="BR346">
            <v>0</v>
          </cell>
          <cell r="BS346">
            <v>0</v>
          </cell>
          <cell r="BT346">
            <v>0</v>
          </cell>
          <cell r="BU346">
            <v>0</v>
          </cell>
          <cell r="BV346">
            <v>0</v>
          </cell>
          <cell r="BW346">
            <v>0</v>
          </cell>
          <cell r="BX346">
            <v>0</v>
          </cell>
          <cell r="BY346">
            <v>0</v>
          </cell>
          <cell r="BZ346">
            <v>0</v>
          </cell>
          <cell r="CA346">
            <v>0</v>
          </cell>
          <cell r="CB346">
            <v>0</v>
          </cell>
          <cell r="CC346">
            <v>0</v>
          </cell>
          <cell r="CD346">
            <v>0</v>
          </cell>
          <cell r="CE346">
            <v>0</v>
          </cell>
          <cell r="CF346">
            <v>0</v>
          </cell>
          <cell r="CG346">
            <v>0</v>
          </cell>
          <cell r="CH346">
            <v>0</v>
          </cell>
          <cell r="CI346">
            <v>0</v>
          </cell>
          <cell r="CJ346">
            <v>0</v>
          </cell>
          <cell r="CK346">
            <v>0</v>
          </cell>
          <cell r="CL346">
            <v>0</v>
          </cell>
          <cell r="CM346">
            <v>0</v>
          </cell>
          <cell r="CN346">
            <v>0</v>
          </cell>
          <cell r="CO346">
            <v>0</v>
          </cell>
          <cell r="CP346">
            <v>0</v>
          </cell>
          <cell r="CQ346">
            <v>0</v>
          </cell>
          <cell r="CU346">
            <v>0</v>
          </cell>
          <cell r="CV346">
            <v>0</v>
          </cell>
          <cell r="CW346">
            <v>0</v>
          </cell>
          <cell r="CZ346" t="str">
            <v>s</v>
          </cell>
        </row>
        <row r="347">
          <cell r="A347" t="str">
            <v>GBR-25</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2</v>
          </cell>
          <cell r="BM347">
            <v>0</v>
          </cell>
          <cell r="BN347">
            <v>0</v>
          </cell>
          <cell r="BO347">
            <v>0</v>
          </cell>
          <cell r="BP347">
            <v>0</v>
          </cell>
          <cell r="BQ347">
            <v>0</v>
          </cell>
          <cell r="BR347">
            <v>0</v>
          </cell>
          <cell r="BS347">
            <v>0</v>
          </cell>
          <cell r="BT347">
            <v>0</v>
          </cell>
          <cell r="BU347">
            <v>0</v>
          </cell>
          <cell r="BV347">
            <v>0</v>
          </cell>
          <cell r="BW347">
            <v>0</v>
          </cell>
          <cell r="BX347">
            <v>0</v>
          </cell>
          <cell r="BY347">
            <v>0</v>
          </cell>
          <cell r="BZ347">
            <v>0</v>
          </cell>
          <cell r="CA347">
            <v>0</v>
          </cell>
          <cell r="CB347">
            <v>0</v>
          </cell>
          <cell r="CC347">
            <v>0</v>
          </cell>
          <cell r="CD347">
            <v>0</v>
          </cell>
          <cell r="CE347">
            <v>0</v>
          </cell>
          <cell r="CF347">
            <v>0</v>
          </cell>
          <cell r="CG347">
            <v>0</v>
          </cell>
          <cell r="CH347">
            <v>0</v>
          </cell>
          <cell r="CI347">
            <v>0</v>
          </cell>
          <cell r="CJ347">
            <v>0</v>
          </cell>
          <cell r="CK347">
            <v>0</v>
          </cell>
          <cell r="CL347">
            <v>0</v>
          </cell>
          <cell r="CM347">
            <v>0</v>
          </cell>
          <cell r="CN347">
            <v>0</v>
          </cell>
          <cell r="CO347">
            <v>0</v>
          </cell>
          <cell r="CP347">
            <v>0</v>
          </cell>
          <cell r="CQ347">
            <v>0</v>
          </cell>
          <cell r="CU347">
            <v>2</v>
          </cell>
          <cell r="CV347">
            <v>201.97393999999997</v>
          </cell>
          <cell r="CW347">
            <v>0.36</v>
          </cell>
          <cell r="CZ347" t="str">
            <v>s</v>
          </cell>
        </row>
        <row r="348">
          <cell r="A348" t="str">
            <v>GBR-32</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cell r="BM348">
            <v>0</v>
          </cell>
          <cell r="BN348">
            <v>0</v>
          </cell>
          <cell r="BO348">
            <v>0</v>
          </cell>
          <cell r="BP348">
            <v>0</v>
          </cell>
          <cell r="BQ348">
            <v>0</v>
          </cell>
          <cell r="BR348">
            <v>0</v>
          </cell>
          <cell r="BS348">
            <v>0</v>
          </cell>
          <cell r="BT348">
            <v>0</v>
          </cell>
          <cell r="BU348">
            <v>0</v>
          </cell>
          <cell r="BV348">
            <v>0</v>
          </cell>
          <cell r="BW348">
            <v>0</v>
          </cell>
          <cell r="BX348">
            <v>0</v>
          </cell>
          <cell r="BY348">
            <v>0</v>
          </cell>
          <cell r="BZ348">
            <v>0</v>
          </cell>
          <cell r="CA348">
            <v>0</v>
          </cell>
          <cell r="CB348">
            <v>0</v>
          </cell>
          <cell r="CC348">
            <v>0</v>
          </cell>
          <cell r="CD348">
            <v>0</v>
          </cell>
          <cell r="CE348">
            <v>0</v>
          </cell>
          <cell r="CF348">
            <v>0</v>
          </cell>
          <cell r="CG348">
            <v>0</v>
          </cell>
          <cell r="CH348">
            <v>0</v>
          </cell>
          <cell r="CI348">
            <v>0</v>
          </cell>
          <cell r="CJ348">
            <v>0</v>
          </cell>
          <cell r="CK348">
            <v>0</v>
          </cell>
          <cell r="CL348">
            <v>0</v>
          </cell>
          <cell r="CM348">
            <v>0</v>
          </cell>
          <cell r="CN348">
            <v>0</v>
          </cell>
          <cell r="CO348">
            <v>0</v>
          </cell>
          <cell r="CP348">
            <v>0</v>
          </cell>
          <cell r="CQ348">
            <v>0</v>
          </cell>
          <cell r="CU348">
            <v>0</v>
          </cell>
          <cell r="CV348">
            <v>0</v>
          </cell>
          <cell r="CW348">
            <v>0</v>
          </cell>
          <cell r="CZ348" t="str">
            <v>s</v>
          </cell>
        </row>
        <row r="349">
          <cell r="A349" t="str">
            <v>GBR-40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cell r="BM349">
            <v>0</v>
          </cell>
          <cell r="BN349">
            <v>0</v>
          </cell>
          <cell r="BO349">
            <v>0</v>
          </cell>
          <cell r="BP349">
            <v>0</v>
          </cell>
          <cell r="BQ349">
            <v>0</v>
          </cell>
          <cell r="BR349">
            <v>0</v>
          </cell>
          <cell r="BS349">
            <v>0</v>
          </cell>
          <cell r="BT349">
            <v>0</v>
          </cell>
          <cell r="BU349">
            <v>0</v>
          </cell>
          <cell r="BV349">
            <v>0</v>
          </cell>
          <cell r="BW349">
            <v>0</v>
          </cell>
          <cell r="BX349">
            <v>0</v>
          </cell>
          <cell r="BY349">
            <v>0</v>
          </cell>
          <cell r="BZ349">
            <v>0</v>
          </cell>
          <cell r="CA349">
            <v>0</v>
          </cell>
          <cell r="CB349">
            <v>0</v>
          </cell>
          <cell r="CC349">
            <v>0</v>
          </cell>
          <cell r="CD349">
            <v>0</v>
          </cell>
          <cell r="CE349">
            <v>0</v>
          </cell>
          <cell r="CF349">
            <v>0</v>
          </cell>
          <cell r="CG349">
            <v>0</v>
          </cell>
          <cell r="CH349">
            <v>0</v>
          </cell>
          <cell r="CI349">
            <v>0</v>
          </cell>
          <cell r="CJ349">
            <v>0</v>
          </cell>
          <cell r="CK349">
            <v>0</v>
          </cell>
          <cell r="CL349">
            <v>0</v>
          </cell>
          <cell r="CM349">
            <v>0</v>
          </cell>
          <cell r="CN349">
            <v>0</v>
          </cell>
          <cell r="CO349">
            <v>0</v>
          </cell>
          <cell r="CP349">
            <v>0</v>
          </cell>
          <cell r="CQ349">
            <v>0</v>
          </cell>
          <cell r="CU349">
            <v>0</v>
          </cell>
          <cell r="CV349">
            <v>0</v>
          </cell>
          <cell r="CW349">
            <v>0</v>
          </cell>
          <cell r="CZ349" t="str">
            <v>s</v>
          </cell>
        </row>
        <row r="350">
          <cell r="A350" t="str">
            <v>GBR-50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cell r="BM350">
            <v>0</v>
          </cell>
          <cell r="BN350">
            <v>0</v>
          </cell>
          <cell r="BO350">
            <v>0</v>
          </cell>
          <cell r="BP350">
            <v>0</v>
          </cell>
          <cell r="BQ350">
            <v>0</v>
          </cell>
          <cell r="BR350">
            <v>0</v>
          </cell>
          <cell r="BS350">
            <v>0</v>
          </cell>
          <cell r="BT350">
            <v>0</v>
          </cell>
          <cell r="BU350">
            <v>0</v>
          </cell>
          <cell r="BV350">
            <v>0</v>
          </cell>
          <cell r="BW350">
            <v>0</v>
          </cell>
          <cell r="BX350">
            <v>0</v>
          </cell>
          <cell r="BY350">
            <v>0</v>
          </cell>
          <cell r="BZ350">
            <v>0</v>
          </cell>
          <cell r="CA350">
            <v>0</v>
          </cell>
          <cell r="CB350">
            <v>0</v>
          </cell>
          <cell r="CC350">
            <v>0</v>
          </cell>
          <cell r="CD350">
            <v>0</v>
          </cell>
          <cell r="CE350">
            <v>0</v>
          </cell>
          <cell r="CF350">
            <v>0</v>
          </cell>
          <cell r="CG350">
            <v>0</v>
          </cell>
          <cell r="CH350">
            <v>0</v>
          </cell>
          <cell r="CI350">
            <v>0</v>
          </cell>
          <cell r="CJ350">
            <v>0</v>
          </cell>
          <cell r="CK350">
            <v>0</v>
          </cell>
          <cell r="CL350">
            <v>0</v>
          </cell>
          <cell r="CM350">
            <v>0</v>
          </cell>
          <cell r="CN350">
            <v>0</v>
          </cell>
          <cell r="CO350">
            <v>0</v>
          </cell>
          <cell r="CP350">
            <v>0</v>
          </cell>
          <cell r="CQ350">
            <v>0</v>
          </cell>
          <cell r="CU350">
            <v>0</v>
          </cell>
          <cell r="CV350">
            <v>0</v>
          </cell>
          <cell r="CW350">
            <v>0</v>
          </cell>
          <cell r="CZ350" t="str">
            <v>s</v>
          </cell>
        </row>
        <row r="351">
          <cell r="A351" t="str">
            <v>GBR-63</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cell r="BM351">
            <v>0</v>
          </cell>
          <cell r="BN351">
            <v>0</v>
          </cell>
          <cell r="BO351">
            <v>0</v>
          </cell>
          <cell r="BP351">
            <v>0</v>
          </cell>
          <cell r="BQ351">
            <v>0</v>
          </cell>
          <cell r="BR351">
            <v>0</v>
          </cell>
          <cell r="BS351">
            <v>0</v>
          </cell>
          <cell r="BT351">
            <v>0</v>
          </cell>
          <cell r="BU351">
            <v>0</v>
          </cell>
          <cell r="BV351">
            <v>0</v>
          </cell>
          <cell r="BW351">
            <v>0</v>
          </cell>
          <cell r="BX351">
            <v>0</v>
          </cell>
          <cell r="BY351">
            <v>0</v>
          </cell>
          <cell r="BZ351">
            <v>0</v>
          </cell>
          <cell r="CA351">
            <v>0</v>
          </cell>
          <cell r="CB351">
            <v>0</v>
          </cell>
          <cell r="CC351">
            <v>0</v>
          </cell>
          <cell r="CD351">
            <v>0</v>
          </cell>
          <cell r="CE351">
            <v>0</v>
          </cell>
          <cell r="CF351">
            <v>0</v>
          </cell>
          <cell r="CG351">
            <v>0</v>
          </cell>
          <cell r="CH351">
            <v>0</v>
          </cell>
          <cell r="CI351">
            <v>0</v>
          </cell>
          <cell r="CJ351">
            <v>0</v>
          </cell>
          <cell r="CK351">
            <v>0</v>
          </cell>
          <cell r="CL351">
            <v>0</v>
          </cell>
          <cell r="CM351">
            <v>0</v>
          </cell>
          <cell r="CN351">
            <v>0</v>
          </cell>
          <cell r="CO351">
            <v>0</v>
          </cell>
          <cell r="CP351">
            <v>0</v>
          </cell>
          <cell r="CQ351">
            <v>0</v>
          </cell>
          <cell r="CU351">
            <v>0</v>
          </cell>
          <cell r="CV351">
            <v>0</v>
          </cell>
          <cell r="CW351">
            <v>0</v>
          </cell>
          <cell r="CZ351" t="str">
            <v>s</v>
          </cell>
        </row>
        <row r="352">
          <cell r="A352" t="str">
            <v>GBR-75</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cell r="BM352">
            <v>0</v>
          </cell>
          <cell r="BN352">
            <v>0</v>
          </cell>
          <cell r="BO352">
            <v>0</v>
          </cell>
          <cell r="BP352">
            <v>0</v>
          </cell>
          <cell r="BQ352">
            <v>0</v>
          </cell>
          <cell r="BR352">
            <v>0</v>
          </cell>
          <cell r="BS352">
            <v>0</v>
          </cell>
          <cell r="BT352">
            <v>0</v>
          </cell>
          <cell r="BU352">
            <v>0</v>
          </cell>
          <cell r="BV352">
            <v>0</v>
          </cell>
          <cell r="BW352">
            <v>0</v>
          </cell>
          <cell r="BX352">
            <v>0</v>
          </cell>
          <cell r="BY352">
            <v>0</v>
          </cell>
          <cell r="BZ352">
            <v>0</v>
          </cell>
          <cell r="CA352">
            <v>0</v>
          </cell>
          <cell r="CB352">
            <v>0</v>
          </cell>
          <cell r="CC352">
            <v>0</v>
          </cell>
          <cell r="CD352">
            <v>0</v>
          </cell>
          <cell r="CE352">
            <v>0</v>
          </cell>
          <cell r="CF352">
            <v>0</v>
          </cell>
          <cell r="CG352">
            <v>0</v>
          </cell>
          <cell r="CH352">
            <v>0</v>
          </cell>
          <cell r="CI352">
            <v>0</v>
          </cell>
          <cell r="CJ352">
            <v>0</v>
          </cell>
          <cell r="CK352">
            <v>0</v>
          </cell>
          <cell r="CL352">
            <v>0</v>
          </cell>
          <cell r="CM352">
            <v>0</v>
          </cell>
          <cell r="CN352">
            <v>0</v>
          </cell>
          <cell r="CO352">
            <v>0</v>
          </cell>
          <cell r="CP352">
            <v>0</v>
          </cell>
          <cell r="CQ352">
            <v>0</v>
          </cell>
          <cell r="CU352">
            <v>0</v>
          </cell>
          <cell r="CV352">
            <v>0</v>
          </cell>
          <cell r="CW352">
            <v>0</v>
          </cell>
          <cell r="CZ352" t="str">
            <v>s</v>
          </cell>
        </row>
        <row r="353">
          <cell r="A353" t="str">
            <v>GBN-15</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cell r="BM353">
            <v>0</v>
          </cell>
          <cell r="BN353">
            <v>0</v>
          </cell>
          <cell r="BO353">
            <v>0</v>
          </cell>
          <cell r="BP353">
            <v>0</v>
          </cell>
          <cell r="BQ353">
            <v>0</v>
          </cell>
          <cell r="BR353">
            <v>0</v>
          </cell>
          <cell r="BS353">
            <v>0</v>
          </cell>
          <cell r="BT353">
            <v>0</v>
          </cell>
          <cell r="BU353">
            <v>0</v>
          </cell>
          <cell r="BV353">
            <v>0</v>
          </cell>
          <cell r="BW353">
            <v>0</v>
          </cell>
          <cell r="BX353">
            <v>0</v>
          </cell>
          <cell r="BY353">
            <v>0</v>
          </cell>
          <cell r="BZ353">
            <v>0</v>
          </cell>
          <cell r="CA353">
            <v>0</v>
          </cell>
          <cell r="CB353">
            <v>0</v>
          </cell>
          <cell r="CC353">
            <v>0</v>
          </cell>
          <cell r="CD353">
            <v>0</v>
          </cell>
          <cell r="CE353">
            <v>0</v>
          </cell>
          <cell r="CF353">
            <v>0</v>
          </cell>
          <cell r="CG353">
            <v>0</v>
          </cell>
          <cell r="CH353">
            <v>0</v>
          </cell>
          <cell r="CI353">
            <v>0</v>
          </cell>
          <cell r="CJ353">
            <v>0</v>
          </cell>
          <cell r="CK353">
            <v>0</v>
          </cell>
          <cell r="CL353">
            <v>0</v>
          </cell>
          <cell r="CM353">
            <v>0</v>
          </cell>
          <cell r="CN353">
            <v>0</v>
          </cell>
          <cell r="CO353">
            <v>0</v>
          </cell>
          <cell r="CP353">
            <v>0</v>
          </cell>
          <cell r="CQ353">
            <v>0</v>
          </cell>
          <cell r="CU353">
            <v>0</v>
          </cell>
          <cell r="CV353">
            <v>0</v>
          </cell>
          <cell r="CW353">
            <v>0</v>
          </cell>
          <cell r="CZ353" t="str">
            <v>s</v>
          </cell>
        </row>
        <row r="354">
          <cell r="A354" t="str">
            <v>GBN-20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cell r="BM354">
            <v>0</v>
          </cell>
          <cell r="BN354">
            <v>0</v>
          </cell>
          <cell r="BO354">
            <v>0</v>
          </cell>
          <cell r="BP354">
            <v>0</v>
          </cell>
          <cell r="BQ354">
            <v>0</v>
          </cell>
          <cell r="BR354">
            <v>0</v>
          </cell>
          <cell r="BS354">
            <v>0</v>
          </cell>
          <cell r="BT354">
            <v>0</v>
          </cell>
          <cell r="BU354">
            <v>0</v>
          </cell>
          <cell r="BV354">
            <v>0</v>
          </cell>
          <cell r="BW354">
            <v>0</v>
          </cell>
          <cell r="BX354">
            <v>0</v>
          </cell>
          <cell r="BY354">
            <v>0</v>
          </cell>
          <cell r="BZ354">
            <v>0</v>
          </cell>
          <cell r="CA354">
            <v>0</v>
          </cell>
          <cell r="CB354">
            <v>0</v>
          </cell>
          <cell r="CC354">
            <v>0</v>
          </cell>
          <cell r="CD354">
            <v>0</v>
          </cell>
          <cell r="CE354">
            <v>0</v>
          </cell>
          <cell r="CF354">
            <v>0</v>
          </cell>
          <cell r="CG354">
            <v>0</v>
          </cell>
          <cell r="CH354">
            <v>0</v>
          </cell>
          <cell r="CI354">
            <v>0</v>
          </cell>
          <cell r="CJ354">
            <v>0</v>
          </cell>
          <cell r="CK354">
            <v>0</v>
          </cell>
          <cell r="CL354">
            <v>0</v>
          </cell>
          <cell r="CM354">
            <v>0</v>
          </cell>
          <cell r="CN354">
            <v>0</v>
          </cell>
          <cell r="CO354">
            <v>0</v>
          </cell>
          <cell r="CP354">
            <v>0</v>
          </cell>
          <cell r="CQ354">
            <v>0</v>
          </cell>
          <cell r="CU354">
            <v>0</v>
          </cell>
          <cell r="CV354">
            <v>0</v>
          </cell>
          <cell r="CW354">
            <v>0</v>
          </cell>
          <cell r="CZ354" t="str">
            <v>s</v>
          </cell>
        </row>
        <row r="355">
          <cell r="A355" t="str">
            <v>GBN-25</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cell r="BM355">
            <v>0</v>
          </cell>
          <cell r="BN355">
            <v>0</v>
          </cell>
          <cell r="BO355">
            <v>0</v>
          </cell>
          <cell r="BP355">
            <v>0</v>
          </cell>
          <cell r="BQ355">
            <v>0</v>
          </cell>
          <cell r="BR355">
            <v>0</v>
          </cell>
          <cell r="BS355">
            <v>0</v>
          </cell>
          <cell r="BT355">
            <v>0</v>
          </cell>
          <cell r="BU355">
            <v>0</v>
          </cell>
          <cell r="BV355">
            <v>0</v>
          </cell>
          <cell r="BW355">
            <v>0</v>
          </cell>
          <cell r="BX355">
            <v>0</v>
          </cell>
          <cell r="BY355">
            <v>0</v>
          </cell>
          <cell r="BZ355">
            <v>0</v>
          </cell>
          <cell r="CA355">
            <v>0</v>
          </cell>
          <cell r="CB355">
            <v>0</v>
          </cell>
          <cell r="CC355">
            <v>0</v>
          </cell>
          <cell r="CD355">
            <v>0</v>
          </cell>
          <cell r="CE355">
            <v>0</v>
          </cell>
          <cell r="CF355">
            <v>0</v>
          </cell>
          <cell r="CG355">
            <v>0</v>
          </cell>
          <cell r="CH355">
            <v>0</v>
          </cell>
          <cell r="CI355">
            <v>0</v>
          </cell>
          <cell r="CJ355">
            <v>0</v>
          </cell>
          <cell r="CK355">
            <v>0</v>
          </cell>
          <cell r="CL355">
            <v>0</v>
          </cell>
          <cell r="CM355">
            <v>0</v>
          </cell>
          <cell r="CN355">
            <v>0</v>
          </cell>
          <cell r="CO355">
            <v>0</v>
          </cell>
          <cell r="CP355">
            <v>0</v>
          </cell>
          <cell r="CQ355">
            <v>0</v>
          </cell>
          <cell r="CU355">
            <v>0</v>
          </cell>
          <cell r="CV355">
            <v>0</v>
          </cell>
          <cell r="CW355">
            <v>0</v>
          </cell>
          <cell r="CZ355" t="str">
            <v>s</v>
          </cell>
        </row>
        <row r="356">
          <cell r="A356" t="str">
            <v>GBN-32</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cell r="BM356">
            <v>0</v>
          </cell>
          <cell r="BN356">
            <v>0</v>
          </cell>
          <cell r="BO356">
            <v>0</v>
          </cell>
          <cell r="BP356">
            <v>0</v>
          </cell>
          <cell r="BQ356">
            <v>0</v>
          </cell>
          <cell r="BR356">
            <v>0</v>
          </cell>
          <cell r="BS356">
            <v>0</v>
          </cell>
          <cell r="BT356">
            <v>0</v>
          </cell>
          <cell r="BU356">
            <v>0</v>
          </cell>
          <cell r="BV356">
            <v>0</v>
          </cell>
          <cell r="BW356">
            <v>0</v>
          </cell>
          <cell r="BX356">
            <v>0</v>
          </cell>
          <cell r="BY356">
            <v>0</v>
          </cell>
          <cell r="BZ356">
            <v>0</v>
          </cell>
          <cell r="CA356">
            <v>0</v>
          </cell>
          <cell r="CB356">
            <v>0</v>
          </cell>
          <cell r="CC356">
            <v>0</v>
          </cell>
          <cell r="CD356">
            <v>0</v>
          </cell>
          <cell r="CE356">
            <v>0</v>
          </cell>
          <cell r="CF356">
            <v>0</v>
          </cell>
          <cell r="CG356">
            <v>0</v>
          </cell>
          <cell r="CH356">
            <v>0</v>
          </cell>
          <cell r="CI356">
            <v>0</v>
          </cell>
          <cell r="CJ356">
            <v>0</v>
          </cell>
          <cell r="CK356">
            <v>0</v>
          </cell>
          <cell r="CL356">
            <v>0</v>
          </cell>
          <cell r="CM356">
            <v>0</v>
          </cell>
          <cell r="CN356">
            <v>0</v>
          </cell>
          <cell r="CO356">
            <v>0</v>
          </cell>
          <cell r="CP356">
            <v>0</v>
          </cell>
          <cell r="CQ356">
            <v>0</v>
          </cell>
          <cell r="CU356">
            <v>0</v>
          </cell>
          <cell r="CV356">
            <v>0</v>
          </cell>
          <cell r="CW356">
            <v>0</v>
          </cell>
          <cell r="CZ356" t="str">
            <v>s</v>
          </cell>
        </row>
        <row r="357">
          <cell r="A357" t="str">
            <v>GBN-40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cell r="BM357">
            <v>0</v>
          </cell>
          <cell r="BN357">
            <v>0</v>
          </cell>
          <cell r="BO357">
            <v>0</v>
          </cell>
          <cell r="BP357">
            <v>0</v>
          </cell>
          <cell r="BQ357">
            <v>0</v>
          </cell>
          <cell r="BR357">
            <v>0</v>
          </cell>
          <cell r="BS357">
            <v>0</v>
          </cell>
          <cell r="BT357">
            <v>0</v>
          </cell>
          <cell r="BU357">
            <v>0</v>
          </cell>
          <cell r="BV357">
            <v>0</v>
          </cell>
          <cell r="BW357">
            <v>0</v>
          </cell>
          <cell r="BX357">
            <v>0</v>
          </cell>
          <cell r="BY357">
            <v>0</v>
          </cell>
          <cell r="BZ357">
            <v>0</v>
          </cell>
          <cell r="CA357">
            <v>0</v>
          </cell>
          <cell r="CB357">
            <v>0</v>
          </cell>
          <cell r="CC357">
            <v>0</v>
          </cell>
          <cell r="CD357">
            <v>0</v>
          </cell>
          <cell r="CE357">
            <v>0</v>
          </cell>
          <cell r="CF357">
            <v>0</v>
          </cell>
          <cell r="CG357">
            <v>0</v>
          </cell>
          <cell r="CH357">
            <v>0</v>
          </cell>
          <cell r="CI357">
            <v>0</v>
          </cell>
          <cell r="CJ357">
            <v>0</v>
          </cell>
          <cell r="CK357">
            <v>0</v>
          </cell>
          <cell r="CL357">
            <v>0</v>
          </cell>
          <cell r="CM357">
            <v>0</v>
          </cell>
          <cell r="CN357">
            <v>0</v>
          </cell>
          <cell r="CO357">
            <v>0</v>
          </cell>
          <cell r="CP357">
            <v>0</v>
          </cell>
          <cell r="CQ357">
            <v>0</v>
          </cell>
          <cell r="CU357">
            <v>0</v>
          </cell>
          <cell r="CV357">
            <v>0</v>
          </cell>
          <cell r="CW357">
            <v>0</v>
          </cell>
          <cell r="CZ357" t="str">
            <v>s</v>
          </cell>
        </row>
        <row r="358">
          <cell r="A358" t="str">
            <v>GBN-50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cell r="BM358">
            <v>0</v>
          </cell>
          <cell r="BN358">
            <v>0</v>
          </cell>
          <cell r="BO358">
            <v>0</v>
          </cell>
          <cell r="BP358">
            <v>0</v>
          </cell>
          <cell r="BQ358">
            <v>0</v>
          </cell>
          <cell r="BR358">
            <v>0</v>
          </cell>
          <cell r="BS358">
            <v>0</v>
          </cell>
          <cell r="BT358">
            <v>0</v>
          </cell>
          <cell r="BU358">
            <v>0</v>
          </cell>
          <cell r="BV358">
            <v>0</v>
          </cell>
          <cell r="BW358">
            <v>0</v>
          </cell>
          <cell r="BX358">
            <v>0</v>
          </cell>
          <cell r="BY358">
            <v>0</v>
          </cell>
          <cell r="BZ358">
            <v>0</v>
          </cell>
          <cell r="CA358">
            <v>0</v>
          </cell>
          <cell r="CB358">
            <v>0</v>
          </cell>
          <cell r="CC358">
            <v>0</v>
          </cell>
          <cell r="CD358">
            <v>0</v>
          </cell>
          <cell r="CE358">
            <v>0</v>
          </cell>
          <cell r="CF358">
            <v>0</v>
          </cell>
          <cell r="CG358">
            <v>0</v>
          </cell>
          <cell r="CH358">
            <v>0</v>
          </cell>
          <cell r="CI358">
            <v>0</v>
          </cell>
          <cell r="CJ358">
            <v>0</v>
          </cell>
          <cell r="CK358">
            <v>0</v>
          </cell>
          <cell r="CL358">
            <v>0</v>
          </cell>
          <cell r="CM358">
            <v>0</v>
          </cell>
          <cell r="CN358">
            <v>0</v>
          </cell>
          <cell r="CO358">
            <v>0</v>
          </cell>
          <cell r="CP358">
            <v>0</v>
          </cell>
          <cell r="CQ358">
            <v>0</v>
          </cell>
          <cell r="CU358">
            <v>0</v>
          </cell>
          <cell r="CV358">
            <v>0</v>
          </cell>
          <cell r="CW358">
            <v>0</v>
          </cell>
          <cell r="CZ358" t="str">
            <v>s</v>
          </cell>
        </row>
        <row r="359">
          <cell r="A359" t="str">
            <v>GBN-63</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cell r="BM359">
            <v>0</v>
          </cell>
          <cell r="BN359">
            <v>0</v>
          </cell>
          <cell r="BO359">
            <v>0</v>
          </cell>
          <cell r="BP359">
            <v>0</v>
          </cell>
          <cell r="BQ359">
            <v>0</v>
          </cell>
          <cell r="BR359">
            <v>0</v>
          </cell>
          <cell r="BS359">
            <v>0</v>
          </cell>
          <cell r="BT359">
            <v>0</v>
          </cell>
          <cell r="BU359">
            <v>0</v>
          </cell>
          <cell r="BV359">
            <v>0</v>
          </cell>
          <cell r="BW359">
            <v>0</v>
          </cell>
          <cell r="BX359">
            <v>0</v>
          </cell>
          <cell r="BY359">
            <v>0</v>
          </cell>
          <cell r="BZ359">
            <v>0</v>
          </cell>
          <cell r="CA359">
            <v>0</v>
          </cell>
          <cell r="CB359">
            <v>0</v>
          </cell>
          <cell r="CC359">
            <v>0</v>
          </cell>
          <cell r="CD359">
            <v>0</v>
          </cell>
          <cell r="CE359">
            <v>0</v>
          </cell>
          <cell r="CF359">
            <v>0</v>
          </cell>
          <cell r="CG359">
            <v>0</v>
          </cell>
          <cell r="CH359">
            <v>0</v>
          </cell>
          <cell r="CI359">
            <v>0</v>
          </cell>
          <cell r="CJ359">
            <v>0</v>
          </cell>
          <cell r="CK359">
            <v>0</v>
          </cell>
          <cell r="CL359">
            <v>0</v>
          </cell>
          <cell r="CM359">
            <v>0</v>
          </cell>
          <cell r="CN359">
            <v>0</v>
          </cell>
          <cell r="CO359">
            <v>0</v>
          </cell>
          <cell r="CP359">
            <v>0</v>
          </cell>
          <cell r="CQ359">
            <v>0</v>
          </cell>
          <cell r="CU359">
            <v>0</v>
          </cell>
          <cell r="CV359">
            <v>0</v>
          </cell>
          <cell r="CW359">
            <v>0</v>
          </cell>
          <cell r="CZ359" t="str">
            <v>s</v>
          </cell>
        </row>
        <row r="360">
          <cell r="A360" t="str">
            <v>GBN-75</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cell r="BM360">
            <v>0</v>
          </cell>
          <cell r="BN360">
            <v>0</v>
          </cell>
          <cell r="BO360">
            <v>0</v>
          </cell>
          <cell r="BP360">
            <v>0</v>
          </cell>
          <cell r="BQ360">
            <v>0</v>
          </cell>
          <cell r="BR360">
            <v>0</v>
          </cell>
          <cell r="BS360">
            <v>0</v>
          </cell>
          <cell r="BT360">
            <v>0</v>
          </cell>
          <cell r="BU360">
            <v>0</v>
          </cell>
          <cell r="BV360">
            <v>0</v>
          </cell>
          <cell r="BW360">
            <v>0</v>
          </cell>
          <cell r="BX360">
            <v>0</v>
          </cell>
          <cell r="BY360">
            <v>0</v>
          </cell>
          <cell r="BZ360">
            <v>0</v>
          </cell>
          <cell r="CA360">
            <v>0</v>
          </cell>
          <cell r="CB360">
            <v>0</v>
          </cell>
          <cell r="CC360">
            <v>0</v>
          </cell>
          <cell r="CD360">
            <v>0</v>
          </cell>
          <cell r="CE360">
            <v>0</v>
          </cell>
          <cell r="CF360">
            <v>0</v>
          </cell>
          <cell r="CG360">
            <v>0</v>
          </cell>
          <cell r="CH360">
            <v>0</v>
          </cell>
          <cell r="CI360">
            <v>0</v>
          </cell>
          <cell r="CJ360">
            <v>0</v>
          </cell>
          <cell r="CK360">
            <v>0</v>
          </cell>
          <cell r="CL360">
            <v>0</v>
          </cell>
          <cell r="CM360">
            <v>0</v>
          </cell>
          <cell r="CN360">
            <v>0</v>
          </cell>
          <cell r="CO360">
            <v>0</v>
          </cell>
          <cell r="CP360">
            <v>0</v>
          </cell>
          <cell r="CQ360">
            <v>0</v>
          </cell>
          <cell r="CU360">
            <v>0</v>
          </cell>
          <cell r="CV360">
            <v>0</v>
          </cell>
          <cell r="CW360">
            <v>0</v>
          </cell>
          <cell r="CZ360" t="str">
            <v>s</v>
          </cell>
        </row>
        <row r="361">
          <cell r="A361" t="str">
            <v>GB-63</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cell r="BM361">
            <v>0</v>
          </cell>
          <cell r="BN361">
            <v>0</v>
          </cell>
          <cell r="BO361">
            <v>0</v>
          </cell>
          <cell r="BP361">
            <v>0</v>
          </cell>
          <cell r="BQ361">
            <v>0</v>
          </cell>
          <cell r="BR361">
            <v>0</v>
          </cell>
          <cell r="BS361">
            <v>0</v>
          </cell>
          <cell r="BT361">
            <v>0</v>
          </cell>
          <cell r="BU361">
            <v>0</v>
          </cell>
          <cell r="BV361">
            <v>0</v>
          </cell>
          <cell r="BW361">
            <v>0</v>
          </cell>
          <cell r="BX361">
            <v>0</v>
          </cell>
          <cell r="BY361">
            <v>0</v>
          </cell>
          <cell r="BZ361">
            <v>0</v>
          </cell>
          <cell r="CA361">
            <v>0</v>
          </cell>
          <cell r="CB361">
            <v>0</v>
          </cell>
          <cell r="CC361">
            <v>0</v>
          </cell>
          <cell r="CD361">
            <v>0</v>
          </cell>
          <cell r="CE361">
            <v>0</v>
          </cell>
          <cell r="CF361">
            <v>0</v>
          </cell>
          <cell r="CG361">
            <v>0</v>
          </cell>
          <cell r="CH361">
            <v>0</v>
          </cell>
          <cell r="CI361">
            <v>0</v>
          </cell>
          <cell r="CJ361">
            <v>0</v>
          </cell>
          <cell r="CK361">
            <v>0</v>
          </cell>
          <cell r="CL361">
            <v>0</v>
          </cell>
          <cell r="CM361">
            <v>0</v>
          </cell>
          <cell r="CN361">
            <v>0</v>
          </cell>
          <cell r="CO361">
            <v>0</v>
          </cell>
          <cell r="CP361">
            <v>0</v>
          </cell>
          <cell r="CQ361">
            <v>0</v>
          </cell>
          <cell r="CU361">
            <v>0</v>
          </cell>
          <cell r="CV361">
            <v>0</v>
          </cell>
          <cell r="CW361">
            <v>0</v>
          </cell>
          <cell r="CZ361" t="str">
            <v>s</v>
          </cell>
        </row>
        <row r="362">
          <cell r="A362" t="str">
            <v>GB-50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cell r="BM362">
            <v>0</v>
          </cell>
          <cell r="BN362">
            <v>0</v>
          </cell>
          <cell r="BO362">
            <v>0</v>
          </cell>
          <cell r="BP362">
            <v>0</v>
          </cell>
          <cell r="BQ362">
            <v>0</v>
          </cell>
          <cell r="BR362">
            <v>0</v>
          </cell>
          <cell r="BS362">
            <v>0</v>
          </cell>
          <cell r="BT362">
            <v>0</v>
          </cell>
          <cell r="BU362">
            <v>0</v>
          </cell>
          <cell r="BV362">
            <v>0</v>
          </cell>
          <cell r="BW362">
            <v>0</v>
          </cell>
          <cell r="BX362">
            <v>0</v>
          </cell>
          <cell r="BY362">
            <v>0</v>
          </cell>
          <cell r="BZ362">
            <v>0</v>
          </cell>
          <cell r="CA362">
            <v>0</v>
          </cell>
          <cell r="CB362">
            <v>0</v>
          </cell>
          <cell r="CC362">
            <v>0</v>
          </cell>
          <cell r="CD362">
            <v>0</v>
          </cell>
          <cell r="CE362">
            <v>0</v>
          </cell>
          <cell r="CF362">
            <v>0</v>
          </cell>
          <cell r="CG362">
            <v>0</v>
          </cell>
          <cell r="CH362">
            <v>0</v>
          </cell>
          <cell r="CI362">
            <v>0</v>
          </cell>
          <cell r="CJ362">
            <v>0</v>
          </cell>
          <cell r="CK362">
            <v>0</v>
          </cell>
          <cell r="CL362">
            <v>0</v>
          </cell>
          <cell r="CM362">
            <v>0</v>
          </cell>
          <cell r="CN362">
            <v>0</v>
          </cell>
          <cell r="CO362">
            <v>0</v>
          </cell>
          <cell r="CP362">
            <v>0</v>
          </cell>
          <cell r="CQ362">
            <v>0</v>
          </cell>
          <cell r="CU362">
            <v>0</v>
          </cell>
          <cell r="CV362">
            <v>0</v>
          </cell>
          <cell r="CW362">
            <v>0</v>
          </cell>
          <cell r="CZ362" t="str">
            <v>s</v>
          </cell>
        </row>
        <row r="363">
          <cell r="A363" t="str">
            <v>GMP-63</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4</v>
          </cell>
          <cell r="BM363">
            <v>0</v>
          </cell>
          <cell r="BN363">
            <v>0</v>
          </cell>
          <cell r="BO363">
            <v>0</v>
          </cell>
          <cell r="BP363">
            <v>0</v>
          </cell>
          <cell r="BQ363">
            <v>0</v>
          </cell>
          <cell r="BR363">
            <v>0</v>
          </cell>
          <cell r="BS363">
            <v>0</v>
          </cell>
          <cell r="BT363">
            <v>0</v>
          </cell>
          <cell r="BU363">
            <v>0</v>
          </cell>
          <cell r="BV363">
            <v>0</v>
          </cell>
          <cell r="BW363">
            <v>0</v>
          </cell>
          <cell r="BX363">
            <v>0</v>
          </cell>
          <cell r="BY363">
            <v>0</v>
          </cell>
          <cell r="BZ363">
            <v>0</v>
          </cell>
          <cell r="CA363">
            <v>0</v>
          </cell>
          <cell r="CB363">
            <v>0</v>
          </cell>
          <cell r="CC363">
            <v>0</v>
          </cell>
          <cell r="CD363">
            <v>0</v>
          </cell>
          <cell r="CE363">
            <v>0</v>
          </cell>
          <cell r="CF363">
            <v>0</v>
          </cell>
          <cell r="CG363">
            <v>0</v>
          </cell>
          <cell r="CH363">
            <v>0</v>
          </cell>
          <cell r="CI363">
            <v>0</v>
          </cell>
          <cell r="CJ363">
            <v>0</v>
          </cell>
          <cell r="CK363">
            <v>0</v>
          </cell>
          <cell r="CL363">
            <v>0</v>
          </cell>
          <cell r="CM363">
            <v>0</v>
          </cell>
          <cell r="CN363">
            <v>0</v>
          </cell>
          <cell r="CO363">
            <v>0</v>
          </cell>
          <cell r="CP363">
            <v>0</v>
          </cell>
          <cell r="CQ363">
            <v>0</v>
          </cell>
          <cell r="CU363">
            <v>4</v>
          </cell>
          <cell r="CV363">
            <v>3231.8359999999998</v>
          </cell>
          <cell r="CW363">
            <v>0</v>
          </cell>
          <cell r="CZ363" t="str">
            <v>s</v>
          </cell>
        </row>
        <row r="364">
          <cell r="A364" t="str">
            <v>GTL-25</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cell r="BM364">
            <v>0</v>
          </cell>
          <cell r="BN364">
            <v>0</v>
          </cell>
          <cell r="BO364">
            <v>0</v>
          </cell>
          <cell r="BP364">
            <v>0</v>
          </cell>
          <cell r="BQ364">
            <v>0</v>
          </cell>
          <cell r="BR364">
            <v>0</v>
          </cell>
          <cell r="BS364">
            <v>0</v>
          </cell>
          <cell r="BT364">
            <v>0</v>
          </cell>
          <cell r="BU364">
            <v>0</v>
          </cell>
          <cell r="BV364">
            <v>0</v>
          </cell>
          <cell r="BW364">
            <v>0</v>
          </cell>
          <cell r="BX364">
            <v>0</v>
          </cell>
          <cell r="BY364">
            <v>0</v>
          </cell>
          <cell r="BZ364">
            <v>0</v>
          </cell>
          <cell r="CA364">
            <v>0</v>
          </cell>
          <cell r="CB364">
            <v>0</v>
          </cell>
          <cell r="CC364">
            <v>0</v>
          </cell>
          <cell r="CD364">
            <v>0</v>
          </cell>
          <cell r="CE364">
            <v>0</v>
          </cell>
          <cell r="CF364">
            <v>0</v>
          </cell>
          <cell r="CG364">
            <v>0</v>
          </cell>
          <cell r="CH364">
            <v>0</v>
          </cell>
          <cell r="CI364">
            <v>0</v>
          </cell>
          <cell r="CJ364">
            <v>0</v>
          </cell>
          <cell r="CK364">
            <v>0</v>
          </cell>
          <cell r="CL364">
            <v>0</v>
          </cell>
          <cell r="CM364">
            <v>0</v>
          </cell>
          <cell r="CN364">
            <v>0</v>
          </cell>
          <cell r="CO364">
            <v>0</v>
          </cell>
          <cell r="CP364">
            <v>0</v>
          </cell>
          <cell r="CQ364">
            <v>0</v>
          </cell>
          <cell r="CU364">
            <v>0</v>
          </cell>
          <cell r="CV364">
            <v>0</v>
          </cell>
          <cell r="CW364">
            <v>0</v>
          </cell>
          <cell r="CZ364" t="str">
            <v>s</v>
          </cell>
        </row>
        <row r="365">
          <cell r="A365" t="str">
            <v>GTL-13</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cell r="BM365">
            <v>0</v>
          </cell>
          <cell r="BN365">
            <v>0</v>
          </cell>
          <cell r="BO365">
            <v>0</v>
          </cell>
          <cell r="BP365">
            <v>0</v>
          </cell>
          <cell r="BQ365">
            <v>0</v>
          </cell>
          <cell r="BR365">
            <v>0</v>
          </cell>
          <cell r="BS365">
            <v>0</v>
          </cell>
          <cell r="BT365">
            <v>0</v>
          </cell>
          <cell r="BU365">
            <v>0</v>
          </cell>
          <cell r="BV365">
            <v>0</v>
          </cell>
          <cell r="BW365">
            <v>0</v>
          </cell>
          <cell r="BX365">
            <v>0</v>
          </cell>
          <cell r="BY365">
            <v>0</v>
          </cell>
          <cell r="BZ365">
            <v>0</v>
          </cell>
          <cell r="CA365">
            <v>0</v>
          </cell>
          <cell r="CB365">
            <v>0</v>
          </cell>
          <cell r="CC365">
            <v>0</v>
          </cell>
          <cell r="CD365">
            <v>0</v>
          </cell>
          <cell r="CE365">
            <v>0</v>
          </cell>
          <cell r="CF365">
            <v>0</v>
          </cell>
          <cell r="CG365">
            <v>0</v>
          </cell>
          <cell r="CH365">
            <v>0</v>
          </cell>
          <cell r="CI365">
            <v>0</v>
          </cell>
          <cell r="CJ365">
            <v>0</v>
          </cell>
          <cell r="CK365">
            <v>0</v>
          </cell>
          <cell r="CL365">
            <v>0</v>
          </cell>
          <cell r="CM365">
            <v>0</v>
          </cell>
          <cell r="CN365">
            <v>0</v>
          </cell>
          <cell r="CO365">
            <v>0</v>
          </cell>
          <cell r="CP365">
            <v>0</v>
          </cell>
          <cell r="CQ365">
            <v>0</v>
          </cell>
          <cell r="CU365">
            <v>0</v>
          </cell>
          <cell r="CV365">
            <v>0</v>
          </cell>
          <cell r="CW365">
            <v>0</v>
          </cell>
          <cell r="CZ365" t="str">
            <v>s</v>
          </cell>
        </row>
        <row r="367">
          <cell r="A367" t="str">
            <v>BGAV-15</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cell r="BM367">
            <v>0</v>
          </cell>
          <cell r="BN367">
            <v>0</v>
          </cell>
          <cell r="BO367">
            <v>0</v>
          </cell>
          <cell r="BP367">
            <v>1</v>
          </cell>
          <cell r="BQ367">
            <v>0</v>
          </cell>
          <cell r="BR367">
            <v>0</v>
          </cell>
          <cell r="BS367">
            <v>0</v>
          </cell>
          <cell r="BT367">
            <v>1</v>
          </cell>
          <cell r="BU367">
            <v>0</v>
          </cell>
          <cell r="BV367">
            <v>0</v>
          </cell>
          <cell r="BW367">
            <v>0</v>
          </cell>
          <cell r="BX367">
            <v>0</v>
          </cell>
          <cell r="BY367">
            <v>0</v>
          </cell>
          <cell r="BZ367">
            <v>0</v>
          </cell>
          <cell r="CA367">
            <v>0</v>
          </cell>
          <cell r="CB367">
            <v>0</v>
          </cell>
          <cell r="CC367">
            <v>0</v>
          </cell>
          <cell r="CD367">
            <v>0</v>
          </cell>
          <cell r="CE367">
            <v>0</v>
          </cell>
          <cell r="CF367">
            <v>0</v>
          </cell>
          <cell r="CG367">
            <v>0</v>
          </cell>
          <cell r="CH367">
            <v>0</v>
          </cell>
          <cell r="CI367">
            <v>0</v>
          </cell>
          <cell r="CJ367">
            <v>0</v>
          </cell>
          <cell r="CK367">
            <v>0</v>
          </cell>
          <cell r="CL367">
            <v>0</v>
          </cell>
          <cell r="CM367">
            <v>0</v>
          </cell>
          <cell r="CN367">
            <v>0</v>
          </cell>
          <cell r="CO367">
            <v>0</v>
          </cell>
          <cell r="CP367">
            <v>0</v>
          </cell>
          <cell r="CQ367">
            <v>0</v>
          </cell>
          <cell r="CU367">
            <v>2</v>
          </cell>
          <cell r="CV367">
            <v>1664</v>
          </cell>
          <cell r="CW367">
            <v>1.5</v>
          </cell>
          <cell r="CZ367" t="str">
            <v>s</v>
          </cell>
        </row>
        <row r="368">
          <cell r="A368" t="str">
            <v>BGAV-20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cell r="BM368">
            <v>0</v>
          </cell>
          <cell r="BN368">
            <v>0</v>
          </cell>
          <cell r="BO368">
            <v>0</v>
          </cell>
          <cell r="BP368">
            <v>0</v>
          </cell>
          <cell r="BQ368">
            <v>0</v>
          </cell>
          <cell r="BR368">
            <v>0</v>
          </cell>
          <cell r="BS368">
            <v>0</v>
          </cell>
          <cell r="BT368">
            <v>0</v>
          </cell>
          <cell r="BU368">
            <v>0</v>
          </cell>
          <cell r="BV368">
            <v>0</v>
          </cell>
          <cell r="BW368">
            <v>0</v>
          </cell>
          <cell r="BX368">
            <v>0</v>
          </cell>
          <cell r="BY368">
            <v>0</v>
          </cell>
          <cell r="BZ368">
            <v>0</v>
          </cell>
          <cell r="CA368">
            <v>0</v>
          </cell>
          <cell r="CB368">
            <v>0</v>
          </cell>
          <cell r="CC368">
            <v>0</v>
          </cell>
          <cell r="CD368">
            <v>0</v>
          </cell>
          <cell r="CE368">
            <v>0</v>
          </cell>
          <cell r="CF368">
            <v>0</v>
          </cell>
          <cell r="CG368">
            <v>0</v>
          </cell>
          <cell r="CH368">
            <v>0</v>
          </cell>
          <cell r="CI368">
            <v>0</v>
          </cell>
          <cell r="CJ368">
            <v>0</v>
          </cell>
          <cell r="CK368">
            <v>0</v>
          </cell>
          <cell r="CL368">
            <v>0</v>
          </cell>
          <cell r="CM368">
            <v>0</v>
          </cell>
          <cell r="CN368">
            <v>0</v>
          </cell>
          <cell r="CO368">
            <v>0</v>
          </cell>
          <cell r="CP368">
            <v>0</v>
          </cell>
          <cell r="CQ368">
            <v>0</v>
          </cell>
          <cell r="CU368">
            <v>0</v>
          </cell>
          <cell r="CV368">
            <v>0</v>
          </cell>
          <cell r="CW368">
            <v>0</v>
          </cell>
          <cell r="CZ368" t="str">
            <v>s</v>
          </cell>
        </row>
        <row r="369">
          <cell r="A369" t="str">
            <v>BGAV-25</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2</v>
          </cell>
          <cell r="BM369">
            <v>0</v>
          </cell>
          <cell r="BN369">
            <v>0</v>
          </cell>
          <cell r="BO369">
            <v>0</v>
          </cell>
          <cell r="BP369">
            <v>0</v>
          </cell>
          <cell r="BQ369">
            <v>0</v>
          </cell>
          <cell r="BR369">
            <v>0</v>
          </cell>
          <cell r="BS369">
            <v>0</v>
          </cell>
          <cell r="BT369">
            <v>0</v>
          </cell>
          <cell r="BU369">
            <v>0</v>
          </cell>
          <cell r="BV369">
            <v>0</v>
          </cell>
          <cell r="BW369">
            <v>0</v>
          </cell>
          <cell r="BX369">
            <v>0</v>
          </cell>
          <cell r="BY369">
            <v>0</v>
          </cell>
          <cell r="BZ369">
            <v>0</v>
          </cell>
          <cell r="CA369">
            <v>0</v>
          </cell>
          <cell r="CB369">
            <v>0</v>
          </cell>
          <cell r="CC369">
            <v>0</v>
          </cell>
          <cell r="CD369">
            <v>0</v>
          </cell>
          <cell r="CE369">
            <v>0</v>
          </cell>
          <cell r="CF369">
            <v>0</v>
          </cell>
          <cell r="CG369">
            <v>0</v>
          </cell>
          <cell r="CH369">
            <v>0</v>
          </cell>
          <cell r="CI369">
            <v>0</v>
          </cell>
          <cell r="CJ369">
            <v>0</v>
          </cell>
          <cell r="CK369">
            <v>0</v>
          </cell>
          <cell r="CL369">
            <v>0</v>
          </cell>
          <cell r="CM369">
            <v>0</v>
          </cell>
          <cell r="CN369">
            <v>0</v>
          </cell>
          <cell r="CO369">
            <v>0</v>
          </cell>
          <cell r="CP369">
            <v>0</v>
          </cell>
          <cell r="CQ369">
            <v>0</v>
          </cell>
          <cell r="CU369">
            <v>2</v>
          </cell>
          <cell r="CV369">
            <v>3488</v>
          </cell>
          <cell r="CW369">
            <v>3.34</v>
          </cell>
          <cell r="CZ369" t="str">
            <v>s</v>
          </cell>
        </row>
        <row r="370">
          <cell r="A370" t="str">
            <v>BGAV-32</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cell r="BM370">
            <v>0</v>
          </cell>
          <cell r="BN370">
            <v>0</v>
          </cell>
          <cell r="BO370">
            <v>0</v>
          </cell>
          <cell r="BP370">
            <v>0</v>
          </cell>
          <cell r="BQ370">
            <v>0</v>
          </cell>
          <cell r="BR370">
            <v>0</v>
          </cell>
          <cell r="BS370">
            <v>0</v>
          </cell>
          <cell r="BT370">
            <v>0</v>
          </cell>
          <cell r="BU370">
            <v>0</v>
          </cell>
          <cell r="BV370">
            <v>0</v>
          </cell>
          <cell r="BW370">
            <v>0</v>
          </cell>
          <cell r="BX370">
            <v>0</v>
          </cell>
          <cell r="BY370">
            <v>0</v>
          </cell>
          <cell r="BZ370">
            <v>0</v>
          </cell>
          <cell r="CA370">
            <v>0</v>
          </cell>
          <cell r="CB370">
            <v>0</v>
          </cell>
          <cell r="CC370">
            <v>0</v>
          </cell>
          <cell r="CD370">
            <v>0</v>
          </cell>
          <cell r="CE370">
            <v>0</v>
          </cell>
          <cell r="CF370">
            <v>0</v>
          </cell>
          <cell r="CG370">
            <v>0</v>
          </cell>
          <cell r="CH370">
            <v>0</v>
          </cell>
          <cell r="CI370">
            <v>0</v>
          </cell>
          <cell r="CJ370">
            <v>0</v>
          </cell>
          <cell r="CK370">
            <v>0</v>
          </cell>
          <cell r="CL370">
            <v>0</v>
          </cell>
          <cell r="CM370">
            <v>0</v>
          </cell>
          <cell r="CN370">
            <v>0</v>
          </cell>
          <cell r="CO370">
            <v>0</v>
          </cell>
          <cell r="CP370">
            <v>0</v>
          </cell>
          <cell r="CQ370">
            <v>0</v>
          </cell>
          <cell r="CU370">
            <v>0</v>
          </cell>
          <cell r="CV370">
            <v>0</v>
          </cell>
          <cell r="CW370">
            <v>0</v>
          </cell>
          <cell r="CZ370" t="str">
            <v>s</v>
          </cell>
        </row>
        <row r="371">
          <cell r="A371" t="str">
            <v>BGAV-40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cell r="BM371">
            <v>0</v>
          </cell>
          <cell r="BN371">
            <v>0</v>
          </cell>
          <cell r="BO371">
            <v>0</v>
          </cell>
          <cell r="BP371">
            <v>0</v>
          </cell>
          <cell r="BQ371">
            <v>0</v>
          </cell>
          <cell r="BR371">
            <v>0</v>
          </cell>
          <cell r="BS371">
            <v>0</v>
          </cell>
          <cell r="BT371">
            <v>0</v>
          </cell>
          <cell r="BU371">
            <v>0</v>
          </cell>
          <cell r="BV371">
            <v>0</v>
          </cell>
          <cell r="BW371">
            <v>0</v>
          </cell>
          <cell r="BX371">
            <v>0</v>
          </cell>
          <cell r="BY371">
            <v>0</v>
          </cell>
          <cell r="BZ371">
            <v>0</v>
          </cell>
          <cell r="CA371">
            <v>0</v>
          </cell>
          <cell r="CB371">
            <v>0</v>
          </cell>
          <cell r="CC371">
            <v>0</v>
          </cell>
          <cell r="CD371">
            <v>0</v>
          </cell>
          <cell r="CE371">
            <v>0</v>
          </cell>
          <cell r="CF371">
            <v>0</v>
          </cell>
          <cell r="CG371">
            <v>0</v>
          </cell>
          <cell r="CH371">
            <v>0</v>
          </cell>
          <cell r="CI371">
            <v>0</v>
          </cell>
          <cell r="CJ371">
            <v>0</v>
          </cell>
          <cell r="CK371">
            <v>0</v>
          </cell>
          <cell r="CL371">
            <v>0</v>
          </cell>
          <cell r="CM371">
            <v>0</v>
          </cell>
          <cell r="CN371">
            <v>0</v>
          </cell>
          <cell r="CO371">
            <v>0</v>
          </cell>
          <cell r="CP371">
            <v>0</v>
          </cell>
          <cell r="CQ371">
            <v>0</v>
          </cell>
          <cell r="CU371">
            <v>0</v>
          </cell>
          <cell r="CV371">
            <v>0</v>
          </cell>
          <cell r="CW371">
            <v>0</v>
          </cell>
          <cell r="CZ371" t="str">
            <v>s</v>
          </cell>
        </row>
        <row r="372">
          <cell r="A372" t="str">
            <v>BGAV-50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2</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cell r="BM372">
            <v>0</v>
          </cell>
          <cell r="BN372">
            <v>0</v>
          </cell>
          <cell r="BO372">
            <v>0</v>
          </cell>
          <cell r="BP372">
            <v>0</v>
          </cell>
          <cell r="BQ372">
            <v>0</v>
          </cell>
          <cell r="BR372">
            <v>0</v>
          </cell>
          <cell r="BS372">
            <v>0</v>
          </cell>
          <cell r="BT372">
            <v>0</v>
          </cell>
          <cell r="BU372">
            <v>0</v>
          </cell>
          <cell r="BV372">
            <v>0</v>
          </cell>
          <cell r="BW372">
            <v>0</v>
          </cell>
          <cell r="BX372">
            <v>0</v>
          </cell>
          <cell r="BY372">
            <v>0</v>
          </cell>
          <cell r="BZ372">
            <v>0</v>
          </cell>
          <cell r="CA372">
            <v>0</v>
          </cell>
          <cell r="CB372">
            <v>0</v>
          </cell>
          <cell r="CC372">
            <v>0</v>
          </cell>
          <cell r="CD372">
            <v>0</v>
          </cell>
          <cell r="CE372">
            <v>0</v>
          </cell>
          <cell r="CF372">
            <v>0</v>
          </cell>
          <cell r="CG372">
            <v>0</v>
          </cell>
          <cell r="CH372">
            <v>0</v>
          </cell>
          <cell r="CI372">
            <v>0</v>
          </cell>
          <cell r="CJ372">
            <v>0</v>
          </cell>
          <cell r="CK372">
            <v>0</v>
          </cell>
          <cell r="CL372">
            <v>0</v>
          </cell>
          <cell r="CM372">
            <v>0</v>
          </cell>
          <cell r="CN372">
            <v>0</v>
          </cell>
          <cell r="CO372">
            <v>0</v>
          </cell>
          <cell r="CP372">
            <v>0</v>
          </cell>
          <cell r="CQ372">
            <v>0</v>
          </cell>
          <cell r="CU372">
            <v>2</v>
          </cell>
          <cell r="CV372">
            <v>11000</v>
          </cell>
          <cell r="CW372">
            <v>5.4</v>
          </cell>
          <cell r="CZ372" t="str">
            <v>s</v>
          </cell>
        </row>
        <row r="373">
          <cell r="A373" t="str">
            <v>BGAV-63</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cell r="BM373">
            <v>0</v>
          </cell>
          <cell r="BN373">
            <v>0</v>
          </cell>
          <cell r="BO373">
            <v>0</v>
          </cell>
          <cell r="BP373">
            <v>0</v>
          </cell>
          <cell r="BQ373">
            <v>0</v>
          </cell>
          <cell r="BR373">
            <v>0</v>
          </cell>
          <cell r="BS373">
            <v>0</v>
          </cell>
          <cell r="BT373">
            <v>0</v>
          </cell>
          <cell r="BU373">
            <v>0</v>
          </cell>
          <cell r="BV373">
            <v>0</v>
          </cell>
          <cell r="BW373">
            <v>0</v>
          </cell>
          <cell r="BX373">
            <v>0</v>
          </cell>
          <cell r="BY373">
            <v>0</v>
          </cell>
          <cell r="BZ373">
            <v>0</v>
          </cell>
          <cell r="CA373">
            <v>0</v>
          </cell>
          <cell r="CB373">
            <v>0</v>
          </cell>
          <cell r="CC373">
            <v>0</v>
          </cell>
          <cell r="CD373">
            <v>0</v>
          </cell>
          <cell r="CE373">
            <v>0</v>
          </cell>
          <cell r="CF373">
            <v>0</v>
          </cell>
          <cell r="CG373">
            <v>0</v>
          </cell>
          <cell r="CH373">
            <v>0</v>
          </cell>
          <cell r="CI373">
            <v>0</v>
          </cell>
          <cell r="CJ373">
            <v>0</v>
          </cell>
          <cell r="CK373">
            <v>0</v>
          </cell>
          <cell r="CL373">
            <v>0</v>
          </cell>
          <cell r="CM373">
            <v>0</v>
          </cell>
          <cell r="CN373">
            <v>0</v>
          </cell>
          <cell r="CO373">
            <v>0</v>
          </cell>
          <cell r="CP373">
            <v>0</v>
          </cell>
          <cell r="CQ373">
            <v>0</v>
          </cell>
          <cell r="CU373">
            <v>0</v>
          </cell>
          <cell r="CV373">
            <v>0</v>
          </cell>
          <cell r="CW373">
            <v>0</v>
          </cell>
          <cell r="CZ373" t="str">
            <v>s</v>
          </cell>
        </row>
        <row r="374">
          <cell r="A374" t="str">
            <v>BGAV-75</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cell r="BM374">
            <v>0</v>
          </cell>
          <cell r="BN374">
            <v>0</v>
          </cell>
          <cell r="BO374">
            <v>0</v>
          </cell>
          <cell r="BP374">
            <v>0</v>
          </cell>
          <cell r="BQ374">
            <v>0</v>
          </cell>
          <cell r="BR374">
            <v>0</v>
          </cell>
          <cell r="BS374">
            <v>0</v>
          </cell>
          <cell r="BT374">
            <v>0</v>
          </cell>
          <cell r="BU374">
            <v>0</v>
          </cell>
          <cell r="BV374">
            <v>0</v>
          </cell>
          <cell r="BW374">
            <v>0</v>
          </cell>
          <cell r="BX374">
            <v>0</v>
          </cell>
          <cell r="BY374">
            <v>0</v>
          </cell>
          <cell r="BZ374">
            <v>0</v>
          </cell>
          <cell r="CA374">
            <v>0</v>
          </cell>
          <cell r="CB374">
            <v>0</v>
          </cell>
          <cell r="CC374">
            <v>0</v>
          </cell>
          <cell r="CD374">
            <v>0</v>
          </cell>
          <cell r="CE374">
            <v>0</v>
          </cell>
          <cell r="CF374">
            <v>0</v>
          </cell>
          <cell r="CG374">
            <v>0</v>
          </cell>
          <cell r="CH374">
            <v>0</v>
          </cell>
          <cell r="CI374">
            <v>0</v>
          </cell>
          <cell r="CJ374">
            <v>0</v>
          </cell>
          <cell r="CK374">
            <v>0</v>
          </cell>
          <cell r="CL374">
            <v>0</v>
          </cell>
          <cell r="CM374">
            <v>0</v>
          </cell>
          <cell r="CN374">
            <v>0</v>
          </cell>
          <cell r="CO374">
            <v>0</v>
          </cell>
          <cell r="CP374">
            <v>0</v>
          </cell>
          <cell r="CQ374">
            <v>0</v>
          </cell>
          <cell r="CU374">
            <v>0</v>
          </cell>
          <cell r="CV374">
            <v>0</v>
          </cell>
          <cell r="CW374">
            <v>0</v>
          </cell>
          <cell r="CZ374" t="str">
            <v>s</v>
          </cell>
        </row>
        <row r="375">
          <cell r="A375" t="str">
            <v>BGLV-15</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cell r="BM375">
            <v>0</v>
          </cell>
          <cell r="BN375">
            <v>0</v>
          </cell>
          <cell r="BO375">
            <v>0</v>
          </cell>
          <cell r="BP375">
            <v>0</v>
          </cell>
          <cell r="BQ375">
            <v>0</v>
          </cell>
          <cell r="BR375">
            <v>0</v>
          </cell>
          <cell r="BS375">
            <v>0</v>
          </cell>
          <cell r="BT375">
            <v>0</v>
          </cell>
          <cell r="BU375">
            <v>0</v>
          </cell>
          <cell r="BV375">
            <v>0</v>
          </cell>
          <cell r="BW375">
            <v>0</v>
          </cell>
          <cell r="BX375">
            <v>0</v>
          </cell>
          <cell r="BY375">
            <v>0</v>
          </cell>
          <cell r="BZ375">
            <v>0</v>
          </cell>
          <cell r="CA375">
            <v>0</v>
          </cell>
          <cell r="CB375">
            <v>0</v>
          </cell>
          <cell r="CC375">
            <v>0</v>
          </cell>
          <cell r="CD375">
            <v>0</v>
          </cell>
          <cell r="CE375">
            <v>0</v>
          </cell>
          <cell r="CF375">
            <v>0</v>
          </cell>
          <cell r="CG375">
            <v>0</v>
          </cell>
          <cell r="CH375">
            <v>0</v>
          </cell>
          <cell r="CI375">
            <v>0</v>
          </cell>
          <cell r="CJ375">
            <v>0</v>
          </cell>
          <cell r="CK375">
            <v>0</v>
          </cell>
          <cell r="CL375">
            <v>0</v>
          </cell>
          <cell r="CM375">
            <v>0</v>
          </cell>
          <cell r="CN375">
            <v>0</v>
          </cell>
          <cell r="CO375">
            <v>0</v>
          </cell>
          <cell r="CP375">
            <v>0</v>
          </cell>
          <cell r="CQ375">
            <v>0</v>
          </cell>
          <cell r="CU375">
            <v>0</v>
          </cell>
          <cell r="CV375">
            <v>0</v>
          </cell>
          <cell r="CW375">
            <v>0</v>
          </cell>
          <cell r="CZ375" t="str">
            <v>s</v>
          </cell>
        </row>
        <row r="376">
          <cell r="A376" t="str">
            <v>BGLV-20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cell r="BM376">
            <v>0</v>
          </cell>
          <cell r="BN376">
            <v>0</v>
          </cell>
          <cell r="BO376">
            <v>0</v>
          </cell>
          <cell r="BP376">
            <v>0</v>
          </cell>
          <cell r="BQ376">
            <v>0</v>
          </cell>
          <cell r="BR376">
            <v>0</v>
          </cell>
          <cell r="BS376">
            <v>0</v>
          </cell>
          <cell r="BT376">
            <v>0</v>
          </cell>
          <cell r="BU376">
            <v>0</v>
          </cell>
          <cell r="BV376">
            <v>0</v>
          </cell>
          <cell r="BW376">
            <v>0</v>
          </cell>
          <cell r="BX376">
            <v>0</v>
          </cell>
          <cell r="BY376">
            <v>0</v>
          </cell>
          <cell r="BZ376">
            <v>0</v>
          </cell>
          <cell r="CA376">
            <v>0</v>
          </cell>
          <cell r="CB376">
            <v>0</v>
          </cell>
          <cell r="CC376">
            <v>0</v>
          </cell>
          <cell r="CD376">
            <v>0</v>
          </cell>
          <cell r="CE376">
            <v>0</v>
          </cell>
          <cell r="CF376">
            <v>0</v>
          </cell>
          <cell r="CG376">
            <v>0</v>
          </cell>
          <cell r="CH376">
            <v>0</v>
          </cell>
          <cell r="CI376">
            <v>0</v>
          </cell>
          <cell r="CJ376">
            <v>0</v>
          </cell>
          <cell r="CK376">
            <v>0</v>
          </cell>
          <cell r="CL376">
            <v>0</v>
          </cell>
          <cell r="CM376">
            <v>0</v>
          </cell>
          <cell r="CN376">
            <v>0</v>
          </cell>
          <cell r="CO376">
            <v>0</v>
          </cell>
          <cell r="CP376">
            <v>0</v>
          </cell>
          <cell r="CQ376">
            <v>0</v>
          </cell>
          <cell r="CU376">
            <v>0</v>
          </cell>
          <cell r="CV376">
            <v>0</v>
          </cell>
          <cell r="CW376">
            <v>0</v>
          </cell>
          <cell r="CZ376" t="str">
            <v>s</v>
          </cell>
        </row>
        <row r="377">
          <cell r="A377" t="str">
            <v>BGLV-25</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cell r="BM377">
            <v>0</v>
          </cell>
          <cell r="BN377">
            <v>0</v>
          </cell>
          <cell r="BO377">
            <v>0</v>
          </cell>
          <cell r="BP377">
            <v>0</v>
          </cell>
          <cell r="BQ377">
            <v>0</v>
          </cell>
          <cell r="BR377">
            <v>0</v>
          </cell>
          <cell r="BS377">
            <v>0</v>
          </cell>
          <cell r="BT377">
            <v>0</v>
          </cell>
          <cell r="BU377">
            <v>0</v>
          </cell>
          <cell r="BV377">
            <v>0</v>
          </cell>
          <cell r="BW377">
            <v>0</v>
          </cell>
          <cell r="BX377">
            <v>0</v>
          </cell>
          <cell r="BY377">
            <v>0</v>
          </cell>
          <cell r="BZ377">
            <v>0</v>
          </cell>
          <cell r="CA377">
            <v>0</v>
          </cell>
          <cell r="CB377">
            <v>0</v>
          </cell>
          <cell r="CC377">
            <v>0</v>
          </cell>
          <cell r="CD377">
            <v>0</v>
          </cell>
          <cell r="CE377">
            <v>0</v>
          </cell>
          <cell r="CF377">
            <v>0</v>
          </cell>
          <cell r="CG377">
            <v>0</v>
          </cell>
          <cell r="CH377">
            <v>0</v>
          </cell>
          <cell r="CI377">
            <v>0</v>
          </cell>
          <cell r="CJ377">
            <v>0</v>
          </cell>
          <cell r="CK377">
            <v>0</v>
          </cell>
          <cell r="CL377">
            <v>0</v>
          </cell>
          <cell r="CM377">
            <v>0</v>
          </cell>
          <cell r="CN377">
            <v>0</v>
          </cell>
          <cell r="CO377">
            <v>0</v>
          </cell>
          <cell r="CP377">
            <v>0</v>
          </cell>
          <cell r="CQ377">
            <v>0</v>
          </cell>
          <cell r="CU377">
            <v>0</v>
          </cell>
          <cell r="CV377">
            <v>0</v>
          </cell>
          <cell r="CW377">
            <v>0</v>
          </cell>
          <cell r="CZ377" t="str">
            <v>s</v>
          </cell>
        </row>
        <row r="378">
          <cell r="A378" t="str">
            <v>BGLV-32</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cell r="BM378">
            <v>0</v>
          </cell>
          <cell r="BN378">
            <v>0</v>
          </cell>
          <cell r="BO378">
            <v>0</v>
          </cell>
          <cell r="BP378">
            <v>0</v>
          </cell>
          <cell r="BQ378">
            <v>0</v>
          </cell>
          <cell r="BR378">
            <v>0</v>
          </cell>
          <cell r="BS378">
            <v>0</v>
          </cell>
          <cell r="BT378">
            <v>0</v>
          </cell>
          <cell r="BU378">
            <v>0</v>
          </cell>
          <cell r="BV378">
            <v>0</v>
          </cell>
          <cell r="BW378">
            <v>0</v>
          </cell>
          <cell r="BX378">
            <v>0</v>
          </cell>
          <cell r="BY378">
            <v>0</v>
          </cell>
          <cell r="BZ378">
            <v>0</v>
          </cell>
          <cell r="CA378">
            <v>0</v>
          </cell>
          <cell r="CB378">
            <v>0</v>
          </cell>
          <cell r="CC378">
            <v>0</v>
          </cell>
          <cell r="CD378">
            <v>0</v>
          </cell>
          <cell r="CE378">
            <v>0</v>
          </cell>
          <cell r="CF378">
            <v>0</v>
          </cell>
          <cell r="CG378">
            <v>0</v>
          </cell>
          <cell r="CH378">
            <v>0</v>
          </cell>
          <cell r="CI378">
            <v>0</v>
          </cell>
          <cell r="CJ378">
            <v>0</v>
          </cell>
          <cell r="CK378">
            <v>0</v>
          </cell>
          <cell r="CL378">
            <v>0</v>
          </cell>
          <cell r="CM378">
            <v>0</v>
          </cell>
          <cell r="CN378">
            <v>0</v>
          </cell>
          <cell r="CO378">
            <v>0</v>
          </cell>
          <cell r="CP378">
            <v>0</v>
          </cell>
          <cell r="CQ378">
            <v>0</v>
          </cell>
          <cell r="CU378">
            <v>0</v>
          </cell>
          <cell r="CV378">
            <v>0</v>
          </cell>
          <cell r="CW378">
            <v>0</v>
          </cell>
          <cell r="CZ378" t="str">
            <v>s</v>
          </cell>
        </row>
        <row r="379">
          <cell r="A379" t="str">
            <v>BGLV-40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cell r="BM379">
            <v>0</v>
          </cell>
          <cell r="BN379">
            <v>0</v>
          </cell>
          <cell r="BO379">
            <v>0</v>
          </cell>
          <cell r="BP379">
            <v>0</v>
          </cell>
          <cell r="BQ379">
            <v>0</v>
          </cell>
          <cell r="BR379">
            <v>0</v>
          </cell>
          <cell r="BS379">
            <v>0</v>
          </cell>
          <cell r="BT379">
            <v>0</v>
          </cell>
          <cell r="BU379">
            <v>0</v>
          </cell>
          <cell r="BV379">
            <v>0</v>
          </cell>
          <cell r="BW379">
            <v>0</v>
          </cell>
          <cell r="BX379">
            <v>0</v>
          </cell>
          <cell r="BY379">
            <v>0</v>
          </cell>
          <cell r="BZ379">
            <v>0</v>
          </cell>
          <cell r="CA379">
            <v>0</v>
          </cell>
          <cell r="CB379">
            <v>0</v>
          </cell>
          <cell r="CC379">
            <v>0</v>
          </cell>
          <cell r="CD379">
            <v>0</v>
          </cell>
          <cell r="CE379">
            <v>0</v>
          </cell>
          <cell r="CF379">
            <v>0</v>
          </cell>
          <cell r="CG379">
            <v>0</v>
          </cell>
          <cell r="CH379">
            <v>0</v>
          </cell>
          <cell r="CI379">
            <v>0</v>
          </cell>
          <cell r="CJ379">
            <v>0</v>
          </cell>
          <cell r="CK379">
            <v>0</v>
          </cell>
          <cell r="CL379">
            <v>0</v>
          </cell>
          <cell r="CM379">
            <v>0</v>
          </cell>
          <cell r="CN379">
            <v>0</v>
          </cell>
          <cell r="CO379">
            <v>0</v>
          </cell>
          <cell r="CP379">
            <v>0</v>
          </cell>
          <cell r="CQ379">
            <v>0</v>
          </cell>
          <cell r="CU379">
            <v>0</v>
          </cell>
          <cell r="CV379">
            <v>0</v>
          </cell>
          <cell r="CW379">
            <v>0</v>
          </cell>
          <cell r="CZ379" t="str">
            <v>s</v>
          </cell>
        </row>
        <row r="380">
          <cell r="A380" t="str">
            <v>BGLV-50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cell r="BM380">
            <v>0</v>
          </cell>
          <cell r="BN380">
            <v>0</v>
          </cell>
          <cell r="BO380">
            <v>0</v>
          </cell>
          <cell r="BP380">
            <v>0</v>
          </cell>
          <cell r="BQ380">
            <v>0</v>
          </cell>
          <cell r="BR380">
            <v>0</v>
          </cell>
          <cell r="BS380">
            <v>0</v>
          </cell>
          <cell r="BT380">
            <v>0</v>
          </cell>
          <cell r="BU380">
            <v>0</v>
          </cell>
          <cell r="BV380">
            <v>0</v>
          </cell>
          <cell r="BW380">
            <v>0</v>
          </cell>
          <cell r="BX380">
            <v>0</v>
          </cell>
          <cell r="BY380">
            <v>0</v>
          </cell>
          <cell r="BZ380">
            <v>0</v>
          </cell>
          <cell r="CA380">
            <v>0</v>
          </cell>
          <cell r="CB380">
            <v>0</v>
          </cell>
          <cell r="CC380">
            <v>0</v>
          </cell>
          <cell r="CD380">
            <v>0</v>
          </cell>
          <cell r="CE380">
            <v>0</v>
          </cell>
          <cell r="CF380">
            <v>0</v>
          </cell>
          <cell r="CG380">
            <v>0</v>
          </cell>
          <cell r="CH380">
            <v>0</v>
          </cell>
          <cell r="CI380">
            <v>0</v>
          </cell>
          <cell r="CJ380">
            <v>0</v>
          </cell>
          <cell r="CK380">
            <v>0</v>
          </cell>
          <cell r="CL380">
            <v>0</v>
          </cell>
          <cell r="CM380">
            <v>0</v>
          </cell>
          <cell r="CN380">
            <v>0</v>
          </cell>
          <cell r="CO380">
            <v>0</v>
          </cell>
          <cell r="CP380">
            <v>0</v>
          </cell>
          <cell r="CQ380">
            <v>0</v>
          </cell>
          <cell r="CU380">
            <v>0</v>
          </cell>
          <cell r="CV380">
            <v>0</v>
          </cell>
          <cell r="CW380">
            <v>0</v>
          </cell>
          <cell r="CZ380" t="str">
            <v>s</v>
          </cell>
        </row>
        <row r="381">
          <cell r="A381" t="str">
            <v>BGLV-63</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cell r="BM381">
            <v>0</v>
          </cell>
          <cell r="BN381">
            <v>0</v>
          </cell>
          <cell r="BO381">
            <v>0</v>
          </cell>
          <cell r="BP381">
            <v>0</v>
          </cell>
          <cell r="BQ381">
            <v>0</v>
          </cell>
          <cell r="BR381">
            <v>0</v>
          </cell>
          <cell r="BS381">
            <v>0</v>
          </cell>
          <cell r="BT381">
            <v>0</v>
          </cell>
          <cell r="BU381">
            <v>0</v>
          </cell>
          <cell r="BV381">
            <v>0</v>
          </cell>
          <cell r="BW381">
            <v>0</v>
          </cell>
          <cell r="BX381">
            <v>0</v>
          </cell>
          <cell r="BY381">
            <v>0</v>
          </cell>
          <cell r="BZ381">
            <v>0</v>
          </cell>
          <cell r="CA381">
            <v>0</v>
          </cell>
          <cell r="CB381">
            <v>0</v>
          </cell>
          <cell r="CC381">
            <v>0</v>
          </cell>
          <cell r="CD381">
            <v>0</v>
          </cell>
          <cell r="CE381">
            <v>0</v>
          </cell>
          <cell r="CF381">
            <v>0</v>
          </cell>
          <cell r="CG381">
            <v>0</v>
          </cell>
          <cell r="CH381">
            <v>0</v>
          </cell>
          <cell r="CI381">
            <v>0</v>
          </cell>
          <cell r="CJ381">
            <v>0</v>
          </cell>
          <cell r="CK381">
            <v>0</v>
          </cell>
          <cell r="CL381">
            <v>0</v>
          </cell>
          <cell r="CM381">
            <v>0</v>
          </cell>
          <cell r="CN381">
            <v>0</v>
          </cell>
          <cell r="CO381">
            <v>0</v>
          </cell>
          <cell r="CP381">
            <v>0</v>
          </cell>
          <cell r="CQ381">
            <v>0</v>
          </cell>
          <cell r="CU381">
            <v>0</v>
          </cell>
          <cell r="CV381">
            <v>0</v>
          </cell>
          <cell r="CW381">
            <v>0</v>
          </cell>
          <cell r="CZ381" t="str">
            <v>s</v>
          </cell>
        </row>
        <row r="382">
          <cell r="A382" t="str">
            <v>BGLV-75</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cell r="BM382">
            <v>0</v>
          </cell>
          <cell r="BN382">
            <v>0</v>
          </cell>
          <cell r="BO382">
            <v>0</v>
          </cell>
          <cell r="BP382">
            <v>0</v>
          </cell>
          <cell r="BQ382">
            <v>0</v>
          </cell>
          <cell r="BR382">
            <v>0</v>
          </cell>
          <cell r="BS382">
            <v>0</v>
          </cell>
          <cell r="BT382">
            <v>0</v>
          </cell>
          <cell r="BU382">
            <v>0</v>
          </cell>
          <cell r="BV382">
            <v>0</v>
          </cell>
          <cell r="BW382">
            <v>0</v>
          </cell>
          <cell r="BX382">
            <v>0</v>
          </cell>
          <cell r="BY382">
            <v>0</v>
          </cell>
          <cell r="BZ382">
            <v>0</v>
          </cell>
          <cell r="CA382">
            <v>0</v>
          </cell>
          <cell r="CB382">
            <v>0</v>
          </cell>
          <cell r="CC382">
            <v>0</v>
          </cell>
          <cell r="CD382">
            <v>0</v>
          </cell>
          <cell r="CE382">
            <v>0</v>
          </cell>
          <cell r="CF382">
            <v>0</v>
          </cell>
          <cell r="CG382">
            <v>0</v>
          </cell>
          <cell r="CH382">
            <v>0</v>
          </cell>
          <cell r="CI382">
            <v>0</v>
          </cell>
          <cell r="CJ382">
            <v>0</v>
          </cell>
          <cell r="CK382">
            <v>0</v>
          </cell>
          <cell r="CL382">
            <v>0</v>
          </cell>
          <cell r="CM382">
            <v>0</v>
          </cell>
          <cell r="CN382">
            <v>0</v>
          </cell>
          <cell r="CO382">
            <v>0</v>
          </cell>
          <cell r="CP382">
            <v>0</v>
          </cell>
          <cell r="CQ382">
            <v>0</v>
          </cell>
          <cell r="CU382">
            <v>0</v>
          </cell>
          <cell r="CV382">
            <v>0</v>
          </cell>
          <cell r="CW382">
            <v>0</v>
          </cell>
          <cell r="CZ382" t="str">
            <v>s</v>
          </cell>
        </row>
        <row r="383">
          <cell r="A383" t="str">
            <v>BFLV-15</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cell r="BM383">
            <v>0</v>
          </cell>
          <cell r="BN383">
            <v>0</v>
          </cell>
          <cell r="BO383">
            <v>0</v>
          </cell>
          <cell r="BP383">
            <v>0</v>
          </cell>
          <cell r="BQ383">
            <v>0</v>
          </cell>
          <cell r="BR383">
            <v>0</v>
          </cell>
          <cell r="BS383">
            <v>0</v>
          </cell>
          <cell r="BT383">
            <v>0</v>
          </cell>
          <cell r="BU383">
            <v>0</v>
          </cell>
          <cell r="BV383">
            <v>0</v>
          </cell>
          <cell r="BW383">
            <v>0</v>
          </cell>
          <cell r="BX383">
            <v>0</v>
          </cell>
          <cell r="BY383">
            <v>0</v>
          </cell>
          <cell r="BZ383">
            <v>0</v>
          </cell>
          <cell r="CA383">
            <v>0</v>
          </cell>
          <cell r="CB383">
            <v>0</v>
          </cell>
          <cell r="CC383">
            <v>0</v>
          </cell>
          <cell r="CD383">
            <v>0</v>
          </cell>
          <cell r="CE383">
            <v>0</v>
          </cell>
          <cell r="CF383">
            <v>0</v>
          </cell>
          <cell r="CG383">
            <v>0</v>
          </cell>
          <cell r="CH383">
            <v>0</v>
          </cell>
          <cell r="CI383">
            <v>0</v>
          </cell>
          <cell r="CJ383">
            <v>0</v>
          </cell>
          <cell r="CK383">
            <v>0</v>
          </cell>
          <cell r="CL383">
            <v>0</v>
          </cell>
          <cell r="CM383">
            <v>0</v>
          </cell>
          <cell r="CN383">
            <v>0</v>
          </cell>
          <cell r="CO383">
            <v>0</v>
          </cell>
          <cell r="CP383">
            <v>0</v>
          </cell>
          <cell r="CQ383">
            <v>0</v>
          </cell>
          <cell r="CU383">
            <v>0</v>
          </cell>
          <cell r="CV383">
            <v>0</v>
          </cell>
          <cell r="CW383">
            <v>0</v>
          </cell>
          <cell r="CZ383" t="str">
            <v>s</v>
          </cell>
        </row>
        <row r="384">
          <cell r="A384" t="str">
            <v>BFLV-20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cell r="BM384">
            <v>0</v>
          </cell>
          <cell r="BN384">
            <v>0</v>
          </cell>
          <cell r="BO384">
            <v>0</v>
          </cell>
          <cell r="BP384">
            <v>0</v>
          </cell>
          <cell r="BQ384">
            <v>0</v>
          </cell>
          <cell r="BR384">
            <v>0</v>
          </cell>
          <cell r="BS384">
            <v>0</v>
          </cell>
          <cell r="BT384">
            <v>0</v>
          </cell>
          <cell r="BU384">
            <v>0</v>
          </cell>
          <cell r="BV384">
            <v>0</v>
          </cell>
          <cell r="BW384">
            <v>0</v>
          </cell>
          <cell r="BX384">
            <v>0</v>
          </cell>
          <cell r="BY384">
            <v>0</v>
          </cell>
          <cell r="BZ384">
            <v>0</v>
          </cell>
          <cell r="CA384">
            <v>0</v>
          </cell>
          <cell r="CB384">
            <v>0</v>
          </cell>
          <cell r="CC384">
            <v>0</v>
          </cell>
          <cell r="CD384">
            <v>0</v>
          </cell>
          <cell r="CE384">
            <v>0</v>
          </cell>
          <cell r="CF384">
            <v>0</v>
          </cell>
          <cell r="CG384">
            <v>0</v>
          </cell>
          <cell r="CH384">
            <v>0</v>
          </cell>
          <cell r="CI384">
            <v>0</v>
          </cell>
          <cell r="CJ384">
            <v>0</v>
          </cell>
          <cell r="CK384">
            <v>0</v>
          </cell>
          <cell r="CL384">
            <v>0</v>
          </cell>
          <cell r="CM384">
            <v>0</v>
          </cell>
          <cell r="CN384">
            <v>0</v>
          </cell>
          <cell r="CO384">
            <v>0</v>
          </cell>
          <cell r="CP384">
            <v>0</v>
          </cell>
          <cell r="CQ384">
            <v>0</v>
          </cell>
          <cell r="CU384">
            <v>0</v>
          </cell>
          <cell r="CV384">
            <v>0</v>
          </cell>
          <cell r="CW384">
            <v>0</v>
          </cell>
          <cell r="CZ384" t="str">
            <v>s</v>
          </cell>
        </row>
        <row r="385">
          <cell r="A385" t="str">
            <v>BFLV-25</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cell r="BM385">
            <v>0</v>
          </cell>
          <cell r="BN385">
            <v>0</v>
          </cell>
          <cell r="BO385">
            <v>0</v>
          </cell>
          <cell r="BP385">
            <v>0</v>
          </cell>
          <cell r="BQ385">
            <v>0</v>
          </cell>
          <cell r="BR385">
            <v>0</v>
          </cell>
          <cell r="BS385">
            <v>0</v>
          </cell>
          <cell r="BT385">
            <v>0</v>
          </cell>
          <cell r="BU385">
            <v>0</v>
          </cell>
          <cell r="BV385">
            <v>0</v>
          </cell>
          <cell r="BW385">
            <v>0</v>
          </cell>
          <cell r="BX385">
            <v>0</v>
          </cell>
          <cell r="BY385">
            <v>0</v>
          </cell>
          <cell r="BZ385">
            <v>0</v>
          </cell>
          <cell r="CA385">
            <v>0</v>
          </cell>
          <cell r="CB385">
            <v>0</v>
          </cell>
          <cell r="CC385">
            <v>0</v>
          </cell>
          <cell r="CD385">
            <v>0</v>
          </cell>
          <cell r="CE385">
            <v>0</v>
          </cell>
          <cell r="CF385">
            <v>0</v>
          </cell>
          <cell r="CG385">
            <v>0</v>
          </cell>
          <cell r="CH385">
            <v>0</v>
          </cell>
          <cell r="CI385">
            <v>0</v>
          </cell>
          <cell r="CJ385">
            <v>0</v>
          </cell>
          <cell r="CK385">
            <v>0</v>
          </cell>
          <cell r="CL385">
            <v>0</v>
          </cell>
          <cell r="CM385">
            <v>0</v>
          </cell>
          <cell r="CN385">
            <v>0</v>
          </cell>
          <cell r="CO385">
            <v>0</v>
          </cell>
          <cell r="CP385">
            <v>0</v>
          </cell>
          <cell r="CQ385">
            <v>0</v>
          </cell>
          <cell r="CU385">
            <v>0</v>
          </cell>
          <cell r="CV385">
            <v>0</v>
          </cell>
          <cell r="CW385">
            <v>0</v>
          </cell>
          <cell r="CZ385" t="str">
            <v>s</v>
          </cell>
        </row>
        <row r="386">
          <cell r="A386" t="str">
            <v>BFLV-32</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cell r="BM386">
            <v>0</v>
          </cell>
          <cell r="BN386">
            <v>0</v>
          </cell>
          <cell r="BO386">
            <v>0</v>
          </cell>
          <cell r="BP386">
            <v>0</v>
          </cell>
          <cell r="BQ386">
            <v>0</v>
          </cell>
          <cell r="BR386">
            <v>0</v>
          </cell>
          <cell r="BS386">
            <v>0</v>
          </cell>
          <cell r="BT386">
            <v>0</v>
          </cell>
          <cell r="BU386">
            <v>0</v>
          </cell>
          <cell r="BV386">
            <v>0</v>
          </cell>
          <cell r="BW386">
            <v>0</v>
          </cell>
          <cell r="BX386">
            <v>0</v>
          </cell>
          <cell r="BY386">
            <v>0</v>
          </cell>
          <cell r="BZ386">
            <v>0</v>
          </cell>
          <cell r="CA386">
            <v>0</v>
          </cell>
          <cell r="CB386">
            <v>0</v>
          </cell>
          <cell r="CC386">
            <v>0</v>
          </cell>
          <cell r="CD386">
            <v>0</v>
          </cell>
          <cell r="CE386">
            <v>0</v>
          </cell>
          <cell r="CF386">
            <v>0</v>
          </cell>
          <cell r="CG386">
            <v>0</v>
          </cell>
          <cell r="CH386">
            <v>0</v>
          </cell>
          <cell r="CI386">
            <v>0</v>
          </cell>
          <cell r="CJ386">
            <v>0</v>
          </cell>
          <cell r="CK386">
            <v>0</v>
          </cell>
          <cell r="CL386">
            <v>0</v>
          </cell>
          <cell r="CM386">
            <v>0</v>
          </cell>
          <cell r="CN386">
            <v>0</v>
          </cell>
          <cell r="CO386">
            <v>0</v>
          </cell>
          <cell r="CP386">
            <v>0</v>
          </cell>
          <cell r="CQ386">
            <v>0</v>
          </cell>
          <cell r="CU386">
            <v>0</v>
          </cell>
          <cell r="CV386">
            <v>0</v>
          </cell>
          <cell r="CW386">
            <v>0</v>
          </cell>
          <cell r="CZ386" t="str">
            <v>s</v>
          </cell>
        </row>
        <row r="387">
          <cell r="A387" t="str">
            <v>BFLV-40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cell r="BM387">
            <v>0</v>
          </cell>
          <cell r="BN387">
            <v>0</v>
          </cell>
          <cell r="BO387">
            <v>0</v>
          </cell>
          <cell r="BP387">
            <v>0</v>
          </cell>
          <cell r="BQ387">
            <v>0</v>
          </cell>
          <cell r="BR387">
            <v>0</v>
          </cell>
          <cell r="BS387">
            <v>0</v>
          </cell>
          <cell r="BT387">
            <v>0</v>
          </cell>
          <cell r="BU387">
            <v>0</v>
          </cell>
          <cell r="BV387">
            <v>0</v>
          </cell>
          <cell r="BW387">
            <v>0</v>
          </cell>
          <cell r="BX387">
            <v>0</v>
          </cell>
          <cell r="BY387">
            <v>0</v>
          </cell>
          <cell r="BZ387">
            <v>0</v>
          </cell>
          <cell r="CA387">
            <v>0</v>
          </cell>
          <cell r="CB387">
            <v>0</v>
          </cell>
          <cell r="CC387">
            <v>0</v>
          </cell>
          <cell r="CD387">
            <v>0</v>
          </cell>
          <cell r="CE387">
            <v>0</v>
          </cell>
          <cell r="CF387">
            <v>0</v>
          </cell>
          <cell r="CG387">
            <v>0</v>
          </cell>
          <cell r="CH387">
            <v>0</v>
          </cell>
          <cell r="CI387">
            <v>0</v>
          </cell>
          <cell r="CJ387">
            <v>0</v>
          </cell>
          <cell r="CK387">
            <v>0</v>
          </cell>
          <cell r="CL387">
            <v>0</v>
          </cell>
          <cell r="CM387">
            <v>0</v>
          </cell>
          <cell r="CN387">
            <v>0</v>
          </cell>
          <cell r="CO387">
            <v>0</v>
          </cell>
          <cell r="CP387">
            <v>0</v>
          </cell>
          <cell r="CQ387">
            <v>0</v>
          </cell>
          <cell r="CU387">
            <v>0</v>
          </cell>
          <cell r="CV387">
            <v>0</v>
          </cell>
          <cell r="CW387">
            <v>0</v>
          </cell>
          <cell r="CZ387" t="str">
            <v>s</v>
          </cell>
        </row>
        <row r="388">
          <cell r="A388" t="str">
            <v>BFLV-50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cell r="BM388">
            <v>0</v>
          </cell>
          <cell r="BN388">
            <v>0</v>
          </cell>
          <cell r="BO388">
            <v>0</v>
          </cell>
          <cell r="BP388">
            <v>0</v>
          </cell>
          <cell r="BQ388">
            <v>0</v>
          </cell>
          <cell r="BR388">
            <v>0</v>
          </cell>
          <cell r="BS388">
            <v>0</v>
          </cell>
          <cell r="BT388">
            <v>0</v>
          </cell>
          <cell r="BU388">
            <v>0</v>
          </cell>
          <cell r="BV388">
            <v>0</v>
          </cell>
          <cell r="BW388">
            <v>0</v>
          </cell>
          <cell r="BX388">
            <v>0</v>
          </cell>
          <cell r="BY388">
            <v>0</v>
          </cell>
          <cell r="BZ388">
            <v>0</v>
          </cell>
          <cell r="CA388">
            <v>0</v>
          </cell>
          <cell r="CB388">
            <v>0</v>
          </cell>
          <cell r="CC388">
            <v>0</v>
          </cell>
          <cell r="CD388">
            <v>0</v>
          </cell>
          <cell r="CE388">
            <v>0</v>
          </cell>
          <cell r="CF388">
            <v>0</v>
          </cell>
          <cell r="CG388">
            <v>0</v>
          </cell>
          <cell r="CH388">
            <v>0</v>
          </cell>
          <cell r="CI388">
            <v>0</v>
          </cell>
          <cell r="CJ388">
            <v>0</v>
          </cell>
          <cell r="CK388">
            <v>0</v>
          </cell>
          <cell r="CL388">
            <v>0</v>
          </cell>
          <cell r="CM388">
            <v>0</v>
          </cell>
          <cell r="CN388">
            <v>0</v>
          </cell>
          <cell r="CO388">
            <v>0</v>
          </cell>
          <cell r="CP388">
            <v>0</v>
          </cell>
          <cell r="CQ388">
            <v>0</v>
          </cell>
          <cell r="CU388">
            <v>0</v>
          </cell>
          <cell r="CV388">
            <v>0</v>
          </cell>
          <cell r="CW388">
            <v>0</v>
          </cell>
          <cell r="CZ388" t="str">
            <v>s</v>
          </cell>
        </row>
        <row r="389">
          <cell r="A389" t="str">
            <v>BFLV-63</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cell r="BM389">
            <v>0</v>
          </cell>
          <cell r="BN389">
            <v>0</v>
          </cell>
          <cell r="BO389">
            <v>0</v>
          </cell>
          <cell r="BP389">
            <v>0</v>
          </cell>
          <cell r="BQ389">
            <v>0</v>
          </cell>
          <cell r="BR389">
            <v>0</v>
          </cell>
          <cell r="BS389">
            <v>0</v>
          </cell>
          <cell r="BT389">
            <v>0</v>
          </cell>
          <cell r="BU389">
            <v>0</v>
          </cell>
          <cell r="BV389">
            <v>0</v>
          </cell>
          <cell r="BW389">
            <v>0</v>
          </cell>
          <cell r="BX389">
            <v>0</v>
          </cell>
          <cell r="BY389">
            <v>0</v>
          </cell>
          <cell r="BZ389">
            <v>0</v>
          </cell>
          <cell r="CA389">
            <v>0</v>
          </cell>
          <cell r="CB389">
            <v>0</v>
          </cell>
          <cell r="CC389">
            <v>0</v>
          </cell>
          <cell r="CD389">
            <v>0</v>
          </cell>
          <cell r="CE389">
            <v>0</v>
          </cell>
          <cell r="CF389">
            <v>0</v>
          </cell>
          <cell r="CG389">
            <v>0</v>
          </cell>
          <cell r="CH389">
            <v>0</v>
          </cell>
          <cell r="CI389">
            <v>0</v>
          </cell>
          <cell r="CJ389">
            <v>0</v>
          </cell>
          <cell r="CK389">
            <v>0</v>
          </cell>
          <cell r="CL389">
            <v>0</v>
          </cell>
          <cell r="CM389">
            <v>0</v>
          </cell>
          <cell r="CN389">
            <v>0</v>
          </cell>
          <cell r="CO389">
            <v>0</v>
          </cell>
          <cell r="CP389">
            <v>0</v>
          </cell>
          <cell r="CQ389">
            <v>0</v>
          </cell>
          <cell r="CU389">
            <v>0</v>
          </cell>
          <cell r="CV389">
            <v>0</v>
          </cell>
          <cell r="CW389">
            <v>0</v>
          </cell>
          <cell r="CZ389" t="str">
            <v>s</v>
          </cell>
        </row>
        <row r="390">
          <cell r="A390" t="str">
            <v>BFLV-75</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cell r="BM390">
            <v>0</v>
          </cell>
          <cell r="BN390">
            <v>0</v>
          </cell>
          <cell r="BO390">
            <v>0</v>
          </cell>
          <cell r="BP390">
            <v>0</v>
          </cell>
          <cell r="BQ390">
            <v>0</v>
          </cell>
          <cell r="BR390">
            <v>0</v>
          </cell>
          <cell r="BS390">
            <v>0</v>
          </cell>
          <cell r="BT390">
            <v>0</v>
          </cell>
          <cell r="BU390">
            <v>0</v>
          </cell>
          <cell r="BV390">
            <v>0</v>
          </cell>
          <cell r="BW390">
            <v>0</v>
          </cell>
          <cell r="BX390">
            <v>0</v>
          </cell>
          <cell r="BY390">
            <v>0</v>
          </cell>
          <cell r="BZ390">
            <v>0</v>
          </cell>
          <cell r="CA390">
            <v>0</v>
          </cell>
          <cell r="CB390">
            <v>0</v>
          </cell>
          <cell r="CC390">
            <v>0</v>
          </cell>
          <cell r="CD390">
            <v>0</v>
          </cell>
          <cell r="CE390">
            <v>0</v>
          </cell>
          <cell r="CF390">
            <v>0</v>
          </cell>
          <cell r="CG390">
            <v>0</v>
          </cell>
          <cell r="CH390">
            <v>0</v>
          </cell>
          <cell r="CI390">
            <v>0</v>
          </cell>
          <cell r="CJ390">
            <v>0</v>
          </cell>
          <cell r="CK390">
            <v>0</v>
          </cell>
          <cell r="CL390">
            <v>0</v>
          </cell>
          <cell r="CM390">
            <v>0</v>
          </cell>
          <cell r="CN390">
            <v>0</v>
          </cell>
          <cell r="CO390">
            <v>0</v>
          </cell>
          <cell r="CP390">
            <v>0</v>
          </cell>
          <cell r="CQ390">
            <v>0</v>
          </cell>
          <cell r="CU390">
            <v>0</v>
          </cell>
          <cell r="CV390">
            <v>0</v>
          </cell>
          <cell r="CW390">
            <v>0</v>
          </cell>
          <cell r="CZ390" t="str">
            <v>s</v>
          </cell>
        </row>
        <row r="391">
          <cell r="A391" t="str">
            <v>BFLVC-32</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cell r="BM391">
            <v>0</v>
          </cell>
          <cell r="BN391">
            <v>0</v>
          </cell>
          <cell r="BO391">
            <v>0</v>
          </cell>
          <cell r="BP391">
            <v>0</v>
          </cell>
          <cell r="BQ391">
            <v>0</v>
          </cell>
          <cell r="BR391">
            <v>0</v>
          </cell>
          <cell r="BS391">
            <v>0</v>
          </cell>
          <cell r="BT391">
            <v>0</v>
          </cell>
          <cell r="BU391">
            <v>0</v>
          </cell>
          <cell r="BV391">
            <v>0</v>
          </cell>
          <cell r="BW391">
            <v>0</v>
          </cell>
          <cell r="BX391">
            <v>0</v>
          </cell>
          <cell r="BY391">
            <v>0</v>
          </cell>
          <cell r="BZ391">
            <v>0</v>
          </cell>
          <cell r="CA391">
            <v>0</v>
          </cell>
          <cell r="CB391">
            <v>0</v>
          </cell>
          <cell r="CC391">
            <v>0</v>
          </cell>
          <cell r="CD391">
            <v>0</v>
          </cell>
          <cell r="CE391">
            <v>0</v>
          </cell>
          <cell r="CF391">
            <v>0</v>
          </cell>
          <cell r="CG391">
            <v>0</v>
          </cell>
          <cell r="CH391">
            <v>0</v>
          </cell>
          <cell r="CI391">
            <v>0</v>
          </cell>
          <cell r="CJ391">
            <v>0</v>
          </cell>
          <cell r="CK391">
            <v>0</v>
          </cell>
          <cell r="CL391">
            <v>0</v>
          </cell>
          <cell r="CM391">
            <v>0</v>
          </cell>
          <cell r="CN391">
            <v>0</v>
          </cell>
          <cell r="CO391">
            <v>0</v>
          </cell>
          <cell r="CP391">
            <v>0</v>
          </cell>
          <cell r="CQ391">
            <v>0</v>
          </cell>
          <cell r="CU391">
            <v>0</v>
          </cell>
          <cell r="CV391">
            <v>0</v>
          </cell>
          <cell r="CW391">
            <v>0</v>
          </cell>
          <cell r="CZ391" t="str">
            <v>s</v>
          </cell>
        </row>
        <row r="392">
          <cell r="A392" t="str">
            <v>BRT-15</v>
          </cell>
          <cell r="G392">
            <v>2</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cell r="BM392">
            <v>0</v>
          </cell>
          <cell r="BN392">
            <v>0</v>
          </cell>
          <cell r="BO392">
            <v>0</v>
          </cell>
          <cell r="BP392">
            <v>0</v>
          </cell>
          <cell r="BQ392">
            <v>0</v>
          </cell>
          <cell r="BR392">
            <v>0</v>
          </cell>
          <cell r="BS392">
            <v>0</v>
          </cell>
          <cell r="BT392">
            <v>0</v>
          </cell>
          <cell r="BU392">
            <v>0</v>
          </cell>
          <cell r="BV392">
            <v>0</v>
          </cell>
          <cell r="BW392">
            <v>0</v>
          </cell>
          <cell r="BX392">
            <v>0</v>
          </cell>
          <cell r="BY392">
            <v>0</v>
          </cell>
          <cell r="BZ392">
            <v>0</v>
          </cell>
          <cell r="CA392">
            <v>0</v>
          </cell>
          <cell r="CB392">
            <v>0</v>
          </cell>
          <cell r="CC392">
            <v>0</v>
          </cell>
          <cell r="CD392">
            <v>0</v>
          </cell>
          <cell r="CE392">
            <v>0</v>
          </cell>
          <cell r="CF392">
            <v>0</v>
          </cell>
          <cell r="CG392">
            <v>0</v>
          </cell>
          <cell r="CH392">
            <v>0</v>
          </cell>
          <cell r="CI392">
            <v>0</v>
          </cell>
          <cell r="CJ392">
            <v>0</v>
          </cell>
          <cell r="CK392">
            <v>0</v>
          </cell>
          <cell r="CL392">
            <v>0</v>
          </cell>
          <cell r="CM392">
            <v>0</v>
          </cell>
          <cell r="CN392">
            <v>0</v>
          </cell>
          <cell r="CO392">
            <v>0</v>
          </cell>
          <cell r="CP392">
            <v>0</v>
          </cell>
          <cell r="CQ392">
            <v>0</v>
          </cell>
          <cell r="CU392">
            <v>2</v>
          </cell>
          <cell r="CV392">
            <v>2020.79</v>
          </cell>
          <cell r="CW392">
            <v>0.8</v>
          </cell>
          <cell r="CZ392" t="str">
            <v>s</v>
          </cell>
        </row>
        <row r="393">
          <cell r="A393" t="str">
            <v>AV-15</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cell r="BM393">
            <v>0</v>
          </cell>
          <cell r="BN393">
            <v>0</v>
          </cell>
          <cell r="BO393">
            <v>0</v>
          </cell>
          <cell r="BP393">
            <v>0</v>
          </cell>
          <cell r="BQ393">
            <v>0</v>
          </cell>
          <cell r="BR393">
            <v>0</v>
          </cell>
          <cell r="BS393">
            <v>0</v>
          </cell>
          <cell r="BT393">
            <v>0</v>
          </cell>
          <cell r="BU393">
            <v>0</v>
          </cell>
          <cell r="BV393">
            <v>0</v>
          </cell>
          <cell r="BW393">
            <v>0</v>
          </cell>
          <cell r="BX393">
            <v>0</v>
          </cell>
          <cell r="BY393">
            <v>0</v>
          </cell>
          <cell r="BZ393">
            <v>0</v>
          </cell>
          <cell r="CA393">
            <v>0</v>
          </cell>
          <cell r="CB393">
            <v>0</v>
          </cell>
          <cell r="CC393">
            <v>0</v>
          </cell>
          <cell r="CD393">
            <v>0</v>
          </cell>
          <cell r="CE393">
            <v>0</v>
          </cell>
          <cell r="CF393">
            <v>0</v>
          </cell>
          <cell r="CG393">
            <v>0</v>
          </cell>
          <cell r="CH393">
            <v>0</v>
          </cell>
          <cell r="CI393">
            <v>0</v>
          </cell>
          <cell r="CJ393">
            <v>0</v>
          </cell>
          <cell r="CK393">
            <v>0</v>
          </cell>
          <cell r="CL393">
            <v>0</v>
          </cell>
          <cell r="CM393">
            <v>0</v>
          </cell>
          <cell r="CN393">
            <v>0</v>
          </cell>
          <cell r="CO393">
            <v>0</v>
          </cell>
          <cell r="CP393">
            <v>0</v>
          </cell>
          <cell r="CQ393">
            <v>0</v>
          </cell>
          <cell r="CU393">
            <v>0</v>
          </cell>
          <cell r="CV393">
            <v>0</v>
          </cell>
          <cell r="CW393">
            <v>0</v>
          </cell>
          <cell r="CZ393" t="str">
            <v>s</v>
          </cell>
        </row>
        <row r="394">
          <cell r="A394" t="str">
            <v>AV-20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cell r="BM394">
            <v>0</v>
          </cell>
          <cell r="BN394">
            <v>0</v>
          </cell>
          <cell r="BO394">
            <v>0</v>
          </cell>
          <cell r="BP394">
            <v>0</v>
          </cell>
          <cell r="BQ394">
            <v>0</v>
          </cell>
          <cell r="BR394">
            <v>0</v>
          </cell>
          <cell r="BS394">
            <v>0</v>
          </cell>
          <cell r="BT394">
            <v>0</v>
          </cell>
          <cell r="BU394">
            <v>0</v>
          </cell>
          <cell r="BV394">
            <v>0</v>
          </cell>
          <cell r="BW394">
            <v>0</v>
          </cell>
          <cell r="BX394">
            <v>0</v>
          </cell>
          <cell r="BY394">
            <v>0</v>
          </cell>
          <cell r="BZ394">
            <v>0</v>
          </cell>
          <cell r="CA394">
            <v>0</v>
          </cell>
          <cell r="CB394">
            <v>0</v>
          </cell>
          <cell r="CC394">
            <v>0</v>
          </cell>
          <cell r="CD394">
            <v>0</v>
          </cell>
          <cell r="CE394">
            <v>0</v>
          </cell>
          <cell r="CF394">
            <v>0</v>
          </cell>
          <cell r="CG394">
            <v>0</v>
          </cell>
          <cell r="CH394">
            <v>0</v>
          </cell>
          <cell r="CI394">
            <v>0</v>
          </cell>
          <cell r="CJ394">
            <v>0</v>
          </cell>
          <cell r="CK394">
            <v>0</v>
          </cell>
          <cell r="CL394">
            <v>0</v>
          </cell>
          <cell r="CM394">
            <v>0</v>
          </cell>
          <cell r="CN394">
            <v>0</v>
          </cell>
          <cell r="CO394">
            <v>0</v>
          </cell>
          <cell r="CP394">
            <v>0</v>
          </cell>
          <cell r="CQ394">
            <v>0</v>
          </cell>
          <cell r="CU394">
            <v>0</v>
          </cell>
          <cell r="CV394">
            <v>0</v>
          </cell>
          <cell r="CW394">
            <v>0</v>
          </cell>
          <cell r="CZ394" t="str">
            <v>s</v>
          </cell>
        </row>
        <row r="395">
          <cell r="A395" t="str">
            <v>AV-20c</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cell r="BM395">
            <v>0</v>
          </cell>
          <cell r="BN395">
            <v>0</v>
          </cell>
          <cell r="BO395">
            <v>0</v>
          </cell>
          <cell r="BP395">
            <v>0</v>
          </cell>
          <cell r="BQ395">
            <v>0</v>
          </cell>
          <cell r="BR395">
            <v>0</v>
          </cell>
          <cell r="BS395">
            <v>0</v>
          </cell>
          <cell r="BT395">
            <v>0</v>
          </cell>
          <cell r="BU395">
            <v>0</v>
          </cell>
          <cell r="BV395">
            <v>0</v>
          </cell>
          <cell r="BW395">
            <v>0</v>
          </cell>
          <cell r="BX395">
            <v>0</v>
          </cell>
          <cell r="BY395">
            <v>0</v>
          </cell>
          <cell r="BZ395">
            <v>0</v>
          </cell>
          <cell r="CA395">
            <v>0</v>
          </cell>
          <cell r="CB395">
            <v>0</v>
          </cell>
          <cell r="CC395">
            <v>0</v>
          </cell>
          <cell r="CD395">
            <v>0</v>
          </cell>
          <cell r="CE395">
            <v>0</v>
          </cell>
          <cell r="CF395">
            <v>0</v>
          </cell>
          <cell r="CG395">
            <v>0</v>
          </cell>
          <cell r="CH395">
            <v>0</v>
          </cell>
          <cell r="CI395">
            <v>0</v>
          </cell>
          <cell r="CJ395">
            <v>0</v>
          </cell>
          <cell r="CK395">
            <v>0</v>
          </cell>
          <cell r="CL395">
            <v>0</v>
          </cell>
          <cell r="CM395">
            <v>0</v>
          </cell>
          <cell r="CN395">
            <v>0</v>
          </cell>
          <cell r="CO395">
            <v>0</v>
          </cell>
          <cell r="CP395">
            <v>0</v>
          </cell>
          <cell r="CQ395">
            <v>0</v>
          </cell>
          <cell r="CU395">
            <v>0</v>
          </cell>
          <cell r="CV395">
            <v>0</v>
          </cell>
          <cell r="CW395">
            <v>0</v>
          </cell>
          <cell r="CZ395" t="str">
            <v>s</v>
          </cell>
        </row>
        <row r="397">
          <cell r="A397" t="str">
            <v>GHF-20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cell r="BM397">
            <v>0</v>
          </cell>
          <cell r="BN397">
            <v>0</v>
          </cell>
          <cell r="BO397">
            <v>0</v>
          </cell>
          <cell r="BP397">
            <v>0</v>
          </cell>
          <cell r="BQ397">
            <v>0</v>
          </cell>
          <cell r="BR397">
            <v>0</v>
          </cell>
          <cell r="BS397">
            <v>0</v>
          </cell>
          <cell r="BT397">
            <v>0</v>
          </cell>
          <cell r="BU397">
            <v>0</v>
          </cell>
          <cell r="BV397">
            <v>0</v>
          </cell>
          <cell r="BW397">
            <v>0</v>
          </cell>
          <cell r="BX397">
            <v>0</v>
          </cell>
          <cell r="BY397">
            <v>0</v>
          </cell>
          <cell r="BZ397">
            <v>0</v>
          </cell>
          <cell r="CA397">
            <v>0</v>
          </cell>
          <cell r="CB397">
            <v>0</v>
          </cell>
          <cell r="CC397">
            <v>0</v>
          </cell>
          <cell r="CD397">
            <v>0</v>
          </cell>
          <cell r="CE397">
            <v>0</v>
          </cell>
          <cell r="CF397">
            <v>0</v>
          </cell>
          <cell r="CG397">
            <v>0</v>
          </cell>
          <cell r="CH397">
            <v>0</v>
          </cell>
          <cell r="CI397">
            <v>0</v>
          </cell>
          <cell r="CJ397">
            <v>0</v>
          </cell>
          <cell r="CK397">
            <v>0</v>
          </cell>
          <cell r="CL397">
            <v>0</v>
          </cell>
          <cell r="CM397">
            <v>0</v>
          </cell>
          <cell r="CN397">
            <v>0</v>
          </cell>
          <cell r="CO397">
            <v>0</v>
          </cell>
          <cell r="CP397">
            <v>0</v>
          </cell>
          <cell r="CQ397">
            <v>0</v>
          </cell>
          <cell r="CU397">
            <v>0</v>
          </cell>
          <cell r="CV397">
            <v>0</v>
          </cell>
          <cell r="CW397">
            <v>0</v>
          </cell>
          <cell r="CZ397" t="str">
            <v>s</v>
          </cell>
        </row>
        <row r="398">
          <cell r="A398" t="str">
            <v>GHF-25</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cell r="BM398">
            <v>0</v>
          </cell>
          <cell r="BN398">
            <v>0</v>
          </cell>
          <cell r="BO398">
            <v>0</v>
          </cell>
          <cell r="BP398">
            <v>0</v>
          </cell>
          <cell r="BQ398">
            <v>0</v>
          </cell>
          <cell r="BR398">
            <v>0</v>
          </cell>
          <cell r="BS398">
            <v>0</v>
          </cell>
          <cell r="BT398">
            <v>0</v>
          </cell>
          <cell r="BU398">
            <v>0</v>
          </cell>
          <cell r="BV398">
            <v>0</v>
          </cell>
          <cell r="BW398">
            <v>0</v>
          </cell>
          <cell r="BX398">
            <v>0</v>
          </cell>
          <cell r="BY398">
            <v>0</v>
          </cell>
          <cell r="BZ398">
            <v>0</v>
          </cell>
          <cell r="CA398">
            <v>0</v>
          </cell>
          <cell r="CB398">
            <v>0</v>
          </cell>
          <cell r="CC398">
            <v>0</v>
          </cell>
          <cell r="CD398">
            <v>0</v>
          </cell>
          <cell r="CE398">
            <v>0</v>
          </cell>
          <cell r="CF398">
            <v>0</v>
          </cell>
          <cell r="CG398">
            <v>0</v>
          </cell>
          <cell r="CH398">
            <v>0</v>
          </cell>
          <cell r="CI398">
            <v>0</v>
          </cell>
          <cell r="CJ398">
            <v>0</v>
          </cell>
          <cell r="CK398">
            <v>0</v>
          </cell>
          <cell r="CL398">
            <v>0</v>
          </cell>
          <cell r="CM398">
            <v>0</v>
          </cell>
          <cell r="CN398">
            <v>0</v>
          </cell>
          <cell r="CO398">
            <v>0</v>
          </cell>
          <cell r="CP398">
            <v>0</v>
          </cell>
          <cell r="CQ398">
            <v>0</v>
          </cell>
          <cell r="CU398">
            <v>0</v>
          </cell>
          <cell r="CV398">
            <v>0</v>
          </cell>
          <cell r="CW398">
            <v>0</v>
          </cell>
          <cell r="CZ398" t="str">
            <v>s</v>
          </cell>
        </row>
        <row r="399">
          <cell r="A399" t="str">
            <v>GHF-32</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cell r="BM399">
            <v>0</v>
          </cell>
          <cell r="BN399">
            <v>0</v>
          </cell>
          <cell r="BO399">
            <v>0</v>
          </cell>
          <cell r="BP399">
            <v>0</v>
          </cell>
          <cell r="BQ399">
            <v>0</v>
          </cell>
          <cell r="BR399">
            <v>0</v>
          </cell>
          <cell r="BS399">
            <v>0</v>
          </cell>
          <cell r="BT399">
            <v>0</v>
          </cell>
          <cell r="BU399">
            <v>0</v>
          </cell>
          <cell r="BV399">
            <v>0</v>
          </cell>
          <cell r="BW399">
            <v>0</v>
          </cell>
          <cell r="BX399">
            <v>0</v>
          </cell>
          <cell r="BY399">
            <v>0</v>
          </cell>
          <cell r="BZ399">
            <v>0</v>
          </cell>
          <cell r="CA399">
            <v>0</v>
          </cell>
          <cell r="CB399">
            <v>0</v>
          </cell>
          <cell r="CC399">
            <v>0</v>
          </cell>
          <cell r="CD399">
            <v>0</v>
          </cell>
          <cell r="CE399">
            <v>0</v>
          </cell>
          <cell r="CF399">
            <v>0</v>
          </cell>
          <cell r="CG399">
            <v>0</v>
          </cell>
          <cell r="CH399">
            <v>0</v>
          </cell>
          <cell r="CI399">
            <v>0</v>
          </cell>
          <cell r="CJ399">
            <v>0</v>
          </cell>
          <cell r="CK399">
            <v>0</v>
          </cell>
          <cell r="CL399">
            <v>0</v>
          </cell>
          <cell r="CM399">
            <v>0</v>
          </cell>
          <cell r="CN399">
            <v>0</v>
          </cell>
          <cell r="CO399">
            <v>0</v>
          </cell>
          <cell r="CP399">
            <v>0</v>
          </cell>
          <cell r="CQ399">
            <v>0</v>
          </cell>
          <cell r="CU399">
            <v>0</v>
          </cell>
          <cell r="CV399">
            <v>0</v>
          </cell>
          <cell r="CW399">
            <v>0</v>
          </cell>
          <cell r="CZ399" t="str">
            <v>s</v>
          </cell>
        </row>
        <row r="400">
          <cell r="A400" t="str">
            <v>GHF-40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cell r="BM400">
            <v>0</v>
          </cell>
          <cell r="BN400">
            <v>0</v>
          </cell>
          <cell r="BO400">
            <v>0</v>
          </cell>
          <cell r="BP400">
            <v>0</v>
          </cell>
          <cell r="BQ400">
            <v>0</v>
          </cell>
          <cell r="BR400">
            <v>0</v>
          </cell>
          <cell r="BS400">
            <v>0</v>
          </cell>
          <cell r="BT400">
            <v>0</v>
          </cell>
          <cell r="BU400">
            <v>0</v>
          </cell>
          <cell r="BV400">
            <v>0</v>
          </cell>
          <cell r="BW400">
            <v>0</v>
          </cell>
          <cell r="BX400">
            <v>0</v>
          </cell>
          <cell r="BY400">
            <v>0</v>
          </cell>
          <cell r="BZ400">
            <v>0</v>
          </cell>
          <cell r="CA400">
            <v>0</v>
          </cell>
          <cell r="CB400">
            <v>0</v>
          </cell>
          <cell r="CC400">
            <v>0</v>
          </cell>
          <cell r="CD400">
            <v>0</v>
          </cell>
          <cell r="CE400">
            <v>0</v>
          </cell>
          <cell r="CF400">
            <v>0</v>
          </cell>
          <cell r="CG400">
            <v>0</v>
          </cell>
          <cell r="CH400">
            <v>0</v>
          </cell>
          <cell r="CI400">
            <v>0</v>
          </cell>
          <cell r="CJ400">
            <v>0</v>
          </cell>
          <cell r="CK400">
            <v>0</v>
          </cell>
          <cell r="CL400">
            <v>0</v>
          </cell>
          <cell r="CM400">
            <v>0</v>
          </cell>
          <cell r="CN400">
            <v>0</v>
          </cell>
          <cell r="CO400">
            <v>0</v>
          </cell>
          <cell r="CP400">
            <v>0</v>
          </cell>
          <cell r="CQ400">
            <v>0</v>
          </cell>
          <cell r="CU400">
            <v>0</v>
          </cell>
          <cell r="CV400">
            <v>0</v>
          </cell>
          <cell r="CW400">
            <v>0</v>
          </cell>
          <cell r="CZ400" t="str">
            <v>s</v>
          </cell>
        </row>
        <row r="401">
          <cell r="A401" t="str">
            <v>GHF-50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1</v>
          </cell>
          <cell r="BC401">
            <v>0</v>
          </cell>
          <cell r="BD401">
            <v>0</v>
          </cell>
          <cell r="BE401">
            <v>0</v>
          </cell>
          <cell r="BF401">
            <v>0</v>
          </cell>
          <cell r="BG401">
            <v>0</v>
          </cell>
          <cell r="BH401">
            <v>0</v>
          </cell>
          <cell r="BI401">
            <v>0</v>
          </cell>
          <cell r="BJ401">
            <v>0</v>
          </cell>
          <cell r="BK401">
            <v>0</v>
          </cell>
          <cell r="BL401">
            <v>0</v>
          </cell>
          <cell r="BM401">
            <v>0</v>
          </cell>
          <cell r="BN401">
            <v>0</v>
          </cell>
          <cell r="BO401">
            <v>0</v>
          </cell>
          <cell r="BP401">
            <v>0</v>
          </cell>
          <cell r="BQ401">
            <v>0</v>
          </cell>
          <cell r="BR401">
            <v>0</v>
          </cell>
          <cell r="BS401">
            <v>0</v>
          </cell>
          <cell r="BT401">
            <v>0</v>
          </cell>
          <cell r="BU401">
            <v>0</v>
          </cell>
          <cell r="BV401">
            <v>0</v>
          </cell>
          <cell r="BW401">
            <v>0</v>
          </cell>
          <cell r="BX401">
            <v>0</v>
          </cell>
          <cell r="BY401">
            <v>0</v>
          </cell>
          <cell r="BZ401">
            <v>0</v>
          </cell>
          <cell r="CA401">
            <v>0</v>
          </cell>
          <cell r="CB401">
            <v>0</v>
          </cell>
          <cell r="CC401">
            <v>0</v>
          </cell>
          <cell r="CD401">
            <v>0</v>
          </cell>
          <cell r="CE401">
            <v>0</v>
          </cell>
          <cell r="CF401">
            <v>0</v>
          </cell>
          <cell r="CG401">
            <v>0</v>
          </cell>
          <cell r="CH401">
            <v>0</v>
          </cell>
          <cell r="CI401">
            <v>0</v>
          </cell>
          <cell r="CJ401">
            <v>0</v>
          </cell>
          <cell r="CK401">
            <v>0</v>
          </cell>
          <cell r="CL401">
            <v>0</v>
          </cell>
          <cell r="CM401">
            <v>0</v>
          </cell>
          <cell r="CN401">
            <v>0</v>
          </cell>
          <cell r="CO401">
            <v>0</v>
          </cell>
          <cell r="CP401">
            <v>0</v>
          </cell>
          <cell r="CQ401">
            <v>0</v>
          </cell>
          <cell r="CU401">
            <v>1</v>
          </cell>
          <cell r="CV401">
            <v>1500</v>
          </cell>
          <cell r="CW401">
            <v>2.2000000000000002</v>
          </cell>
          <cell r="CZ401" t="str">
            <v>s</v>
          </cell>
        </row>
        <row r="402">
          <cell r="A402" t="str">
            <v>GHF-63</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1</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4</v>
          </cell>
          <cell r="BM402">
            <v>0</v>
          </cell>
          <cell r="BN402">
            <v>0</v>
          </cell>
          <cell r="BO402">
            <v>0</v>
          </cell>
          <cell r="BP402">
            <v>0</v>
          </cell>
          <cell r="BQ402">
            <v>0</v>
          </cell>
          <cell r="BR402">
            <v>0</v>
          </cell>
          <cell r="BS402">
            <v>0</v>
          </cell>
          <cell r="BT402">
            <v>0</v>
          </cell>
          <cell r="BU402">
            <v>0</v>
          </cell>
          <cell r="BV402">
            <v>0</v>
          </cell>
          <cell r="BW402">
            <v>0</v>
          </cell>
          <cell r="BX402">
            <v>0</v>
          </cell>
          <cell r="BY402">
            <v>0</v>
          </cell>
          <cell r="BZ402">
            <v>0</v>
          </cell>
          <cell r="CA402">
            <v>0</v>
          </cell>
          <cell r="CB402">
            <v>0</v>
          </cell>
          <cell r="CC402">
            <v>0</v>
          </cell>
          <cell r="CD402">
            <v>0</v>
          </cell>
          <cell r="CE402">
            <v>0</v>
          </cell>
          <cell r="CF402">
            <v>0</v>
          </cell>
          <cell r="CG402">
            <v>0</v>
          </cell>
          <cell r="CH402">
            <v>0</v>
          </cell>
          <cell r="CI402">
            <v>0</v>
          </cell>
          <cell r="CJ402">
            <v>0</v>
          </cell>
          <cell r="CK402">
            <v>0</v>
          </cell>
          <cell r="CL402">
            <v>0</v>
          </cell>
          <cell r="CM402">
            <v>0</v>
          </cell>
          <cell r="CN402">
            <v>0</v>
          </cell>
          <cell r="CO402">
            <v>0</v>
          </cell>
          <cell r="CP402">
            <v>0</v>
          </cell>
          <cell r="CQ402">
            <v>0</v>
          </cell>
          <cell r="CU402">
            <v>5</v>
          </cell>
          <cell r="CV402">
            <v>9000</v>
          </cell>
          <cell r="CW402">
            <v>12</v>
          </cell>
          <cell r="CZ402" t="str">
            <v>s</v>
          </cell>
        </row>
        <row r="403">
          <cell r="A403" t="str">
            <v>GHF-75</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cell r="BM403">
            <v>0</v>
          </cell>
          <cell r="BN403">
            <v>0</v>
          </cell>
          <cell r="BO403">
            <v>0</v>
          </cell>
          <cell r="BP403">
            <v>0</v>
          </cell>
          <cell r="BQ403">
            <v>0</v>
          </cell>
          <cell r="BR403">
            <v>0</v>
          </cell>
          <cell r="BS403">
            <v>0</v>
          </cell>
          <cell r="BT403">
            <v>0</v>
          </cell>
          <cell r="BU403">
            <v>0</v>
          </cell>
          <cell r="BV403">
            <v>0</v>
          </cell>
          <cell r="BW403">
            <v>0</v>
          </cell>
          <cell r="BX403">
            <v>0</v>
          </cell>
          <cell r="BY403">
            <v>0</v>
          </cell>
          <cell r="BZ403">
            <v>0</v>
          </cell>
          <cell r="CA403">
            <v>0</v>
          </cell>
          <cell r="CB403">
            <v>0</v>
          </cell>
          <cell r="CC403">
            <v>0</v>
          </cell>
          <cell r="CD403">
            <v>0</v>
          </cell>
          <cell r="CE403">
            <v>0</v>
          </cell>
          <cell r="CF403">
            <v>0</v>
          </cell>
          <cell r="CG403">
            <v>0</v>
          </cell>
          <cell r="CH403">
            <v>0</v>
          </cell>
          <cell r="CI403">
            <v>0</v>
          </cell>
          <cell r="CJ403">
            <v>0</v>
          </cell>
          <cell r="CK403">
            <v>0</v>
          </cell>
          <cell r="CL403">
            <v>0</v>
          </cell>
          <cell r="CM403">
            <v>0</v>
          </cell>
          <cell r="CN403">
            <v>0</v>
          </cell>
          <cell r="CO403">
            <v>0</v>
          </cell>
          <cell r="CP403">
            <v>0</v>
          </cell>
          <cell r="CQ403">
            <v>0</v>
          </cell>
          <cell r="CU403">
            <v>0</v>
          </cell>
          <cell r="CV403">
            <v>0</v>
          </cell>
          <cell r="CW403">
            <v>0</v>
          </cell>
          <cell r="CZ403" t="str">
            <v>s</v>
          </cell>
        </row>
        <row r="404">
          <cell r="A404" t="str">
            <v>GHF-90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cell r="BM404">
            <v>0</v>
          </cell>
          <cell r="BN404">
            <v>0</v>
          </cell>
          <cell r="BO404">
            <v>0</v>
          </cell>
          <cell r="BP404">
            <v>0</v>
          </cell>
          <cell r="BQ404">
            <v>0</v>
          </cell>
          <cell r="BR404">
            <v>0</v>
          </cell>
          <cell r="BS404">
            <v>0</v>
          </cell>
          <cell r="BT404">
            <v>0</v>
          </cell>
          <cell r="BU404">
            <v>0</v>
          </cell>
          <cell r="BV404">
            <v>0</v>
          </cell>
          <cell r="BW404">
            <v>0</v>
          </cell>
          <cell r="BX404">
            <v>0</v>
          </cell>
          <cell r="BY404">
            <v>0</v>
          </cell>
          <cell r="BZ404">
            <v>0</v>
          </cell>
          <cell r="CA404">
            <v>0</v>
          </cell>
          <cell r="CB404">
            <v>0</v>
          </cell>
          <cell r="CC404">
            <v>0</v>
          </cell>
          <cell r="CD404">
            <v>0</v>
          </cell>
          <cell r="CE404">
            <v>0</v>
          </cell>
          <cell r="CF404">
            <v>0</v>
          </cell>
          <cell r="CG404">
            <v>0</v>
          </cell>
          <cell r="CH404">
            <v>0</v>
          </cell>
          <cell r="CI404">
            <v>0</v>
          </cell>
          <cell r="CJ404">
            <v>0</v>
          </cell>
          <cell r="CK404">
            <v>0</v>
          </cell>
          <cell r="CL404">
            <v>0</v>
          </cell>
          <cell r="CM404">
            <v>0</v>
          </cell>
          <cell r="CN404">
            <v>0</v>
          </cell>
          <cell r="CO404">
            <v>0</v>
          </cell>
          <cell r="CP404">
            <v>0</v>
          </cell>
          <cell r="CQ404">
            <v>0</v>
          </cell>
          <cell r="CU404">
            <v>0</v>
          </cell>
          <cell r="CV404">
            <v>0</v>
          </cell>
          <cell r="CW404">
            <v>0</v>
          </cell>
          <cell r="CZ404" t="str">
            <v>s</v>
          </cell>
        </row>
        <row r="405">
          <cell r="A405" t="str">
            <v>BU-20</v>
          </cell>
          <cell r="G405">
            <v>2</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cell r="BM405">
            <v>0</v>
          </cell>
          <cell r="BN405">
            <v>0</v>
          </cell>
          <cell r="BO405">
            <v>0</v>
          </cell>
          <cell r="BP405">
            <v>2</v>
          </cell>
          <cell r="BQ405">
            <v>0</v>
          </cell>
          <cell r="BR405">
            <v>0</v>
          </cell>
          <cell r="BS405">
            <v>0</v>
          </cell>
          <cell r="BT405">
            <v>2</v>
          </cell>
          <cell r="BU405">
            <v>0</v>
          </cell>
          <cell r="BV405">
            <v>0</v>
          </cell>
          <cell r="BW405">
            <v>0</v>
          </cell>
          <cell r="BX405">
            <v>16</v>
          </cell>
          <cell r="BY405">
            <v>0</v>
          </cell>
          <cell r="BZ405">
            <v>0</v>
          </cell>
          <cell r="CA405">
            <v>0</v>
          </cell>
          <cell r="CB405">
            <v>0</v>
          </cell>
          <cell r="CC405">
            <v>0</v>
          </cell>
          <cell r="CD405">
            <v>0</v>
          </cell>
          <cell r="CE405">
            <v>0</v>
          </cell>
          <cell r="CF405">
            <v>0</v>
          </cell>
          <cell r="CG405">
            <v>0</v>
          </cell>
          <cell r="CH405">
            <v>0</v>
          </cell>
          <cell r="CI405">
            <v>0</v>
          </cell>
          <cell r="CJ405">
            <v>0</v>
          </cell>
          <cell r="CK405">
            <v>0</v>
          </cell>
          <cell r="CL405">
            <v>0</v>
          </cell>
          <cell r="CM405">
            <v>0</v>
          </cell>
          <cell r="CN405">
            <v>0</v>
          </cell>
          <cell r="CO405">
            <v>0</v>
          </cell>
          <cell r="CP405">
            <v>0</v>
          </cell>
          <cell r="CQ405">
            <v>0</v>
          </cell>
          <cell r="CU405">
            <v>22</v>
          </cell>
          <cell r="CV405">
            <v>3960</v>
          </cell>
          <cell r="CW405">
            <v>1.98</v>
          </cell>
          <cell r="CZ405" t="str">
            <v>s</v>
          </cell>
        </row>
        <row r="406">
          <cell r="A406" t="str">
            <v>BU-25</v>
          </cell>
          <cell r="G406">
            <v>0</v>
          </cell>
          <cell r="H406">
            <v>0</v>
          </cell>
          <cell r="I406">
            <v>0</v>
          </cell>
          <cell r="J406">
            <v>0</v>
          </cell>
          <cell r="K406">
            <v>0</v>
          </cell>
          <cell r="L406">
            <v>1</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1</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cell r="BM406">
            <v>0</v>
          </cell>
          <cell r="BN406">
            <v>0</v>
          </cell>
          <cell r="BO406">
            <v>0</v>
          </cell>
          <cell r="BP406">
            <v>0</v>
          </cell>
          <cell r="BQ406">
            <v>0</v>
          </cell>
          <cell r="BR406">
            <v>0</v>
          </cell>
          <cell r="BS406">
            <v>0</v>
          </cell>
          <cell r="BT406">
            <v>0</v>
          </cell>
          <cell r="BU406">
            <v>0</v>
          </cell>
          <cell r="BV406">
            <v>0</v>
          </cell>
          <cell r="BW406">
            <v>0</v>
          </cell>
          <cell r="BX406">
            <v>0</v>
          </cell>
          <cell r="BY406">
            <v>0</v>
          </cell>
          <cell r="BZ406">
            <v>0</v>
          </cell>
          <cell r="CA406">
            <v>0</v>
          </cell>
          <cell r="CB406">
            <v>0</v>
          </cell>
          <cell r="CC406">
            <v>0</v>
          </cell>
          <cell r="CD406">
            <v>0</v>
          </cell>
          <cell r="CE406">
            <v>0</v>
          </cell>
          <cell r="CF406">
            <v>0</v>
          </cell>
          <cell r="CG406">
            <v>0</v>
          </cell>
          <cell r="CH406">
            <v>4</v>
          </cell>
          <cell r="CI406">
            <v>0</v>
          </cell>
          <cell r="CJ406">
            <v>0</v>
          </cell>
          <cell r="CK406">
            <v>0</v>
          </cell>
          <cell r="CL406">
            <v>0</v>
          </cell>
          <cell r="CM406">
            <v>0</v>
          </cell>
          <cell r="CN406">
            <v>0</v>
          </cell>
          <cell r="CO406">
            <v>0</v>
          </cell>
          <cell r="CP406">
            <v>0</v>
          </cell>
          <cell r="CQ406">
            <v>0</v>
          </cell>
          <cell r="CU406">
            <v>6</v>
          </cell>
          <cell r="CV406">
            <v>2298</v>
          </cell>
          <cell r="CW406">
            <v>0.89999999999999991</v>
          </cell>
          <cell r="CZ406" t="str">
            <v>s</v>
          </cell>
        </row>
        <row r="407">
          <cell r="A407" t="str">
            <v>BU-32</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2</v>
          </cell>
          <cell r="BM407">
            <v>0</v>
          </cell>
          <cell r="BN407">
            <v>0</v>
          </cell>
          <cell r="BO407">
            <v>0</v>
          </cell>
          <cell r="BP407">
            <v>0</v>
          </cell>
          <cell r="BQ407">
            <v>0</v>
          </cell>
          <cell r="BR407">
            <v>0</v>
          </cell>
          <cell r="BS407">
            <v>0</v>
          </cell>
          <cell r="BT407">
            <v>0</v>
          </cell>
          <cell r="BU407">
            <v>0</v>
          </cell>
          <cell r="BV407">
            <v>0</v>
          </cell>
          <cell r="BW407">
            <v>0</v>
          </cell>
          <cell r="BX407">
            <v>0</v>
          </cell>
          <cell r="BY407">
            <v>0</v>
          </cell>
          <cell r="BZ407">
            <v>0</v>
          </cell>
          <cell r="CA407">
            <v>0</v>
          </cell>
          <cell r="CB407">
            <v>0</v>
          </cell>
          <cell r="CC407">
            <v>0</v>
          </cell>
          <cell r="CD407">
            <v>0</v>
          </cell>
          <cell r="CE407">
            <v>0</v>
          </cell>
          <cell r="CF407">
            <v>0</v>
          </cell>
          <cell r="CG407">
            <v>0</v>
          </cell>
          <cell r="CH407">
            <v>0</v>
          </cell>
          <cell r="CI407">
            <v>0</v>
          </cell>
          <cell r="CJ407">
            <v>0</v>
          </cell>
          <cell r="CK407">
            <v>0</v>
          </cell>
          <cell r="CL407">
            <v>0</v>
          </cell>
          <cell r="CM407">
            <v>0</v>
          </cell>
          <cell r="CN407">
            <v>0</v>
          </cell>
          <cell r="CO407">
            <v>0</v>
          </cell>
          <cell r="CP407">
            <v>0</v>
          </cell>
          <cell r="CQ407">
            <v>0</v>
          </cell>
          <cell r="CU407">
            <v>2</v>
          </cell>
          <cell r="CV407">
            <v>948</v>
          </cell>
          <cell r="CW407">
            <v>0.44</v>
          </cell>
          <cell r="CZ407" t="str">
            <v>s</v>
          </cell>
        </row>
        <row r="408">
          <cell r="A408" t="str">
            <v>BU-40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cell r="BM408">
            <v>0</v>
          </cell>
          <cell r="BN408">
            <v>0</v>
          </cell>
          <cell r="BO408">
            <v>0</v>
          </cell>
          <cell r="BP408">
            <v>0</v>
          </cell>
          <cell r="BQ408">
            <v>0</v>
          </cell>
          <cell r="BR408">
            <v>0</v>
          </cell>
          <cell r="BS408">
            <v>0</v>
          </cell>
          <cell r="BT408">
            <v>0</v>
          </cell>
          <cell r="BU408">
            <v>0</v>
          </cell>
          <cell r="BV408">
            <v>0</v>
          </cell>
          <cell r="BW408">
            <v>0</v>
          </cell>
          <cell r="BX408">
            <v>0</v>
          </cell>
          <cell r="BY408">
            <v>0</v>
          </cell>
          <cell r="BZ408">
            <v>0</v>
          </cell>
          <cell r="CA408">
            <v>0</v>
          </cell>
          <cell r="CB408">
            <v>0</v>
          </cell>
          <cell r="CC408">
            <v>0</v>
          </cell>
          <cell r="CD408">
            <v>0</v>
          </cell>
          <cell r="CE408">
            <v>0</v>
          </cell>
          <cell r="CF408">
            <v>0</v>
          </cell>
          <cell r="CG408">
            <v>0</v>
          </cell>
          <cell r="CH408">
            <v>0</v>
          </cell>
          <cell r="CI408">
            <v>0</v>
          </cell>
          <cell r="CJ408">
            <v>0</v>
          </cell>
          <cell r="CK408">
            <v>0</v>
          </cell>
          <cell r="CL408">
            <v>0</v>
          </cell>
          <cell r="CM408">
            <v>0</v>
          </cell>
          <cell r="CN408">
            <v>0</v>
          </cell>
          <cell r="CO408">
            <v>0</v>
          </cell>
          <cell r="CP408">
            <v>0</v>
          </cell>
          <cell r="CQ408">
            <v>0</v>
          </cell>
          <cell r="CU408">
            <v>0</v>
          </cell>
          <cell r="CV408">
            <v>0</v>
          </cell>
          <cell r="CW408">
            <v>0</v>
          </cell>
          <cell r="CZ408" t="str">
            <v>s</v>
          </cell>
        </row>
        <row r="409">
          <cell r="A409" t="str">
            <v>BU-50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cell r="BM409">
            <v>0</v>
          </cell>
          <cell r="BN409">
            <v>0</v>
          </cell>
          <cell r="BO409">
            <v>0</v>
          </cell>
          <cell r="BP409">
            <v>0</v>
          </cell>
          <cell r="BQ409">
            <v>0</v>
          </cell>
          <cell r="BR409">
            <v>0</v>
          </cell>
          <cell r="BS409">
            <v>0</v>
          </cell>
          <cell r="BT409">
            <v>0</v>
          </cell>
          <cell r="BU409">
            <v>0</v>
          </cell>
          <cell r="BV409">
            <v>0</v>
          </cell>
          <cell r="BW409">
            <v>0</v>
          </cell>
          <cell r="BX409">
            <v>0</v>
          </cell>
          <cell r="BY409">
            <v>0</v>
          </cell>
          <cell r="BZ409">
            <v>0</v>
          </cell>
          <cell r="CA409">
            <v>0</v>
          </cell>
          <cell r="CB409">
            <v>0</v>
          </cell>
          <cell r="CC409">
            <v>0</v>
          </cell>
          <cell r="CD409">
            <v>0</v>
          </cell>
          <cell r="CE409">
            <v>0</v>
          </cell>
          <cell r="CF409">
            <v>0</v>
          </cell>
          <cell r="CG409">
            <v>0</v>
          </cell>
          <cell r="CH409">
            <v>0</v>
          </cell>
          <cell r="CI409">
            <v>0</v>
          </cell>
          <cell r="CJ409">
            <v>0</v>
          </cell>
          <cell r="CK409">
            <v>0</v>
          </cell>
          <cell r="CL409">
            <v>0</v>
          </cell>
          <cell r="CM409">
            <v>0</v>
          </cell>
          <cell r="CN409">
            <v>0</v>
          </cell>
          <cell r="CO409">
            <v>0</v>
          </cell>
          <cell r="CP409">
            <v>0</v>
          </cell>
          <cell r="CQ409">
            <v>0</v>
          </cell>
          <cell r="CU409">
            <v>0</v>
          </cell>
          <cell r="CV409">
            <v>0</v>
          </cell>
          <cell r="CW409">
            <v>0</v>
          </cell>
          <cell r="CZ409" t="str">
            <v>s</v>
          </cell>
        </row>
        <row r="410">
          <cell r="A410" t="str">
            <v>BU-63</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cell r="BM410">
            <v>0</v>
          </cell>
          <cell r="BN410">
            <v>0</v>
          </cell>
          <cell r="BO410">
            <v>0</v>
          </cell>
          <cell r="BP410">
            <v>0</v>
          </cell>
          <cell r="BQ410">
            <v>0</v>
          </cell>
          <cell r="BR410">
            <v>0</v>
          </cell>
          <cell r="BS410">
            <v>0</v>
          </cell>
          <cell r="BT410">
            <v>0</v>
          </cell>
          <cell r="BU410">
            <v>0</v>
          </cell>
          <cell r="BV410">
            <v>0</v>
          </cell>
          <cell r="BW410">
            <v>0</v>
          </cell>
          <cell r="BX410">
            <v>0</v>
          </cell>
          <cell r="BY410">
            <v>0</v>
          </cell>
          <cell r="BZ410">
            <v>0</v>
          </cell>
          <cell r="CA410">
            <v>0</v>
          </cell>
          <cell r="CB410">
            <v>0</v>
          </cell>
          <cell r="CC410">
            <v>0</v>
          </cell>
          <cell r="CD410">
            <v>0</v>
          </cell>
          <cell r="CE410">
            <v>0</v>
          </cell>
          <cell r="CF410">
            <v>0</v>
          </cell>
          <cell r="CG410">
            <v>0</v>
          </cell>
          <cell r="CH410">
            <v>0</v>
          </cell>
          <cell r="CI410">
            <v>0</v>
          </cell>
          <cell r="CJ410">
            <v>0</v>
          </cell>
          <cell r="CK410">
            <v>0</v>
          </cell>
          <cell r="CL410">
            <v>0</v>
          </cell>
          <cell r="CM410">
            <v>0</v>
          </cell>
          <cell r="CN410">
            <v>0</v>
          </cell>
          <cell r="CO410">
            <v>0</v>
          </cell>
          <cell r="CP410">
            <v>0</v>
          </cell>
          <cell r="CQ410">
            <v>0</v>
          </cell>
          <cell r="CU410">
            <v>0</v>
          </cell>
          <cell r="CV410">
            <v>0</v>
          </cell>
          <cell r="CW410">
            <v>0</v>
          </cell>
          <cell r="CZ410" t="str">
            <v>s</v>
          </cell>
        </row>
        <row r="411">
          <cell r="A411" t="str">
            <v>BU-75</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cell r="BM411">
            <v>0</v>
          </cell>
          <cell r="BN411">
            <v>0</v>
          </cell>
          <cell r="BO411">
            <v>0</v>
          </cell>
          <cell r="BP411">
            <v>0</v>
          </cell>
          <cell r="BQ411">
            <v>0</v>
          </cell>
          <cell r="BR411">
            <v>0</v>
          </cell>
          <cell r="BS411">
            <v>0</v>
          </cell>
          <cell r="BT411">
            <v>0</v>
          </cell>
          <cell r="BU411">
            <v>0</v>
          </cell>
          <cell r="BV411">
            <v>0</v>
          </cell>
          <cell r="BW411">
            <v>0</v>
          </cell>
          <cell r="BX411">
            <v>0</v>
          </cell>
          <cell r="BY411">
            <v>0</v>
          </cell>
          <cell r="BZ411">
            <v>0</v>
          </cell>
          <cell r="CA411">
            <v>0</v>
          </cell>
          <cell r="CB411">
            <v>0</v>
          </cell>
          <cell r="CC411">
            <v>0</v>
          </cell>
          <cell r="CD411">
            <v>0</v>
          </cell>
          <cell r="CE411">
            <v>0</v>
          </cell>
          <cell r="CF411">
            <v>0</v>
          </cell>
          <cell r="CG411">
            <v>0</v>
          </cell>
          <cell r="CH411">
            <v>0</v>
          </cell>
          <cell r="CI411">
            <v>0</v>
          </cell>
          <cell r="CJ411">
            <v>0</v>
          </cell>
          <cell r="CK411">
            <v>0</v>
          </cell>
          <cell r="CL411">
            <v>0</v>
          </cell>
          <cell r="CM411">
            <v>0</v>
          </cell>
          <cell r="CN411">
            <v>0</v>
          </cell>
          <cell r="CO411">
            <v>0</v>
          </cell>
          <cell r="CP411">
            <v>0</v>
          </cell>
          <cell r="CQ411">
            <v>0</v>
          </cell>
          <cell r="CU411">
            <v>0</v>
          </cell>
          <cell r="CV411">
            <v>0</v>
          </cell>
          <cell r="CW411">
            <v>0</v>
          </cell>
          <cell r="CZ411" t="str">
            <v>s</v>
          </cell>
        </row>
        <row r="412">
          <cell r="A412" t="str">
            <v>BU-90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cell r="BM412">
            <v>0</v>
          </cell>
          <cell r="BN412">
            <v>0</v>
          </cell>
          <cell r="BO412">
            <v>0</v>
          </cell>
          <cell r="BP412">
            <v>0</v>
          </cell>
          <cell r="BQ412">
            <v>0</v>
          </cell>
          <cell r="BR412">
            <v>0</v>
          </cell>
          <cell r="BS412">
            <v>0</v>
          </cell>
          <cell r="BT412">
            <v>0</v>
          </cell>
          <cell r="BU412">
            <v>0</v>
          </cell>
          <cell r="BV412">
            <v>0</v>
          </cell>
          <cell r="BW412">
            <v>0</v>
          </cell>
          <cell r="BX412">
            <v>0</v>
          </cell>
          <cell r="BY412">
            <v>0</v>
          </cell>
          <cell r="BZ412">
            <v>0</v>
          </cell>
          <cell r="CA412">
            <v>0</v>
          </cell>
          <cell r="CB412">
            <v>0</v>
          </cell>
          <cell r="CC412">
            <v>0</v>
          </cell>
          <cell r="CD412">
            <v>0</v>
          </cell>
          <cell r="CE412">
            <v>0</v>
          </cell>
          <cell r="CF412">
            <v>0</v>
          </cell>
          <cell r="CG412">
            <v>0</v>
          </cell>
          <cell r="CH412">
            <v>0</v>
          </cell>
          <cell r="CI412">
            <v>0</v>
          </cell>
          <cell r="CJ412">
            <v>0</v>
          </cell>
          <cell r="CK412">
            <v>0</v>
          </cell>
          <cell r="CL412">
            <v>0</v>
          </cell>
          <cell r="CM412">
            <v>0</v>
          </cell>
          <cell r="CN412">
            <v>0</v>
          </cell>
          <cell r="CO412">
            <v>0</v>
          </cell>
          <cell r="CP412">
            <v>0</v>
          </cell>
          <cell r="CQ412">
            <v>0</v>
          </cell>
          <cell r="CU412">
            <v>0</v>
          </cell>
          <cell r="CV412">
            <v>0</v>
          </cell>
          <cell r="CW412">
            <v>0</v>
          </cell>
          <cell r="CZ412" t="str">
            <v>s</v>
          </cell>
        </row>
        <row r="414">
          <cell r="A414" t="str">
            <v>PSO-20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cell r="BM414">
            <v>0</v>
          </cell>
          <cell r="BN414">
            <v>0</v>
          </cell>
          <cell r="BO414">
            <v>0</v>
          </cell>
          <cell r="BP414">
            <v>0</v>
          </cell>
          <cell r="BQ414">
            <v>0</v>
          </cell>
          <cell r="BR414">
            <v>0</v>
          </cell>
          <cell r="BS414">
            <v>0</v>
          </cell>
          <cell r="BT414">
            <v>0</v>
          </cell>
          <cell r="BU414">
            <v>0</v>
          </cell>
          <cell r="BV414">
            <v>0</v>
          </cell>
          <cell r="BW414">
            <v>0</v>
          </cell>
          <cell r="BX414">
            <v>0</v>
          </cell>
          <cell r="BY414">
            <v>0</v>
          </cell>
          <cell r="BZ414">
            <v>0</v>
          </cell>
          <cell r="CA414">
            <v>0</v>
          </cell>
          <cell r="CB414">
            <v>0</v>
          </cell>
          <cell r="CC414">
            <v>0</v>
          </cell>
          <cell r="CD414">
            <v>0</v>
          </cell>
          <cell r="CE414">
            <v>0</v>
          </cell>
          <cell r="CF414">
            <v>0</v>
          </cell>
          <cell r="CG414">
            <v>0</v>
          </cell>
          <cell r="CH414">
            <v>0</v>
          </cell>
          <cell r="CI414">
            <v>0</v>
          </cell>
          <cell r="CJ414">
            <v>0</v>
          </cell>
          <cell r="CK414">
            <v>0</v>
          </cell>
          <cell r="CL414">
            <v>0</v>
          </cell>
          <cell r="CM414">
            <v>0</v>
          </cell>
          <cell r="CN414">
            <v>0</v>
          </cell>
          <cell r="CO414">
            <v>0</v>
          </cell>
          <cell r="CP414">
            <v>0</v>
          </cell>
          <cell r="CQ414">
            <v>0</v>
          </cell>
          <cell r="CU414">
            <v>0</v>
          </cell>
          <cell r="CV414">
            <v>0</v>
          </cell>
          <cell r="CW414">
            <v>0</v>
          </cell>
          <cell r="CZ414" t="str">
            <v>s</v>
          </cell>
        </row>
        <row r="415">
          <cell r="A415" t="str">
            <v>PSO-25</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cell r="BM415">
            <v>0</v>
          </cell>
          <cell r="BN415">
            <v>0</v>
          </cell>
          <cell r="BO415">
            <v>0</v>
          </cell>
          <cell r="BP415">
            <v>0</v>
          </cell>
          <cell r="BQ415">
            <v>0</v>
          </cell>
          <cell r="BR415">
            <v>0</v>
          </cell>
          <cell r="BS415">
            <v>0</v>
          </cell>
          <cell r="BT415">
            <v>0</v>
          </cell>
          <cell r="BU415">
            <v>0</v>
          </cell>
          <cell r="BV415">
            <v>0</v>
          </cell>
          <cell r="BW415">
            <v>0</v>
          </cell>
          <cell r="BX415">
            <v>0</v>
          </cell>
          <cell r="BY415">
            <v>0</v>
          </cell>
          <cell r="BZ415">
            <v>0</v>
          </cell>
          <cell r="CA415">
            <v>0</v>
          </cell>
          <cell r="CB415">
            <v>0</v>
          </cell>
          <cell r="CC415">
            <v>0</v>
          </cell>
          <cell r="CD415">
            <v>0</v>
          </cell>
          <cell r="CE415">
            <v>0</v>
          </cell>
          <cell r="CF415">
            <v>0</v>
          </cell>
          <cell r="CG415">
            <v>0</v>
          </cell>
          <cell r="CH415">
            <v>0</v>
          </cell>
          <cell r="CI415">
            <v>0</v>
          </cell>
          <cell r="CJ415">
            <v>0</v>
          </cell>
          <cell r="CK415">
            <v>0</v>
          </cell>
          <cell r="CL415">
            <v>0</v>
          </cell>
          <cell r="CM415">
            <v>0</v>
          </cell>
          <cell r="CN415">
            <v>0</v>
          </cell>
          <cell r="CO415">
            <v>0</v>
          </cell>
          <cell r="CP415">
            <v>0</v>
          </cell>
          <cell r="CQ415">
            <v>0</v>
          </cell>
          <cell r="CU415">
            <v>0</v>
          </cell>
          <cell r="CV415">
            <v>0</v>
          </cell>
          <cell r="CW415">
            <v>0</v>
          </cell>
          <cell r="CZ415" t="str">
            <v>s</v>
          </cell>
        </row>
        <row r="416">
          <cell r="A416" t="str">
            <v>PSO-32</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cell r="BM416">
            <v>0</v>
          </cell>
          <cell r="BN416">
            <v>0</v>
          </cell>
          <cell r="BO416">
            <v>0</v>
          </cell>
          <cell r="BP416">
            <v>0</v>
          </cell>
          <cell r="BQ416">
            <v>0</v>
          </cell>
          <cell r="BR416">
            <v>0</v>
          </cell>
          <cell r="BS416">
            <v>0</v>
          </cell>
          <cell r="BT416">
            <v>0</v>
          </cell>
          <cell r="BU416">
            <v>0</v>
          </cell>
          <cell r="BV416">
            <v>0</v>
          </cell>
          <cell r="BW416">
            <v>0</v>
          </cell>
          <cell r="BX416">
            <v>0</v>
          </cell>
          <cell r="BY416">
            <v>0</v>
          </cell>
          <cell r="BZ416">
            <v>0</v>
          </cell>
          <cell r="CA416">
            <v>0</v>
          </cell>
          <cell r="CB416">
            <v>0</v>
          </cell>
          <cell r="CC416">
            <v>0</v>
          </cell>
          <cell r="CD416">
            <v>0</v>
          </cell>
          <cell r="CE416">
            <v>0</v>
          </cell>
          <cell r="CF416">
            <v>0</v>
          </cell>
          <cell r="CG416">
            <v>0</v>
          </cell>
          <cell r="CH416">
            <v>0</v>
          </cell>
          <cell r="CI416">
            <v>0</v>
          </cell>
          <cell r="CJ416">
            <v>0</v>
          </cell>
          <cell r="CK416">
            <v>0</v>
          </cell>
          <cell r="CL416">
            <v>0</v>
          </cell>
          <cell r="CM416">
            <v>0</v>
          </cell>
          <cell r="CN416">
            <v>0</v>
          </cell>
          <cell r="CO416">
            <v>0</v>
          </cell>
          <cell r="CP416">
            <v>0</v>
          </cell>
          <cell r="CQ416">
            <v>0</v>
          </cell>
          <cell r="CU416">
            <v>0</v>
          </cell>
          <cell r="CV416">
            <v>0</v>
          </cell>
          <cell r="CW416">
            <v>0</v>
          </cell>
          <cell r="CZ416" t="str">
            <v>s</v>
          </cell>
        </row>
        <row r="417">
          <cell r="A417" t="str">
            <v>PSO-40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cell r="BM417">
            <v>0</v>
          </cell>
          <cell r="BN417">
            <v>0</v>
          </cell>
          <cell r="BO417">
            <v>0</v>
          </cell>
          <cell r="BP417">
            <v>0</v>
          </cell>
          <cell r="BQ417">
            <v>0</v>
          </cell>
          <cell r="BR417">
            <v>0</v>
          </cell>
          <cell r="BS417">
            <v>0</v>
          </cell>
          <cell r="BT417">
            <v>0</v>
          </cell>
          <cell r="BU417">
            <v>0</v>
          </cell>
          <cell r="BV417">
            <v>0</v>
          </cell>
          <cell r="BW417">
            <v>0</v>
          </cell>
          <cell r="BX417">
            <v>0</v>
          </cell>
          <cell r="BY417">
            <v>0</v>
          </cell>
          <cell r="BZ417">
            <v>0</v>
          </cell>
          <cell r="CA417">
            <v>0</v>
          </cell>
          <cell r="CB417">
            <v>0</v>
          </cell>
          <cell r="CC417">
            <v>0</v>
          </cell>
          <cell r="CD417">
            <v>0</v>
          </cell>
          <cell r="CE417">
            <v>0</v>
          </cell>
          <cell r="CF417">
            <v>0</v>
          </cell>
          <cell r="CG417">
            <v>0</v>
          </cell>
          <cell r="CH417">
            <v>0</v>
          </cell>
          <cell r="CI417">
            <v>0</v>
          </cell>
          <cell r="CJ417">
            <v>0</v>
          </cell>
          <cell r="CK417">
            <v>0</v>
          </cell>
          <cell r="CL417">
            <v>0</v>
          </cell>
          <cell r="CM417">
            <v>0</v>
          </cell>
          <cell r="CN417">
            <v>0</v>
          </cell>
          <cell r="CO417">
            <v>0</v>
          </cell>
          <cell r="CP417">
            <v>0</v>
          </cell>
          <cell r="CQ417">
            <v>0</v>
          </cell>
          <cell r="CU417">
            <v>0</v>
          </cell>
          <cell r="CV417">
            <v>0</v>
          </cell>
          <cell r="CW417">
            <v>0</v>
          </cell>
          <cell r="CZ417" t="str">
            <v>s</v>
          </cell>
        </row>
        <row r="418">
          <cell r="A418" t="str">
            <v>PSO-50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cell r="BM418">
            <v>0</v>
          </cell>
          <cell r="BN418">
            <v>0</v>
          </cell>
          <cell r="BO418">
            <v>0</v>
          </cell>
          <cell r="BP418">
            <v>0</v>
          </cell>
          <cell r="BQ418">
            <v>0</v>
          </cell>
          <cell r="BR418">
            <v>0</v>
          </cell>
          <cell r="BS418">
            <v>0</v>
          </cell>
          <cell r="BT418">
            <v>0</v>
          </cell>
          <cell r="BU418">
            <v>0</v>
          </cell>
          <cell r="BV418">
            <v>0</v>
          </cell>
          <cell r="BW418">
            <v>0</v>
          </cell>
          <cell r="BX418">
            <v>0</v>
          </cell>
          <cell r="BY418">
            <v>0</v>
          </cell>
          <cell r="BZ418">
            <v>0</v>
          </cell>
          <cell r="CA418">
            <v>0</v>
          </cell>
          <cell r="CB418">
            <v>0</v>
          </cell>
          <cell r="CC418">
            <v>0</v>
          </cell>
          <cell r="CD418">
            <v>0</v>
          </cell>
          <cell r="CE418">
            <v>0</v>
          </cell>
          <cell r="CF418">
            <v>0</v>
          </cell>
          <cell r="CG418">
            <v>0</v>
          </cell>
          <cell r="CH418">
            <v>0</v>
          </cell>
          <cell r="CI418">
            <v>0</v>
          </cell>
          <cell r="CJ418">
            <v>0</v>
          </cell>
          <cell r="CK418">
            <v>0</v>
          </cell>
          <cell r="CL418">
            <v>0</v>
          </cell>
          <cell r="CM418">
            <v>0</v>
          </cell>
          <cell r="CN418">
            <v>0</v>
          </cell>
          <cell r="CO418">
            <v>0</v>
          </cell>
          <cell r="CP418">
            <v>0</v>
          </cell>
          <cell r="CQ418">
            <v>0</v>
          </cell>
          <cell r="CU418">
            <v>0</v>
          </cell>
          <cell r="CV418">
            <v>0</v>
          </cell>
          <cell r="CW418">
            <v>0</v>
          </cell>
          <cell r="CZ418" t="str">
            <v>s</v>
          </cell>
        </row>
        <row r="419">
          <cell r="A419" t="str">
            <v>PSO-63</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cell r="BM419">
            <v>0</v>
          </cell>
          <cell r="BN419">
            <v>0</v>
          </cell>
          <cell r="BO419">
            <v>0</v>
          </cell>
          <cell r="BP419">
            <v>0</v>
          </cell>
          <cell r="BQ419">
            <v>0</v>
          </cell>
          <cell r="BR419">
            <v>0</v>
          </cell>
          <cell r="BS419">
            <v>0</v>
          </cell>
          <cell r="BT419">
            <v>0</v>
          </cell>
          <cell r="BU419">
            <v>0</v>
          </cell>
          <cell r="BV419">
            <v>0</v>
          </cell>
          <cell r="BW419">
            <v>0</v>
          </cell>
          <cell r="BX419">
            <v>0</v>
          </cell>
          <cell r="BY419">
            <v>0</v>
          </cell>
          <cell r="BZ419">
            <v>0</v>
          </cell>
          <cell r="CA419">
            <v>0</v>
          </cell>
          <cell r="CB419">
            <v>0</v>
          </cell>
          <cell r="CC419">
            <v>0</v>
          </cell>
          <cell r="CD419">
            <v>0</v>
          </cell>
          <cell r="CE419">
            <v>0</v>
          </cell>
          <cell r="CF419">
            <v>0</v>
          </cell>
          <cell r="CG419">
            <v>0</v>
          </cell>
          <cell r="CH419">
            <v>0</v>
          </cell>
          <cell r="CI419">
            <v>0</v>
          </cell>
          <cell r="CJ419">
            <v>0</v>
          </cell>
          <cell r="CK419">
            <v>0</v>
          </cell>
          <cell r="CL419">
            <v>0</v>
          </cell>
          <cell r="CM419">
            <v>0</v>
          </cell>
          <cell r="CN419">
            <v>0</v>
          </cell>
          <cell r="CO419">
            <v>0</v>
          </cell>
          <cell r="CP419">
            <v>0</v>
          </cell>
          <cell r="CQ419">
            <v>0</v>
          </cell>
          <cell r="CU419">
            <v>0</v>
          </cell>
          <cell r="CV419">
            <v>0</v>
          </cell>
          <cell r="CW419">
            <v>0</v>
          </cell>
          <cell r="CZ419" t="str">
            <v>s</v>
          </cell>
        </row>
        <row r="420">
          <cell r="A420" t="str">
            <v>PSO-75</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cell r="BM420">
            <v>0</v>
          </cell>
          <cell r="BN420">
            <v>0</v>
          </cell>
          <cell r="BO420">
            <v>0</v>
          </cell>
          <cell r="BP420">
            <v>0</v>
          </cell>
          <cell r="BQ420">
            <v>0</v>
          </cell>
          <cell r="BR420">
            <v>0</v>
          </cell>
          <cell r="BS420">
            <v>0</v>
          </cell>
          <cell r="BT420">
            <v>0</v>
          </cell>
          <cell r="BU420">
            <v>0</v>
          </cell>
          <cell r="BV420">
            <v>0</v>
          </cell>
          <cell r="BW420">
            <v>0</v>
          </cell>
          <cell r="BX420">
            <v>0</v>
          </cell>
          <cell r="BY420">
            <v>0</v>
          </cell>
          <cell r="BZ420">
            <v>0</v>
          </cell>
          <cell r="CA420">
            <v>0</v>
          </cell>
          <cell r="CB420">
            <v>0</v>
          </cell>
          <cell r="CC420">
            <v>0</v>
          </cell>
          <cell r="CD420">
            <v>0</v>
          </cell>
          <cell r="CE420">
            <v>0</v>
          </cell>
          <cell r="CF420">
            <v>0</v>
          </cell>
          <cell r="CG420">
            <v>0</v>
          </cell>
          <cell r="CH420">
            <v>0</v>
          </cell>
          <cell r="CI420">
            <v>0</v>
          </cell>
          <cell r="CJ420">
            <v>0</v>
          </cell>
          <cell r="CK420">
            <v>0</v>
          </cell>
          <cell r="CL420">
            <v>0</v>
          </cell>
          <cell r="CM420">
            <v>0</v>
          </cell>
          <cell r="CN420">
            <v>0</v>
          </cell>
          <cell r="CO420">
            <v>0</v>
          </cell>
          <cell r="CP420">
            <v>0</v>
          </cell>
          <cell r="CQ420">
            <v>0</v>
          </cell>
          <cell r="CU420">
            <v>0</v>
          </cell>
          <cell r="CV420">
            <v>0</v>
          </cell>
          <cell r="CW420">
            <v>0</v>
          </cell>
          <cell r="CZ420" t="str">
            <v>s</v>
          </cell>
        </row>
        <row r="421">
          <cell r="A421" t="str">
            <v>PSO-90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cell r="BM421">
            <v>0</v>
          </cell>
          <cell r="BN421">
            <v>0</v>
          </cell>
          <cell r="BO421">
            <v>0</v>
          </cell>
          <cell r="BP421">
            <v>0</v>
          </cell>
          <cell r="BQ421">
            <v>0</v>
          </cell>
          <cell r="BR421">
            <v>0</v>
          </cell>
          <cell r="BS421">
            <v>0</v>
          </cell>
          <cell r="BT421">
            <v>0</v>
          </cell>
          <cell r="BU421">
            <v>0</v>
          </cell>
          <cell r="BV421">
            <v>0</v>
          </cell>
          <cell r="BW421">
            <v>0</v>
          </cell>
          <cell r="BX421">
            <v>0</v>
          </cell>
          <cell r="BY421">
            <v>0</v>
          </cell>
          <cell r="BZ421">
            <v>0</v>
          </cell>
          <cell r="CA421">
            <v>0</v>
          </cell>
          <cell r="CB421">
            <v>0</v>
          </cell>
          <cell r="CC421">
            <v>0</v>
          </cell>
          <cell r="CD421">
            <v>0</v>
          </cell>
          <cell r="CE421">
            <v>0</v>
          </cell>
          <cell r="CF421">
            <v>0</v>
          </cell>
          <cell r="CG421">
            <v>0</v>
          </cell>
          <cell r="CH421">
            <v>0</v>
          </cell>
          <cell r="CI421">
            <v>0</v>
          </cell>
          <cell r="CJ421">
            <v>0</v>
          </cell>
          <cell r="CK421">
            <v>0</v>
          </cell>
          <cell r="CL421">
            <v>0</v>
          </cell>
          <cell r="CM421">
            <v>0</v>
          </cell>
          <cell r="CN421">
            <v>0</v>
          </cell>
          <cell r="CO421">
            <v>0</v>
          </cell>
          <cell r="CP421">
            <v>0</v>
          </cell>
          <cell r="CQ421">
            <v>0</v>
          </cell>
          <cell r="CU421">
            <v>0</v>
          </cell>
          <cell r="CV421">
            <v>0</v>
          </cell>
          <cell r="CW421">
            <v>0</v>
          </cell>
          <cell r="CZ421" t="str">
            <v>s</v>
          </cell>
        </row>
        <row r="422">
          <cell r="A422" t="str">
            <v>PBN-20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cell r="BM422">
            <v>0</v>
          </cell>
          <cell r="BN422">
            <v>0</v>
          </cell>
          <cell r="BO422">
            <v>0</v>
          </cell>
          <cell r="BP422">
            <v>0</v>
          </cell>
          <cell r="BQ422">
            <v>0</v>
          </cell>
          <cell r="BR422">
            <v>0</v>
          </cell>
          <cell r="BS422">
            <v>0</v>
          </cell>
          <cell r="BT422">
            <v>0</v>
          </cell>
          <cell r="BU422">
            <v>0</v>
          </cell>
          <cell r="BV422">
            <v>0</v>
          </cell>
          <cell r="BW422">
            <v>0</v>
          </cell>
          <cell r="BX422">
            <v>0</v>
          </cell>
          <cell r="BY422">
            <v>0</v>
          </cell>
          <cell r="BZ422">
            <v>0</v>
          </cell>
          <cell r="CA422">
            <v>0</v>
          </cell>
          <cell r="CB422">
            <v>0</v>
          </cell>
          <cell r="CC422">
            <v>0</v>
          </cell>
          <cell r="CD422">
            <v>0</v>
          </cell>
          <cell r="CE422">
            <v>0</v>
          </cell>
          <cell r="CF422">
            <v>0</v>
          </cell>
          <cell r="CG422">
            <v>0</v>
          </cell>
          <cell r="CH422">
            <v>0</v>
          </cell>
          <cell r="CI422">
            <v>0</v>
          </cell>
          <cell r="CJ422">
            <v>0</v>
          </cell>
          <cell r="CK422">
            <v>0</v>
          </cell>
          <cell r="CL422">
            <v>0</v>
          </cell>
          <cell r="CM422">
            <v>0</v>
          </cell>
          <cell r="CN422">
            <v>0</v>
          </cell>
          <cell r="CO422">
            <v>0</v>
          </cell>
          <cell r="CP422">
            <v>0</v>
          </cell>
          <cell r="CQ422">
            <v>0</v>
          </cell>
          <cell r="CU422">
            <v>0</v>
          </cell>
          <cell r="CV422">
            <v>0</v>
          </cell>
          <cell r="CW422">
            <v>0</v>
          </cell>
          <cell r="CZ422" t="str">
            <v>s</v>
          </cell>
        </row>
        <row r="423">
          <cell r="A423" t="str">
            <v>PBN-25</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cell r="BM423">
            <v>0</v>
          </cell>
          <cell r="BN423">
            <v>0</v>
          </cell>
          <cell r="BO423">
            <v>0</v>
          </cell>
          <cell r="BP423">
            <v>0</v>
          </cell>
          <cell r="BQ423">
            <v>0</v>
          </cell>
          <cell r="BR423">
            <v>0</v>
          </cell>
          <cell r="BS423">
            <v>0</v>
          </cell>
          <cell r="BT423">
            <v>0</v>
          </cell>
          <cell r="BU423">
            <v>0</v>
          </cell>
          <cell r="BV423">
            <v>0</v>
          </cell>
          <cell r="BW423">
            <v>0</v>
          </cell>
          <cell r="BX423">
            <v>0</v>
          </cell>
          <cell r="BY423">
            <v>0</v>
          </cell>
          <cell r="BZ423">
            <v>0</v>
          </cell>
          <cell r="CA423">
            <v>0</v>
          </cell>
          <cell r="CB423">
            <v>0</v>
          </cell>
          <cell r="CC423">
            <v>0</v>
          </cell>
          <cell r="CD423">
            <v>0</v>
          </cell>
          <cell r="CE423">
            <v>0</v>
          </cell>
          <cell r="CF423">
            <v>0</v>
          </cell>
          <cell r="CG423">
            <v>0</v>
          </cell>
          <cell r="CH423">
            <v>0</v>
          </cell>
          <cell r="CI423">
            <v>0</v>
          </cell>
          <cell r="CJ423">
            <v>0</v>
          </cell>
          <cell r="CK423">
            <v>0</v>
          </cell>
          <cell r="CL423">
            <v>0</v>
          </cell>
          <cell r="CM423">
            <v>0</v>
          </cell>
          <cell r="CN423">
            <v>0</v>
          </cell>
          <cell r="CO423">
            <v>0</v>
          </cell>
          <cell r="CP423">
            <v>0</v>
          </cell>
          <cell r="CQ423">
            <v>0</v>
          </cell>
          <cell r="CU423">
            <v>0</v>
          </cell>
          <cell r="CV423">
            <v>0</v>
          </cell>
          <cell r="CW423">
            <v>0</v>
          </cell>
          <cell r="CZ423" t="str">
            <v>s</v>
          </cell>
        </row>
        <row r="424">
          <cell r="A424" t="str">
            <v>PBN-32</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cell r="BM424">
            <v>0</v>
          </cell>
          <cell r="BN424">
            <v>0</v>
          </cell>
          <cell r="BO424">
            <v>0</v>
          </cell>
          <cell r="BP424">
            <v>0</v>
          </cell>
          <cell r="BQ424">
            <v>0</v>
          </cell>
          <cell r="BR424">
            <v>0</v>
          </cell>
          <cell r="BS424">
            <v>0</v>
          </cell>
          <cell r="BT424">
            <v>0</v>
          </cell>
          <cell r="BU424">
            <v>0</v>
          </cell>
          <cell r="BV424">
            <v>0</v>
          </cell>
          <cell r="BW424">
            <v>0</v>
          </cell>
          <cell r="BX424">
            <v>0</v>
          </cell>
          <cell r="BY424">
            <v>0</v>
          </cell>
          <cell r="BZ424">
            <v>0</v>
          </cell>
          <cell r="CA424">
            <v>0</v>
          </cell>
          <cell r="CB424">
            <v>0</v>
          </cell>
          <cell r="CC424">
            <v>0</v>
          </cell>
          <cell r="CD424">
            <v>0</v>
          </cell>
          <cell r="CE424">
            <v>0</v>
          </cell>
          <cell r="CF424">
            <v>0</v>
          </cell>
          <cell r="CG424">
            <v>0</v>
          </cell>
          <cell r="CH424">
            <v>0</v>
          </cell>
          <cell r="CI424">
            <v>0</v>
          </cell>
          <cell r="CJ424">
            <v>0</v>
          </cell>
          <cell r="CK424">
            <v>0</v>
          </cell>
          <cell r="CL424">
            <v>0</v>
          </cell>
          <cell r="CM424">
            <v>0</v>
          </cell>
          <cell r="CN424">
            <v>0</v>
          </cell>
          <cell r="CO424">
            <v>0</v>
          </cell>
          <cell r="CP424">
            <v>0</v>
          </cell>
          <cell r="CQ424">
            <v>0</v>
          </cell>
          <cell r="CU424">
            <v>0</v>
          </cell>
          <cell r="CV424">
            <v>0</v>
          </cell>
          <cell r="CW424">
            <v>0</v>
          </cell>
          <cell r="CZ424" t="str">
            <v>s</v>
          </cell>
        </row>
        <row r="425">
          <cell r="A425" t="str">
            <v>PBN-40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cell r="BM425">
            <v>0</v>
          </cell>
          <cell r="BN425">
            <v>0</v>
          </cell>
          <cell r="BO425">
            <v>0</v>
          </cell>
          <cell r="BP425">
            <v>0</v>
          </cell>
          <cell r="BQ425">
            <v>0</v>
          </cell>
          <cell r="BR425">
            <v>0</v>
          </cell>
          <cell r="BS425">
            <v>0</v>
          </cell>
          <cell r="BT425">
            <v>0</v>
          </cell>
          <cell r="BU425">
            <v>0</v>
          </cell>
          <cell r="BV425">
            <v>0</v>
          </cell>
          <cell r="BW425">
            <v>0</v>
          </cell>
          <cell r="BX425">
            <v>0</v>
          </cell>
          <cell r="BY425">
            <v>0</v>
          </cell>
          <cell r="BZ425">
            <v>0</v>
          </cell>
          <cell r="CA425">
            <v>0</v>
          </cell>
          <cell r="CB425">
            <v>0</v>
          </cell>
          <cell r="CC425">
            <v>0</v>
          </cell>
          <cell r="CD425">
            <v>0</v>
          </cell>
          <cell r="CE425">
            <v>0</v>
          </cell>
          <cell r="CF425">
            <v>0</v>
          </cell>
          <cell r="CG425">
            <v>0</v>
          </cell>
          <cell r="CH425">
            <v>0</v>
          </cell>
          <cell r="CI425">
            <v>0</v>
          </cell>
          <cell r="CJ425">
            <v>0</v>
          </cell>
          <cell r="CK425">
            <v>0</v>
          </cell>
          <cell r="CL425">
            <v>0</v>
          </cell>
          <cell r="CM425">
            <v>0</v>
          </cell>
          <cell r="CN425">
            <v>0</v>
          </cell>
          <cell r="CO425">
            <v>0</v>
          </cell>
          <cell r="CP425">
            <v>0</v>
          </cell>
          <cell r="CQ425">
            <v>0</v>
          </cell>
          <cell r="CU425">
            <v>0</v>
          </cell>
          <cell r="CV425">
            <v>0</v>
          </cell>
          <cell r="CW425">
            <v>0</v>
          </cell>
          <cell r="CZ425" t="str">
            <v>s</v>
          </cell>
        </row>
        <row r="426">
          <cell r="A426" t="str">
            <v>PBN-50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cell r="BM426">
            <v>0</v>
          </cell>
          <cell r="BN426">
            <v>0</v>
          </cell>
          <cell r="BO426">
            <v>0</v>
          </cell>
          <cell r="BP426">
            <v>0</v>
          </cell>
          <cell r="BQ426">
            <v>0</v>
          </cell>
          <cell r="BR426">
            <v>0</v>
          </cell>
          <cell r="BS426">
            <v>0</v>
          </cell>
          <cell r="BT426">
            <v>0</v>
          </cell>
          <cell r="BU426">
            <v>0</v>
          </cell>
          <cell r="BV426">
            <v>0</v>
          </cell>
          <cell r="BW426">
            <v>0</v>
          </cell>
          <cell r="BX426">
            <v>0</v>
          </cell>
          <cell r="BY426">
            <v>0</v>
          </cell>
          <cell r="BZ426">
            <v>0</v>
          </cell>
          <cell r="CA426">
            <v>0</v>
          </cell>
          <cell r="CB426">
            <v>0</v>
          </cell>
          <cell r="CC426">
            <v>0</v>
          </cell>
          <cell r="CD426">
            <v>0</v>
          </cell>
          <cell r="CE426">
            <v>0</v>
          </cell>
          <cell r="CF426">
            <v>0</v>
          </cell>
          <cell r="CG426">
            <v>0</v>
          </cell>
          <cell r="CH426">
            <v>0</v>
          </cell>
          <cell r="CI426">
            <v>0</v>
          </cell>
          <cell r="CJ426">
            <v>0</v>
          </cell>
          <cell r="CK426">
            <v>0</v>
          </cell>
          <cell r="CL426">
            <v>0</v>
          </cell>
          <cell r="CM426">
            <v>0</v>
          </cell>
          <cell r="CN426">
            <v>0</v>
          </cell>
          <cell r="CO426">
            <v>0</v>
          </cell>
          <cell r="CP426">
            <v>0</v>
          </cell>
          <cell r="CQ426">
            <v>0</v>
          </cell>
          <cell r="CU426">
            <v>0</v>
          </cell>
          <cell r="CV426">
            <v>0</v>
          </cell>
          <cell r="CW426">
            <v>0</v>
          </cell>
          <cell r="CZ426" t="str">
            <v>s</v>
          </cell>
        </row>
        <row r="427">
          <cell r="A427" t="str">
            <v>PBN-63</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cell r="BM427">
            <v>0</v>
          </cell>
          <cell r="BN427">
            <v>0</v>
          </cell>
          <cell r="BO427">
            <v>0</v>
          </cell>
          <cell r="BP427">
            <v>0</v>
          </cell>
          <cell r="BQ427">
            <v>0</v>
          </cell>
          <cell r="BR427">
            <v>0</v>
          </cell>
          <cell r="BS427">
            <v>0</v>
          </cell>
          <cell r="BT427">
            <v>0</v>
          </cell>
          <cell r="BU427">
            <v>0</v>
          </cell>
          <cell r="BV427">
            <v>0</v>
          </cell>
          <cell r="BW427">
            <v>0</v>
          </cell>
          <cell r="BX427">
            <v>0</v>
          </cell>
          <cell r="BY427">
            <v>0</v>
          </cell>
          <cell r="BZ427">
            <v>0</v>
          </cell>
          <cell r="CA427">
            <v>0</v>
          </cell>
          <cell r="CB427">
            <v>0</v>
          </cell>
          <cell r="CC427">
            <v>0</v>
          </cell>
          <cell r="CD427">
            <v>0</v>
          </cell>
          <cell r="CE427">
            <v>0</v>
          </cell>
          <cell r="CF427">
            <v>0</v>
          </cell>
          <cell r="CG427">
            <v>0</v>
          </cell>
          <cell r="CH427">
            <v>0</v>
          </cell>
          <cell r="CI427">
            <v>0</v>
          </cell>
          <cell r="CJ427">
            <v>0</v>
          </cell>
          <cell r="CK427">
            <v>0</v>
          </cell>
          <cell r="CL427">
            <v>0</v>
          </cell>
          <cell r="CM427">
            <v>0</v>
          </cell>
          <cell r="CN427">
            <v>0</v>
          </cell>
          <cell r="CO427">
            <v>0</v>
          </cell>
          <cell r="CP427">
            <v>0</v>
          </cell>
          <cell r="CQ427">
            <v>0</v>
          </cell>
          <cell r="CU427">
            <v>0</v>
          </cell>
          <cell r="CV427">
            <v>0</v>
          </cell>
          <cell r="CW427">
            <v>0</v>
          </cell>
          <cell r="CZ427" t="str">
            <v>s</v>
          </cell>
        </row>
        <row r="428">
          <cell r="A428" t="str">
            <v>PBN-75</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cell r="BM428">
            <v>0</v>
          </cell>
          <cell r="BN428">
            <v>0</v>
          </cell>
          <cell r="BO428">
            <v>0</v>
          </cell>
          <cell r="BP428">
            <v>0</v>
          </cell>
          <cell r="BQ428">
            <v>0</v>
          </cell>
          <cell r="BR428">
            <v>0</v>
          </cell>
          <cell r="BS428">
            <v>0</v>
          </cell>
          <cell r="BT428">
            <v>0</v>
          </cell>
          <cell r="BU428">
            <v>0</v>
          </cell>
          <cell r="BV428">
            <v>0</v>
          </cell>
          <cell r="BW428">
            <v>0</v>
          </cell>
          <cell r="BX428">
            <v>0</v>
          </cell>
          <cell r="BY428">
            <v>0</v>
          </cell>
          <cell r="BZ428">
            <v>0</v>
          </cell>
          <cell r="CA428">
            <v>0</v>
          </cell>
          <cell r="CB428">
            <v>0</v>
          </cell>
          <cell r="CC428">
            <v>0</v>
          </cell>
          <cell r="CD428">
            <v>0</v>
          </cell>
          <cell r="CE428">
            <v>0</v>
          </cell>
          <cell r="CF428">
            <v>0</v>
          </cell>
          <cell r="CG428">
            <v>0</v>
          </cell>
          <cell r="CH428">
            <v>0</v>
          </cell>
          <cell r="CI428">
            <v>0</v>
          </cell>
          <cell r="CJ428">
            <v>0</v>
          </cell>
          <cell r="CK428">
            <v>0</v>
          </cell>
          <cell r="CL428">
            <v>0</v>
          </cell>
          <cell r="CM428">
            <v>0</v>
          </cell>
          <cell r="CN428">
            <v>0</v>
          </cell>
          <cell r="CO428">
            <v>0</v>
          </cell>
          <cell r="CP428">
            <v>0</v>
          </cell>
          <cell r="CQ428">
            <v>0</v>
          </cell>
          <cell r="CU428">
            <v>0</v>
          </cell>
          <cell r="CV428">
            <v>0</v>
          </cell>
          <cell r="CW428">
            <v>0</v>
          </cell>
          <cell r="CZ428" t="str">
            <v>s</v>
          </cell>
        </row>
        <row r="429">
          <cell r="A429" t="str">
            <v>PBN-90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cell r="BM429">
            <v>0</v>
          </cell>
          <cell r="BN429">
            <v>0</v>
          </cell>
          <cell r="BO429">
            <v>0</v>
          </cell>
          <cell r="BP429">
            <v>0</v>
          </cell>
          <cell r="BQ429">
            <v>0</v>
          </cell>
          <cell r="BR429">
            <v>0</v>
          </cell>
          <cell r="BS429">
            <v>0</v>
          </cell>
          <cell r="BT429">
            <v>0</v>
          </cell>
          <cell r="BU429">
            <v>0</v>
          </cell>
          <cell r="BV429">
            <v>0</v>
          </cell>
          <cell r="BW429">
            <v>0</v>
          </cell>
          <cell r="BX429">
            <v>0</v>
          </cell>
          <cell r="BY429">
            <v>0</v>
          </cell>
          <cell r="BZ429">
            <v>0</v>
          </cell>
          <cell r="CA429">
            <v>0</v>
          </cell>
          <cell r="CB429">
            <v>0</v>
          </cell>
          <cell r="CC429">
            <v>0</v>
          </cell>
          <cell r="CD429">
            <v>0</v>
          </cell>
          <cell r="CE429">
            <v>0</v>
          </cell>
          <cell r="CF429">
            <v>0</v>
          </cell>
          <cell r="CG429">
            <v>0</v>
          </cell>
          <cell r="CH429">
            <v>0</v>
          </cell>
          <cell r="CI429">
            <v>0</v>
          </cell>
          <cell r="CJ429">
            <v>0</v>
          </cell>
          <cell r="CK429">
            <v>0</v>
          </cell>
          <cell r="CL429">
            <v>0</v>
          </cell>
          <cell r="CM429">
            <v>0</v>
          </cell>
          <cell r="CN429">
            <v>0</v>
          </cell>
          <cell r="CO429">
            <v>0</v>
          </cell>
          <cell r="CP429">
            <v>0</v>
          </cell>
          <cell r="CQ429">
            <v>0</v>
          </cell>
          <cell r="CU429">
            <v>0</v>
          </cell>
          <cell r="CV429">
            <v>0</v>
          </cell>
          <cell r="CW429">
            <v>0</v>
          </cell>
          <cell r="CZ429" t="str">
            <v>s</v>
          </cell>
        </row>
        <row r="430">
          <cell r="A430" t="str">
            <v>RW-20</v>
          </cell>
          <cell r="G430">
            <v>0</v>
          </cell>
          <cell r="H430">
            <v>0</v>
          </cell>
          <cell r="I430">
            <v>0</v>
          </cell>
          <cell r="J430">
            <v>0</v>
          </cell>
          <cell r="K430">
            <v>0</v>
          </cell>
          <cell r="L430">
            <v>0</v>
          </cell>
          <cell r="M430">
            <v>0</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cell r="BM430">
            <v>0</v>
          </cell>
          <cell r="BN430">
            <v>0</v>
          </cell>
          <cell r="BO430">
            <v>0</v>
          </cell>
          <cell r="BP430">
            <v>0</v>
          </cell>
          <cell r="BQ430">
            <v>0</v>
          </cell>
          <cell r="BR430">
            <v>0</v>
          </cell>
          <cell r="BS430">
            <v>0</v>
          </cell>
          <cell r="BT430">
            <v>0</v>
          </cell>
          <cell r="BU430">
            <v>0</v>
          </cell>
          <cell r="BV430">
            <v>0</v>
          </cell>
          <cell r="BW430">
            <v>0</v>
          </cell>
          <cell r="BX430">
            <v>0</v>
          </cell>
          <cell r="BY430">
            <v>0</v>
          </cell>
          <cell r="BZ430">
            <v>0</v>
          </cell>
          <cell r="CA430">
            <v>0</v>
          </cell>
          <cell r="CB430">
            <v>0</v>
          </cell>
          <cell r="CC430">
            <v>0</v>
          </cell>
          <cell r="CD430">
            <v>0</v>
          </cell>
          <cell r="CE430">
            <v>0</v>
          </cell>
          <cell r="CF430">
            <v>0</v>
          </cell>
          <cell r="CG430">
            <v>0</v>
          </cell>
          <cell r="CH430">
            <v>0</v>
          </cell>
          <cell r="CI430">
            <v>0</v>
          </cell>
          <cell r="CJ430">
            <v>0</v>
          </cell>
          <cell r="CK430">
            <v>0</v>
          </cell>
          <cell r="CL430">
            <v>0</v>
          </cell>
          <cell r="CM430">
            <v>0</v>
          </cell>
          <cell r="CN430">
            <v>0</v>
          </cell>
          <cell r="CO430">
            <v>0</v>
          </cell>
          <cell r="CP430">
            <v>0</v>
          </cell>
          <cell r="CQ430">
            <v>0</v>
          </cell>
          <cell r="CU430">
            <v>0</v>
          </cell>
          <cell r="CV430">
            <v>0</v>
          </cell>
          <cell r="CW430">
            <v>0</v>
          </cell>
          <cell r="CZ430" t="str">
            <v>s</v>
          </cell>
        </row>
        <row r="431">
          <cell r="A431" t="str">
            <v>RW-25</v>
          </cell>
          <cell r="G431">
            <v>0</v>
          </cell>
          <cell r="H431">
            <v>0</v>
          </cell>
          <cell r="I431">
            <v>0</v>
          </cell>
          <cell r="J431">
            <v>0</v>
          </cell>
          <cell r="K431">
            <v>0</v>
          </cell>
          <cell r="L431">
            <v>0</v>
          </cell>
          <cell r="M431">
            <v>0</v>
          </cell>
          <cell r="N431">
            <v>0</v>
          </cell>
          <cell r="O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cell r="BM431">
            <v>0</v>
          </cell>
          <cell r="BN431">
            <v>0</v>
          </cell>
          <cell r="BO431">
            <v>0</v>
          </cell>
          <cell r="BP431">
            <v>0</v>
          </cell>
          <cell r="BQ431">
            <v>0</v>
          </cell>
          <cell r="BR431">
            <v>0</v>
          </cell>
          <cell r="BS431">
            <v>0</v>
          </cell>
          <cell r="BT431">
            <v>0</v>
          </cell>
          <cell r="BU431">
            <v>0</v>
          </cell>
          <cell r="BV431">
            <v>0</v>
          </cell>
          <cell r="BW431">
            <v>0</v>
          </cell>
          <cell r="BX431">
            <v>0</v>
          </cell>
          <cell r="BY431">
            <v>0</v>
          </cell>
          <cell r="BZ431">
            <v>0</v>
          </cell>
          <cell r="CA431">
            <v>0</v>
          </cell>
          <cell r="CB431">
            <v>0</v>
          </cell>
          <cell r="CC431">
            <v>0</v>
          </cell>
          <cell r="CD431">
            <v>0</v>
          </cell>
          <cell r="CE431">
            <v>0</v>
          </cell>
          <cell r="CF431">
            <v>0</v>
          </cell>
          <cell r="CG431">
            <v>0</v>
          </cell>
          <cell r="CH431">
            <v>0</v>
          </cell>
          <cell r="CI431">
            <v>0</v>
          </cell>
          <cell r="CJ431">
            <v>0</v>
          </cell>
          <cell r="CK431">
            <v>0</v>
          </cell>
          <cell r="CL431">
            <v>0</v>
          </cell>
          <cell r="CM431">
            <v>0</v>
          </cell>
          <cell r="CN431">
            <v>0</v>
          </cell>
          <cell r="CO431">
            <v>0</v>
          </cell>
          <cell r="CP431">
            <v>0</v>
          </cell>
          <cell r="CQ431">
            <v>0</v>
          </cell>
          <cell r="CU431">
            <v>0</v>
          </cell>
          <cell r="CV431">
            <v>0</v>
          </cell>
          <cell r="CW431">
            <v>0</v>
          </cell>
          <cell r="CZ431" t="str">
            <v>s</v>
          </cell>
        </row>
        <row r="432">
          <cell r="A432" t="str">
            <v>RW-32</v>
          </cell>
          <cell r="G432">
            <v>0</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cell r="BM432">
            <v>0</v>
          </cell>
          <cell r="BN432">
            <v>0</v>
          </cell>
          <cell r="BO432">
            <v>0</v>
          </cell>
          <cell r="BP432">
            <v>0</v>
          </cell>
          <cell r="BQ432">
            <v>0</v>
          </cell>
          <cell r="BR432">
            <v>0</v>
          </cell>
          <cell r="BS432">
            <v>0</v>
          </cell>
          <cell r="BT432">
            <v>0</v>
          </cell>
          <cell r="BU432">
            <v>0</v>
          </cell>
          <cell r="BV432">
            <v>0</v>
          </cell>
          <cell r="BW432">
            <v>0</v>
          </cell>
          <cell r="BX432">
            <v>0</v>
          </cell>
          <cell r="BY432">
            <v>0</v>
          </cell>
          <cell r="BZ432">
            <v>0</v>
          </cell>
          <cell r="CA432">
            <v>0</v>
          </cell>
          <cell r="CB432">
            <v>0</v>
          </cell>
          <cell r="CC432">
            <v>0</v>
          </cell>
          <cell r="CD432">
            <v>0</v>
          </cell>
          <cell r="CE432">
            <v>0</v>
          </cell>
          <cell r="CF432">
            <v>0</v>
          </cell>
          <cell r="CG432">
            <v>0</v>
          </cell>
          <cell r="CH432">
            <v>0</v>
          </cell>
          <cell r="CI432">
            <v>0</v>
          </cell>
          <cell r="CJ432">
            <v>0</v>
          </cell>
          <cell r="CK432">
            <v>0</v>
          </cell>
          <cell r="CL432">
            <v>0</v>
          </cell>
          <cell r="CM432">
            <v>0</v>
          </cell>
          <cell r="CN432">
            <v>0</v>
          </cell>
          <cell r="CO432">
            <v>0</v>
          </cell>
          <cell r="CP432">
            <v>0</v>
          </cell>
          <cell r="CQ432">
            <v>0</v>
          </cell>
          <cell r="CU432">
            <v>0</v>
          </cell>
          <cell r="CV432">
            <v>0</v>
          </cell>
          <cell r="CW432">
            <v>0</v>
          </cell>
          <cell r="CZ432" t="str">
            <v>s</v>
          </cell>
        </row>
        <row r="433">
          <cell r="A433" t="str">
            <v>RW-40</v>
          </cell>
          <cell r="G433">
            <v>0</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cell r="BM433">
            <v>0</v>
          </cell>
          <cell r="BN433">
            <v>0</v>
          </cell>
          <cell r="BO433">
            <v>0</v>
          </cell>
          <cell r="BP433">
            <v>0</v>
          </cell>
          <cell r="BQ433">
            <v>0</v>
          </cell>
          <cell r="BR433">
            <v>0</v>
          </cell>
          <cell r="BS433">
            <v>0</v>
          </cell>
          <cell r="BT433">
            <v>0</v>
          </cell>
          <cell r="BU433">
            <v>0</v>
          </cell>
          <cell r="BV433">
            <v>0</v>
          </cell>
          <cell r="BW433">
            <v>0</v>
          </cell>
          <cell r="BX433">
            <v>0</v>
          </cell>
          <cell r="BY433">
            <v>0</v>
          </cell>
          <cell r="BZ433">
            <v>0</v>
          </cell>
          <cell r="CA433">
            <v>0</v>
          </cell>
          <cell r="CB433">
            <v>0</v>
          </cell>
          <cell r="CC433">
            <v>0</v>
          </cell>
          <cell r="CD433">
            <v>0</v>
          </cell>
          <cell r="CE433">
            <v>0</v>
          </cell>
          <cell r="CF433">
            <v>0</v>
          </cell>
          <cell r="CG433">
            <v>0</v>
          </cell>
          <cell r="CH433">
            <v>0</v>
          </cell>
          <cell r="CI433">
            <v>0</v>
          </cell>
          <cell r="CJ433">
            <v>0</v>
          </cell>
          <cell r="CK433">
            <v>0</v>
          </cell>
          <cell r="CL433">
            <v>0</v>
          </cell>
          <cell r="CM433">
            <v>0</v>
          </cell>
          <cell r="CN433">
            <v>0</v>
          </cell>
          <cell r="CO433">
            <v>0</v>
          </cell>
          <cell r="CP433">
            <v>0</v>
          </cell>
          <cell r="CQ433">
            <v>0</v>
          </cell>
          <cell r="CU433">
            <v>0</v>
          </cell>
          <cell r="CV433">
            <v>0</v>
          </cell>
          <cell r="CW433">
            <v>0</v>
          </cell>
          <cell r="CZ433" t="str">
            <v>s</v>
          </cell>
        </row>
        <row r="434">
          <cell r="A434" t="str">
            <v>RW-50</v>
          </cell>
          <cell r="G434">
            <v>0</v>
          </cell>
          <cell r="H434">
            <v>0</v>
          </cell>
          <cell r="I434">
            <v>0</v>
          </cell>
          <cell r="J434">
            <v>0</v>
          </cell>
          <cell r="K434">
            <v>0</v>
          </cell>
          <cell r="L434">
            <v>0</v>
          </cell>
          <cell r="M434">
            <v>0</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cell r="BM434">
            <v>0</v>
          </cell>
          <cell r="BN434">
            <v>0</v>
          </cell>
          <cell r="BO434">
            <v>0</v>
          </cell>
          <cell r="BP434">
            <v>0</v>
          </cell>
          <cell r="BQ434">
            <v>0</v>
          </cell>
          <cell r="BR434">
            <v>0</v>
          </cell>
          <cell r="BS434">
            <v>0</v>
          </cell>
          <cell r="BT434">
            <v>0</v>
          </cell>
          <cell r="BU434">
            <v>0</v>
          </cell>
          <cell r="BV434">
            <v>0</v>
          </cell>
          <cell r="BW434">
            <v>0</v>
          </cell>
          <cell r="BX434">
            <v>0</v>
          </cell>
          <cell r="BY434">
            <v>0</v>
          </cell>
          <cell r="BZ434">
            <v>0</v>
          </cell>
          <cell r="CA434">
            <v>0</v>
          </cell>
          <cell r="CB434">
            <v>0</v>
          </cell>
          <cell r="CC434">
            <v>0</v>
          </cell>
          <cell r="CD434">
            <v>0</v>
          </cell>
          <cell r="CE434">
            <v>0</v>
          </cell>
          <cell r="CF434">
            <v>0</v>
          </cell>
          <cell r="CG434">
            <v>0</v>
          </cell>
          <cell r="CH434">
            <v>0</v>
          </cell>
          <cell r="CI434">
            <v>0</v>
          </cell>
          <cell r="CJ434">
            <v>0</v>
          </cell>
          <cell r="CK434">
            <v>0</v>
          </cell>
          <cell r="CL434">
            <v>0</v>
          </cell>
          <cell r="CM434">
            <v>0</v>
          </cell>
          <cell r="CN434">
            <v>0</v>
          </cell>
          <cell r="CO434">
            <v>0</v>
          </cell>
          <cell r="CP434">
            <v>0</v>
          </cell>
          <cell r="CQ434">
            <v>0</v>
          </cell>
          <cell r="CU434">
            <v>0</v>
          </cell>
          <cell r="CV434">
            <v>0</v>
          </cell>
          <cell r="CW434">
            <v>0</v>
          </cell>
          <cell r="CZ434" t="str">
            <v>s</v>
          </cell>
        </row>
        <row r="435">
          <cell r="A435" t="str">
            <v>RW-63</v>
          </cell>
          <cell r="G435">
            <v>0</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cell r="BM435">
            <v>0</v>
          </cell>
          <cell r="BN435">
            <v>0</v>
          </cell>
          <cell r="BO435">
            <v>0</v>
          </cell>
          <cell r="BP435">
            <v>0</v>
          </cell>
          <cell r="BQ435">
            <v>0</v>
          </cell>
          <cell r="BR435">
            <v>0</v>
          </cell>
          <cell r="BS435">
            <v>0</v>
          </cell>
          <cell r="BT435">
            <v>0</v>
          </cell>
          <cell r="BU435">
            <v>0</v>
          </cell>
          <cell r="BV435">
            <v>0</v>
          </cell>
          <cell r="BW435">
            <v>0</v>
          </cell>
          <cell r="BX435">
            <v>0</v>
          </cell>
          <cell r="BY435">
            <v>0</v>
          </cell>
          <cell r="BZ435">
            <v>0</v>
          </cell>
          <cell r="CA435">
            <v>0</v>
          </cell>
          <cell r="CB435">
            <v>0</v>
          </cell>
          <cell r="CC435">
            <v>0</v>
          </cell>
          <cell r="CD435">
            <v>0</v>
          </cell>
          <cell r="CE435">
            <v>0</v>
          </cell>
          <cell r="CF435">
            <v>0</v>
          </cell>
          <cell r="CG435">
            <v>0</v>
          </cell>
          <cell r="CH435">
            <v>0</v>
          </cell>
          <cell r="CI435">
            <v>0</v>
          </cell>
          <cell r="CJ435">
            <v>0</v>
          </cell>
          <cell r="CK435">
            <v>0</v>
          </cell>
          <cell r="CL435">
            <v>0</v>
          </cell>
          <cell r="CM435">
            <v>0</v>
          </cell>
          <cell r="CN435">
            <v>0</v>
          </cell>
          <cell r="CO435">
            <v>0</v>
          </cell>
          <cell r="CP435">
            <v>0</v>
          </cell>
          <cell r="CQ435">
            <v>0</v>
          </cell>
          <cell r="CU435">
            <v>0</v>
          </cell>
          <cell r="CV435">
            <v>0</v>
          </cell>
          <cell r="CW435">
            <v>0</v>
          </cell>
          <cell r="CZ435" t="str">
            <v>s</v>
          </cell>
        </row>
        <row r="436">
          <cell r="A436" t="str">
            <v>RW-75</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cell r="BM436">
            <v>0</v>
          </cell>
          <cell r="BN436">
            <v>0</v>
          </cell>
          <cell r="BO436">
            <v>0</v>
          </cell>
          <cell r="BP436">
            <v>0</v>
          </cell>
          <cell r="BQ436">
            <v>0</v>
          </cell>
          <cell r="BR436">
            <v>0</v>
          </cell>
          <cell r="BS436">
            <v>0</v>
          </cell>
          <cell r="BT436">
            <v>0</v>
          </cell>
          <cell r="BU436">
            <v>0</v>
          </cell>
          <cell r="BV436">
            <v>0</v>
          </cell>
          <cell r="BW436">
            <v>0</v>
          </cell>
          <cell r="BX436">
            <v>0</v>
          </cell>
          <cell r="BY436">
            <v>0</v>
          </cell>
          <cell r="BZ436">
            <v>0</v>
          </cell>
          <cell r="CA436">
            <v>0</v>
          </cell>
          <cell r="CB436">
            <v>0</v>
          </cell>
          <cell r="CC436">
            <v>0</v>
          </cell>
          <cell r="CD436">
            <v>0</v>
          </cell>
          <cell r="CE436">
            <v>0</v>
          </cell>
          <cell r="CF436">
            <v>0</v>
          </cell>
          <cell r="CG436">
            <v>0</v>
          </cell>
          <cell r="CH436">
            <v>0</v>
          </cell>
          <cell r="CI436">
            <v>0</v>
          </cell>
          <cell r="CJ436">
            <v>0</v>
          </cell>
          <cell r="CK436">
            <v>0</v>
          </cell>
          <cell r="CL436">
            <v>0</v>
          </cell>
          <cell r="CM436">
            <v>0</v>
          </cell>
          <cell r="CN436">
            <v>0</v>
          </cell>
          <cell r="CO436">
            <v>0</v>
          </cell>
          <cell r="CP436">
            <v>0</v>
          </cell>
          <cell r="CQ436">
            <v>0</v>
          </cell>
          <cell r="CU436">
            <v>0</v>
          </cell>
          <cell r="CV436">
            <v>0</v>
          </cell>
          <cell r="CW436">
            <v>0</v>
          </cell>
          <cell r="CZ436" t="str">
            <v>s</v>
          </cell>
        </row>
        <row r="437">
          <cell r="A437" t="str">
            <v>RW-90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cell r="BM437">
            <v>0</v>
          </cell>
          <cell r="BN437">
            <v>0</v>
          </cell>
          <cell r="BO437">
            <v>0</v>
          </cell>
          <cell r="BP437">
            <v>0</v>
          </cell>
          <cell r="BQ437">
            <v>0</v>
          </cell>
          <cell r="BR437">
            <v>0</v>
          </cell>
          <cell r="BS437">
            <v>0</v>
          </cell>
          <cell r="BT437">
            <v>0</v>
          </cell>
          <cell r="BU437">
            <v>0</v>
          </cell>
          <cell r="BV437">
            <v>0</v>
          </cell>
          <cell r="BW437">
            <v>0</v>
          </cell>
          <cell r="BX437">
            <v>0</v>
          </cell>
          <cell r="BY437">
            <v>0</v>
          </cell>
          <cell r="BZ437">
            <v>0</v>
          </cell>
          <cell r="CA437">
            <v>0</v>
          </cell>
          <cell r="CB437">
            <v>0</v>
          </cell>
          <cell r="CC437">
            <v>0</v>
          </cell>
          <cell r="CD437">
            <v>0</v>
          </cell>
          <cell r="CE437">
            <v>0</v>
          </cell>
          <cell r="CF437">
            <v>0</v>
          </cell>
          <cell r="CG437">
            <v>0</v>
          </cell>
          <cell r="CH437">
            <v>0</v>
          </cell>
          <cell r="CI437">
            <v>0</v>
          </cell>
          <cell r="CJ437">
            <v>0</v>
          </cell>
          <cell r="CK437">
            <v>0</v>
          </cell>
          <cell r="CL437">
            <v>0</v>
          </cell>
          <cell r="CM437">
            <v>0</v>
          </cell>
          <cell r="CN437">
            <v>0</v>
          </cell>
          <cell r="CO437">
            <v>0</v>
          </cell>
          <cell r="CP437">
            <v>0</v>
          </cell>
          <cell r="CQ437">
            <v>0</v>
          </cell>
          <cell r="CU437">
            <v>0</v>
          </cell>
          <cell r="CV437">
            <v>0</v>
          </cell>
          <cell r="CW437">
            <v>0</v>
          </cell>
          <cell r="CZ437" t="str">
            <v>s</v>
          </cell>
        </row>
        <row r="438">
          <cell r="A438" t="str">
            <v>PNI-20FT</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cell r="BM438">
            <v>0</v>
          </cell>
          <cell r="BN438">
            <v>0</v>
          </cell>
          <cell r="BO438">
            <v>0</v>
          </cell>
          <cell r="BP438">
            <v>0</v>
          </cell>
          <cell r="BQ438">
            <v>0</v>
          </cell>
          <cell r="BR438">
            <v>0</v>
          </cell>
          <cell r="BS438">
            <v>0</v>
          </cell>
          <cell r="BT438">
            <v>0</v>
          </cell>
          <cell r="BU438">
            <v>0</v>
          </cell>
          <cell r="BV438">
            <v>0</v>
          </cell>
          <cell r="BW438">
            <v>0</v>
          </cell>
          <cell r="BX438">
            <v>0</v>
          </cell>
          <cell r="BY438">
            <v>0</v>
          </cell>
          <cell r="BZ438">
            <v>0</v>
          </cell>
          <cell r="CA438">
            <v>0</v>
          </cell>
          <cell r="CB438">
            <v>0</v>
          </cell>
          <cell r="CC438">
            <v>0</v>
          </cell>
          <cell r="CD438">
            <v>0</v>
          </cell>
          <cell r="CE438">
            <v>0</v>
          </cell>
          <cell r="CF438">
            <v>0</v>
          </cell>
          <cell r="CG438">
            <v>0</v>
          </cell>
          <cell r="CH438">
            <v>0</v>
          </cell>
          <cell r="CI438">
            <v>0</v>
          </cell>
          <cell r="CJ438">
            <v>0</v>
          </cell>
          <cell r="CK438">
            <v>0</v>
          </cell>
          <cell r="CL438">
            <v>0</v>
          </cell>
          <cell r="CM438">
            <v>0</v>
          </cell>
          <cell r="CN438">
            <v>0</v>
          </cell>
          <cell r="CO438">
            <v>0</v>
          </cell>
          <cell r="CP438">
            <v>0</v>
          </cell>
          <cell r="CQ438">
            <v>0</v>
          </cell>
          <cell r="CU438">
            <v>0</v>
          </cell>
          <cell r="CV438">
            <v>0</v>
          </cell>
          <cell r="CW438">
            <v>0</v>
          </cell>
          <cell r="CZ438" t="str">
            <v>s</v>
          </cell>
        </row>
        <row r="439">
          <cell r="A439" t="str">
            <v>PNI-25FT</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cell r="BM439">
            <v>0</v>
          </cell>
          <cell r="BN439">
            <v>0</v>
          </cell>
          <cell r="BO439">
            <v>0</v>
          </cell>
          <cell r="BP439">
            <v>0</v>
          </cell>
          <cell r="BQ439">
            <v>0</v>
          </cell>
          <cell r="BR439">
            <v>0</v>
          </cell>
          <cell r="BS439">
            <v>0</v>
          </cell>
          <cell r="BT439">
            <v>0</v>
          </cell>
          <cell r="BU439">
            <v>0</v>
          </cell>
          <cell r="BV439">
            <v>0</v>
          </cell>
          <cell r="BW439">
            <v>0</v>
          </cell>
          <cell r="BX439">
            <v>0</v>
          </cell>
          <cell r="BY439">
            <v>0</v>
          </cell>
          <cell r="BZ439">
            <v>0</v>
          </cell>
          <cell r="CA439">
            <v>0</v>
          </cell>
          <cell r="CB439">
            <v>0</v>
          </cell>
          <cell r="CC439">
            <v>0</v>
          </cell>
          <cell r="CD439">
            <v>0</v>
          </cell>
          <cell r="CE439">
            <v>0</v>
          </cell>
          <cell r="CF439">
            <v>0</v>
          </cell>
          <cell r="CG439">
            <v>0</v>
          </cell>
          <cell r="CH439">
            <v>0</v>
          </cell>
          <cell r="CI439">
            <v>0</v>
          </cell>
          <cell r="CJ439">
            <v>0</v>
          </cell>
          <cell r="CK439">
            <v>0</v>
          </cell>
          <cell r="CL439">
            <v>0</v>
          </cell>
          <cell r="CM439">
            <v>0</v>
          </cell>
          <cell r="CN439">
            <v>0</v>
          </cell>
          <cell r="CO439">
            <v>0</v>
          </cell>
          <cell r="CP439">
            <v>0</v>
          </cell>
          <cell r="CQ439">
            <v>0</v>
          </cell>
          <cell r="CU439">
            <v>0</v>
          </cell>
          <cell r="CV439">
            <v>0</v>
          </cell>
          <cell r="CW439">
            <v>0</v>
          </cell>
          <cell r="CZ439" t="str">
            <v>s</v>
          </cell>
        </row>
        <row r="440">
          <cell r="A440" t="str">
            <v>PNI-32FT</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cell r="BM440">
            <v>0</v>
          </cell>
          <cell r="BN440">
            <v>0</v>
          </cell>
          <cell r="BO440">
            <v>0</v>
          </cell>
          <cell r="BP440">
            <v>0</v>
          </cell>
          <cell r="BQ440">
            <v>0</v>
          </cell>
          <cell r="BR440">
            <v>0</v>
          </cell>
          <cell r="BS440">
            <v>0</v>
          </cell>
          <cell r="BT440">
            <v>0</v>
          </cell>
          <cell r="BU440">
            <v>0</v>
          </cell>
          <cell r="BV440">
            <v>0</v>
          </cell>
          <cell r="BW440">
            <v>0</v>
          </cell>
          <cell r="BX440">
            <v>0</v>
          </cell>
          <cell r="BY440">
            <v>0</v>
          </cell>
          <cell r="BZ440">
            <v>0</v>
          </cell>
          <cell r="CA440">
            <v>0</v>
          </cell>
          <cell r="CB440">
            <v>0</v>
          </cell>
          <cell r="CC440">
            <v>0</v>
          </cell>
          <cell r="CD440">
            <v>0</v>
          </cell>
          <cell r="CE440">
            <v>0</v>
          </cell>
          <cell r="CF440">
            <v>0</v>
          </cell>
          <cell r="CG440">
            <v>0</v>
          </cell>
          <cell r="CH440">
            <v>0</v>
          </cell>
          <cell r="CI440">
            <v>0</v>
          </cell>
          <cell r="CJ440">
            <v>0</v>
          </cell>
          <cell r="CK440">
            <v>0</v>
          </cell>
          <cell r="CL440">
            <v>0</v>
          </cell>
          <cell r="CM440">
            <v>0</v>
          </cell>
          <cell r="CN440">
            <v>0</v>
          </cell>
          <cell r="CO440">
            <v>0</v>
          </cell>
          <cell r="CP440">
            <v>0</v>
          </cell>
          <cell r="CQ440">
            <v>0</v>
          </cell>
          <cell r="CU440">
            <v>0</v>
          </cell>
          <cell r="CV440">
            <v>0</v>
          </cell>
          <cell r="CW440">
            <v>0</v>
          </cell>
          <cell r="CZ440" t="str">
            <v>s</v>
          </cell>
        </row>
        <row r="441">
          <cell r="A441" t="str">
            <v>PNI-40FT</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cell r="BM441">
            <v>0</v>
          </cell>
          <cell r="BN441">
            <v>0</v>
          </cell>
          <cell r="BO441">
            <v>0</v>
          </cell>
          <cell r="BP441">
            <v>0</v>
          </cell>
          <cell r="BQ441">
            <v>0</v>
          </cell>
          <cell r="BR441">
            <v>0</v>
          </cell>
          <cell r="BS441">
            <v>0</v>
          </cell>
          <cell r="BT441">
            <v>0</v>
          </cell>
          <cell r="BU441">
            <v>0</v>
          </cell>
          <cell r="BV441">
            <v>0</v>
          </cell>
          <cell r="BW441">
            <v>0</v>
          </cell>
          <cell r="BX441">
            <v>0</v>
          </cell>
          <cell r="BY441">
            <v>0</v>
          </cell>
          <cell r="BZ441">
            <v>0</v>
          </cell>
          <cell r="CA441">
            <v>0</v>
          </cell>
          <cell r="CB441">
            <v>0</v>
          </cell>
          <cell r="CC441">
            <v>0</v>
          </cell>
          <cell r="CD441">
            <v>0</v>
          </cell>
          <cell r="CE441">
            <v>0</v>
          </cell>
          <cell r="CF441">
            <v>0</v>
          </cell>
          <cell r="CG441">
            <v>0</v>
          </cell>
          <cell r="CH441">
            <v>0</v>
          </cell>
          <cell r="CI441">
            <v>0</v>
          </cell>
          <cell r="CJ441">
            <v>0</v>
          </cell>
          <cell r="CK441">
            <v>0</v>
          </cell>
          <cell r="CL441">
            <v>0</v>
          </cell>
          <cell r="CM441">
            <v>0</v>
          </cell>
          <cell r="CN441">
            <v>0</v>
          </cell>
          <cell r="CO441">
            <v>0</v>
          </cell>
          <cell r="CP441">
            <v>0</v>
          </cell>
          <cell r="CQ441">
            <v>0</v>
          </cell>
          <cell r="CU441">
            <v>0</v>
          </cell>
          <cell r="CV441">
            <v>0</v>
          </cell>
          <cell r="CW441">
            <v>0</v>
          </cell>
          <cell r="CZ441" t="str">
            <v>s</v>
          </cell>
        </row>
        <row r="442">
          <cell r="A442" t="str">
            <v>PNI-50FT</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cell r="BM442">
            <v>0</v>
          </cell>
          <cell r="BN442">
            <v>0</v>
          </cell>
          <cell r="BO442">
            <v>0</v>
          </cell>
          <cell r="BP442">
            <v>0</v>
          </cell>
          <cell r="BQ442">
            <v>0</v>
          </cell>
          <cell r="BR442">
            <v>0</v>
          </cell>
          <cell r="BS442">
            <v>0</v>
          </cell>
          <cell r="BT442">
            <v>0</v>
          </cell>
          <cell r="BU442">
            <v>0</v>
          </cell>
          <cell r="BV442">
            <v>0</v>
          </cell>
          <cell r="BW442">
            <v>0</v>
          </cell>
          <cell r="BX442">
            <v>0</v>
          </cell>
          <cell r="BY442">
            <v>0</v>
          </cell>
          <cell r="BZ442">
            <v>0</v>
          </cell>
          <cell r="CA442">
            <v>0</v>
          </cell>
          <cell r="CB442">
            <v>0</v>
          </cell>
          <cell r="CC442">
            <v>0</v>
          </cell>
          <cell r="CD442">
            <v>0</v>
          </cell>
          <cell r="CE442">
            <v>0</v>
          </cell>
          <cell r="CF442">
            <v>0</v>
          </cell>
          <cell r="CG442">
            <v>0</v>
          </cell>
          <cell r="CH442">
            <v>0</v>
          </cell>
          <cell r="CI442">
            <v>0</v>
          </cell>
          <cell r="CJ442">
            <v>0</v>
          </cell>
          <cell r="CK442">
            <v>0</v>
          </cell>
          <cell r="CL442">
            <v>0</v>
          </cell>
          <cell r="CM442">
            <v>0</v>
          </cell>
          <cell r="CN442">
            <v>0</v>
          </cell>
          <cell r="CO442">
            <v>0</v>
          </cell>
          <cell r="CP442">
            <v>0</v>
          </cell>
          <cell r="CQ442">
            <v>0</v>
          </cell>
          <cell r="CU442">
            <v>0</v>
          </cell>
          <cell r="CV442">
            <v>0</v>
          </cell>
          <cell r="CW442">
            <v>0</v>
          </cell>
          <cell r="CZ442" t="str">
            <v>s</v>
          </cell>
        </row>
        <row r="443">
          <cell r="A443" t="str">
            <v>PNI-63FT</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cell r="BM443">
            <v>0</v>
          </cell>
          <cell r="BN443">
            <v>0</v>
          </cell>
          <cell r="BO443">
            <v>0</v>
          </cell>
          <cell r="BP443">
            <v>0</v>
          </cell>
          <cell r="BQ443">
            <v>0</v>
          </cell>
          <cell r="BR443">
            <v>0</v>
          </cell>
          <cell r="BS443">
            <v>0</v>
          </cell>
          <cell r="BT443">
            <v>0</v>
          </cell>
          <cell r="BU443">
            <v>0</v>
          </cell>
          <cell r="BV443">
            <v>0</v>
          </cell>
          <cell r="BW443">
            <v>0</v>
          </cell>
          <cell r="BX443">
            <v>0</v>
          </cell>
          <cell r="BY443">
            <v>0</v>
          </cell>
          <cell r="BZ443">
            <v>0</v>
          </cell>
          <cell r="CA443">
            <v>0</v>
          </cell>
          <cell r="CB443">
            <v>0</v>
          </cell>
          <cell r="CC443">
            <v>0</v>
          </cell>
          <cell r="CD443">
            <v>0</v>
          </cell>
          <cell r="CE443">
            <v>0</v>
          </cell>
          <cell r="CF443">
            <v>0</v>
          </cell>
          <cell r="CG443">
            <v>0</v>
          </cell>
          <cell r="CH443">
            <v>0</v>
          </cell>
          <cell r="CI443">
            <v>0</v>
          </cell>
          <cell r="CJ443">
            <v>0</v>
          </cell>
          <cell r="CK443">
            <v>0</v>
          </cell>
          <cell r="CL443">
            <v>0</v>
          </cell>
          <cell r="CM443">
            <v>0</v>
          </cell>
          <cell r="CN443">
            <v>0</v>
          </cell>
          <cell r="CO443">
            <v>0</v>
          </cell>
          <cell r="CP443">
            <v>0</v>
          </cell>
          <cell r="CQ443">
            <v>0</v>
          </cell>
          <cell r="CU443">
            <v>0</v>
          </cell>
          <cell r="CV443">
            <v>0</v>
          </cell>
          <cell r="CW443">
            <v>0</v>
          </cell>
          <cell r="CZ443" t="str">
            <v>s</v>
          </cell>
        </row>
        <row r="444">
          <cell r="A444" t="str">
            <v>PNI-75FT</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cell r="BM444">
            <v>0</v>
          </cell>
          <cell r="BN444">
            <v>0</v>
          </cell>
          <cell r="BO444">
            <v>0</v>
          </cell>
          <cell r="BP444">
            <v>0</v>
          </cell>
          <cell r="BQ444">
            <v>0</v>
          </cell>
          <cell r="BR444">
            <v>0</v>
          </cell>
          <cell r="BS444">
            <v>0</v>
          </cell>
          <cell r="BT444">
            <v>0</v>
          </cell>
          <cell r="BU444">
            <v>0</v>
          </cell>
          <cell r="BV444">
            <v>0</v>
          </cell>
          <cell r="BW444">
            <v>0</v>
          </cell>
          <cell r="BX444">
            <v>0</v>
          </cell>
          <cell r="BY444">
            <v>0</v>
          </cell>
          <cell r="BZ444">
            <v>0</v>
          </cell>
          <cell r="CA444">
            <v>0</v>
          </cell>
          <cell r="CB444">
            <v>0</v>
          </cell>
          <cell r="CC444">
            <v>0</v>
          </cell>
          <cell r="CD444">
            <v>0</v>
          </cell>
          <cell r="CE444">
            <v>0</v>
          </cell>
          <cell r="CF444">
            <v>0</v>
          </cell>
          <cell r="CG444">
            <v>0</v>
          </cell>
          <cell r="CH444">
            <v>0</v>
          </cell>
          <cell r="CI444">
            <v>0</v>
          </cell>
          <cell r="CJ444">
            <v>0</v>
          </cell>
          <cell r="CK444">
            <v>0</v>
          </cell>
          <cell r="CL444">
            <v>0</v>
          </cell>
          <cell r="CM444">
            <v>0</v>
          </cell>
          <cell r="CN444">
            <v>0</v>
          </cell>
          <cell r="CO444">
            <v>0</v>
          </cell>
          <cell r="CP444">
            <v>0</v>
          </cell>
          <cell r="CQ444">
            <v>0</v>
          </cell>
          <cell r="CU444">
            <v>0</v>
          </cell>
          <cell r="CV444">
            <v>0</v>
          </cell>
          <cell r="CW444">
            <v>0</v>
          </cell>
          <cell r="CZ444" t="str">
            <v>s</v>
          </cell>
        </row>
        <row r="445">
          <cell r="A445" t="str">
            <v>PNI-90FT</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cell r="BM445">
            <v>0</v>
          </cell>
          <cell r="BN445">
            <v>0</v>
          </cell>
          <cell r="BO445">
            <v>0</v>
          </cell>
          <cell r="BP445">
            <v>0</v>
          </cell>
          <cell r="BQ445">
            <v>0</v>
          </cell>
          <cell r="BR445">
            <v>0</v>
          </cell>
          <cell r="BS445">
            <v>0</v>
          </cell>
          <cell r="BT445">
            <v>0</v>
          </cell>
          <cell r="BU445">
            <v>0</v>
          </cell>
          <cell r="BV445">
            <v>0</v>
          </cell>
          <cell r="BW445">
            <v>0</v>
          </cell>
          <cell r="BX445">
            <v>0</v>
          </cell>
          <cell r="BY445">
            <v>0</v>
          </cell>
          <cell r="BZ445">
            <v>0</v>
          </cell>
          <cell r="CA445">
            <v>0</v>
          </cell>
          <cell r="CB445">
            <v>0</v>
          </cell>
          <cell r="CC445">
            <v>0</v>
          </cell>
          <cell r="CD445">
            <v>0</v>
          </cell>
          <cell r="CE445">
            <v>0</v>
          </cell>
          <cell r="CF445">
            <v>0</v>
          </cell>
          <cell r="CG445">
            <v>0</v>
          </cell>
          <cell r="CH445">
            <v>0</v>
          </cell>
          <cell r="CI445">
            <v>0</v>
          </cell>
          <cell r="CJ445">
            <v>0</v>
          </cell>
          <cell r="CK445">
            <v>0</v>
          </cell>
          <cell r="CL445">
            <v>0</v>
          </cell>
          <cell r="CM445">
            <v>0</v>
          </cell>
          <cell r="CN445">
            <v>0</v>
          </cell>
          <cell r="CO445">
            <v>0</v>
          </cell>
          <cell r="CP445">
            <v>0</v>
          </cell>
          <cell r="CQ445">
            <v>0</v>
          </cell>
          <cell r="CU445">
            <v>0</v>
          </cell>
          <cell r="CV445">
            <v>0</v>
          </cell>
          <cell r="CW445">
            <v>0</v>
          </cell>
          <cell r="CZ445" t="str">
            <v>s</v>
          </cell>
        </row>
        <row r="446">
          <cell r="A446" t="str">
            <v>PNI-20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cell r="BM446">
            <v>0</v>
          </cell>
          <cell r="BN446">
            <v>0</v>
          </cell>
          <cell r="BO446">
            <v>0</v>
          </cell>
          <cell r="BP446">
            <v>0</v>
          </cell>
          <cell r="BQ446">
            <v>0</v>
          </cell>
          <cell r="BR446">
            <v>0</v>
          </cell>
          <cell r="BS446">
            <v>0</v>
          </cell>
          <cell r="BT446">
            <v>0</v>
          </cell>
          <cell r="BU446">
            <v>0</v>
          </cell>
          <cell r="BV446">
            <v>0</v>
          </cell>
          <cell r="BW446">
            <v>0</v>
          </cell>
          <cell r="BX446">
            <v>0</v>
          </cell>
          <cell r="BY446">
            <v>0</v>
          </cell>
          <cell r="BZ446">
            <v>0</v>
          </cell>
          <cell r="CA446">
            <v>0</v>
          </cell>
          <cell r="CB446">
            <v>0</v>
          </cell>
          <cell r="CC446">
            <v>0</v>
          </cell>
          <cell r="CD446">
            <v>0</v>
          </cell>
          <cell r="CE446">
            <v>0</v>
          </cell>
          <cell r="CF446">
            <v>0</v>
          </cell>
          <cell r="CG446">
            <v>0</v>
          </cell>
          <cell r="CH446">
            <v>0</v>
          </cell>
          <cell r="CI446">
            <v>0</v>
          </cell>
          <cell r="CJ446">
            <v>0</v>
          </cell>
          <cell r="CK446">
            <v>0</v>
          </cell>
          <cell r="CL446">
            <v>0</v>
          </cell>
          <cell r="CM446">
            <v>0</v>
          </cell>
          <cell r="CN446">
            <v>0</v>
          </cell>
          <cell r="CO446">
            <v>0</v>
          </cell>
          <cell r="CP446">
            <v>0</v>
          </cell>
          <cell r="CQ446">
            <v>0</v>
          </cell>
          <cell r="CU446">
            <v>0</v>
          </cell>
          <cell r="CV446">
            <v>0</v>
          </cell>
          <cell r="CW446">
            <v>0</v>
          </cell>
          <cell r="CZ446" t="str">
            <v>s</v>
          </cell>
        </row>
        <row r="447">
          <cell r="A447" t="str">
            <v>PNI-25</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cell r="BM447">
            <v>0</v>
          </cell>
          <cell r="BN447">
            <v>0</v>
          </cell>
          <cell r="BO447">
            <v>0</v>
          </cell>
          <cell r="BP447">
            <v>0</v>
          </cell>
          <cell r="BQ447">
            <v>0</v>
          </cell>
          <cell r="BR447">
            <v>0</v>
          </cell>
          <cell r="BS447">
            <v>0</v>
          </cell>
          <cell r="BT447">
            <v>0</v>
          </cell>
          <cell r="BU447">
            <v>0</v>
          </cell>
          <cell r="BV447">
            <v>0</v>
          </cell>
          <cell r="BW447">
            <v>0</v>
          </cell>
          <cell r="BX447">
            <v>0</v>
          </cell>
          <cell r="BY447">
            <v>0</v>
          </cell>
          <cell r="BZ447">
            <v>0</v>
          </cell>
          <cell r="CA447">
            <v>0</v>
          </cell>
          <cell r="CB447">
            <v>0</v>
          </cell>
          <cell r="CC447">
            <v>0</v>
          </cell>
          <cell r="CD447">
            <v>0</v>
          </cell>
          <cell r="CE447">
            <v>0</v>
          </cell>
          <cell r="CF447">
            <v>0</v>
          </cell>
          <cell r="CG447">
            <v>0</v>
          </cell>
          <cell r="CH447">
            <v>0</v>
          </cell>
          <cell r="CI447">
            <v>0</v>
          </cell>
          <cell r="CJ447">
            <v>0</v>
          </cell>
          <cell r="CK447">
            <v>0</v>
          </cell>
          <cell r="CL447">
            <v>0</v>
          </cell>
          <cell r="CM447">
            <v>0</v>
          </cell>
          <cell r="CN447">
            <v>0</v>
          </cell>
          <cell r="CO447">
            <v>0</v>
          </cell>
          <cell r="CP447">
            <v>0</v>
          </cell>
          <cell r="CQ447">
            <v>0</v>
          </cell>
          <cell r="CU447">
            <v>0</v>
          </cell>
          <cell r="CV447">
            <v>0</v>
          </cell>
          <cell r="CW447">
            <v>0</v>
          </cell>
          <cell r="CZ447" t="str">
            <v>s</v>
          </cell>
        </row>
        <row r="448">
          <cell r="A448" t="str">
            <v>PNI-32</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cell r="BM448">
            <v>0</v>
          </cell>
          <cell r="BN448">
            <v>0</v>
          </cell>
          <cell r="BO448">
            <v>0</v>
          </cell>
          <cell r="BP448">
            <v>0</v>
          </cell>
          <cell r="BQ448">
            <v>0</v>
          </cell>
          <cell r="BR448">
            <v>0</v>
          </cell>
          <cell r="BS448">
            <v>0</v>
          </cell>
          <cell r="BT448">
            <v>0</v>
          </cell>
          <cell r="BU448">
            <v>0</v>
          </cell>
          <cell r="BV448">
            <v>0</v>
          </cell>
          <cell r="BW448">
            <v>0</v>
          </cell>
          <cell r="BX448">
            <v>0</v>
          </cell>
          <cell r="BY448">
            <v>0</v>
          </cell>
          <cell r="BZ448">
            <v>0</v>
          </cell>
          <cell r="CA448">
            <v>0</v>
          </cell>
          <cell r="CB448">
            <v>0</v>
          </cell>
          <cell r="CC448">
            <v>0</v>
          </cell>
          <cell r="CD448">
            <v>0</v>
          </cell>
          <cell r="CE448">
            <v>0</v>
          </cell>
          <cell r="CF448">
            <v>0</v>
          </cell>
          <cell r="CG448">
            <v>0</v>
          </cell>
          <cell r="CH448">
            <v>0</v>
          </cell>
          <cell r="CI448">
            <v>0</v>
          </cell>
          <cell r="CJ448">
            <v>0</v>
          </cell>
          <cell r="CK448">
            <v>0</v>
          </cell>
          <cell r="CL448">
            <v>0</v>
          </cell>
          <cell r="CM448">
            <v>0</v>
          </cell>
          <cell r="CN448">
            <v>0</v>
          </cell>
          <cell r="CO448">
            <v>0</v>
          </cell>
          <cell r="CP448">
            <v>0</v>
          </cell>
          <cell r="CQ448">
            <v>0</v>
          </cell>
          <cell r="CU448">
            <v>0</v>
          </cell>
          <cell r="CV448">
            <v>0</v>
          </cell>
          <cell r="CW448">
            <v>0</v>
          </cell>
          <cell r="CZ448" t="str">
            <v>s</v>
          </cell>
        </row>
        <row r="449">
          <cell r="A449" t="str">
            <v>PNI-40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cell r="BM449">
            <v>0</v>
          </cell>
          <cell r="BN449">
            <v>0</v>
          </cell>
          <cell r="BO449">
            <v>0</v>
          </cell>
          <cell r="BP449">
            <v>0</v>
          </cell>
          <cell r="BQ449">
            <v>0</v>
          </cell>
          <cell r="BR449">
            <v>0</v>
          </cell>
          <cell r="BS449">
            <v>0</v>
          </cell>
          <cell r="BT449">
            <v>0</v>
          </cell>
          <cell r="BU449">
            <v>0</v>
          </cell>
          <cell r="BV449">
            <v>0</v>
          </cell>
          <cell r="BW449">
            <v>0</v>
          </cell>
          <cell r="BX449">
            <v>0</v>
          </cell>
          <cell r="BY449">
            <v>0</v>
          </cell>
          <cell r="BZ449">
            <v>0</v>
          </cell>
          <cell r="CA449">
            <v>0</v>
          </cell>
          <cell r="CB449">
            <v>0</v>
          </cell>
          <cell r="CC449">
            <v>0</v>
          </cell>
          <cell r="CD449">
            <v>0</v>
          </cell>
          <cell r="CE449">
            <v>0</v>
          </cell>
          <cell r="CF449">
            <v>0</v>
          </cell>
          <cell r="CG449">
            <v>0</v>
          </cell>
          <cell r="CH449">
            <v>0</v>
          </cell>
          <cell r="CI449">
            <v>0</v>
          </cell>
          <cell r="CJ449">
            <v>0</v>
          </cell>
          <cell r="CK449">
            <v>0</v>
          </cell>
          <cell r="CL449">
            <v>0</v>
          </cell>
          <cell r="CM449">
            <v>0</v>
          </cell>
          <cell r="CN449">
            <v>0</v>
          </cell>
          <cell r="CO449">
            <v>0</v>
          </cell>
          <cell r="CP449">
            <v>0</v>
          </cell>
          <cell r="CQ449">
            <v>0</v>
          </cell>
          <cell r="CU449">
            <v>0</v>
          </cell>
          <cell r="CV449">
            <v>0</v>
          </cell>
          <cell r="CW449">
            <v>0</v>
          </cell>
          <cell r="CZ449" t="str">
            <v>s</v>
          </cell>
        </row>
        <row r="450">
          <cell r="A450" t="str">
            <v>PNI-50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cell r="BM450">
            <v>0</v>
          </cell>
          <cell r="BN450">
            <v>0</v>
          </cell>
          <cell r="BO450">
            <v>0</v>
          </cell>
          <cell r="BP450">
            <v>0</v>
          </cell>
          <cell r="BQ450">
            <v>0</v>
          </cell>
          <cell r="BR450">
            <v>0</v>
          </cell>
          <cell r="BS450">
            <v>0</v>
          </cell>
          <cell r="BT450">
            <v>0</v>
          </cell>
          <cell r="BU450">
            <v>0</v>
          </cell>
          <cell r="BV450">
            <v>0</v>
          </cell>
          <cell r="BW450">
            <v>0</v>
          </cell>
          <cell r="BX450">
            <v>0</v>
          </cell>
          <cell r="BY450">
            <v>0</v>
          </cell>
          <cell r="BZ450">
            <v>0</v>
          </cell>
          <cell r="CA450">
            <v>0</v>
          </cell>
          <cell r="CB450">
            <v>0</v>
          </cell>
          <cell r="CC450">
            <v>0</v>
          </cell>
          <cell r="CD450">
            <v>0</v>
          </cell>
          <cell r="CE450">
            <v>0</v>
          </cell>
          <cell r="CF450">
            <v>0</v>
          </cell>
          <cell r="CG450">
            <v>0</v>
          </cell>
          <cell r="CH450">
            <v>0</v>
          </cell>
          <cell r="CI450">
            <v>0</v>
          </cell>
          <cell r="CJ450">
            <v>0</v>
          </cell>
          <cell r="CK450">
            <v>0</v>
          </cell>
          <cell r="CL450">
            <v>0</v>
          </cell>
          <cell r="CM450">
            <v>0</v>
          </cell>
          <cell r="CN450">
            <v>0</v>
          </cell>
          <cell r="CO450">
            <v>0</v>
          </cell>
          <cell r="CP450">
            <v>0</v>
          </cell>
          <cell r="CQ450">
            <v>0</v>
          </cell>
          <cell r="CU450">
            <v>0</v>
          </cell>
          <cell r="CV450">
            <v>0</v>
          </cell>
          <cell r="CW450">
            <v>0</v>
          </cell>
          <cell r="CZ450" t="str">
            <v>s</v>
          </cell>
        </row>
        <row r="451">
          <cell r="A451" t="str">
            <v>PNI-63</v>
          </cell>
          <cell r="G451">
            <v>0</v>
          </cell>
          <cell r="H451">
            <v>0</v>
          </cell>
          <cell r="I451">
            <v>0</v>
          </cell>
          <cell r="J451">
            <v>0</v>
          </cell>
          <cell r="K451">
            <v>0</v>
          </cell>
          <cell r="L451">
            <v>0</v>
          </cell>
          <cell r="M451">
            <v>0</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cell r="BM451">
            <v>0</v>
          </cell>
          <cell r="BN451">
            <v>0</v>
          </cell>
          <cell r="BO451">
            <v>0</v>
          </cell>
          <cell r="BP451">
            <v>0</v>
          </cell>
          <cell r="BQ451">
            <v>0</v>
          </cell>
          <cell r="BR451">
            <v>0</v>
          </cell>
          <cell r="BS451">
            <v>0</v>
          </cell>
          <cell r="BT451">
            <v>0</v>
          </cell>
          <cell r="BU451">
            <v>0</v>
          </cell>
          <cell r="BV451">
            <v>0</v>
          </cell>
          <cell r="BW451">
            <v>0</v>
          </cell>
          <cell r="BX451">
            <v>0</v>
          </cell>
          <cell r="BY451">
            <v>0</v>
          </cell>
          <cell r="BZ451">
            <v>0</v>
          </cell>
          <cell r="CA451">
            <v>0</v>
          </cell>
          <cell r="CB451">
            <v>0</v>
          </cell>
          <cell r="CC451">
            <v>0</v>
          </cell>
          <cell r="CD451">
            <v>0</v>
          </cell>
          <cell r="CE451">
            <v>0</v>
          </cell>
          <cell r="CF451">
            <v>0</v>
          </cell>
          <cell r="CG451">
            <v>0</v>
          </cell>
          <cell r="CH451">
            <v>0</v>
          </cell>
          <cell r="CI451">
            <v>0</v>
          </cell>
          <cell r="CJ451">
            <v>0</v>
          </cell>
          <cell r="CK451">
            <v>0</v>
          </cell>
          <cell r="CL451">
            <v>0</v>
          </cell>
          <cell r="CM451">
            <v>0</v>
          </cell>
          <cell r="CN451">
            <v>0</v>
          </cell>
          <cell r="CO451">
            <v>0</v>
          </cell>
          <cell r="CP451">
            <v>0</v>
          </cell>
          <cell r="CQ451">
            <v>0</v>
          </cell>
          <cell r="CU451">
            <v>0</v>
          </cell>
          <cell r="CV451">
            <v>0</v>
          </cell>
          <cell r="CW451">
            <v>0</v>
          </cell>
          <cell r="CZ451" t="str">
            <v>s</v>
          </cell>
        </row>
        <row r="452">
          <cell r="A452" t="str">
            <v>PNI-75</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cell r="BM452">
            <v>0</v>
          </cell>
          <cell r="BN452">
            <v>0</v>
          </cell>
          <cell r="BO452">
            <v>0</v>
          </cell>
          <cell r="BP452">
            <v>0</v>
          </cell>
          <cell r="BQ452">
            <v>0</v>
          </cell>
          <cell r="BR452">
            <v>0</v>
          </cell>
          <cell r="BS452">
            <v>0</v>
          </cell>
          <cell r="BT452">
            <v>0</v>
          </cell>
          <cell r="BU452">
            <v>0</v>
          </cell>
          <cell r="BV452">
            <v>0</v>
          </cell>
          <cell r="BW452">
            <v>0</v>
          </cell>
          <cell r="BX452">
            <v>0</v>
          </cell>
          <cell r="BY452">
            <v>0</v>
          </cell>
          <cell r="BZ452">
            <v>0</v>
          </cell>
          <cell r="CA452">
            <v>0</v>
          </cell>
          <cell r="CB452">
            <v>0</v>
          </cell>
          <cell r="CC452">
            <v>0</v>
          </cell>
          <cell r="CD452">
            <v>0</v>
          </cell>
          <cell r="CE452">
            <v>0</v>
          </cell>
          <cell r="CF452">
            <v>0</v>
          </cell>
          <cell r="CG452">
            <v>0</v>
          </cell>
          <cell r="CH452">
            <v>0</v>
          </cell>
          <cell r="CI452">
            <v>0</v>
          </cell>
          <cell r="CJ452">
            <v>0</v>
          </cell>
          <cell r="CK452">
            <v>0</v>
          </cell>
          <cell r="CL452">
            <v>0</v>
          </cell>
          <cell r="CM452">
            <v>0</v>
          </cell>
          <cell r="CN452">
            <v>0</v>
          </cell>
          <cell r="CO452">
            <v>0</v>
          </cell>
          <cell r="CP452">
            <v>0</v>
          </cell>
          <cell r="CQ452">
            <v>0</v>
          </cell>
          <cell r="CU452">
            <v>0</v>
          </cell>
          <cell r="CV452">
            <v>0</v>
          </cell>
          <cell r="CW452">
            <v>0</v>
          </cell>
          <cell r="CZ452" t="str">
            <v>s</v>
          </cell>
        </row>
        <row r="453">
          <cell r="A453" t="str">
            <v>PNI-90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cell r="BM453">
            <v>0</v>
          </cell>
          <cell r="BN453">
            <v>0</v>
          </cell>
          <cell r="BO453">
            <v>0</v>
          </cell>
          <cell r="BP453">
            <v>0</v>
          </cell>
          <cell r="BQ453">
            <v>0</v>
          </cell>
          <cell r="BR453">
            <v>0</v>
          </cell>
          <cell r="BS453">
            <v>0</v>
          </cell>
          <cell r="BT453">
            <v>0</v>
          </cell>
          <cell r="BU453">
            <v>0</v>
          </cell>
          <cell r="BV453">
            <v>0</v>
          </cell>
          <cell r="BW453">
            <v>0</v>
          </cell>
          <cell r="BX453">
            <v>0</v>
          </cell>
          <cell r="BY453">
            <v>0</v>
          </cell>
          <cell r="BZ453">
            <v>0</v>
          </cell>
          <cell r="CA453">
            <v>0</v>
          </cell>
          <cell r="CB453">
            <v>0</v>
          </cell>
          <cell r="CC453">
            <v>0</v>
          </cell>
          <cell r="CD453">
            <v>0</v>
          </cell>
          <cell r="CE453">
            <v>0</v>
          </cell>
          <cell r="CF453">
            <v>0</v>
          </cell>
          <cell r="CG453">
            <v>0</v>
          </cell>
          <cell r="CH453">
            <v>0</v>
          </cell>
          <cell r="CI453">
            <v>0</v>
          </cell>
          <cell r="CJ453">
            <v>0</v>
          </cell>
          <cell r="CK453">
            <v>0</v>
          </cell>
          <cell r="CL453">
            <v>0</v>
          </cell>
          <cell r="CM453">
            <v>0</v>
          </cell>
          <cell r="CN453">
            <v>0</v>
          </cell>
          <cell r="CO453">
            <v>0</v>
          </cell>
          <cell r="CP453">
            <v>0</v>
          </cell>
          <cell r="CQ453">
            <v>0</v>
          </cell>
          <cell r="CU453">
            <v>0</v>
          </cell>
          <cell r="CV453">
            <v>0</v>
          </cell>
          <cell r="CW453">
            <v>0</v>
          </cell>
          <cell r="CZ453" t="str">
            <v>s</v>
          </cell>
        </row>
        <row r="454">
          <cell r="A454" t="str">
            <v>PNI25-20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cell r="BM454">
            <v>0</v>
          </cell>
          <cell r="BN454">
            <v>0</v>
          </cell>
          <cell r="BO454">
            <v>0</v>
          </cell>
          <cell r="BP454">
            <v>0</v>
          </cell>
          <cell r="BQ454">
            <v>0</v>
          </cell>
          <cell r="BR454">
            <v>0</v>
          </cell>
          <cell r="BS454">
            <v>0</v>
          </cell>
          <cell r="BT454">
            <v>0</v>
          </cell>
          <cell r="BU454">
            <v>0</v>
          </cell>
          <cell r="BV454">
            <v>0</v>
          </cell>
          <cell r="BW454">
            <v>0</v>
          </cell>
          <cell r="BX454">
            <v>0</v>
          </cell>
          <cell r="BY454">
            <v>0</v>
          </cell>
          <cell r="BZ454">
            <v>0</v>
          </cell>
          <cell r="CA454">
            <v>0</v>
          </cell>
          <cell r="CB454">
            <v>0</v>
          </cell>
          <cell r="CC454">
            <v>0</v>
          </cell>
          <cell r="CD454">
            <v>0</v>
          </cell>
          <cell r="CE454">
            <v>0</v>
          </cell>
          <cell r="CF454">
            <v>0</v>
          </cell>
          <cell r="CG454">
            <v>0</v>
          </cell>
          <cell r="CH454">
            <v>0</v>
          </cell>
          <cell r="CI454">
            <v>0</v>
          </cell>
          <cell r="CJ454">
            <v>0</v>
          </cell>
          <cell r="CK454">
            <v>0</v>
          </cell>
          <cell r="CL454">
            <v>0</v>
          </cell>
          <cell r="CM454">
            <v>0</v>
          </cell>
          <cell r="CN454">
            <v>0</v>
          </cell>
          <cell r="CO454">
            <v>0</v>
          </cell>
          <cell r="CP454">
            <v>0</v>
          </cell>
          <cell r="CQ454">
            <v>0</v>
          </cell>
          <cell r="CU454">
            <v>0</v>
          </cell>
          <cell r="CV454">
            <v>0</v>
          </cell>
          <cell r="CW454">
            <v>0</v>
          </cell>
          <cell r="CZ454" t="str">
            <v>s</v>
          </cell>
        </row>
        <row r="455">
          <cell r="A455" t="str">
            <v>PNI25-25</v>
          </cell>
          <cell r="G455">
            <v>0</v>
          </cell>
          <cell r="H455">
            <v>0</v>
          </cell>
          <cell r="I455">
            <v>0</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cell r="BM455">
            <v>0</v>
          </cell>
          <cell r="BN455">
            <v>0</v>
          </cell>
          <cell r="BO455">
            <v>0</v>
          </cell>
          <cell r="BP455">
            <v>0</v>
          </cell>
          <cell r="BQ455">
            <v>0</v>
          </cell>
          <cell r="BR455">
            <v>0</v>
          </cell>
          <cell r="BS455">
            <v>0</v>
          </cell>
          <cell r="BT455">
            <v>0</v>
          </cell>
          <cell r="BU455">
            <v>0</v>
          </cell>
          <cell r="BV455">
            <v>0</v>
          </cell>
          <cell r="BW455">
            <v>0</v>
          </cell>
          <cell r="BX455">
            <v>0</v>
          </cell>
          <cell r="BY455">
            <v>0</v>
          </cell>
          <cell r="BZ455">
            <v>0</v>
          </cell>
          <cell r="CA455">
            <v>0</v>
          </cell>
          <cell r="CB455">
            <v>0</v>
          </cell>
          <cell r="CC455">
            <v>0</v>
          </cell>
          <cell r="CD455">
            <v>0</v>
          </cell>
          <cell r="CE455">
            <v>0</v>
          </cell>
          <cell r="CF455">
            <v>0</v>
          </cell>
          <cell r="CG455">
            <v>0</v>
          </cell>
          <cell r="CH455">
            <v>0</v>
          </cell>
          <cell r="CI455">
            <v>0</v>
          </cell>
          <cell r="CJ455">
            <v>0</v>
          </cell>
          <cell r="CK455">
            <v>0</v>
          </cell>
          <cell r="CL455">
            <v>0</v>
          </cell>
          <cell r="CM455">
            <v>0</v>
          </cell>
          <cell r="CN455">
            <v>0</v>
          </cell>
          <cell r="CO455">
            <v>0</v>
          </cell>
          <cell r="CP455">
            <v>0</v>
          </cell>
          <cell r="CQ455">
            <v>0</v>
          </cell>
          <cell r="CU455">
            <v>0</v>
          </cell>
          <cell r="CV455">
            <v>0</v>
          </cell>
          <cell r="CW455">
            <v>0</v>
          </cell>
          <cell r="CZ455" t="str">
            <v>s</v>
          </cell>
        </row>
        <row r="456">
          <cell r="A456" t="str">
            <v>PNI25-32</v>
          </cell>
          <cell r="G456">
            <v>0</v>
          </cell>
          <cell r="H456">
            <v>0</v>
          </cell>
          <cell r="I456">
            <v>0</v>
          </cell>
          <cell r="J456">
            <v>0</v>
          </cell>
          <cell r="K456">
            <v>0</v>
          </cell>
          <cell r="L456">
            <v>0</v>
          </cell>
          <cell r="M456">
            <v>0</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cell r="BM456">
            <v>0</v>
          </cell>
          <cell r="BN456">
            <v>0</v>
          </cell>
          <cell r="BO456">
            <v>0</v>
          </cell>
          <cell r="BP456">
            <v>0</v>
          </cell>
          <cell r="BQ456">
            <v>0</v>
          </cell>
          <cell r="BR456">
            <v>0</v>
          </cell>
          <cell r="BS456">
            <v>0</v>
          </cell>
          <cell r="BT456">
            <v>0</v>
          </cell>
          <cell r="BU456">
            <v>0</v>
          </cell>
          <cell r="BV456">
            <v>0</v>
          </cell>
          <cell r="BW456">
            <v>0</v>
          </cell>
          <cell r="BX456">
            <v>0</v>
          </cell>
          <cell r="BY456">
            <v>0</v>
          </cell>
          <cell r="BZ456">
            <v>0</v>
          </cell>
          <cell r="CA456">
            <v>0</v>
          </cell>
          <cell r="CB456">
            <v>0</v>
          </cell>
          <cell r="CC456">
            <v>0</v>
          </cell>
          <cell r="CD456">
            <v>0</v>
          </cell>
          <cell r="CE456">
            <v>0</v>
          </cell>
          <cell r="CF456">
            <v>0</v>
          </cell>
          <cell r="CG456">
            <v>0</v>
          </cell>
          <cell r="CH456">
            <v>0</v>
          </cell>
          <cell r="CI456">
            <v>0</v>
          </cell>
          <cell r="CJ456">
            <v>0</v>
          </cell>
          <cell r="CK456">
            <v>0</v>
          </cell>
          <cell r="CL456">
            <v>0</v>
          </cell>
          <cell r="CM456">
            <v>0</v>
          </cell>
          <cell r="CN456">
            <v>0</v>
          </cell>
          <cell r="CO456">
            <v>0</v>
          </cell>
          <cell r="CP456">
            <v>0</v>
          </cell>
          <cell r="CQ456">
            <v>0</v>
          </cell>
          <cell r="CU456">
            <v>0</v>
          </cell>
          <cell r="CV456">
            <v>0</v>
          </cell>
          <cell r="CW456">
            <v>0</v>
          </cell>
          <cell r="CZ456" t="str">
            <v>s</v>
          </cell>
        </row>
        <row r="457">
          <cell r="A457" t="str">
            <v>PNI25-40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cell r="BM457">
            <v>0</v>
          </cell>
          <cell r="BN457">
            <v>0</v>
          </cell>
          <cell r="BO457">
            <v>0</v>
          </cell>
          <cell r="BP457">
            <v>0</v>
          </cell>
          <cell r="BQ457">
            <v>0</v>
          </cell>
          <cell r="BR457">
            <v>0</v>
          </cell>
          <cell r="BS457">
            <v>0</v>
          </cell>
          <cell r="BT457">
            <v>0</v>
          </cell>
          <cell r="BU457">
            <v>0</v>
          </cell>
          <cell r="BV457">
            <v>0</v>
          </cell>
          <cell r="BW457">
            <v>0</v>
          </cell>
          <cell r="BX457">
            <v>0</v>
          </cell>
          <cell r="BY457">
            <v>0</v>
          </cell>
          <cell r="BZ457">
            <v>0</v>
          </cell>
          <cell r="CA457">
            <v>0</v>
          </cell>
          <cell r="CB457">
            <v>0</v>
          </cell>
          <cell r="CC457">
            <v>0</v>
          </cell>
          <cell r="CD457">
            <v>0</v>
          </cell>
          <cell r="CE457">
            <v>0</v>
          </cell>
          <cell r="CF457">
            <v>0</v>
          </cell>
          <cell r="CG457">
            <v>0</v>
          </cell>
          <cell r="CH457">
            <v>0</v>
          </cell>
          <cell r="CI457">
            <v>0</v>
          </cell>
          <cell r="CJ457">
            <v>0</v>
          </cell>
          <cell r="CK457">
            <v>0</v>
          </cell>
          <cell r="CL457">
            <v>0</v>
          </cell>
          <cell r="CM457">
            <v>0</v>
          </cell>
          <cell r="CN457">
            <v>0</v>
          </cell>
          <cell r="CO457">
            <v>0</v>
          </cell>
          <cell r="CP457">
            <v>0</v>
          </cell>
          <cell r="CQ457">
            <v>0</v>
          </cell>
          <cell r="CU457">
            <v>0</v>
          </cell>
          <cell r="CV457">
            <v>0</v>
          </cell>
          <cell r="CW457">
            <v>0</v>
          </cell>
          <cell r="CZ457" t="str">
            <v>s</v>
          </cell>
        </row>
        <row r="458">
          <cell r="A458" t="str">
            <v>PNI25-50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cell r="BM458">
            <v>0</v>
          </cell>
          <cell r="BN458">
            <v>0</v>
          </cell>
          <cell r="BO458">
            <v>0</v>
          </cell>
          <cell r="BP458">
            <v>0</v>
          </cell>
          <cell r="BQ458">
            <v>0</v>
          </cell>
          <cell r="BR458">
            <v>0</v>
          </cell>
          <cell r="BS458">
            <v>0</v>
          </cell>
          <cell r="BT458">
            <v>0</v>
          </cell>
          <cell r="BU458">
            <v>0</v>
          </cell>
          <cell r="BV458">
            <v>0</v>
          </cell>
          <cell r="BW458">
            <v>0</v>
          </cell>
          <cell r="BX458">
            <v>0</v>
          </cell>
          <cell r="BY458">
            <v>0</v>
          </cell>
          <cell r="BZ458">
            <v>0</v>
          </cell>
          <cell r="CA458">
            <v>0</v>
          </cell>
          <cell r="CB458">
            <v>0</v>
          </cell>
          <cell r="CC458">
            <v>0</v>
          </cell>
          <cell r="CD458">
            <v>0</v>
          </cell>
          <cell r="CE458">
            <v>0</v>
          </cell>
          <cell r="CF458">
            <v>0</v>
          </cell>
          <cell r="CG458">
            <v>0</v>
          </cell>
          <cell r="CH458">
            <v>0</v>
          </cell>
          <cell r="CI458">
            <v>0</v>
          </cell>
          <cell r="CJ458">
            <v>0</v>
          </cell>
          <cell r="CK458">
            <v>0</v>
          </cell>
          <cell r="CL458">
            <v>0</v>
          </cell>
          <cell r="CM458">
            <v>0</v>
          </cell>
          <cell r="CN458">
            <v>0</v>
          </cell>
          <cell r="CO458">
            <v>0</v>
          </cell>
          <cell r="CP458">
            <v>0</v>
          </cell>
          <cell r="CQ458">
            <v>0</v>
          </cell>
          <cell r="CU458">
            <v>0</v>
          </cell>
          <cell r="CV458">
            <v>0</v>
          </cell>
          <cell r="CW458">
            <v>0</v>
          </cell>
          <cell r="CZ458" t="str">
            <v>s</v>
          </cell>
        </row>
        <row r="459">
          <cell r="A459" t="str">
            <v>PNI25-63</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cell r="BM459">
            <v>0</v>
          </cell>
          <cell r="BN459">
            <v>0</v>
          </cell>
          <cell r="BO459">
            <v>0</v>
          </cell>
          <cell r="BP459">
            <v>0</v>
          </cell>
          <cell r="BQ459">
            <v>0</v>
          </cell>
          <cell r="BR459">
            <v>0</v>
          </cell>
          <cell r="BS459">
            <v>0</v>
          </cell>
          <cell r="BT459">
            <v>0</v>
          </cell>
          <cell r="BU459">
            <v>0</v>
          </cell>
          <cell r="BV459">
            <v>0</v>
          </cell>
          <cell r="BW459">
            <v>0</v>
          </cell>
          <cell r="BX459">
            <v>0</v>
          </cell>
          <cell r="BY459">
            <v>0</v>
          </cell>
          <cell r="BZ459">
            <v>0</v>
          </cell>
          <cell r="CA459">
            <v>0</v>
          </cell>
          <cell r="CB459">
            <v>0</v>
          </cell>
          <cell r="CC459">
            <v>0</v>
          </cell>
          <cell r="CD459">
            <v>0</v>
          </cell>
          <cell r="CE459">
            <v>0</v>
          </cell>
          <cell r="CF459">
            <v>0</v>
          </cell>
          <cell r="CG459">
            <v>0</v>
          </cell>
          <cell r="CH459">
            <v>0</v>
          </cell>
          <cell r="CI459">
            <v>0</v>
          </cell>
          <cell r="CJ459">
            <v>0</v>
          </cell>
          <cell r="CK459">
            <v>0</v>
          </cell>
          <cell r="CL459">
            <v>0</v>
          </cell>
          <cell r="CM459">
            <v>0</v>
          </cell>
          <cell r="CN459">
            <v>0</v>
          </cell>
          <cell r="CO459">
            <v>0</v>
          </cell>
          <cell r="CP459">
            <v>0</v>
          </cell>
          <cell r="CQ459">
            <v>0</v>
          </cell>
          <cell r="CU459">
            <v>0</v>
          </cell>
          <cell r="CV459">
            <v>0</v>
          </cell>
          <cell r="CW459">
            <v>0</v>
          </cell>
          <cell r="CZ459" t="str">
            <v>s</v>
          </cell>
        </row>
        <row r="460">
          <cell r="A460" t="str">
            <v>PNI25-75</v>
          </cell>
          <cell r="G460">
            <v>0</v>
          </cell>
          <cell r="H460">
            <v>0</v>
          </cell>
          <cell r="I460">
            <v>0</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cell r="BM460">
            <v>0</v>
          </cell>
          <cell r="BN460">
            <v>0</v>
          </cell>
          <cell r="BO460">
            <v>0</v>
          </cell>
          <cell r="BP460">
            <v>0</v>
          </cell>
          <cell r="BQ460">
            <v>0</v>
          </cell>
          <cell r="BR460">
            <v>0</v>
          </cell>
          <cell r="BS460">
            <v>0</v>
          </cell>
          <cell r="BT460">
            <v>0</v>
          </cell>
          <cell r="BU460">
            <v>0</v>
          </cell>
          <cell r="BV460">
            <v>0</v>
          </cell>
          <cell r="BW460">
            <v>0</v>
          </cell>
          <cell r="BX460">
            <v>0</v>
          </cell>
          <cell r="BY460">
            <v>0</v>
          </cell>
          <cell r="BZ460">
            <v>0</v>
          </cell>
          <cell r="CA460">
            <v>0</v>
          </cell>
          <cell r="CB460">
            <v>0</v>
          </cell>
          <cell r="CC460">
            <v>0</v>
          </cell>
          <cell r="CD460">
            <v>0</v>
          </cell>
          <cell r="CE460">
            <v>0</v>
          </cell>
          <cell r="CF460">
            <v>0</v>
          </cell>
          <cell r="CG460">
            <v>0</v>
          </cell>
          <cell r="CH460">
            <v>0</v>
          </cell>
          <cell r="CI460">
            <v>0</v>
          </cell>
          <cell r="CJ460">
            <v>0</v>
          </cell>
          <cell r="CK460">
            <v>0</v>
          </cell>
          <cell r="CL460">
            <v>0</v>
          </cell>
          <cell r="CM460">
            <v>0</v>
          </cell>
          <cell r="CN460">
            <v>0</v>
          </cell>
          <cell r="CO460">
            <v>0</v>
          </cell>
          <cell r="CP460">
            <v>0</v>
          </cell>
          <cell r="CQ460">
            <v>0</v>
          </cell>
          <cell r="CU460">
            <v>0</v>
          </cell>
          <cell r="CV460">
            <v>0</v>
          </cell>
          <cell r="CW460">
            <v>0</v>
          </cell>
          <cell r="CZ460" t="str">
            <v>s</v>
          </cell>
        </row>
        <row r="461">
          <cell r="A461" t="str">
            <v>PNI25-90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cell r="BM461">
            <v>0</v>
          </cell>
          <cell r="BN461">
            <v>0</v>
          </cell>
          <cell r="BO461">
            <v>0</v>
          </cell>
          <cell r="BP461">
            <v>0</v>
          </cell>
          <cell r="BQ461">
            <v>0</v>
          </cell>
          <cell r="BR461">
            <v>0</v>
          </cell>
          <cell r="BS461">
            <v>0</v>
          </cell>
          <cell r="BT461">
            <v>0</v>
          </cell>
          <cell r="BU461">
            <v>0</v>
          </cell>
          <cell r="BV461">
            <v>0</v>
          </cell>
          <cell r="BW461">
            <v>0</v>
          </cell>
          <cell r="BX461">
            <v>0</v>
          </cell>
          <cell r="BY461">
            <v>0</v>
          </cell>
          <cell r="BZ461">
            <v>0</v>
          </cell>
          <cell r="CA461">
            <v>0</v>
          </cell>
          <cell r="CB461">
            <v>0</v>
          </cell>
          <cell r="CC461">
            <v>0</v>
          </cell>
          <cell r="CD461">
            <v>0</v>
          </cell>
          <cell r="CE461">
            <v>0</v>
          </cell>
          <cell r="CF461">
            <v>0</v>
          </cell>
          <cell r="CG461">
            <v>0</v>
          </cell>
          <cell r="CH461">
            <v>0</v>
          </cell>
          <cell r="CI461">
            <v>0</v>
          </cell>
          <cell r="CJ461">
            <v>0</v>
          </cell>
          <cell r="CK461">
            <v>0</v>
          </cell>
          <cell r="CL461">
            <v>0</v>
          </cell>
          <cell r="CM461">
            <v>0</v>
          </cell>
          <cell r="CN461">
            <v>0</v>
          </cell>
          <cell r="CO461">
            <v>0</v>
          </cell>
          <cell r="CP461">
            <v>0</v>
          </cell>
          <cell r="CQ461">
            <v>0</v>
          </cell>
          <cell r="CU461">
            <v>0</v>
          </cell>
          <cell r="CV461">
            <v>0</v>
          </cell>
          <cell r="CW461">
            <v>0</v>
          </cell>
          <cell r="CZ461" t="str">
            <v>s</v>
          </cell>
        </row>
        <row r="462">
          <cell r="A462" t="str">
            <v>PEC-20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cell r="BM462">
            <v>0</v>
          </cell>
          <cell r="BN462">
            <v>0</v>
          </cell>
          <cell r="BO462">
            <v>0</v>
          </cell>
          <cell r="BP462">
            <v>0</v>
          </cell>
          <cell r="BQ462">
            <v>0</v>
          </cell>
          <cell r="BR462">
            <v>0</v>
          </cell>
          <cell r="BS462">
            <v>0</v>
          </cell>
          <cell r="BT462">
            <v>0</v>
          </cell>
          <cell r="BU462">
            <v>0</v>
          </cell>
          <cell r="BV462">
            <v>0</v>
          </cell>
          <cell r="BW462">
            <v>0</v>
          </cell>
          <cell r="BX462">
            <v>0</v>
          </cell>
          <cell r="BY462">
            <v>0</v>
          </cell>
          <cell r="BZ462">
            <v>0</v>
          </cell>
          <cell r="CA462">
            <v>0</v>
          </cell>
          <cell r="CB462">
            <v>0</v>
          </cell>
          <cell r="CC462">
            <v>0</v>
          </cell>
          <cell r="CD462">
            <v>0</v>
          </cell>
          <cell r="CE462">
            <v>0</v>
          </cell>
          <cell r="CF462">
            <v>0</v>
          </cell>
          <cell r="CG462">
            <v>0</v>
          </cell>
          <cell r="CH462">
            <v>0</v>
          </cell>
          <cell r="CI462">
            <v>0</v>
          </cell>
          <cell r="CJ462">
            <v>0</v>
          </cell>
          <cell r="CK462">
            <v>0</v>
          </cell>
          <cell r="CL462">
            <v>0</v>
          </cell>
          <cell r="CM462">
            <v>0</v>
          </cell>
          <cell r="CN462">
            <v>0</v>
          </cell>
          <cell r="CO462">
            <v>0</v>
          </cell>
          <cell r="CP462">
            <v>0</v>
          </cell>
          <cell r="CQ462">
            <v>0</v>
          </cell>
          <cell r="CU462">
            <v>0</v>
          </cell>
          <cell r="CV462">
            <v>0</v>
          </cell>
          <cell r="CW462">
            <v>0</v>
          </cell>
          <cell r="CZ462" t="str">
            <v>s</v>
          </cell>
        </row>
        <row r="463">
          <cell r="A463" t="str">
            <v>PEC-25</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cell r="BM463">
            <v>0</v>
          </cell>
          <cell r="BN463">
            <v>0</v>
          </cell>
          <cell r="BO463">
            <v>0</v>
          </cell>
          <cell r="BP463">
            <v>0</v>
          </cell>
          <cell r="BQ463">
            <v>0</v>
          </cell>
          <cell r="BR463">
            <v>0</v>
          </cell>
          <cell r="BS463">
            <v>0</v>
          </cell>
          <cell r="BT463">
            <v>0</v>
          </cell>
          <cell r="BU463">
            <v>0</v>
          </cell>
          <cell r="BV463">
            <v>0</v>
          </cell>
          <cell r="BW463">
            <v>0</v>
          </cell>
          <cell r="BX463">
            <v>0</v>
          </cell>
          <cell r="BY463">
            <v>0</v>
          </cell>
          <cell r="BZ463">
            <v>0</v>
          </cell>
          <cell r="CA463">
            <v>0</v>
          </cell>
          <cell r="CB463">
            <v>0</v>
          </cell>
          <cell r="CC463">
            <v>0</v>
          </cell>
          <cell r="CD463">
            <v>0</v>
          </cell>
          <cell r="CE463">
            <v>0</v>
          </cell>
          <cell r="CF463">
            <v>0</v>
          </cell>
          <cell r="CG463">
            <v>0</v>
          </cell>
          <cell r="CH463">
            <v>0</v>
          </cell>
          <cell r="CI463">
            <v>0</v>
          </cell>
          <cell r="CJ463">
            <v>0</v>
          </cell>
          <cell r="CK463">
            <v>0</v>
          </cell>
          <cell r="CL463">
            <v>0</v>
          </cell>
          <cell r="CM463">
            <v>0</v>
          </cell>
          <cell r="CN463">
            <v>0</v>
          </cell>
          <cell r="CO463">
            <v>0</v>
          </cell>
          <cell r="CP463">
            <v>0</v>
          </cell>
          <cell r="CQ463">
            <v>0</v>
          </cell>
          <cell r="CU463">
            <v>0</v>
          </cell>
          <cell r="CV463">
            <v>0</v>
          </cell>
          <cell r="CW463">
            <v>0</v>
          </cell>
          <cell r="CZ463" t="str">
            <v>s</v>
          </cell>
        </row>
        <row r="464">
          <cell r="A464" t="str">
            <v>PEC-32</v>
          </cell>
          <cell r="G464">
            <v>0</v>
          </cell>
          <cell r="H464">
            <v>0</v>
          </cell>
          <cell r="I464">
            <v>0</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cell r="BM464">
            <v>0</v>
          </cell>
          <cell r="BN464">
            <v>0</v>
          </cell>
          <cell r="BO464">
            <v>0</v>
          </cell>
          <cell r="BP464">
            <v>0</v>
          </cell>
          <cell r="BQ464">
            <v>0</v>
          </cell>
          <cell r="BR464">
            <v>0</v>
          </cell>
          <cell r="BS464">
            <v>0</v>
          </cell>
          <cell r="BT464">
            <v>0</v>
          </cell>
          <cell r="BU464">
            <v>0</v>
          </cell>
          <cell r="BV464">
            <v>0</v>
          </cell>
          <cell r="BW464">
            <v>0</v>
          </cell>
          <cell r="BX464">
            <v>0</v>
          </cell>
          <cell r="BY464">
            <v>0</v>
          </cell>
          <cell r="BZ464">
            <v>0</v>
          </cell>
          <cell r="CA464">
            <v>0</v>
          </cell>
          <cell r="CB464">
            <v>0</v>
          </cell>
          <cell r="CC464">
            <v>0</v>
          </cell>
          <cell r="CD464">
            <v>0</v>
          </cell>
          <cell r="CE464">
            <v>0</v>
          </cell>
          <cell r="CF464">
            <v>0</v>
          </cell>
          <cell r="CG464">
            <v>0</v>
          </cell>
          <cell r="CH464">
            <v>0</v>
          </cell>
          <cell r="CI464">
            <v>0</v>
          </cell>
          <cell r="CJ464">
            <v>0</v>
          </cell>
          <cell r="CK464">
            <v>0</v>
          </cell>
          <cell r="CL464">
            <v>0</v>
          </cell>
          <cell r="CM464">
            <v>0</v>
          </cell>
          <cell r="CN464">
            <v>0</v>
          </cell>
          <cell r="CO464">
            <v>0</v>
          </cell>
          <cell r="CP464">
            <v>0</v>
          </cell>
          <cell r="CQ464">
            <v>0</v>
          </cell>
          <cell r="CU464">
            <v>0</v>
          </cell>
          <cell r="CV464">
            <v>0</v>
          </cell>
          <cell r="CW464">
            <v>0</v>
          </cell>
          <cell r="CZ464" t="str">
            <v>s</v>
          </cell>
        </row>
        <row r="465">
          <cell r="A465" t="str">
            <v>PEC-40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cell r="BM465">
            <v>0</v>
          </cell>
          <cell r="BN465">
            <v>0</v>
          </cell>
          <cell r="BO465">
            <v>0</v>
          </cell>
          <cell r="BP465">
            <v>0</v>
          </cell>
          <cell r="BQ465">
            <v>0</v>
          </cell>
          <cell r="BR465">
            <v>0</v>
          </cell>
          <cell r="BS465">
            <v>0</v>
          </cell>
          <cell r="BT465">
            <v>0</v>
          </cell>
          <cell r="BU465">
            <v>0</v>
          </cell>
          <cell r="BV465">
            <v>0</v>
          </cell>
          <cell r="BW465">
            <v>0</v>
          </cell>
          <cell r="BX465">
            <v>0</v>
          </cell>
          <cell r="BY465">
            <v>0</v>
          </cell>
          <cell r="BZ465">
            <v>0</v>
          </cell>
          <cell r="CA465">
            <v>0</v>
          </cell>
          <cell r="CB465">
            <v>0</v>
          </cell>
          <cell r="CC465">
            <v>0</v>
          </cell>
          <cell r="CD465">
            <v>0</v>
          </cell>
          <cell r="CE465">
            <v>0</v>
          </cell>
          <cell r="CF465">
            <v>0</v>
          </cell>
          <cell r="CG465">
            <v>0</v>
          </cell>
          <cell r="CH465">
            <v>0</v>
          </cell>
          <cell r="CI465">
            <v>0</v>
          </cell>
          <cell r="CJ465">
            <v>0</v>
          </cell>
          <cell r="CK465">
            <v>0</v>
          </cell>
          <cell r="CL465">
            <v>0</v>
          </cell>
          <cell r="CM465">
            <v>0</v>
          </cell>
          <cell r="CN465">
            <v>0</v>
          </cell>
          <cell r="CO465">
            <v>0</v>
          </cell>
          <cell r="CP465">
            <v>0</v>
          </cell>
          <cell r="CQ465">
            <v>0</v>
          </cell>
          <cell r="CU465">
            <v>0</v>
          </cell>
          <cell r="CV465">
            <v>0</v>
          </cell>
          <cell r="CW465">
            <v>0</v>
          </cell>
          <cell r="CZ465" t="str">
            <v>s</v>
          </cell>
        </row>
        <row r="466">
          <cell r="A466" t="str">
            <v>PEC-50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cell r="BM466">
            <v>0</v>
          </cell>
          <cell r="BN466">
            <v>0</v>
          </cell>
          <cell r="BO466">
            <v>0</v>
          </cell>
          <cell r="BP466">
            <v>0</v>
          </cell>
          <cell r="BQ466">
            <v>0</v>
          </cell>
          <cell r="BR466">
            <v>0</v>
          </cell>
          <cell r="BS466">
            <v>0</v>
          </cell>
          <cell r="BT466">
            <v>0</v>
          </cell>
          <cell r="BU466">
            <v>0</v>
          </cell>
          <cell r="BV466">
            <v>0</v>
          </cell>
          <cell r="BW466">
            <v>0</v>
          </cell>
          <cell r="BX466">
            <v>0</v>
          </cell>
          <cell r="BY466">
            <v>0</v>
          </cell>
          <cell r="BZ466">
            <v>0</v>
          </cell>
          <cell r="CA466">
            <v>0</v>
          </cell>
          <cell r="CB466">
            <v>0</v>
          </cell>
          <cell r="CC466">
            <v>0</v>
          </cell>
          <cell r="CD466">
            <v>0</v>
          </cell>
          <cell r="CE466">
            <v>0</v>
          </cell>
          <cell r="CF466">
            <v>0</v>
          </cell>
          <cell r="CG466">
            <v>0</v>
          </cell>
          <cell r="CH466">
            <v>0</v>
          </cell>
          <cell r="CI466">
            <v>0</v>
          </cell>
          <cell r="CJ466">
            <v>0</v>
          </cell>
          <cell r="CK466">
            <v>0</v>
          </cell>
          <cell r="CL466">
            <v>0</v>
          </cell>
          <cell r="CM466">
            <v>0</v>
          </cell>
          <cell r="CN466">
            <v>0</v>
          </cell>
          <cell r="CO466">
            <v>0</v>
          </cell>
          <cell r="CP466">
            <v>0</v>
          </cell>
          <cell r="CQ466">
            <v>0</v>
          </cell>
          <cell r="CU466">
            <v>0</v>
          </cell>
          <cell r="CV466">
            <v>0</v>
          </cell>
          <cell r="CW466">
            <v>0</v>
          </cell>
          <cell r="CZ466" t="str">
            <v>s</v>
          </cell>
        </row>
        <row r="467">
          <cell r="A467" t="str">
            <v>PEC-63</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cell r="BM467">
            <v>0</v>
          </cell>
          <cell r="BN467">
            <v>0</v>
          </cell>
          <cell r="BO467">
            <v>0</v>
          </cell>
          <cell r="BP467">
            <v>0</v>
          </cell>
          <cell r="BQ467">
            <v>0</v>
          </cell>
          <cell r="BR467">
            <v>0</v>
          </cell>
          <cell r="BS467">
            <v>0</v>
          </cell>
          <cell r="BT467">
            <v>0</v>
          </cell>
          <cell r="BU467">
            <v>0</v>
          </cell>
          <cell r="BV467">
            <v>0</v>
          </cell>
          <cell r="BW467">
            <v>0</v>
          </cell>
          <cell r="BX467">
            <v>0</v>
          </cell>
          <cell r="BY467">
            <v>0</v>
          </cell>
          <cell r="BZ467">
            <v>0</v>
          </cell>
          <cell r="CA467">
            <v>0</v>
          </cell>
          <cell r="CB467">
            <v>0</v>
          </cell>
          <cell r="CC467">
            <v>0</v>
          </cell>
          <cell r="CD467">
            <v>0</v>
          </cell>
          <cell r="CE467">
            <v>0</v>
          </cell>
          <cell r="CF467">
            <v>0</v>
          </cell>
          <cell r="CG467">
            <v>0</v>
          </cell>
          <cell r="CH467">
            <v>0</v>
          </cell>
          <cell r="CI467">
            <v>0</v>
          </cell>
          <cell r="CJ467">
            <v>0</v>
          </cell>
          <cell r="CK467">
            <v>0</v>
          </cell>
          <cell r="CL467">
            <v>0</v>
          </cell>
          <cell r="CM467">
            <v>0</v>
          </cell>
          <cell r="CN467">
            <v>0</v>
          </cell>
          <cell r="CO467">
            <v>0</v>
          </cell>
          <cell r="CP467">
            <v>0</v>
          </cell>
          <cell r="CQ467">
            <v>0</v>
          </cell>
          <cell r="CU467">
            <v>0</v>
          </cell>
          <cell r="CV467">
            <v>0</v>
          </cell>
          <cell r="CW467">
            <v>0</v>
          </cell>
          <cell r="CZ467" t="str">
            <v>s</v>
          </cell>
        </row>
        <row r="468">
          <cell r="A468" t="str">
            <v>PEC-75</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cell r="BM468">
            <v>0</v>
          </cell>
          <cell r="BN468">
            <v>0</v>
          </cell>
          <cell r="BO468">
            <v>0</v>
          </cell>
          <cell r="BP468">
            <v>0</v>
          </cell>
          <cell r="BQ468">
            <v>0</v>
          </cell>
          <cell r="BR468">
            <v>0</v>
          </cell>
          <cell r="BS468">
            <v>0</v>
          </cell>
          <cell r="BT468">
            <v>0</v>
          </cell>
          <cell r="BU468">
            <v>0</v>
          </cell>
          <cell r="BV468">
            <v>0</v>
          </cell>
          <cell r="BW468">
            <v>0</v>
          </cell>
          <cell r="BX468">
            <v>0</v>
          </cell>
          <cell r="BY468">
            <v>0</v>
          </cell>
          <cell r="BZ468">
            <v>0</v>
          </cell>
          <cell r="CA468">
            <v>0</v>
          </cell>
          <cell r="CB468">
            <v>0</v>
          </cell>
          <cell r="CC468">
            <v>0</v>
          </cell>
          <cell r="CD468">
            <v>0</v>
          </cell>
          <cell r="CE468">
            <v>0</v>
          </cell>
          <cell r="CF468">
            <v>0</v>
          </cell>
          <cell r="CG468">
            <v>0</v>
          </cell>
          <cell r="CH468">
            <v>0</v>
          </cell>
          <cell r="CI468">
            <v>0</v>
          </cell>
          <cell r="CJ468">
            <v>0</v>
          </cell>
          <cell r="CK468">
            <v>0</v>
          </cell>
          <cell r="CL468">
            <v>0</v>
          </cell>
          <cell r="CM468">
            <v>0</v>
          </cell>
          <cell r="CN468">
            <v>0</v>
          </cell>
          <cell r="CO468">
            <v>0</v>
          </cell>
          <cell r="CP468">
            <v>0</v>
          </cell>
          <cell r="CQ468">
            <v>0</v>
          </cell>
          <cell r="CU468">
            <v>0</v>
          </cell>
          <cell r="CV468">
            <v>0</v>
          </cell>
          <cell r="CW468">
            <v>0</v>
          </cell>
          <cell r="CZ468" t="str">
            <v>s</v>
          </cell>
        </row>
        <row r="469">
          <cell r="A469" t="str">
            <v>PEC-90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cell r="BM469">
            <v>0</v>
          </cell>
          <cell r="BN469">
            <v>0</v>
          </cell>
          <cell r="BO469">
            <v>0</v>
          </cell>
          <cell r="BP469">
            <v>0</v>
          </cell>
          <cell r="BQ469">
            <v>0</v>
          </cell>
          <cell r="BR469">
            <v>0</v>
          </cell>
          <cell r="BS469">
            <v>0</v>
          </cell>
          <cell r="BT469">
            <v>0</v>
          </cell>
          <cell r="BU469">
            <v>0</v>
          </cell>
          <cell r="BV469">
            <v>0</v>
          </cell>
          <cell r="BW469">
            <v>0</v>
          </cell>
          <cell r="BX469">
            <v>0</v>
          </cell>
          <cell r="BY469">
            <v>0</v>
          </cell>
          <cell r="BZ469">
            <v>0</v>
          </cell>
          <cell r="CA469">
            <v>0</v>
          </cell>
          <cell r="CB469">
            <v>0</v>
          </cell>
          <cell r="CC469">
            <v>0</v>
          </cell>
          <cell r="CD469">
            <v>0</v>
          </cell>
          <cell r="CE469">
            <v>0</v>
          </cell>
          <cell r="CF469">
            <v>0</v>
          </cell>
          <cell r="CG469">
            <v>0</v>
          </cell>
          <cell r="CH469">
            <v>0</v>
          </cell>
          <cell r="CI469">
            <v>0</v>
          </cell>
          <cell r="CJ469">
            <v>0</v>
          </cell>
          <cell r="CK469">
            <v>0</v>
          </cell>
          <cell r="CL469">
            <v>0</v>
          </cell>
          <cell r="CM469">
            <v>0</v>
          </cell>
          <cell r="CN469">
            <v>0</v>
          </cell>
          <cell r="CO469">
            <v>0</v>
          </cell>
          <cell r="CP469">
            <v>0</v>
          </cell>
          <cell r="CQ469">
            <v>0</v>
          </cell>
          <cell r="CU469">
            <v>0</v>
          </cell>
          <cell r="CV469">
            <v>0</v>
          </cell>
          <cell r="CW469">
            <v>0</v>
          </cell>
          <cell r="CZ469" t="str">
            <v>s</v>
          </cell>
        </row>
        <row r="470">
          <cell r="A470" t="str">
            <v>PGAV-20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cell r="BM470">
            <v>0</v>
          </cell>
          <cell r="BN470">
            <v>0</v>
          </cell>
          <cell r="BO470">
            <v>0</v>
          </cell>
          <cell r="BP470">
            <v>0</v>
          </cell>
          <cell r="BQ470">
            <v>0</v>
          </cell>
          <cell r="BR470">
            <v>0</v>
          </cell>
          <cell r="BS470">
            <v>0</v>
          </cell>
          <cell r="BT470">
            <v>0</v>
          </cell>
          <cell r="BU470">
            <v>0</v>
          </cell>
          <cell r="BV470">
            <v>0</v>
          </cell>
          <cell r="BW470">
            <v>0</v>
          </cell>
          <cell r="BX470">
            <v>0</v>
          </cell>
          <cell r="BY470">
            <v>0</v>
          </cell>
          <cell r="BZ470">
            <v>0</v>
          </cell>
          <cell r="CA470">
            <v>0</v>
          </cell>
          <cell r="CB470">
            <v>0</v>
          </cell>
          <cell r="CC470">
            <v>0</v>
          </cell>
          <cell r="CD470">
            <v>0</v>
          </cell>
          <cell r="CE470">
            <v>0</v>
          </cell>
          <cell r="CF470">
            <v>0</v>
          </cell>
          <cell r="CG470">
            <v>0</v>
          </cell>
          <cell r="CH470">
            <v>0</v>
          </cell>
          <cell r="CI470">
            <v>0</v>
          </cell>
          <cell r="CJ470">
            <v>0</v>
          </cell>
          <cell r="CK470">
            <v>0</v>
          </cell>
          <cell r="CL470">
            <v>0</v>
          </cell>
          <cell r="CM470">
            <v>0</v>
          </cell>
          <cell r="CN470">
            <v>0</v>
          </cell>
          <cell r="CO470">
            <v>0</v>
          </cell>
          <cell r="CP470">
            <v>0</v>
          </cell>
          <cell r="CQ470">
            <v>0</v>
          </cell>
          <cell r="CU470">
            <v>0</v>
          </cell>
          <cell r="CV470">
            <v>0</v>
          </cell>
          <cell r="CW470">
            <v>0</v>
          </cell>
          <cell r="CZ470" t="str">
            <v>s</v>
          </cell>
        </row>
        <row r="471">
          <cell r="A471" t="str">
            <v>PGAV-25</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cell r="BM471">
            <v>0</v>
          </cell>
          <cell r="BN471">
            <v>0</v>
          </cell>
          <cell r="BO471">
            <v>0</v>
          </cell>
          <cell r="BP471">
            <v>0</v>
          </cell>
          <cell r="BQ471">
            <v>0</v>
          </cell>
          <cell r="BR471">
            <v>0</v>
          </cell>
          <cell r="BS471">
            <v>0</v>
          </cell>
          <cell r="BT471">
            <v>0</v>
          </cell>
          <cell r="BU471">
            <v>0</v>
          </cell>
          <cell r="BV471">
            <v>0</v>
          </cell>
          <cell r="BW471">
            <v>0</v>
          </cell>
          <cell r="BX471">
            <v>0</v>
          </cell>
          <cell r="BY471">
            <v>0</v>
          </cell>
          <cell r="BZ471">
            <v>0</v>
          </cell>
          <cell r="CA471">
            <v>0</v>
          </cell>
          <cell r="CB471">
            <v>0</v>
          </cell>
          <cell r="CC471">
            <v>0</v>
          </cell>
          <cell r="CD471">
            <v>0</v>
          </cell>
          <cell r="CE471">
            <v>0</v>
          </cell>
          <cell r="CF471">
            <v>0</v>
          </cell>
          <cell r="CG471">
            <v>0</v>
          </cell>
          <cell r="CH471">
            <v>0</v>
          </cell>
          <cell r="CI471">
            <v>0</v>
          </cell>
          <cell r="CJ471">
            <v>0</v>
          </cell>
          <cell r="CK471">
            <v>0</v>
          </cell>
          <cell r="CL471">
            <v>0</v>
          </cell>
          <cell r="CM471">
            <v>0</v>
          </cell>
          <cell r="CN471">
            <v>0</v>
          </cell>
          <cell r="CO471">
            <v>0</v>
          </cell>
          <cell r="CP471">
            <v>0</v>
          </cell>
          <cell r="CQ471">
            <v>0</v>
          </cell>
          <cell r="CU471">
            <v>0</v>
          </cell>
          <cell r="CV471">
            <v>0</v>
          </cell>
          <cell r="CW471">
            <v>0</v>
          </cell>
          <cell r="CZ471" t="str">
            <v>s</v>
          </cell>
        </row>
        <row r="472">
          <cell r="A472" t="str">
            <v>PGAV-32</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cell r="BM472">
            <v>0</v>
          </cell>
          <cell r="BN472">
            <v>0</v>
          </cell>
          <cell r="BO472">
            <v>0</v>
          </cell>
          <cell r="BP472">
            <v>0</v>
          </cell>
          <cell r="BQ472">
            <v>0</v>
          </cell>
          <cell r="BR472">
            <v>0</v>
          </cell>
          <cell r="BS472">
            <v>0</v>
          </cell>
          <cell r="BT472">
            <v>0</v>
          </cell>
          <cell r="BU472">
            <v>0</v>
          </cell>
          <cell r="BV472">
            <v>0</v>
          </cell>
          <cell r="BW472">
            <v>0</v>
          </cell>
          <cell r="BX472">
            <v>0</v>
          </cell>
          <cell r="BY472">
            <v>0</v>
          </cell>
          <cell r="BZ472">
            <v>0</v>
          </cell>
          <cell r="CA472">
            <v>0</v>
          </cell>
          <cell r="CB472">
            <v>0</v>
          </cell>
          <cell r="CC472">
            <v>0</v>
          </cell>
          <cell r="CD472">
            <v>0</v>
          </cell>
          <cell r="CE472">
            <v>0</v>
          </cell>
          <cell r="CF472">
            <v>0</v>
          </cell>
          <cell r="CG472">
            <v>0</v>
          </cell>
          <cell r="CH472">
            <v>0</v>
          </cell>
          <cell r="CI472">
            <v>0</v>
          </cell>
          <cell r="CJ472">
            <v>0</v>
          </cell>
          <cell r="CK472">
            <v>0</v>
          </cell>
          <cell r="CL472">
            <v>0</v>
          </cell>
          <cell r="CM472">
            <v>0</v>
          </cell>
          <cell r="CN472">
            <v>0</v>
          </cell>
          <cell r="CO472">
            <v>0</v>
          </cell>
          <cell r="CP472">
            <v>0</v>
          </cell>
          <cell r="CQ472">
            <v>0</v>
          </cell>
          <cell r="CU472">
            <v>0</v>
          </cell>
          <cell r="CV472">
            <v>0</v>
          </cell>
          <cell r="CW472">
            <v>0</v>
          </cell>
          <cell r="CZ472" t="str">
            <v>s</v>
          </cell>
        </row>
        <row r="473">
          <cell r="A473" t="str">
            <v>PGAV-40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cell r="BM473">
            <v>0</v>
          </cell>
          <cell r="BN473">
            <v>0</v>
          </cell>
          <cell r="BO473">
            <v>0</v>
          </cell>
          <cell r="BP473">
            <v>0</v>
          </cell>
          <cell r="BQ473">
            <v>0</v>
          </cell>
          <cell r="BR473">
            <v>0</v>
          </cell>
          <cell r="BS473">
            <v>0</v>
          </cell>
          <cell r="BT473">
            <v>0</v>
          </cell>
          <cell r="BU473">
            <v>0</v>
          </cell>
          <cell r="BV473">
            <v>0</v>
          </cell>
          <cell r="BW473">
            <v>0</v>
          </cell>
          <cell r="BX473">
            <v>0</v>
          </cell>
          <cell r="BY473">
            <v>0</v>
          </cell>
          <cell r="BZ473">
            <v>0</v>
          </cell>
          <cell r="CA473">
            <v>0</v>
          </cell>
          <cell r="CB473">
            <v>0</v>
          </cell>
          <cell r="CC473">
            <v>0</v>
          </cell>
          <cell r="CD473">
            <v>0</v>
          </cell>
          <cell r="CE473">
            <v>0</v>
          </cell>
          <cell r="CF473">
            <v>0</v>
          </cell>
          <cell r="CG473">
            <v>0</v>
          </cell>
          <cell r="CH473">
            <v>0</v>
          </cell>
          <cell r="CI473">
            <v>0</v>
          </cell>
          <cell r="CJ473">
            <v>0</v>
          </cell>
          <cell r="CK473">
            <v>0</v>
          </cell>
          <cell r="CL473">
            <v>0</v>
          </cell>
          <cell r="CM473">
            <v>0</v>
          </cell>
          <cell r="CN473">
            <v>0</v>
          </cell>
          <cell r="CO473">
            <v>0</v>
          </cell>
          <cell r="CP473">
            <v>0</v>
          </cell>
          <cell r="CQ473">
            <v>0</v>
          </cell>
          <cell r="CU473">
            <v>0</v>
          </cell>
          <cell r="CV473">
            <v>0</v>
          </cell>
          <cell r="CW473">
            <v>0</v>
          </cell>
          <cell r="CZ473" t="str">
            <v>s</v>
          </cell>
        </row>
        <row r="474">
          <cell r="A474" t="str">
            <v>PGAV-50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cell r="BM474">
            <v>0</v>
          </cell>
          <cell r="BN474">
            <v>0</v>
          </cell>
          <cell r="BO474">
            <v>0</v>
          </cell>
          <cell r="BP474">
            <v>0</v>
          </cell>
          <cell r="BQ474">
            <v>0</v>
          </cell>
          <cell r="BR474">
            <v>0</v>
          </cell>
          <cell r="BS474">
            <v>0</v>
          </cell>
          <cell r="BT474">
            <v>0</v>
          </cell>
          <cell r="BU474">
            <v>0</v>
          </cell>
          <cell r="BV474">
            <v>0</v>
          </cell>
          <cell r="BW474">
            <v>0</v>
          </cell>
          <cell r="BX474">
            <v>0</v>
          </cell>
          <cell r="BY474">
            <v>0</v>
          </cell>
          <cell r="BZ474">
            <v>0</v>
          </cell>
          <cell r="CA474">
            <v>0</v>
          </cell>
          <cell r="CB474">
            <v>0</v>
          </cell>
          <cell r="CC474">
            <v>0</v>
          </cell>
          <cell r="CD474">
            <v>0</v>
          </cell>
          <cell r="CE474">
            <v>0</v>
          </cell>
          <cell r="CF474">
            <v>0</v>
          </cell>
          <cell r="CG474">
            <v>0</v>
          </cell>
          <cell r="CH474">
            <v>0</v>
          </cell>
          <cell r="CI474">
            <v>0</v>
          </cell>
          <cell r="CJ474">
            <v>0</v>
          </cell>
          <cell r="CK474">
            <v>0</v>
          </cell>
          <cell r="CL474">
            <v>0</v>
          </cell>
          <cell r="CM474">
            <v>0</v>
          </cell>
          <cell r="CN474">
            <v>0</v>
          </cell>
          <cell r="CO474">
            <v>0</v>
          </cell>
          <cell r="CP474">
            <v>0</v>
          </cell>
          <cell r="CQ474">
            <v>0</v>
          </cell>
          <cell r="CU474">
            <v>0</v>
          </cell>
          <cell r="CV474">
            <v>0</v>
          </cell>
          <cell r="CW474">
            <v>0</v>
          </cell>
          <cell r="CZ474" t="str">
            <v>s</v>
          </cell>
        </row>
        <row r="475">
          <cell r="A475" t="str">
            <v>PGAV-63</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cell r="BM475">
            <v>0</v>
          </cell>
          <cell r="BN475">
            <v>0</v>
          </cell>
          <cell r="BO475">
            <v>0</v>
          </cell>
          <cell r="BP475">
            <v>0</v>
          </cell>
          <cell r="BQ475">
            <v>0</v>
          </cell>
          <cell r="BR475">
            <v>0</v>
          </cell>
          <cell r="BS475">
            <v>0</v>
          </cell>
          <cell r="BT475">
            <v>0</v>
          </cell>
          <cell r="BU475">
            <v>0</v>
          </cell>
          <cell r="BV475">
            <v>0</v>
          </cell>
          <cell r="BW475">
            <v>0</v>
          </cell>
          <cell r="BX475">
            <v>0</v>
          </cell>
          <cell r="BY475">
            <v>0</v>
          </cell>
          <cell r="BZ475">
            <v>0</v>
          </cell>
          <cell r="CA475">
            <v>0</v>
          </cell>
          <cell r="CB475">
            <v>0</v>
          </cell>
          <cell r="CC475">
            <v>0</v>
          </cell>
          <cell r="CD475">
            <v>0</v>
          </cell>
          <cell r="CE475">
            <v>0</v>
          </cell>
          <cell r="CF475">
            <v>0</v>
          </cell>
          <cell r="CG475">
            <v>0</v>
          </cell>
          <cell r="CH475">
            <v>0</v>
          </cell>
          <cell r="CI475">
            <v>0</v>
          </cell>
          <cell r="CJ475">
            <v>0</v>
          </cell>
          <cell r="CK475">
            <v>0</v>
          </cell>
          <cell r="CL475">
            <v>0</v>
          </cell>
          <cell r="CM475">
            <v>0</v>
          </cell>
          <cell r="CN475">
            <v>0</v>
          </cell>
          <cell r="CO475">
            <v>0</v>
          </cell>
          <cell r="CP475">
            <v>0</v>
          </cell>
          <cell r="CQ475">
            <v>0</v>
          </cell>
          <cell r="CU475">
            <v>0</v>
          </cell>
          <cell r="CV475">
            <v>0</v>
          </cell>
          <cell r="CW475">
            <v>0</v>
          </cell>
          <cell r="CZ475" t="str">
            <v>s</v>
          </cell>
        </row>
        <row r="476">
          <cell r="A476" t="str">
            <v>PGAV-75</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cell r="BM476">
            <v>0</v>
          </cell>
          <cell r="BN476">
            <v>0</v>
          </cell>
          <cell r="BO476">
            <v>0</v>
          </cell>
          <cell r="BP476">
            <v>0</v>
          </cell>
          <cell r="BQ476">
            <v>0</v>
          </cell>
          <cell r="BR476">
            <v>0</v>
          </cell>
          <cell r="BS476">
            <v>0</v>
          </cell>
          <cell r="BT476">
            <v>0</v>
          </cell>
          <cell r="BU476">
            <v>0</v>
          </cell>
          <cell r="BV476">
            <v>0</v>
          </cell>
          <cell r="BW476">
            <v>0</v>
          </cell>
          <cell r="BX476">
            <v>0</v>
          </cell>
          <cell r="BY476">
            <v>0</v>
          </cell>
          <cell r="BZ476">
            <v>0</v>
          </cell>
          <cell r="CA476">
            <v>0</v>
          </cell>
          <cell r="CB476">
            <v>0</v>
          </cell>
          <cell r="CC476">
            <v>0</v>
          </cell>
          <cell r="CD476">
            <v>0</v>
          </cell>
          <cell r="CE476">
            <v>0</v>
          </cell>
          <cell r="CF476">
            <v>0</v>
          </cell>
          <cell r="CG476">
            <v>0</v>
          </cell>
          <cell r="CH476">
            <v>0</v>
          </cell>
          <cell r="CI476">
            <v>0</v>
          </cell>
          <cell r="CJ476">
            <v>0</v>
          </cell>
          <cell r="CK476">
            <v>0</v>
          </cell>
          <cell r="CL476">
            <v>0</v>
          </cell>
          <cell r="CM476">
            <v>0</v>
          </cell>
          <cell r="CN476">
            <v>0</v>
          </cell>
          <cell r="CO476">
            <v>0</v>
          </cell>
          <cell r="CP476">
            <v>0</v>
          </cell>
          <cell r="CQ476">
            <v>0</v>
          </cell>
          <cell r="CU476">
            <v>0</v>
          </cell>
          <cell r="CV476">
            <v>0</v>
          </cell>
          <cell r="CW476">
            <v>0</v>
          </cell>
          <cell r="CZ476" t="str">
            <v>s</v>
          </cell>
        </row>
        <row r="477">
          <cell r="A477" t="str">
            <v>PGAV-90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cell r="BM477">
            <v>0</v>
          </cell>
          <cell r="BN477">
            <v>0</v>
          </cell>
          <cell r="BO477">
            <v>0</v>
          </cell>
          <cell r="BP477">
            <v>0</v>
          </cell>
          <cell r="BQ477">
            <v>0</v>
          </cell>
          <cell r="BR477">
            <v>0</v>
          </cell>
          <cell r="BS477">
            <v>0</v>
          </cell>
          <cell r="BT477">
            <v>0</v>
          </cell>
          <cell r="BU477">
            <v>0</v>
          </cell>
          <cell r="BV477">
            <v>0</v>
          </cell>
          <cell r="BW477">
            <v>0</v>
          </cell>
          <cell r="BX477">
            <v>0</v>
          </cell>
          <cell r="BY477">
            <v>0</v>
          </cell>
          <cell r="BZ477">
            <v>0</v>
          </cell>
          <cell r="CA477">
            <v>0</v>
          </cell>
          <cell r="CB477">
            <v>0</v>
          </cell>
          <cell r="CC477">
            <v>0</v>
          </cell>
          <cell r="CD477">
            <v>0</v>
          </cell>
          <cell r="CE477">
            <v>0</v>
          </cell>
          <cell r="CF477">
            <v>0</v>
          </cell>
          <cell r="CG477">
            <v>0</v>
          </cell>
          <cell r="CH477">
            <v>0</v>
          </cell>
          <cell r="CI477">
            <v>0</v>
          </cell>
          <cell r="CJ477">
            <v>0</v>
          </cell>
          <cell r="CK477">
            <v>0</v>
          </cell>
          <cell r="CL477">
            <v>0</v>
          </cell>
          <cell r="CM477">
            <v>0</v>
          </cell>
          <cell r="CN477">
            <v>0</v>
          </cell>
          <cell r="CO477">
            <v>0</v>
          </cell>
          <cell r="CP477">
            <v>0</v>
          </cell>
          <cell r="CQ477">
            <v>0</v>
          </cell>
          <cell r="CU477">
            <v>0</v>
          </cell>
          <cell r="CV477">
            <v>0</v>
          </cell>
          <cell r="CW477">
            <v>0</v>
          </cell>
          <cell r="CZ477" t="str">
            <v>s</v>
          </cell>
        </row>
        <row r="478">
          <cell r="A478" t="str">
            <v>PET-20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cell r="BM478">
            <v>0</v>
          </cell>
          <cell r="BN478">
            <v>0</v>
          </cell>
          <cell r="BO478">
            <v>0</v>
          </cell>
          <cell r="BP478">
            <v>0</v>
          </cell>
          <cell r="BQ478">
            <v>0</v>
          </cell>
          <cell r="BR478">
            <v>0</v>
          </cell>
          <cell r="BS478">
            <v>0</v>
          </cell>
          <cell r="BT478">
            <v>0</v>
          </cell>
          <cell r="BU478">
            <v>0</v>
          </cell>
          <cell r="BV478">
            <v>0</v>
          </cell>
          <cell r="BW478">
            <v>0</v>
          </cell>
          <cell r="BX478">
            <v>0</v>
          </cell>
          <cell r="BY478">
            <v>0</v>
          </cell>
          <cell r="BZ478">
            <v>0</v>
          </cell>
          <cell r="CA478">
            <v>0</v>
          </cell>
          <cell r="CB478">
            <v>0</v>
          </cell>
          <cell r="CC478">
            <v>0</v>
          </cell>
          <cell r="CD478">
            <v>0</v>
          </cell>
          <cell r="CE478">
            <v>0</v>
          </cell>
          <cell r="CF478">
            <v>0</v>
          </cell>
          <cell r="CG478">
            <v>0</v>
          </cell>
          <cell r="CH478">
            <v>0</v>
          </cell>
          <cell r="CI478">
            <v>0</v>
          </cell>
          <cell r="CJ478">
            <v>0</v>
          </cell>
          <cell r="CK478">
            <v>0</v>
          </cell>
          <cell r="CL478">
            <v>0</v>
          </cell>
          <cell r="CM478">
            <v>0</v>
          </cell>
          <cell r="CN478">
            <v>0</v>
          </cell>
          <cell r="CO478">
            <v>0</v>
          </cell>
          <cell r="CP478">
            <v>0</v>
          </cell>
          <cell r="CQ478">
            <v>0</v>
          </cell>
          <cell r="CU478">
            <v>0</v>
          </cell>
          <cell r="CV478">
            <v>0</v>
          </cell>
          <cell r="CW478">
            <v>0</v>
          </cell>
          <cell r="CZ478" t="str">
            <v>s</v>
          </cell>
        </row>
        <row r="479">
          <cell r="A479" t="str">
            <v>PET-50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cell r="BM479">
            <v>0</v>
          </cell>
          <cell r="BN479">
            <v>0</v>
          </cell>
          <cell r="BO479">
            <v>0</v>
          </cell>
          <cell r="BP479">
            <v>0</v>
          </cell>
          <cell r="BQ479">
            <v>0</v>
          </cell>
          <cell r="BR479">
            <v>0</v>
          </cell>
          <cell r="BS479">
            <v>0</v>
          </cell>
          <cell r="BT479">
            <v>0</v>
          </cell>
          <cell r="BU479">
            <v>0</v>
          </cell>
          <cell r="BV479">
            <v>0</v>
          </cell>
          <cell r="BW479">
            <v>0</v>
          </cell>
          <cell r="BX479">
            <v>0</v>
          </cell>
          <cell r="BY479">
            <v>0</v>
          </cell>
          <cell r="BZ479">
            <v>0</v>
          </cell>
          <cell r="CA479">
            <v>0</v>
          </cell>
          <cell r="CB479">
            <v>0</v>
          </cell>
          <cell r="CC479">
            <v>0</v>
          </cell>
          <cell r="CD479">
            <v>0</v>
          </cell>
          <cell r="CE479">
            <v>0</v>
          </cell>
          <cell r="CF479">
            <v>0</v>
          </cell>
          <cell r="CG479">
            <v>0</v>
          </cell>
          <cell r="CH479">
            <v>0</v>
          </cell>
          <cell r="CI479">
            <v>0</v>
          </cell>
          <cell r="CJ479">
            <v>0</v>
          </cell>
          <cell r="CK479">
            <v>0</v>
          </cell>
          <cell r="CL479">
            <v>0</v>
          </cell>
          <cell r="CM479">
            <v>0</v>
          </cell>
          <cell r="CN479">
            <v>0</v>
          </cell>
          <cell r="CO479">
            <v>0</v>
          </cell>
          <cell r="CP479">
            <v>0</v>
          </cell>
          <cell r="CQ479">
            <v>0</v>
          </cell>
          <cell r="CU479">
            <v>0</v>
          </cell>
          <cell r="CV479">
            <v>0</v>
          </cell>
          <cell r="CW479">
            <v>0</v>
          </cell>
          <cell r="CZ479" t="str">
            <v>s</v>
          </cell>
        </row>
        <row r="480">
          <cell r="A480" t="str">
            <v>PET-75</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cell r="BM480">
            <v>0</v>
          </cell>
          <cell r="BN480">
            <v>0</v>
          </cell>
          <cell r="BO480">
            <v>0</v>
          </cell>
          <cell r="BP480">
            <v>0</v>
          </cell>
          <cell r="BQ480">
            <v>0</v>
          </cell>
          <cell r="BR480">
            <v>0</v>
          </cell>
          <cell r="BS480">
            <v>0</v>
          </cell>
          <cell r="BT480">
            <v>0</v>
          </cell>
          <cell r="BU480">
            <v>0</v>
          </cell>
          <cell r="BV480">
            <v>0</v>
          </cell>
          <cell r="BW480">
            <v>0</v>
          </cell>
          <cell r="BX480">
            <v>0</v>
          </cell>
          <cell r="BY480">
            <v>0</v>
          </cell>
          <cell r="BZ480">
            <v>0</v>
          </cell>
          <cell r="CA480">
            <v>0</v>
          </cell>
          <cell r="CB480">
            <v>0</v>
          </cell>
          <cell r="CC480">
            <v>0</v>
          </cell>
          <cell r="CD480">
            <v>0</v>
          </cell>
          <cell r="CE480">
            <v>0</v>
          </cell>
          <cell r="CF480">
            <v>0</v>
          </cell>
          <cell r="CG480">
            <v>0</v>
          </cell>
          <cell r="CH480">
            <v>0</v>
          </cell>
          <cell r="CI480">
            <v>0</v>
          </cell>
          <cell r="CJ480">
            <v>0</v>
          </cell>
          <cell r="CK480">
            <v>0</v>
          </cell>
          <cell r="CL480">
            <v>0</v>
          </cell>
          <cell r="CM480">
            <v>0</v>
          </cell>
          <cell r="CN480">
            <v>0</v>
          </cell>
          <cell r="CO480">
            <v>0</v>
          </cell>
          <cell r="CP480">
            <v>0</v>
          </cell>
          <cell r="CQ480">
            <v>0</v>
          </cell>
          <cell r="CU480">
            <v>0</v>
          </cell>
          <cell r="CV480">
            <v>0</v>
          </cell>
          <cell r="CW480">
            <v>0</v>
          </cell>
          <cell r="CZ480" t="str">
            <v>s</v>
          </cell>
        </row>
        <row r="481">
          <cell r="A481" t="str">
            <v>PUT-25x20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cell r="BM481">
            <v>0</v>
          </cell>
          <cell r="BN481">
            <v>0</v>
          </cell>
          <cell r="BO481">
            <v>0</v>
          </cell>
          <cell r="BP481">
            <v>0</v>
          </cell>
          <cell r="BQ481">
            <v>0</v>
          </cell>
          <cell r="BR481">
            <v>0</v>
          </cell>
          <cell r="BS481">
            <v>0</v>
          </cell>
          <cell r="BT481">
            <v>0</v>
          </cell>
          <cell r="BU481">
            <v>0</v>
          </cell>
          <cell r="BV481">
            <v>0</v>
          </cell>
          <cell r="BW481">
            <v>0</v>
          </cell>
          <cell r="BX481">
            <v>0</v>
          </cell>
          <cell r="BY481">
            <v>0</v>
          </cell>
          <cell r="BZ481">
            <v>0</v>
          </cell>
          <cell r="CA481">
            <v>0</v>
          </cell>
          <cell r="CB481">
            <v>0</v>
          </cell>
          <cell r="CC481">
            <v>0</v>
          </cell>
          <cell r="CD481">
            <v>0</v>
          </cell>
          <cell r="CE481">
            <v>0</v>
          </cell>
          <cell r="CF481">
            <v>0</v>
          </cell>
          <cell r="CG481">
            <v>0</v>
          </cell>
          <cell r="CH481">
            <v>0</v>
          </cell>
          <cell r="CI481">
            <v>0</v>
          </cell>
          <cell r="CJ481">
            <v>0</v>
          </cell>
          <cell r="CK481">
            <v>0</v>
          </cell>
          <cell r="CL481">
            <v>0</v>
          </cell>
          <cell r="CM481">
            <v>0</v>
          </cell>
          <cell r="CN481">
            <v>0</v>
          </cell>
          <cell r="CO481">
            <v>0</v>
          </cell>
          <cell r="CP481">
            <v>0</v>
          </cell>
          <cell r="CQ481">
            <v>0</v>
          </cell>
          <cell r="CU481">
            <v>0</v>
          </cell>
          <cell r="CV481">
            <v>0</v>
          </cell>
          <cell r="CW481">
            <v>0</v>
          </cell>
          <cell r="CZ481" t="str">
            <v>s</v>
          </cell>
        </row>
        <row r="482">
          <cell r="A482" t="str">
            <v>PUT-32x20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cell r="BM482">
            <v>0</v>
          </cell>
          <cell r="BN482">
            <v>0</v>
          </cell>
          <cell r="BO482">
            <v>0</v>
          </cell>
          <cell r="BP482">
            <v>0</v>
          </cell>
          <cell r="BQ482">
            <v>0</v>
          </cell>
          <cell r="BR482">
            <v>0</v>
          </cell>
          <cell r="BS482">
            <v>0</v>
          </cell>
          <cell r="BT482">
            <v>0</v>
          </cell>
          <cell r="BU482">
            <v>0</v>
          </cell>
          <cell r="BV482">
            <v>0</v>
          </cell>
          <cell r="BW482">
            <v>0</v>
          </cell>
          <cell r="BX482">
            <v>0</v>
          </cell>
          <cell r="BY482">
            <v>0</v>
          </cell>
          <cell r="BZ482">
            <v>0</v>
          </cell>
          <cell r="CA482">
            <v>0</v>
          </cell>
          <cell r="CB482">
            <v>0</v>
          </cell>
          <cell r="CC482">
            <v>0</v>
          </cell>
          <cell r="CD482">
            <v>0</v>
          </cell>
          <cell r="CE482">
            <v>0</v>
          </cell>
          <cell r="CF482">
            <v>0</v>
          </cell>
          <cell r="CG482">
            <v>0</v>
          </cell>
          <cell r="CH482">
            <v>0</v>
          </cell>
          <cell r="CI482">
            <v>0</v>
          </cell>
          <cell r="CJ482">
            <v>0</v>
          </cell>
          <cell r="CK482">
            <v>0</v>
          </cell>
          <cell r="CL482">
            <v>0</v>
          </cell>
          <cell r="CM482">
            <v>0</v>
          </cell>
          <cell r="CN482">
            <v>0</v>
          </cell>
          <cell r="CO482">
            <v>0</v>
          </cell>
          <cell r="CP482">
            <v>0</v>
          </cell>
          <cell r="CQ482">
            <v>0</v>
          </cell>
          <cell r="CU482">
            <v>0</v>
          </cell>
          <cell r="CV482">
            <v>0</v>
          </cell>
          <cell r="CW482">
            <v>0</v>
          </cell>
          <cell r="CZ482" t="str">
            <v>s</v>
          </cell>
        </row>
        <row r="483">
          <cell r="A483" t="str">
            <v>PUT-40x20</v>
          </cell>
          <cell r="G483">
            <v>0</v>
          </cell>
          <cell r="H483">
            <v>0</v>
          </cell>
          <cell r="I483">
            <v>0</v>
          </cell>
          <cell r="J483">
            <v>0</v>
          </cell>
          <cell r="K483">
            <v>0</v>
          </cell>
          <cell r="L483">
            <v>0</v>
          </cell>
          <cell r="M483">
            <v>0</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cell r="BM483">
            <v>0</v>
          </cell>
          <cell r="BN483">
            <v>0</v>
          </cell>
          <cell r="BO483">
            <v>0</v>
          </cell>
          <cell r="BP483">
            <v>0</v>
          </cell>
          <cell r="BQ483">
            <v>0</v>
          </cell>
          <cell r="BR483">
            <v>0</v>
          </cell>
          <cell r="BS483">
            <v>0</v>
          </cell>
          <cell r="BT483">
            <v>0</v>
          </cell>
          <cell r="BU483">
            <v>0</v>
          </cell>
          <cell r="BV483">
            <v>0</v>
          </cell>
          <cell r="BW483">
            <v>0</v>
          </cell>
          <cell r="BX483">
            <v>0</v>
          </cell>
          <cell r="BY483">
            <v>0</v>
          </cell>
          <cell r="BZ483">
            <v>0</v>
          </cell>
          <cell r="CA483">
            <v>0</v>
          </cell>
          <cell r="CB483">
            <v>0</v>
          </cell>
          <cell r="CC483">
            <v>0</v>
          </cell>
          <cell r="CD483">
            <v>0</v>
          </cell>
          <cell r="CE483">
            <v>0</v>
          </cell>
          <cell r="CF483">
            <v>0</v>
          </cell>
          <cell r="CG483">
            <v>0</v>
          </cell>
          <cell r="CH483">
            <v>0</v>
          </cell>
          <cell r="CI483">
            <v>0</v>
          </cell>
          <cell r="CJ483">
            <v>0</v>
          </cell>
          <cell r="CK483">
            <v>0</v>
          </cell>
          <cell r="CL483">
            <v>0</v>
          </cell>
          <cell r="CM483">
            <v>0</v>
          </cell>
          <cell r="CN483">
            <v>0</v>
          </cell>
          <cell r="CO483">
            <v>0</v>
          </cell>
          <cell r="CP483">
            <v>0</v>
          </cell>
          <cell r="CQ483">
            <v>0</v>
          </cell>
          <cell r="CU483">
            <v>0</v>
          </cell>
          <cell r="CV483">
            <v>0</v>
          </cell>
          <cell r="CW483">
            <v>0</v>
          </cell>
          <cell r="CZ483" t="str">
            <v>s</v>
          </cell>
        </row>
        <row r="484">
          <cell r="A484" t="str">
            <v>PUT-50x20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cell r="BM484">
            <v>0</v>
          </cell>
          <cell r="BN484">
            <v>0</v>
          </cell>
          <cell r="BO484">
            <v>0</v>
          </cell>
          <cell r="BP484">
            <v>0</v>
          </cell>
          <cell r="BQ484">
            <v>0</v>
          </cell>
          <cell r="BR484">
            <v>0</v>
          </cell>
          <cell r="BS484">
            <v>0</v>
          </cell>
          <cell r="BT484">
            <v>0</v>
          </cell>
          <cell r="BU484">
            <v>0</v>
          </cell>
          <cell r="BV484">
            <v>0</v>
          </cell>
          <cell r="BW484">
            <v>0</v>
          </cell>
          <cell r="BX484">
            <v>0</v>
          </cell>
          <cell r="BY484">
            <v>0</v>
          </cell>
          <cell r="BZ484">
            <v>0</v>
          </cell>
          <cell r="CA484">
            <v>0</v>
          </cell>
          <cell r="CB484">
            <v>0</v>
          </cell>
          <cell r="CC484">
            <v>0</v>
          </cell>
          <cell r="CD484">
            <v>0</v>
          </cell>
          <cell r="CE484">
            <v>0</v>
          </cell>
          <cell r="CF484">
            <v>0</v>
          </cell>
          <cell r="CG484">
            <v>0</v>
          </cell>
          <cell r="CH484">
            <v>0</v>
          </cell>
          <cell r="CI484">
            <v>0</v>
          </cell>
          <cell r="CJ484">
            <v>0</v>
          </cell>
          <cell r="CK484">
            <v>0</v>
          </cell>
          <cell r="CL484">
            <v>0</v>
          </cell>
          <cell r="CM484">
            <v>0</v>
          </cell>
          <cell r="CN484">
            <v>0</v>
          </cell>
          <cell r="CO484">
            <v>0</v>
          </cell>
          <cell r="CP484">
            <v>0</v>
          </cell>
          <cell r="CQ484">
            <v>0</v>
          </cell>
          <cell r="CU484">
            <v>0</v>
          </cell>
          <cell r="CV484">
            <v>0</v>
          </cell>
          <cell r="CW484">
            <v>0</v>
          </cell>
          <cell r="CZ484" t="str">
            <v>s</v>
          </cell>
        </row>
        <row r="485">
          <cell r="A485" t="str">
            <v>PUT-50x25</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cell r="BM485">
            <v>0</v>
          </cell>
          <cell r="BN485">
            <v>0</v>
          </cell>
          <cell r="BO485">
            <v>0</v>
          </cell>
          <cell r="BP485">
            <v>0</v>
          </cell>
          <cell r="BQ485">
            <v>0</v>
          </cell>
          <cell r="BR485">
            <v>0</v>
          </cell>
          <cell r="BS485">
            <v>0</v>
          </cell>
          <cell r="BT485">
            <v>0</v>
          </cell>
          <cell r="BU485">
            <v>0</v>
          </cell>
          <cell r="BV485">
            <v>0</v>
          </cell>
          <cell r="BW485">
            <v>0</v>
          </cell>
          <cell r="BX485">
            <v>0</v>
          </cell>
          <cell r="BY485">
            <v>0</v>
          </cell>
          <cell r="BZ485">
            <v>0</v>
          </cell>
          <cell r="CA485">
            <v>0</v>
          </cell>
          <cell r="CB485">
            <v>0</v>
          </cell>
          <cell r="CC485">
            <v>0</v>
          </cell>
          <cell r="CD485">
            <v>0</v>
          </cell>
          <cell r="CE485">
            <v>0</v>
          </cell>
          <cell r="CF485">
            <v>0</v>
          </cell>
          <cell r="CG485">
            <v>0</v>
          </cell>
          <cell r="CH485">
            <v>0</v>
          </cell>
          <cell r="CI485">
            <v>0</v>
          </cell>
          <cell r="CJ485">
            <v>0</v>
          </cell>
          <cell r="CK485">
            <v>0</v>
          </cell>
          <cell r="CL485">
            <v>0</v>
          </cell>
          <cell r="CM485">
            <v>0</v>
          </cell>
          <cell r="CN485">
            <v>0</v>
          </cell>
          <cell r="CO485">
            <v>0</v>
          </cell>
          <cell r="CP485">
            <v>0</v>
          </cell>
          <cell r="CQ485">
            <v>0</v>
          </cell>
          <cell r="CU485">
            <v>0</v>
          </cell>
          <cell r="CZ485" t="str">
            <v>s</v>
          </cell>
        </row>
        <row r="486">
          <cell r="A486" t="str">
            <v>PUT-63x20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cell r="BM486">
            <v>0</v>
          </cell>
          <cell r="BN486">
            <v>0</v>
          </cell>
          <cell r="BO486">
            <v>0</v>
          </cell>
          <cell r="BP486">
            <v>0</v>
          </cell>
          <cell r="BQ486">
            <v>0</v>
          </cell>
          <cell r="BR486">
            <v>0</v>
          </cell>
          <cell r="BS486">
            <v>0</v>
          </cell>
          <cell r="BT486">
            <v>0</v>
          </cell>
          <cell r="BU486">
            <v>0</v>
          </cell>
          <cell r="BV486">
            <v>0</v>
          </cell>
          <cell r="BW486">
            <v>0</v>
          </cell>
          <cell r="BX486">
            <v>0</v>
          </cell>
          <cell r="BY486">
            <v>0</v>
          </cell>
          <cell r="BZ486">
            <v>0</v>
          </cell>
          <cell r="CA486">
            <v>0</v>
          </cell>
          <cell r="CB486">
            <v>0</v>
          </cell>
          <cell r="CC486">
            <v>0</v>
          </cell>
          <cell r="CD486">
            <v>0</v>
          </cell>
          <cell r="CE486">
            <v>0</v>
          </cell>
          <cell r="CF486">
            <v>0</v>
          </cell>
          <cell r="CG486">
            <v>0</v>
          </cell>
          <cell r="CH486">
            <v>0</v>
          </cell>
          <cell r="CI486">
            <v>0</v>
          </cell>
          <cell r="CJ486">
            <v>0</v>
          </cell>
          <cell r="CK486">
            <v>0</v>
          </cell>
          <cell r="CL486">
            <v>0</v>
          </cell>
          <cell r="CM486">
            <v>0</v>
          </cell>
          <cell r="CN486">
            <v>0</v>
          </cell>
          <cell r="CO486">
            <v>0</v>
          </cell>
          <cell r="CP486">
            <v>0</v>
          </cell>
          <cell r="CQ486">
            <v>0</v>
          </cell>
          <cell r="CU486">
            <v>0</v>
          </cell>
          <cell r="CV486">
            <v>0</v>
          </cell>
          <cell r="CW486">
            <v>0</v>
          </cell>
          <cell r="CZ486" t="str">
            <v>s</v>
          </cell>
        </row>
        <row r="487">
          <cell r="A487" t="str">
            <v>PUT-75x20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cell r="BM487">
            <v>0</v>
          </cell>
          <cell r="BN487">
            <v>0</v>
          </cell>
          <cell r="BO487">
            <v>0</v>
          </cell>
          <cell r="BP487">
            <v>0</v>
          </cell>
          <cell r="BQ487">
            <v>0</v>
          </cell>
          <cell r="BR487">
            <v>0</v>
          </cell>
          <cell r="BS487">
            <v>0</v>
          </cell>
          <cell r="BT487">
            <v>0</v>
          </cell>
          <cell r="BU487">
            <v>0</v>
          </cell>
          <cell r="BV487">
            <v>0</v>
          </cell>
          <cell r="BW487">
            <v>0</v>
          </cell>
          <cell r="BX487">
            <v>0</v>
          </cell>
          <cell r="BY487">
            <v>0</v>
          </cell>
          <cell r="BZ487">
            <v>0</v>
          </cell>
          <cell r="CA487">
            <v>0</v>
          </cell>
          <cell r="CB487">
            <v>0</v>
          </cell>
          <cell r="CC487">
            <v>0</v>
          </cell>
          <cell r="CD487">
            <v>0</v>
          </cell>
          <cell r="CE487">
            <v>0</v>
          </cell>
          <cell r="CF487">
            <v>0</v>
          </cell>
          <cell r="CG487">
            <v>0</v>
          </cell>
          <cell r="CH487">
            <v>0</v>
          </cell>
          <cell r="CI487">
            <v>0</v>
          </cell>
          <cell r="CJ487">
            <v>0</v>
          </cell>
          <cell r="CK487">
            <v>0</v>
          </cell>
          <cell r="CL487">
            <v>0</v>
          </cell>
          <cell r="CM487">
            <v>0</v>
          </cell>
          <cell r="CN487">
            <v>0</v>
          </cell>
          <cell r="CO487">
            <v>0</v>
          </cell>
          <cell r="CP487">
            <v>0</v>
          </cell>
          <cell r="CQ487">
            <v>0</v>
          </cell>
          <cell r="CU487">
            <v>0</v>
          </cell>
          <cell r="CV487">
            <v>0</v>
          </cell>
          <cell r="CW487">
            <v>0</v>
          </cell>
          <cell r="CZ487" t="str">
            <v>s</v>
          </cell>
        </row>
        <row r="488">
          <cell r="A488" t="str">
            <v>PUT-90x20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cell r="BM488">
            <v>0</v>
          </cell>
          <cell r="BN488">
            <v>0</v>
          </cell>
          <cell r="BO488">
            <v>0</v>
          </cell>
          <cell r="BP488">
            <v>0</v>
          </cell>
          <cell r="BQ488">
            <v>0</v>
          </cell>
          <cell r="BR488">
            <v>0</v>
          </cell>
          <cell r="BS488">
            <v>0</v>
          </cell>
          <cell r="BT488">
            <v>0</v>
          </cell>
          <cell r="BU488">
            <v>0</v>
          </cell>
          <cell r="BV488">
            <v>0</v>
          </cell>
          <cell r="BW488">
            <v>0</v>
          </cell>
          <cell r="BX488">
            <v>0</v>
          </cell>
          <cell r="BY488">
            <v>0</v>
          </cell>
          <cell r="BZ488">
            <v>0</v>
          </cell>
          <cell r="CA488">
            <v>0</v>
          </cell>
          <cell r="CB488">
            <v>0</v>
          </cell>
          <cell r="CC488">
            <v>0</v>
          </cell>
          <cell r="CD488">
            <v>0</v>
          </cell>
          <cell r="CE488">
            <v>0</v>
          </cell>
          <cell r="CF488">
            <v>0</v>
          </cell>
          <cell r="CG488">
            <v>0</v>
          </cell>
          <cell r="CH488">
            <v>0</v>
          </cell>
          <cell r="CI488">
            <v>0</v>
          </cell>
          <cell r="CJ488">
            <v>0</v>
          </cell>
          <cell r="CK488">
            <v>0</v>
          </cell>
          <cell r="CL488">
            <v>0</v>
          </cell>
          <cell r="CM488">
            <v>0</v>
          </cell>
          <cell r="CN488">
            <v>0</v>
          </cell>
          <cell r="CO488">
            <v>0</v>
          </cell>
          <cell r="CP488">
            <v>0</v>
          </cell>
          <cell r="CQ488">
            <v>0</v>
          </cell>
          <cell r="CU488">
            <v>0</v>
          </cell>
          <cell r="CV488">
            <v>0</v>
          </cell>
          <cell r="CW488">
            <v>0</v>
          </cell>
          <cell r="CZ488" t="str">
            <v>s</v>
          </cell>
        </row>
        <row r="489">
          <cell r="A489" t="str">
            <v>PUT-32x25</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cell r="BM489">
            <v>0</v>
          </cell>
          <cell r="BN489">
            <v>0</v>
          </cell>
          <cell r="BO489">
            <v>0</v>
          </cell>
          <cell r="BP489">
            <v>0</v>
          </cell>
          <cell r="BQ489">
            <v>0</v>
          </cell>
          <cell r="BR489">
            <v>0</v>
          </cell>
          <cell r="BS489">
            <v>0</v>
          </cell>
          <cell r="BT489">
            <v>0</v>
          </cell>
          <cell r="BU489">
            <v>0</v>
          </cell>
          <cell r="BV489">
            <v>0</v>
          </cell>
          <cell r="BW489">
            <v>0</v>
          </cell>
          <cell r="BX489">
            <v>0</v>
          </cell>
          <cell r="BY489">
            <v>0</v>
          </cell>
          <cell r="BZ489">
            <v>0</v>
          </cell>
          <cell r="CA489">
            <v>0</v>
          </cell>
          <cell r="CB489">
            <v>0</v>
          </cell>
          <cell r="CC489">
            <v>0</v>
          </cell>
          <cell r="CD489">
            <v>0</v>
          </cell>
          <cell r="CE489">
            <v>0</v>
          </cell>
          <cell r="CF489">
            <v>0</v>
          </cell>
          <cell r="CG489">
            <v>0</v>
          </cell>
          <cell r="CH489">
            <v>0</v>
          </cell>
          <cell r="CI489">
            <v>0</v>
          </cell>
          <cell r="CJ489">
            <v>0</v>
          </cell>
          <cell r="CK489">
            <v>0</v>
          </cell>
          <cell r="CL489">
            <v>0</v>
          </cell>
          <cell r="CM489">
            <v>0</v>
          </cell>
          <cell r="CN489">
            <v>0</v>
          </cell>
          <cell r="CO489">
            <v>0</v>
          </cell>
          <cell r="CP489">
            <v>0</v>
          </cell>
          <cell r="CQ489">
            <v>0</v>
          </cell>
          <cell r="CU489">
            <v>0</v>
          </cell>
          <cell r="CV489">
            <v>0</v>
          </cell>
          <cell r="CW489">
            <v>0</v>
          </cell>
          <cell r="CZ489" t="str">
            <v>s</v>
          </cell>
        </row>
        <row r="490">
          <cell r="A490" t="str">
            <v>PET-32</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cell r="BM490">
            <v>0</v>
          </cell>
          <cell r="BN490">
            <v>0</v>
          </cell>
          <cell r="BO490">
            <v>0</v>
          </cell>
          <cell r="BP490">
            <v>0</v>
          </cell>
          <cell r="BQ490">
            <v>0</v>
          </cell>
          <cell r="BR490">
            <v>0</v>
          </cell>
          <cell r="BS490">
            <v>0</v>
          </cell>
          <cell r="BT490">
            <v>0</v>
          </cell>
          <cell r="BU490">
            <v>0</v>
          </cell>
          <cell r="BV490">
            <v>0</v>
          </cell>
          <cell r="BW490">
            <v>0</v>
          </cell>
          <cell r="BX490">
            <v>0</v>
          </cell>
          <cell r="BY490">
            <v>0</v>
          </cell>
          <cell r="BZ490">
            <v>0</v>
          </cell>
          <cell r="CA490">
            <v>0</v>
          </cell>
          <cell r="CB490">
            <v>0</v>
          </cell>
          <cell r="CC490">
            <v>0</v>
          </cell>
          <cell r="CD490">
            <v>0</v>
          </cell>
          <cell r="CE490">
            <v>0</v>
          </cell>
          <cell r="CF490">
            <v>0</v>
          </cell>
          <cell r="CG490">
            <v>0</v>
          </cell>
          <cell r="CH490">
            <v>0</v>
          </cell>
          <cell r="CI490">
            <v>0</v>
          </cell>
          <cell r="CJ490">
            <v>0</v>
          </cell>
          <cell r="CK490">
            <v>0</v>
          </cell>
          <cell r="CL490">
            <v>0</v>
          </cell>
          <cell r="CM490">
            <v>0</v>
          </cell>
          <cell r="CN490">
            <v>0</v>
          </cell>
          <cell r="CO490">
            <v>0</v>
          </cell>
          <cell r="CP490">
            <v>0</v>
          </cell>
          <cell r="CQ490">
            <v>0</v>
          </cell>
          <cell r="CU490">
            <v>0</v>
          </cell>
          <cell r="CV490">
            <v>0</v>
          </cell>
          <cell r="CW490">
            <v>0</v>
          </cell>
          <cell r="CZ490" t="str">
            <v>s</v>
          </cell>
        </row>
        <row r="491">
          <cell r="A491" t="str">
            <v>PUT-40x32</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cell r="BM491">
            <v>0</v>
          </cell>
          <cell r="BN491">
            <v>0</v>
          </cell>
          <cell r="BO491">
            <v>0</v>
          </cell>
          <cell r="BP491">
            <v>0</v>
          </cell>
          <cell r="BQ491">
            <v>0</v>
          </cell>
          <cell r="BR491">
            <v>0</v>
          </cell>
          <cell r="BS491">
            <v>0</v>
          </cell>
          <cell r="BT491">
            <v>0</v>
          </cell>
          <cell r="BU491">
            <v>0</v>
          </cell>
          <cell r="BV491">
            <v>0</v>
          </cell>
          <cell r="BW491">
            <v>0</v>
          </cell>
          <cell r="BX491">
            <v>0</v>
          </cell>
          <cell r="BY491">
            <v>0</v>
          </cell>
          <cell r="BZ491">
            <v>0</v>
          </cell>
          <cell r="CA491">
            <v>0</v>
          </cell>
          <cell r="CB491">
            <v>0</v>
          </cell>
          <cell r="CC491">
            <v>0</v>
          </cell>
          <cell r="CD491">
            <v>0</v>
          </cell>
          <cell r="CE491">
            <v>0</v>
          </cell>
          <cell r="CF491">
            <v>0</v>
          </cell>
          <cell r="CG491">
            <v>0</v>
          </cell>
          <cell r="CH491">
            <v>0</v>
          </cell>
          <cell r="CI491">
            <v>0</v>
          </cell>
          <cell r="CJ491">
            <v>0</v>
          </cell>
          <cell r="CK491">
            <v>0</v>
          </cell>
          <cell r="CL491">
            <v>0</v>
          </cell>
          <cell r="CM491">
            <v>0</v>
          </cell>
          <cell r="CN491">
            <v>0</v>
          </cell>
          <cell r="CO491">
            <v>0</v>
          </cell>
          <cell r="CP491">
            <v>0</v>
          </cell>
          <cell r="CQ491">
            <v>0</v>
          </cell>
          <cell r="CU491">
            <v>0</v>
          </cell>
          <cell r="CV491">
            <v>0</v>
          </cell>
          <cell r="CW491">
            <v>0</v>
          </cell>
          <cell r="CZ491" t="str">
            <v>s</v>
          </cell>
        </row>
        <row r="492">
          <cell r="A492" t="str">
            <v>PUT-50x32</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cell r="BM492">
            <v>0</v>
          </cell>
          <cell r="BN492">
            <v>0</v>
          </cell>
          <cell r="BO492">
            <v>0</v>
          </cell>
          <cell r="BP492">
            <v>0</v>
          </cell>
          <cell r="BQ492">
            <v>0</v>
          </cell>
          <cell r="BR492">
            <v>0</v>
          </cell>
          <cell r="BS492">
            <v>0</v>
          </cell>
          <cell r="BT492">
            <v>0</v>
          </cell>
          <cell r="BU492">
            <v>0</v>
          </cell>
          <cell r="BV492">
            <v>0</v>
          </cell>
          <cell r="BW492">
            <v>0</v>
          </cell>
          <cell r="BX492">
            <v>0</v>
          </cell>
          <cell r="BY492">
            <v>0</v>
          </cell>
          <cell r="BZ492">
            <v>0</v>
          </cell>
          <cell r="CA492">
            <v>0</v>
          </cell>
          <cell r="CB492">
            <v>0</v>
          </cell>
          <cell r="CC492">
            <v>0</v>
          </cell>
          <cell r="CD492">
            <v>0</v>
          </cell>
          <cell r="CE492">
            <v>0</v>
          </cell>
          <cell r="CF492">
            <v>0</v>
          </cell>
          <cell r="CG492">
            <v>0</v>
          </cell>
          <cell r="CH492">
            <v>0</v>
          </cell>
          <cell r="CI492">
            <v>0</v>
          </cell>
          <cell r="CJ492">
            <v>0</v>
          </cell>
          <cell r="CK492">
            <v>0</v>
          </cell>
          <cell r="CL492">
            <v>0</v>
          </cell>
          <cell r="CM492">
            <v>0</v>
          </cell>
          <cell r="CN492">
            <v>0</v>
          </cell>
          <cell r="CO492">
            <v>0</v>
          </cell>
          <cell r="CP492">
            <v>0</v>
          </cell>
          <cell r="CQ492">
            <v>0</v>
          </cell>
          <cell r="CU492">
            <v>0</v>
          </cell>
          <cell r="CV492">
            <v>0</v>
          </cell>
          <cell r="CW492">
            <v>0</v>
          </cell>
          <cell r="CZ492" t="str">
            <v>s</v>
          </cell>
        </row>
        <row r="493">
          <cell r="A493" t="str">
            <v>PUT-63x32</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cell r="BM493">
            <v>0</v>
          </cell>
          <cell r="BN493">
            <v>0</v>
          </cell>
          <cell r="BO493">
            <v>0</v>
          </cell>
          <cell r="BP493">
            <v>0</v>
          </cell>
          <cell r="BQ493">
            <v>0</v>
          </cell>
          <cell r="BR493">
            <v>0</v>
          </cell>
          <cell r="BS493">
            <v>0</v>
          </cell>
          <cell r="BT493">
            <v>0</v>
          </cell>
          <cell r="BU493">
            <v>0</v>
          </cell>
          <cell r="BV493">
            <v>0</v>
          </cell>
          <cell r="BW493">
            <v>0</v>
          </cell>
          <cell r="BX493">
            <v>0</v>
          </cell>
          <cell r="BY493">
            <v>0</v>
          </cell>
          <cell r="BZ493">
            <v>0</v>
          </cell>
          <cell r="CA493">
            <v>0</v>
          </cell>
          <cell r="CB493">
            <v>0</v>
          </cell>
          <cell r="CC493">
            <v>0</v>
          </cell>
          <cell r="CD493">
            <v>0</v>
          </cell>
          <cell r="CE493">
            <v>0</v>
          </cell>
          <cell r="CF493">
            <v>0</v>
          </cell>
          <cell r="CG493">
            <v>0</v>
          </cell>
          <cell r="CH493">
            <v>0</v>
          </cell>
          <cell r="CI493">
            <v>0</v>
          </cell>
          <cell r="CJ493">
            <v>0</v>
          </cell>
          <cell r="CK493">
            <v>0</v>
          </cell>
          <cell r="CL493">
            <v>0</v>
          </cell>
          <cell r="CM493">
            <v>0</v>
          </cell>
          <cell r="CN493">
            <v>0</v>
          </cell>
          <cell r="CO493">
            <v>0</v>
          </cell>
          <cell r="CP493">
            <v>0</v>
          </cell>
          <cell r="CQ493">
            <v>0</v>
          </cell>
          <cell r="CU493">
            <v>0</v>
          </cell>
          <cell r="CV493">
            <v>0</v>
          </cell>
          <cell r="CW493">
            <v>0</v>
          </cell>
          <cell r="CZ493" t="str">
            <v>s</v>
          </cell>
        </row>
        <row r="494">
          <cell r="A494" t="str">
            <v>PUT-75x32</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cell r="BM494">
            <v>0</v>
          </cell>
          <cell r="BN494">
            <v>0</v>
          </cell>
          <cell r="BO494">
            <v>0</v>
          </cell>
          <cell r="BP494">
            <v>0</v>
          </cell>
          <cell r="BQ494">
            <v>0</v>
          </cell>
          <cell r="BR494">
            <v>0</v>
          </cell>
          <cell r="BS494">
            <v>0</v>
          </cell>
          <cell r="BT494">
            <v>0</v>
          </cell>
          <cell r="BU494">
            <v>0</v>
          </cell>
          <cell r="BV494">
            <v>0</v>
          </cell>
          <cell r="BW494">
            <v>0</v>
          </cell>
          <cell r="BX494">
            <v>0</v>
          </cell>
          <cell r="BY494">
            <v>0</v>
          </cell>
          <cell r="BZ494">
            <v>0</v>
          </cell>
          <cell r="CA494">
            <v>0</v>
          </cell>
          <cell r="CB494">
            <v>0</v>
          </cell>
          <cell r="CC494">
            <v>0</v>
          </cell>
          <cell r="CD494">
            <v>0</v>
          </cell>
          <cell r="CE494">
            <v>0</v>
          </cell>
          <cell r="CF494">
            <v>0</v>
          </cell>
          <cell r="CG494">
            <v>0</v>
          </cell>
          <cell r="CH494">
            <v>0</v>
          </cell>
          <cell r="CI494">
            <v>0</v>
          </cell>
          <cell r="CJ494">
            <v>0</v>
          </cell>
          <cell r="CK494">
            <v>0</v>
          </cell>
          <cell r="CL494">
            <v>0</v>
          </cell>
          <cell r="CM494">
            <v>0</v>
          </cell>
          <cell r="CN494">
            <v>0</v>
          </cell>
          <cell r="CO494">
            <v>0</v>
          </cell>
          <cell r="CP494">
            <v>0</v>
          </cell>
          <cell r="CQ494">
            <v>0</v>
          </cell>
          <cell r="CU494">
            <v>0</v>
          </cell>
          <cell r="CV494">
            <v>0</v>
          </cell>
          <cell r="CW494">
            <v>0</v>
          </cell>
          <cell r="CZ494" t="str">
            <v>s</v>
          </cell>
        </row>
        <row r="495">
          <cell r="A495" t="str">
            <v>PUT-90x32</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cell r="BM495">
            <v>0</v>
          </cell>
          <cell r="BN495">
            <v>0</v>
          </cell>
          <cell r="BO495">
            <v>0</v>
          </cell>
          <cell r="BP495">
            <v>0</v>
          </cell>
          <cell r="BQ495">
            <v>0</v>
          </cell>
          <cell r="BR495">
            <v>0</v>
          </cell>
          <cell r="BS495">
            <v>0</v>
          </cell>
          <cell r="BT495">
            <v>0</v>
          </cell>
          <cell r="BU495">
            <v>0</v>
          </cell>
          <cell r="BV495">
            <v>0</v>
          </cell>
          <cell r="BW495">
            <v>0</v>
          </cell>
          <cell r="BX495">
            <v>0</v>
          </cell>
          <cell r="BY495">
            <v>0</v>
          </cell>
          <cell r="BZ495">
            <v>0</v>
          </cell>
          <cell r="CA495">
            <v>0</v>
          </cell>
          <cell r="CB495">
            <v>0</v>
          </cell>
          <cell r="CC495">
            <v>0</v>
          </cell>
          <cell r="CD495">
            <v>0</v>
          </cell>
          <cell r="CE495">
            <v>0</v>
          </cell>
          <cell r="CF495">
            <v>0</v>
          </cell>
          <cell r="CG495">
            <v>0</v>
          </cell>
          <cell r="CH495">
            <v>0</v>
          </cell>
          <cell r="CI495">
            <v>0</v>
          </cell>
          <cell r="CJ495">
            <v>0</v>
          </cell>
          <cell r="CK495">
            <v>0</v>
          </cell>
          <cell r="CL495">
            <v>0</v>
          </cell>
          <cell r="CM495">
            <v>0</v>
          </cell>
          <cell r="CN495">
            <v>0</v>
          </cell>
          <cell r="CO495">
            <v>0</v>
          </cell>
          <cell r="CP495">
            <v>0</v>
          </cell>
          <cell r="CQ495">
            <v>0</v>
          </cell>
          <cell r="CU495">
            <v>0</v>
          </cell>
          <cell r="CV495">
            <v>0</v>
          </cell>
          <cell r="CW495">
            <v>0</v>
          </cell>
          <cell r="CZ495" t="str">
            <v>s</v>
          </cell>
        </row>
        <row r="496">
          <cell r="A496" t="str">
            <v>PEL-63</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cell r="BM496">
            <v>0</v>
          </cell>
          <cell r="BN496">
            <v>0</v>
          </cell>
          <cell r="BO496">
            <v>0</v>
          </cell>
          <cell r="BP496">
            <v>0</v>
          </cell>
          <cell r="BQ496">
            <v>0</v>
          </cell>
          <cell r="BR496">
            <v>0</v>
          </cell>
          <cell r="BS496">
            <v>0</v>
          </cell>
          <cell r="BT496">
            <v>0</v>
          </cell>
          <cell r="BU496">
            <v>0</v>
          </cell>
          <cell r="BV496">
            <v>0</v>
          </cell>
          <cell r="BW496">
            <v>0</v>
          </cell>
          <cell r="BX496">
            <v>0</v>
          </cell>
          <cell r="BY496">
            <v>0</v>
          </cell>
          <cell r="BZ496">
            <v>0</v>
          </cell>
          <cell r="CA496">
            <v>0</v>
          </cell>
          <cell r="CB496">
            <v>0</v>
          </cell>
          <cell r="CC496">
            <v>0</v>
          </cell>
          <cell r="CD496">
            <v>0</v>
          </cell>
          <cell r="CE496">
            <v>0</v>
          </cell>
          <cell r="CF496">
            <v>0</v>
          </cell>
          <cell r="CG496">
            <v>0</v>
          </cell>
          <cell r="CH496">
            <v>0</v>
          </cell>
          <cell r="CI496">
            <v>0</v>
          </cell>
          <cell r="CJ496">
            <v>0</v>
          </cell>
          <cell r="CK496">
            <v>0</v>
          </cell>
          <cell r="CL496">
            <v>0</v>
          </cell>
          <cell r="CM496">
            <v>0</v>
          </cell>
          <cell r="CN496">
            <v>0</v>
          </cell>
          <cell r="CO496">
            <v>0</v>
          </cell>
          <cell r="CP496">
            <v>0</v>
          </cell>
          <cell r="CQ496">
            <v>0</v>
          </cell>
          <cell r="CU496">
            <v>0</v>
          </cell>
          <cell r="CV496">
            <v>0</v>
          </cell>
          <cell r="CW496">
            <v>0</v>
          </cell>
          <cell r="CZ496" t="str">
            <v>s</v>
          </cell>
        </row>
        <row r="497">
          <cell r="A497" t="str">
            <v>PEL-50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cell r="BM497">
            <v>0</v>
          </cell>
          <cell r="BN497">
            <v>0</v>
          </cell>
          <cell r="BO497">
            <v>0</v>
          </cell>
          <cell r="BP497">
            <v>0</v>
          </cell>
          <cell r="BQ497">
            <v>0</v>
          </cell>
          <cell r="BR497">
            <v>0</v>
          </cell>
          <cell r="BS497">
            <v>0</v>
          </cell>
          <cell r="BT497">
            <v>0</v>
          </cell>
          <cell r="BU497">
            <v>0</v>
          </cell>
          <cell r="BV497">
            <v>0</v>
          </cell>
          <cell r="BW497">
            <v>0</v>
          </cell>
          <cell r="BX497">
            <v>0</v>
          </cell>
          <cell r="BY497">
            <v>0</v>
          </cell>
          <cell r="BZ497">
            <v>0</v>
          </cell>
          <cell r="CA497">
            <v>0</v>
          </cell>
          <cell r="CB497">
            <v>0</v>
          </cell>
          <cell r="CC497">
            <v>0</v>
          </cell>
          <cell r="CD497">
            <v>0</v>
          </cell>
          <cell r="CE497">
            <v>0</v>
          </cell>
          <cell r="CF497">
            <v>0</v>
          </cell>
          <cell r="CG497">
            <v>0</v>
          </cell>
          <cell r="CH497">
            <v>0</v>
          </cell>
          <cell r="CI497">
            <v>0</v>
          </cell>
          <cell r="CJ497">
            <v>0</v>
          </cell>
          <cell r="CK497">
            <v>0</v>
          </cell>
          <cell r="CL497">
            <v>0</v>
          </cell>
          <cell r="CM497">
            <v>0</v>
          </cell>
          <cell r="CN497">
            <v>0</v>
          </cell>
          <cell r="CO497">
            <v>0</v>
          </cell>
          <cell r="CP497">
            <v>0</v>
          </cell>
          <cell r="CQ497">
            <v>0</v>
          </cell>
          <cell r="CU497">
            <v>0</v>
          </cell>
          <cell r="CV497">
            <v>0</v>
          </cell>
          <cell r="CW497">
            <v>0</v>
          </cell>
          <cell r="CZ497" t="str">
            <v>s</v>
          </cell>
        </row>
        <row r="498">
          <cell r="A498" t="str">
            <v>PEL-40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cell r="BM498">
            <v>0</v>
          </cell>
          <cell r="BN498">
            <v>0</v>
          </cell>
          <cell r="BO498">
            <v>0</v>
          </cell>
          <cell r="BP498">
            <v>0</v>
          </cell>
          <cell r="BQ498">
            <v>0</v>
          </cell>
          <cell r="BR498">
            <v>0</v>
          </cell>
          <cell r="BS498">
            <v>0</v>
          </cell>
          <cell r="BT498">
            <v>0</v>
          </cell>
          <cell r="BU498">
            <v>0</v>
          </cell>
          <cell r="BV498">
            <v>0</v>
          </cell>
          <cell r="BW498">
            <v>0</v>
          </cell>
          <cell r="BX498">
            <v>0</v>
          </cell>
          <cell r="BY498">
            <v>0</v>
          </cell>
          <cell r="BZ498">
            <v>0</v>
          </cell>
          <cell r="CA498">
            <v>0</v>
          </cell>
          <cell r="CB498">
            <v>0</v>
          </cell>
          <cell r="CC498">
            <v>0</v>
          </cell>
          <cell r="CD498">
            <v>0</v>
          </cell>
          <cell r="CE498">
            <v>0</v>
          </cell>
          <cell r="CF498">
            <v>0</v>
          </cell>
          <cell r="CG498">
            <v>0</v>
          </cell>
          <cell r="CH498">
            <v>0</v>
          </cell>
          <cell r="CI498">
            <v>0</v>
          </cell>
          <cell r="CJ498">
            <v>0</v>
          </cell>
          <cell r="CK498">
            <v>0</v>
          </cell>
          <cell r="CL498">
            <v>0</v>
          </cell>
          <cell r="CM498">
            <v>0</v>
          </cell>
          <cell r="CN498">
            <v>0</v>
          </cell>
          <cell r="CO498">
            <v>0</v>
          </cell>
          <cell r="CP498">
            <v>0</v>
          </cell>
          <cell r="CQ498">
            <v>0</v>
          </cell>
          <cell r="CU498">
            <v>0</v>
          </cell>
          <cell r="CV498">
            <v>0</v>
          </cell>
          <cell r="CW498">
            <v>0</v>
          </cell>
          <cell r="CZ498" t="str">
            <v>s</v>
          </cell>
        </row>
        <row r="499">
          <cell r="A499" t="str">
            <v>PEL-32</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cell r="BM499">
            <v>0</v>
          </cell>
          <cell r="BN499">
            <v>0</v>
          </cell>
          <cell r="BO499">
            <v>0</v>
          </cell>
          <cell r="BP499">
            <v>0</v>
          </cell>
          <cell r="BQ499">
            <v>0</v>
          </cell>
          <cell r="BR499">
            <v>0</v>
          </cell>
          <cell r="BS499">
            <v>0</v>
          </cell>
          <cell r="BT499">
            <v>0</v>
          </cell>
          <cell r="BU499">
            <v>0</v>
          </cell>
          <cell r="BV499">
            <v>0</v>
          </cell>
          <cell r="BW499">
            <v>0</v>
          </cell>
          <cell r="BX499">
            <v>0</v>
          </cell>
          <cell r="BY499">
            <v>0</v>
          </cell>
          <cell r="BZ499">
            <v>0</v>
          </cell>
          <cell r="CA499">
            <v>0</v>
          </cell>
          <cell r="CB499">
            <v>0</v>
          </cell>
          <cell r="CC499">
            <v>0</v>
          </cell>
          <cell r="CD499">
            <v>0</v>
          </cell>
          <cell r="CE499">
            <v>0</v>
          </cell>
          <cell r="CF499">
            <v>0</v>
          </cell>
          <cell r="CG499">
            <v>0</v>
          </cell>
          <cell r="CH499">
            <v>0</v>
          </cell>
          <cell r="CI499">
            <v>0</v>
          </cell>
          <cell r="CJ499">
            <v>0</v>
          </cell>
          <cell r="CK499">
            <v>0</v>
          </cell>
          <cell r="CL499">
            <v>0</v>
          </cell>
          <cell r="CM499">
            <v>0</v>
          </cell>
          <cell r="CN499">
            <v>0</v>
          </cell>
          <cell r="CO499">
            <v>0</v>
          </cell>
          <cell r="CP499">
            <v>0</v>
          </cell>
          <cell r="CQ499">
            <v>0</v>
          </cell>
          <cell r="CU499">
            <v>0</v>
          </cell>
          <cell r="CV499">
            <v>0</v>
          </cell>
          <cell r="CW499">
            <v>0</v>
          </cell>
          <cell r="CZ499" t="str">
            <v>s</v>
          </cell>
        </row>
        <row r="500">
          <cell r="A500" t="str">
            <v>PEL-25</v>
          </cell>
          <cell r="G500">
            <v>0</v>
          </cell>
          <cell r="H500">
            <v>0</v>
          </cell>
          <cell r="I500">
            <v>0</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cell r="BM500">
            <v>0</v>
          </cell>
          <cell r="BN500">
            <v>0</v>
          </cell>
          <cell r="BO500">
            <v>0</v>
          </cell>
          <cell r="BP500">
            <v>0</v>
          </cell>
          <cell r="BQ500">
            <v>0</v>
          </cell>
          <cell r="BR500">
            <v>0</v>
          </cell>
          <cell r="BS500">
            <v>0</v>
          </cell>
          <cell r="BT500">
            <v>0</v>
          </cell>
          <cell r="BU500">
            <v>0</v>
          </cell>
          <cell r="BV500">
            <v>0</v>
          </cell>
          <cell r="BW500">
            <v>0</v>
          </cell>
          <cell r="BX500">
            <v>0</v>
          </cell>
          <cell r="BY500">
            <v>0</v>
          </cell>
          <cell r="BZ500">
            <v>0</v>
          </cell>
          <cell r="CA500">
            <v>0</v>
          </cell>
          <cell r="CB500">
            <v>0</v>
          </cell>
          <cell r="CC500">
            <v>0</v>
          </cell>
          <cell r="CD500">
            <v>0</v>
          </cell>
          <cell r="CE500">
            <v>0</v>
          </cell>
          <cell r="CF500">
            <v>0</v>
          </cell>
          <cell r="CG500">
            <v>0</v>
          </cell>
          <cell r="CH500">
            <v>0</v>
          </cell>
          <cell r="CI500">
            <v>0</v>
          </cell>
          <cell r="CJ500">
            <v>0</v>
          </cell>
          <cell r="CK500">
            <v>0</v>
          </cell>
          <cell r="CL500">
            <v>0</v>
          </cell>
          <cell r="CM500">
            <v>0</v>
          </cell>
          <cell r="CN500">
            <v>0</v>
          </cell>
          <cell r="CO500">
            <v>0</v>
          </cell>
          <cell r="CP500">
            <v>0</v>
          </cell>
          <cell r="CQ500">
            <v>0</v>
          </cell>
          <cell r="CU500">
            <v>0</v>
          </cell>
          <cell r="CV500">
            <v>0</v>
          </cell>
          <cell r="CW500">
            <v>0</v>
          </cell>
          <cell r="CZ500" t="str">
            <v>s</v>
          </cell>
        </row>
        <row r="501">
          <cell r="A501" t="str">
            <v>PEL-20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cell r="BM501">
            <v>0</v>
          </cell>
          <cell r="BN501">
            <v>0</v>
          </cell>
          <cell r="BO501">
            <v>0</v>
          </cell>
          <cell r="BP501">
            <v>0</v>
          </cell>
          <cell r="BQ501">
            <v>0</v>
          </cell>
          <cell r="BR501">
            <v>0</v>
          </cell>
          <cell r="BS501">
            <v>0</v>
          </cell>
          <cell r="BT501">
            <v>0</v>
          </cell>
          <cell r="BU501">
            <v>0</v>
          </cell>
          <cell r="BV501">
            <v>0</v>
          </cell>
          <cell r="BW501">
            <v>0</v>
          </cell>
          <cell r="BX501">
            <v>0</v>
          </cell>
          <cell r="BY501">
            <v>0</v>
          </cell>
          <cell r="BZ501">
            <v>0</v>
          </cell>
          <cell r="CA501">
            <v>0</v>
          </cell>
          <cell r="CB501">
            <v>0</v>
          </cell>
          <cell r="CC501">
            <v>0</v>
          </cell>
          <cell r="CD501">
            <v>0</v>
          </cell>
          <cell r="CE501">
            <v>0</v>
          </cell>
          <cell r="CF501">
            <v>0</v>
          </cell>
          <cell r="CG501">
            <v>0</v>
          </cell>
          <cell r="CH501">
            <v>0</v>
          </cell>
          <cell r="CI501">
            <v>0</v>
          </cell>
          <cell r="CJ501">
            <v>0</v>
          </cell>
          <cell r="CK501">
            <v>0</v>
          </cell>
          <cell r="CL501">
            <v>0</v>
          </cell>
          <cell r="CM501">
            <v>0</v>
          </cell>
          <cell r="CN501">
            <v>0</v>
          </cell>
          <cell r="CO501">
            <v>0</v>
          </cell>
          <cell r="CP501">
            <v>0</v>
          </cell>
          <cell r="CQ501">
            <v>0</v>
          </cell>
          <cell r="CU501">
            <v>0</v>
          </cell>
          <cell r="CV501">
            <v>0</v>
          </cell>
          <cell r="CW501">
            <v>0</v>
          </cell>
          <cell r="CZ501" t="str">
            <v>s</v>
          </cell>
        </row>
        <row r="502">
          <cell r="A502" t="str">
            <v>PAV-32</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cell r="BM502">
            <v>0</v>
          </cell>
          <cell r="BN502">
            <v>0</v>
          </cell>
          <cell r="BO502">
            <v>0</v>
          </cell>
          <cell r="BP502">
            <v>0</v>
          </cell>
          <cell r="BQ502">
            <v>0</v>
          </cell>
          <cell r="BR502">
            <v>0</v>
          </cell>
          <cell r="BS502">
            <v>0</v>
          </cell>
          <cell r="BT502">
            <v>0</v>
          </cell>
          <cell r="BU502">
            <v>0</v>
          </cell>
          <cell r="BV502">
            <v>0</v>
          </cell>
          <cell r="BW502">
            <v>0</v>
          </cell>
          <cell r="BX502">
            <v>0</v>
          </cell>
          <cell r="BY502">
            <v>0</v>
          </cell>
          <cell r="BZ502">
            <v>0</v>
          </cell>
          <cell r="CA502">
            <v>0</v>
          </cell>
          <cell r="CB502">
            <v>0</v>
          </cell>
          <cell r="CC502">
            <v>0</v>
          </cell>
          <cell r="CD502">
            <v>0</v>
          </cell>
          <cell r="CE502">
            <v>0</v>
          </cell>
          <cell r="CF502">
            <v>0</v>
          </cell>
          <cell r="CG502">
            <v>0</v>
          </cell>
          <cell r="CH502">
            <v>0</v>
          </cell>
          <cell r="CI502">
            <v>0</v>
          </cell>
          <cell r="CJ502">
            <v>0</v>
          </cell>
          <cell r="CK502">
            <v>0</v>
          </cell>
          <cell r="CL502">
            <v>0</v>
          </cell>
          <cell r="CM502">
            <v>0</v>
          </cell>
          <cell r="CN502">
            <v>0</v>
          </cell>
          <cell r="CO502">
            <v>0</v>
          </cell>
          <cell r="CP502">
            <v>0</v>
          </cell>
          <cell r="CQ502">
            <v>0</v>
          </cell>
          <cell r="CU502">
            <v>0</v>
          </cell>
          <cell r="CV502">
            <v>0</v>
          </cell>
          <cell r="CW502">
            <v>0</v>
          </cell>
          <cell r="CZ502" t="str">
            <v>s</v>
          </cell>
        </row>
        <row r="503">
          <cell r="A503" t="str">
            <v>PRT-20</v>
          </cell>
          <cell r="G503">
            <v>0</v>
          </cell>
          <cell r="H503">
            <v>0</v>
          </cell>
          <cell r="I503">
            <v>0</v>
          </cell>
          <cell r="J503">
            <v>0</v>
          </cell>
          <cell r="K503">
            <v>0</v>
          </cell>
          <cell r="L503">
            <v>0</v>
          </cell>
          <cell r="M503">
            <v>0</v>
          </cell>
          <cell r="N503">
            <v>0</v>
          </cell>
          <cell r="O503">
            <v>0</v>
          </cell>
          <cell r="P503">
            <v>0</v>
          </cell>
          <cell r="Q503">
            <v>0</v>
          </cell>
          <cell r="R503">
            <v>0</v>
          </cell>
          <cell r="S503">
            <v>0</v>
          </cell>
          <cell r="T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cell r="BM503">
            <v>0</v>
          </cell>
          <cell r="BN503">
            <v>0</v>
          </cell>
          <cell r="BO503">
            <v>0</v>
          </cell>
          <cell r="BP503">
            <v>0</v>
          </cell>
          <cell r="BQ503">
            <v>0</v>
          </cell>
          <cell r="BR503">
            <v>0</v>
          </cell>
          <cell r="BS503">
            <v>0</v>
          </cell>
          <cell r="BT503">
            <v>0</v>
          </cell>
          <cell r="BU503">
            <v>0</v>
          </cell>
          <cell r="BV503">
            <v>0</v>
          </cell>
          <cell r="BW503">
            <v>0</v>
          </cell>
          <cell r="BX503">
            <v>0</v>
          </cell>
          <cell r="BY503">
            <v>0</v>
          </cell>
          <cell r="BZ503">
            <v>0</v>
          </cell>
          <cell r="CA503">
            <v>0</v>
          </cell>
          <cell r="CB503">
            <v>0</v>
          </cell>
          <cell r="CC503">
            <v>0</v>
          </cell>
          <cell r="CD503">
            <v>0</v>
          </cell>
          <cell r="CE503">
            <v>0</v>
          </cell>
          <cell r="CF503">
            <v>0</v>
          </cell>
          <cell r="CG503">
            <v>0</v>
          </cell>
          <cell r="CH503">
            <v>0</v>
          </cell>
          <cell r="CI503">
            <v>0</v>
          </cell>
          <cell r="CJ503">
            <v>0</v>
          </cell>
          <cell r="CK503">
            <v>0</v>
          </cell>
          <cell r="CL503">
            <v>0</v>
          </cell>
          <cell r="CM503">
            <v>0</v>
          </cell>
          <cell r="CN503">
            <v>0</v>
          </cell>
          <cell r="CO503">
            <v>0</v>
          </cell>
          <cell r="CP503">
            <v>0</v>
          </cell>
          <cell r="CQ503">
            <v>0</v>
          </cell>
          <cell r="CU503">
            <v>0</v>
          </cell>
          <cell r="CV503">
            <v>0</v>
          </cell>
          <cell r="CW503">
            <v>0</v>
          </cell>
          <cell r="CZ503" t="str">
            <v>s</v>
          </cell>
        </row>
        <row r="504">
          <cell r="CZ504" t="str">
            <v>s</v>
          </cell>
        </row>
        <row r="505">
          <cell r="A505" t="str">
            <v>PHF-20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cell r="BM505">
            <v>0</v>
          </cell>
          <cell r="BN505">
            <v>0</v>
          </cell>
          <cell r="BO505">
            <v>0</v>
          </cell>
          <cell r="BP505">
            <v>0</v>
          </cell>
          <cell r="BQ505">
            <v>0</v>
          </cell>
          <cell r="BR505">
            <v>0</v>
          </cell>
          <cell r="BS505">
            <v>0</v>
          </cell>
          <cell r="BT505">
            <v>0</v>
          </cell>
          <cell r="BU505">
            <v>0</v>
          </cell>
          <cell r="BV505">
            <v>0</v>
          </cell>
          <cell r="BW505">
            <v>0</v>
          </cell>
          <cell r="BX505">
            <v>0</v>
          </cell>
          <cell r="BY505">
            <v>0</v>
          </cell>
          <cell r="BZ505">
            <v>0</v>
          </cell>
          <cell r="CA505">
            <v>0</v>
          </cell>
          <cell r="CB505">
            <v>0</v>
          </cell>
          <cell r="CC505">
            <v>0</v>
          </cell>
          <cell r="CD505">
            <v>0</v>
          </cell>
          <cell r="CE505">
            <v>0</v>
          </cell>
          <cell r="CF505">
            <v>0</v>
          </cell>
          <cell r="CG505">
            <v>0</v>
          </cell>
          <cell r="CH505">
            <v>0</v>
          </cell>
          <cell r="CI505">
            <v>0</v>
          </cell>
          <cell r="CJ505">
            <v>0</v>
          </cell>
          <cell r="CK505">
            <v>0</v>
          </cell>
          <cell r="CL505">
            <v>0</v>
          </cell>
          <cell r="CM505">
            <v>0</v>
          </cell>
          <cell r="CN505">
            <v>0</v>
          </cell>
          <cell r="CO505">
            <v>0</v>
          </cell>
          <cell r="CP505">
            <v>0</v>
          </cell>
          <cell r="CQ505">
            <v>0</v>
          </cell>
          <cell r="CU505">
            <v>0</v>
          </cell>
          <cell r="CV505">
            <v>0</v>
          </cell>
          <cell r="CW505">
            <v>0</v>
          </cell>
          <cell r="CZ505" t="str">
            <v>s</v>
          </cell>
        </row>
        <row r="506">
          <cell r="A506" t="str">
            <v>PHF-25</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cell r="BM506">
            <v>0</v>
          </cell>
          <cell r="BN506">
            <v>0</v>
          </cell>
          <cell r="BO506">
            <v>0</v>
          </cell>
          <cell r="BP506">
            <v>0</v>
          </cell>
          <cell r="BQ506">
            <v>0</v>
          </cell>
          <cell r="BR506">
            <v>0</v>
          </cell>
          <cell r="BS506">
            <v>0</v>
          </cell>
          <cell r="BT506">
            <v>0</v>
          </cell>
          <cell r="BU506">
            <v>0</v>
          </cell>
          <cell r="BV506">
            <v>0</v>
          </cell>
          <cell r="BW506">
            <v>0</v>
          </cell>
          <cell r="BX506">
            <v>0</v>
          </cell>
          <cell r="BY506">
            <v>0</v>
          </cell>
          <cell r="BZ506">
            <v>0</v>
          </cell>
          <cell r="CA506">
            <v>0</v>
          </cell>
          <cell r="CB506">
            <v>0</v>
          </cell>
          <cell r="CC506">
            <v>0</v>
          </cell>
          <cell r="CD506">
            <v>0</v>
          </cell>
          <cell r="CE506">
            <v>0</v>
          </cell>
          <cell r="CF506">
            <v>0</v>
          </cell>
          <cell r="CG506">
            <v>0</v>
          </cell>
          <cell r="CH506">
            <v>0</v>
          </cell>
          <cell r="CI506">
            <v>0</v>
          </cell>
          <cell r="CJ506">
            <v>0</v>
          </cell>
          <cell r="CK506">
            <v>0</v>
          </cell>
          <cell r="CL506">
            <v>0</v>
          </cell>
          <cell r="CM506">
            <v>0</v>
          </cell>
          <cell r="CN506">
            <v>0</v>
          </cell>
          <cell r="CO506">
            <v>0</v>
          </cell>
          <cell r="CP506">
            <v>0</v>
          </cell>
          <cell r="CQ506">
            <v>0</v>
          </cell>
          <cell r="CU506">
            <v>0</v>
          </cell>
          <cell r="CV506">
            <v>0</v>
          </cell>
          <cell r="CW506">
            <v>0</v>
          </cell>
          <cell r="CZ506" t="str">
            <v>s</v>
          </cell>
        </row>
        <row r="507">
          <cell r="A507" t="str">
            <v>PHF-32</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cell r="BM507">
            <v>0</v>
          </cell>
          <cell r="BN507">
            <v>0</v>
          </cell>
          <cell r="BO507">
            <v>0</v>
          </cell>
          <cell r="BP507">
            <v>0</v>
          </cell>
          <cell r="BQ507">
            <v>0</v>
          </cell>
          <cell r="BR507">
            <v>0</v>
          </cell>
          <cell r="BS507">
            <v>0</v>
          </cell>
          <cell r="BT507">
            <v>0</v>
          </cell>
          <cell r="BU507">
            <v>0</v>
          </cell>
          <cell r="BV507">
            <v>0</v>
          </cell>
          <cell r="BW507">
            <v>0</v>
          </cell>
          <cell r="BX507">
            <v>0</v>
          </cell>
          <cell r="BY507">
            <v>0</v>
          </cell>
          <cell r="BZ507">
            <v>0</v>
          </cell>
          <cell r="CA507">
            <v>0</v>
          </cell>
          <cell r="CB507">
            <v>0</v>
          </cell>
          <cell r="CC507">
            <v>0</v>
          </cell>
          <cell r="CD507">
            <v>0</v>
          </cell>
          <cell r="CE507">
            <v>0</v>
          </cell>
          <cell r="CF507">
            <v>0</v>
          </cell>
          <cell r="CG507">
            <v>0</v>
          </cell>
          <cell r="CH507">
            <v>0</v>
          </cell>
          <cell r="CI507">
            <v>0</v>
          </cell>
          <cell r="CJ507">
            <v>0</v>
          </cell>
          <cell r="CK507">
            <v>0</v>
          </cell>
          <cell r="CL507">
            <v>0</v>
          </cell>
          <cell r="CM507">
            <v>0</v>
          </cell>
          <cell r="CN507">
            <v>0</v>
          </cell>
          <cell r="CO507">
            <v>0</v>
          </cell>
          <cell r="CP507">
            <v>0</v>
          </cell>
          <cell r="CQ507">
            <v>0</v>
          </cell>
          <cell r="CU507">
            <v>0</v>
          </cell>
          <cell r="CV507">
            <v>0</v>
          </cell>
          <cell r="CW507">
            <v>0</v>
          </cell>
          <cell r="CZ507" t="str">
            <v>s</v>
          </cell>
        </row>
        <row r="508">
          <cell r="A508" t="str">
            <v>PHF-40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cell r="BM508">
            <v>0</v>
          </cell>
          <cell r="BN508">
            <v>0</v>
          </cell>
          <cell r="BO508">
            <v>0</v>
          </cell>
          <cell r="BP508">
            <v>0</v>
          </cell>
          <cell r="BQ508">
            <v>0</v>
          </cell>
          <cell r="BR508">
            <v>0</v>
          </cell>
          <cell r="BS508">
            <v>0</v>
          </cell>
          <cell r="BT508">
            <v>0</v>
          </cell>
          <cell r="BU508">
            <v>0</v>
          </cell>
          <cell r="BV508">
            <v>0</v>
          </cell>
          <cell r="BW508">
            <v>0</v>
          </cell>
          <cell r="BX508">
            <v>0</v>
          </cell>
          <cell r="BY508">
            <v>0</v>
          </cell>
          <cell r="BZ508">
            <v>0</v>
          </cell>
          <cell r="CA508">
            <v>0</v>
          </cell>
          <cell r="CB508">
            <v>0</v>
          </cell>
          <cell r="CC508">
            <v>0</v>
          </cell>
          <cell r="CD508">
            <v>0</v>
          </cell>
          <cell r="CE508">
            <v>0</v>
          </cell>
          <cell r="CF508">
            <v>0</v>
          </cell>
          <cell r="CG508">
            <v>0</v>
          </cell>
          <cell r="CH508">
            <v>0</v>
          </cell>
          <cell r="CI508">
            <v>0</v>
          </cell>
          <cell r="CJ508">
            <v>0</v>
          </cell>
          <cell r="CK508">
            <v>0</v>
          </cell>
          <cell r="CL508">
            <v>0</v>
          </cell>
          <cell r="CM508">
            <v>0</v>
          </cell>
          <cell r="CN508">
            <v>0</v>
          </cell>
          <cell r="CO508">
            <v>0</v>
          </cell>
          <cell r="CP508">
            <v>0</v>
          </cell>
          <cell r="CQ508">
            <v>0</v>
          </cell>
          <cell r="CU508">
            <v>0</v>
          </cell>
          <cell r="CV508">
            <v>0</v>
          </cell>
          <cell r="CW508">
            <v>0</v>
          </cell>
          <cell r="CZ508" t="str">
            <v>s</v>
          </cell>
        </row>
        <row r="509">
          <cell r="A509" t="str">
            <v>PHF-50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cell r="BM509">
            <v>0</v>
          </cell>
          <cell r="BN509">
            <v>0</v>
          </cell>
          <cell r="BO509">
            <v>0</v>
          </cell>
          <cell r="BP509">
            <v>0</v>
          </cell>
          <cell r="BQ509">
            <v>0</v>
          </cell>
          <cell r="BR509">
            <v>0</v>
          </cell>
          <cell r="BS509">
            <v>0</v>
          </cell>
          <cell r="BT509">
            <v>0</v>
          </cell>
          <cell r="BU509">
            <v>0</v>
          </cell>
          <cell r="BV509">
            <v>0</v>
          </cell>
          <cell r="BW509">
            <v>0</v>
          </cell>
          <cell r="BX509">
            <v>0</v>
          </cell>
          <cell r="BY509">
            <v>0</v>
          </cell>
          <cell r="BZ509">
            <v>0</v>
          </cell>
          <cell r="CA509">
            <v>0</v>
          </cell>
          <cell r="CB509">
            <v>0</v>
          </cell>
          <cell r="CC509">
            <v>0</v>
          </cell>
          <cell r="CD509">
            <v>0</v>
          </cell>
          <cell r="CE509">
            <v>0</v>
          </cell>
          <cell r="CF509">
            <v>0</v>
          </cell>
          <cell r="CG509">
            <v>0</v>
          </cell>
          <cell r="CH509">
            <v>0</v>
          </cell>
          <cell r="CI509">
            <v>0</v>
          </cell>
          <cell r="CJ509">
            <v>0</v>
          </cell>
          <cell r="CK509">
            <v>0</v>
          </cell>
          <cell r="CL509">
            <v>0</v>
          </cell>
          <cell r="CM509">
            <v>0</v>
          </cell>
          <cell r="CN509">
            <v>0</v>
          </cell>
          <cell r="CO509">
            <v>0</v>
          </cell>
          <cell r="CP509">
            <v>0</v>
          </cell>
          <cell r="CQ509">
            <v>0</v>
          </cell>
          <cell r="CU509">
            <v>0</v>
          </cell>
          <cell r="CV509">
            <v>0</v>
          </cell>
          <cell r="CW509">
            <v>0</v>
          </cell>
          <cell r="CZ509" t="str">
            <v>s</v>
          </cell>
        </row>
        <row r="510">
          <cell r="A510" t="str">
            <v>PHF-63</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cell r="BM510">
            <v>0</v>
          </cell>
          <cell r="BN510">
            <v>0</v>
          </cell>
          <cell r="BO510">
            <v>0</v>
          </cell>
          <cell r="BP510">
            <v>0</v>
          </cell>
          <cell r="BQ510">
            <v>0</v>
          </cell>
          <cell r="BR510">
            <v>0</v>
          </cell>
          <cell r="BS510">
            <v>0</v>
          </cell>
          <cell r="BT510">
            <v>0</v>
          </cell>
          <cell r="BU510">
            <v>0</v>
          </cell>
          <cell r="BV510">
            <v>0</v>
          </cell>
          <cell r="BW510">
            <v>0</v>
          </cell>
          <cell r="BX510">
            <v>0</v>
          </cell>
          <cell r="BY510">
            <v>0</v>
          </cell>
          <cell r="BZ510">
            <v>0</v>
          </cell>
          <cell r="CA510">
            <v>0</v>
          </cell>
          <cell r="CB510">
            <v>0</v>
          </cell>
          <cell r="CC510">
            <v>0</v>
          </cell>
          <cell r="CD510">
            <v>0</v>
          </cell>
          <cell r="CE510">
            <v>0</v>
          </cell>
          <cell r="CF510">
            <v>0</v>
          </cell>
          <cell r="CG510">
            <v>0</v>
          </cell>
          <cell r="CH510">
            <v>0</v>
          </cell>
          <cell r="CI510">
            <v>0</v>
          </cell>
          <cell r="CJ510">
            <v>0</v>
          </cell>
          <cell r="CK510">
            <v>0</v>
          </cell>
          <cell r="CL510">
            <v>0</v>
          </cell>
          <cell r="CM510">
            <v>0</v>
          </cell>
          <cell r="CN510">
            <v>0</v>
          </cell>
          <cell r="CO510">
            <v>0</v>
          </cell>
          <cell r="CP510">
            <v>0</v>
          </cell>
          <cell r="CQ510">
            <v>0</v>
          </cell>
          <cell r="CU510">
            <v>0</v>
          </cell>
          <cell r="CV510">
            <v>0</v>
          </cell>
          <cell r="CW510">
            <v>0</v>
          </cell>
          <cell r="CZ510" t="str">
            <v>s</v>
          </cell>
        </row>
        <row r="511">
          <cell r="A511" t="str">
            <v>PHF-75</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cell r="BM511">
            <v>0</v>
          </cell>
          <cell r="BN511">
            <v>0</v>
          </cell>
          <cell r="BO511">
            <v>0</v>
          </cell>
          <cell r="BP511">
            <v>0</v>
          </cell>
          <cell r="BQ511">
            <v>0</v>
          </cell>
          <cell r="BR511">
            <v>0</v>
          </cell>
          <cell r="BS511">
            <v>0</v>
          </cell>
          <cell r="BT511">
            <v>0</v>
          </cell>
          <cell r="BU511">
            <v>0</v>
          </cell>
          <cell r="BV511">
            <v>0</v>
          </cell>
          <cell r="BW511">
            <v>0</v>
          </cell>
          <cell r="BX511">
            <v>0</v>
          </cell>
          <cell r="BY511">
            <v>0</v>
          </cell>
          <cell r="BZ511">
            <v>0</v>
          </cell>
          <cell r="CA511">
            <v>0</v>
          </cell>
          <cell r="CB511">
            <v>0</v>
          </cell>
          <cell r="CC511">
            <v>0</v>
          </cell>
          <cell r="CD511">
            <v>0</v>
          </cell>
          <cell r="CE511">
            <v>0</v>
          </cell>
          <cell r="CF511">
            <v>0</v>
          </cell>
          <cell r="CG511">
            <v>0</v>
          </cell>
          <cell r="CH511">
            <v>0</v>
          </cell>
          <cell r="CI511">
            <v>0</v>
          </cell>
          <cell r="CJ511">
            <v>0</v>
          </cell>
          <cell r="CK511">
            <v>0</v>
          </cell>
          <cell r="CL511">
            <v>0</v>
          </cell>
          <cell r="CM511">
            <v>0</v>
          </cell>
          <cell r="CN511">
            <v>0</v>
          </cell>
          <cell r="CO511">
            <v>0</v>
          </cell>
          <cell r="CP511">
            <v>0</v>
          </cell>
          <cell r="CQ511">
            <v>0</v>
          </cell>
          <cell r="CU511">
            <v>0</v>
          </cell>
          <cell r="CV511">
            <v>0</v>
          </cell>
          <cell r="CW511">
            <v>0</v>
          </cell>
          <cell r="CZ511" t="str">
            <v>s</v>
          </cell>
        </row>
        <row r="512">
          <cell r="A512" t="str">
            <v>PHF-90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cell r="BM512">
            <v>0</v>
          </cell>
          <cell r="BN512">
            <v>0</v>
          </cell>
          <cell r="BO512">
            <v>0</v>
          </cell>
          <cell r="BP512">
            <v>0</v>
          </cell>
          <cell r="BQ512">
            <v>0</v>
          </cell>
          <cell r="BR512">
            <v>0</v>
          </cell>
          <cell r="BS512">
            <v>0</v>
          </cell>
          <cell r="BT512">
            <v>0</v>
          </cell>
          <cell r="BU512">
            <v>0</v>
          </cell>
          <cell r="BV512">
            <v>0</v>
          </cell>
          <cell r="BW512">
            <v>0</v>
          </cell>
          <cell r="BX512">
            <v>0</v>
          </cell>
          <cell r="BY512">
            <v>0</v>
          </cell>
          <cell r="BZ512">
            <v>0</v>
          </cell>
          <cell r="CA512">
            <v>0</v>
          </cell>
          <cell r="CB512">
            <v>0</v>
          </cell>
          <cell r="CC512">
            <v>0</v>
          </cell>
          <cell r="CD512">
            <v>0</v>
          </cell>
          <cell r="CE512">
            <v>0</v>
          </cell>
          <cell r="CF512">
            <v>0</v>
          </cell>
          <cell r="CG512">
            <v>0</v>
          </cell>
          <cell r="CH512">
            <v>0</v>
          </cell>
          <cell r="CI512">
            <v>0</v>
          </cell>
          <cell r="CJ512">
            <v>0</v>
          </cell>
          <cell r="CK512">
            <v>0</v>
          </cell>
          <cell r="CL512">
            <v>0</v>
          </cell>
          <cell r="CM512">
            <v>0</v>
          </cell>
          <cell r="CN512">
            <v>0</v>
          </cell>
          <cell r="CO512">
            <v>0</v>
          </cell>
          <cell r="CP512">
            <v>0</v>
          </cell>
          <cell r="CQ512">
            <v>0</v>
          </cell>
          <cell r="CU512">
            <v>0</v>
          </cell>
          <cell r="CV512">
            <v>0</v>
          </cell>
          <cell r="CW512">
            <v>0</v>
          </cell>
          <cell r="CZ512" t="str">
            <v>s</v>
          </cell>
        </row>
        <row r="513">
          <cell r="CU513">
            <v>197.7</v>
          </cell>
          <cell r="CV513">
            <v>59980.104639999998</v>
          </cell>
          <cell r="CW513">
            <v>60.29399999999999</v>
          </cell>
        </row>
        <row r="514">
          <cell r="CW514">
            <v>9933.9136249999992</v>
          </cell>
        </row>
        <row r="515">
          <cell r="CW515">
            <v>1063.2415000000005</v>
          </cell>
        </row>
        <row r="516">
          <cell r="CW516">
            <v>1620.9219999999998</v>
          </cell>
        </row>
        <row r="517">
          <cell r="CV517" t="str">
            <v>Total</v>
          </cell>
          <cell r="CW517">
            <v>12618.077125</v>
          </cell>
        </row>
      </sheetData>
      <sheetData sheetId="14" refreshError="1"/>
      <sheetData sheetId="15" refreshError="1">
        <row r="6">
          <cell r="F6" t="str">
            <v>FCT-T1.5G</v>
          </cell>
          <cell r="G6" t="str">
            <v>FCT-T2.5G</v>
          </cell>
          <cell r="H6" t="str">
            <v>FCT-T5.0G</v>
          </cell>
          <cell r="I6" t="str">
            <v>FCT-T1.5P</v>
          </cell>
          <cell r="J6" t="str">
            <v>FCT-T2.5P</v>
          </cell>
          <cell r="K6" t="str">
            <v>FCT-T5.0P</v>
          </cell>
          <cell r="L6" t="str">
            <v>CC-G</v>
          </cell>
          <cell r="M6" t="str">
            <v>CC-P</v>
          </cell>
          <cell r="N6" t="str">
            <v>DC-MG</v>
          </cell>
          <cell r="O6" t="str">
            <v>DC-MP</v>
          </cell>
          <cell r="P6" t="str">
            <v>ST-G</v>
          </cell>
          <cell r="Q6" t="str">
            <v>ST-P</v>
          </cell>
          <cell r="R6" t="str">
            <v>BPT-MG</v>
          </cell>
          <cell r="S6" t="str">
            <v>BPT-PG</v>
          </cell>
          <cell r="T6" t="str">
            <v>IC-MG</v>
          </cell>
          <cell r="U6" t="str">
            <v>IC-PG</v>
          </cell>
          <cell r="V6" t="str">
            <v>BPT-MP</v>
          </cell>
          <cell r="W6" t="str">
            <v>BPT-PP</v>
          </cell>
          <cell r="X6" t="str">
            <v>IC-MP</v>
          </cell>
          <cell r="Y6" t="str">
            <v>IC-PP</v>
          </cell>
          <cell r="Z6" t="str">
            <v>FCT_H1.5G</v>
          </cell>
          <cell r="AA6" t="str">
            <v>FCT_H2.5G</v>
          </cell>
          <cell r="AB6" t="str">
            <v>FCT_H5G</v>
          </cell>
          <cell r="AC6" t="str">
            <v>FCT_H10G</v>
          </cell>
          <cell r="AD6" t="str">
            <v>FCT_H20G</v>
          </cell>
          <cell r="AE6" t="str">
            <v>FCT_H1.5P</v>
          </cell>
          <cell r="AF6" t="str">
            <v>FCT_H2.5P</v>
          </cell>
          <cell r="AG6" t="str">
            <v>FCT_H5P</v>
          </cell>
          <cell r="AH6" t="str">
            <v>FCT_H10P</v>
          </cell>
          <cell r="AI6" t="str">
            <v>FCT_H20P</v>
          </cell>
          <cell r="AJ6" t="str">
            <v>FCT_1G</v>
          </cell>
          <cell r="AK6" t="str">
            <v>FCT_2G</v>
          </cell>
          <cell r="AL6" t="str">
            <v>FCT_3G</v>
          </cell>
          <cell r="AM6" t="str">
            <v>FCT_4G</v>
          </cell>
          <cell r="AN6" t="str">
            <v>FCT_5G</v>
          </cell>
          <cell r="AO6" t="str">
            <v>FCT_6G</v>
          </cell>
          <cell r="AP6" t="str">
            <v>FCT_7G</v>
          </cell>
          <cell r="AQ6" t="str">
            <v>FCT_8G</v>
          </cell>
          <cell r="AR6" t="str">
            <v>FCT_9G</v>
          </cell>
          <cell r="AS6" t="str">
            <v>FCT_10G</v>
          </cell>
          <cell r="AT6" t="str">
            <v>FCT_12G</v>
          </cell>
          <cell r="AU6" t="str">
            <v>FCT_14G</v>
          </cell>
          <cell r="AV6" t="str">
            <v>FCT_16G</v>
          </cell>
          <cell r="AW6" t="str">
            <v>FCT_18G</v>
          </cell>
          <cell r="AX6" t="str">
            <v>FCT_20G</v>
          </cell>
          <cell r="AY6" t="str">
            <v>AVC-MG</v>
          </cell>
          <cell r="AZ6" t="str">
            <v>AVC-MP</v>
          </cell>
          <cell r="BA6" t="str">
            <v>SVC-MG</v>
          </cell>
          <cell r="BB6" t="str">
            <v>SVC-MP</v>
          </cell>
          <cell r="BC6" t="str">
            <v>SVC-PG</v>
          </cell>
          <cell r="BD6" t="str">
            <v>SVC-PP</v>
          </cell>
          <cell r="BE6" t="str">
            <v>WVC-MG</v>
          </cell>
          <cell r="BF6" t="str">
            <v>WVC-MP</v>
          </cell>
          <cell r="BG6" t="str">
            <v>WVC-PG</v>
          </cell>
          <cell r="BH6" t="str">
            <v>WVC-PP</v>
          </cell>
          <cell r="BI6" t="str">
            <v>Tap-AG</v>
          </cell>
          <cell r="BJ6" t="str">
            <v>Tap-BG</v>
          </cell>
          <cell r="BK6" t="str">
            <v>Tap-CG</v>
          </cell>
          <cell r="BL6" t="str">
            <v>Tap-MG</v>
          </cell>
          <cell r="BM6" t="str">
            <v>Tap-AP</v>
          </cell>
          <cell r="BN6" t="str">
            <v>Tap-BP</v>
          </cell>
          <cell r="BO6" t="str">
            <v>Tap-CP</v>
          </cell>
          <cell r="BP6" t="str">
            <v>Tap-MP</v>
          </cell>
        </row>
        <row r="7">
          <cell r="E7">
            <v>5</v>
          </cell>
          <cell r="F7">
            <v>6</v>
          </cell>
          <cell r="G7">
            <v>7</v>
          </cell>
          <cell r="H7">
            <v>8</v>
          </cell>
          <cell r="I7">
            <v>9</v>
          </cell>
          <cell r="J7">
            <v>10</v>
          </cell>
          <cell r="K7">
            <v>11</v>
          </cell>
          <cell r="L7">
            <v>12</v>
          </cell>
          <cell r="M7">
            <v>13</v>
          </cell>
          <cell r="N7">
            <v>14</v>
          </cell>
          <cell r="O7">
            <v>15</v>
          </cell>
          <cell r="P7">
            <v>16</v>
          </cell>
          <cell r="Q7">
            <v>17</v>
          </cell>
          <cell r="R7">
            <v>18</v>
          </cell>
          <cell r="S7">
            <v>19</v>
          </cell>
          <cell r="T7">
            <v>20</v>
          </cell>
          <cell r="U7">
            <v>21</v>
          </cell>
          <cell r="V7">
            <v>22</v>
          </cell>
          <cell r="W7">
            <v>23</v>
          </cell>
          <cell r="X7">
            <v>24</v>
          </cell>
          <cell r="Y7">
            <v>25</v>
          </cell>
          <cell r="Z7">
            <v>26</v>
          </cell>
          <cell r="AA7">
            <v>27</v>
          </cell>
          <cell r="AB7">
            <v>28</v>
          </cell>
          <cell r="AC7">
            <v>29</v>
          </cell>
          <cell r="AD7">
            <v>30</v>
          </cell>
          <cell r="AE7">
            <v>31</v>
          </cell>
          <cell r="AF7">
            <v>32</v>
          </cell>
          <cell r="AG7">
            <v>33</v>
          </cell>
          <cell r="AH7">
            <v>34</v>
          </cell>
          <cell r="AI7">
            <v>35</v>
          </cell>
          <cell r="AJ7">
            <v>36</v>
          </cell>
          <cell r="AK7">
            <v>37</v>
          </cell>
          <cell r="AL7">
            <v>38</v>
          </cell>
          <cell r="AM7">
            <v>39</v>
          </cell>
          <cell r="AN7">
            <v>40</v>
          </cell>
          <cell r="AO7">
            <v>41</v>
          </cell>
          <cell r="AP7">
            <v>42</v>
          </cell>
          <cell r="AQ7">
            <v>43</v>
          </cell>
          <cell r="AR7">
            <v>44</v>
          </cell>
          <cell r="AS7">
            <v>45</v>
          </cell>
          <cell r="AT7">
            <v>46</v>
          </cell>
          <cell r="AU7">
            <v>47</v>
          </cell>
          <cell r="AV7">
            <v>48</v>
          </cell>
          <cell r="AW7">
            <v>49</v>
          </cell>
          <cell r="AX7">
            <v>50</v>
          </cell>
          <cell r="AY7">
            <v>51</v>
          </cell>
          <cell r="AZ7">
            <v>52</v>
          </cell>
          <cell r="BA7">
            <v>53</v>
          </cell>
          <cell r="BB7">
            <v>54</v>
          </cell>
          <cell r="BC7">
            <v>55</v>
          </cell>
          <cell r="BD7">
            <v>56</v>
          </cell>
          <cell r="BE7">
            <v>57</v>
          </cell>
          <cell r="BF7">
            <v>58</v>
          </cell>
          <cell r="BG7">
            <v>59</v>
          </cell>
          <cell r="BH7">
            <v>60</v>
          </cell>
          <cell r="BI7">
            <v>61</v>
          </cell>
          <cell r="BJ7">
            <v>62</v>
          </cell>
          <cell r="BK7">
            <v>63</v>
          </cell>
          <cell r="BL7">
            <v>64</v>
          </cell>
          <cell r="BM7">
            <v>65</v>
          </cell>
          <cell r="BN7">
            <v>66</v>
          </cell>
          <cell r="BO7">
            <v>67</v>
          </cell>
          <cell r="BP7">
            <v>68</v>
          </cell>
          <cell r="BQ7">
            <v>69</v>
          </cell>
        </row>
        <row r="34">
          <cell r="B34" t="str">
            <v>A.</v>
          </cell>
          <cell r="C34" t="str">
            <v>Materials</v>
          </cell>
        </row>
        <row r="35">
          <cell r="A35" t="str">
            <v>M-01</v>
          </cell>
          <cell r="B35">
            <v>1</v>
          </cell>
          <cell r="C35" t="str">
            <v>Cement</v>
          </cell>
          <cell r="D35" t="str">
            <v>M-01</v>
          </cell>
          <cell r="E35" t="str">
            <v>bag</v>
          </cell>
          <cell r="F35">
            <v>16.399999999999999</v>
          </cell>
          <cell r="G35">
            <v>14</v>
          </cell>
          <cell r="H35">
            <v>24.4</v>
          </cell>
          <cell r="I35">
            <v>16.399999999999999</v>
          </cell>
          <cell r="J35">
            <v>14</v>
          </cell>
          <cell r="K35">
            <v>24.4</v>
          </cell>
          <cell r="L35">
            <v>13</v>
          </cell>
          <cell r="M35">
            <v>13</v>
          </cell>
          <cell r="N35">
            <v>13</v>
          </cell>
          <cell r="O35">
            <v>13</v>
          </cell>
          <cell r="P35">
            <v>14</v>
          </cell>
          <cell r="Q35">
            <v>14</v>
          </cell>
          <cell r="R35">
            <v>13</v>
          </cell>
          <cell r="S35">
            <v>2.31</v>
          </cell>
          <cell r="T35">
            <v>13</v>
          </cell>
          <cell r="U35">
            <v>2.31</v>
          </cell>
          <cell r="V35">
            <v>13</v>
          </cell>
          <cell r="W35">
            <v>2.31</v>
          </cell>
          <cell r="X35">
            <v>13</v>
          </cell>
          <cell r="Y35">
            <v>2.31</v>
          </cell>
          <cell r="Z35">
            <v>10</v>
          </cell>
          <cell r="AA35">
            <v>13</v>
          </cell>
          <cell r="AB35">
            <v>17</v>
          </cell>
          <cell r="AC35">
            <v>24</v>
          </cell>
          <cell r="AD35">
            <v>36</v>
          </cell>
          <cell r="AE35">
            <v>10</v>
          </cell>
          <cell r="AF35">
            <v>13</v>
          </cell>
          <cell r="AG35">
            <v>17</v>
          </cell>
          <cell r="AH35">
            <v>24</v>
          </cell>
          <cell r="AI35">
            <v>36</v>
          </cell>
          <cell r="AJ35">
            <v>12.396318205514726</v>
          </cell>
          <cell r="AK35">
            <v>14.014964915414613</v>
          </cell>
          <cell r="AL35">
            <v>16.247090057735065</v>
          </cell>
          <cell r="AM35">
            <v>17.537306817647039</v>
          </cell>
          <cell r="AN35">
            <v>20.065212908302971</v>
          </cell>
          <cell r="AO35">
            <v>21.138043237558982</v>
          </cell>
          <cell r="AP35">
            <v>21.942665984500991</v>
          </cell>
          <cell r="AQ35">
            <v>23.015496313757005</v>
          </cell>
          <cell r="AR35">
            <v>25.140903517130415</v>
          </cell>
          <cell r="AS35">
            <v>26.105040631058451</v>
          </cell>
          <cell r="AT35">
            <v>27.7119358209385</v>
          </cell>
          <cell r="AU35">
            <v>31.044089630913415</v>
          </cell>
          <cell r="AV35">
            <v>32.542291605465479</v>
          </cell>
          <cell r="AW35">
            <v>35.636161503151833</v>
          </cell>
          <cell r="AX35">
            <v>36.919327351051912</v>
          </cell>
          <cell r="AY35">
            <v>4</v>
          </cell>
          <cell r="AZ35">
            <v>4</v>
          </cell>
          <cell r="BA35">
            <v>4</v>
          </cell>
          <cell r="BB35">
            <v>4</v>
          </cell>
          <cell r="BE35">
            <v>4</v>
          </cell>
          <cell r="BF35">
            <v>4</v>
          </cell>
          <cell r="BI35">
            <v>6.5</v>
          </cell>
          <cell r="BJ35">
            <v>5.53</v>
          </cell>
          <cell r="BK35">
            <v>4</v>
          </cell>
          <cell r="BL35">
            <v>4.79</v>
          </cell>
          <cell r="BM35">
            <v>6.5</v>
          </cell>
          <cell r="BN35">
            <v>5.53</v>
          </cell>
          <cell r="BO35">
            <v>4</v>
          </cell>
          <cell r="BP35">
            <v>4.79</v>
          </cell>
        </row>
        <row r="36">
          <cell r="A36" t="str">
            <v>M-02</v>
          </cell>
          <cell r="B36">
            <v>2</v>
          </cell>
          <cell r="C36" t="str">
            <v>Sand</v>
          </cell>
          <cell r="D36" t="str">
            <v>M-02</v>
          </cell>
          <cell r="E36" t="str">
            <v>m3</v>
          </cell>
          <cell r="F36">
            <v>1.9</v>
          </cell>
          <cell r="G36">
            <v>2.36</v>
          </cell>
          <cell r="H36">
            <v>2.58</v>
          </cell>
          <cell r="I36">
            <v>1.9</v>
          </cell>
          <cell r="J36">
            <v>2.36</v>
          </cell>
          <cell r="K36">
            <v>2.58</v>
          </cell>
          <cell r="L36">
            <v>2.25</v>
          </cell>
          <cell r="M36">
            <v>2.25</v>
          </cell>
          <cell r="N36">
            <v>2.25</v>
          </cell>
          <cell r="O36">
            <v>2.25</v>
          </cell>
          <cell r="P36">
            <v>2.62</v>
          </cell>
          <cell r="Q36">
            <v>2.62</v>
          </cell>
          <cell r="R36">
            <v>2.25</v>
          </cell>
          <cell r="S36">
            <v>0.28999999999999998</v>
          </cell>
          <cell r="T36">
            <v>2.25</v>
          </cell>
          <cell r="U36">
            <v>0.28999999999999998</v>
          </cell>
          <cell r="V36">
            <v>2.25</v>
          </cell>
          <cell r="W36">
            <v>0.28999999999999998</v>
          </cell>
          <cell r="X36">
            <v>2.25</v>
          </cell>
          <cell r="Y36">
            <v>0.28999999999999998</v>
          </cell>
          <cell r="Z36">
            <v>1.71</v>
          </cell>
          <cell r="AA36">
            <v>2.56</v>
          </cell>
          <cell r="AB36">
            <v>3.49</v>
          </cell>
          <cell r="AC36">
            <v>4.51</v>
          </cell>
          <cell r="AD36">
            <v>6.6</v>
          </cell>
          <cell r="AE36">
            <v>1.71</v>
          </cell>
          <cell r="AF36">
            <v>2.56</v>
          </cell>
          <cell r="AG36">
            <v>3.49</v>
          </cell>
          <cell r="AH36">
            <v>4.51</v>
          </cell>
          <cell r="AI36">
            <v>6.6</v>
          </cell>
          <cell r="AJ36">
            <v>1.5115554870885051</v>
          </cell>
          <cell r="AK36">
            <v>1.6317567490056675</v>
          </cell>
          <cell r="AL36">
            <v>1.7889341637565002</v>
          </cell>
          <cell r="AM36">
            <v>1.884616865808721</v>
          </cell>
          <cell r="AN36">
            <v>2.0617630288639339</v>
          </cell>
          <cell r="AO36">
            <v>2.141259460166697</v>
          </cell>
          <cell r="AP36">
            <v>2.2008817836437689</v>
          </cell>
          <cell r="AQ36">
            <v>2.2803782149465324</v>
          </cell>
          <cell r="AR36">
            <v>2.4257247844630272</v>
          </cell>
          <cell r="AS36">
            <v>2.4971280803910609</v>
          </cell>
          <cell r="AT36">
            <v>2.6161335736044506</v>
          </cell>
          <cell r="AU36">
            <v>2.8489251965363733</v>
          </cell>
          <cell r="AV36">
            <v>2.9598375543750337</v>
          </cell>
          <cell r="AW36">
            <v>3.1730888637007091</v>
          </cell>
          <cell r="AX36">
            <v>3.2680541045306661</v>
          </cell>
          <cell r="AY36">
            <v>1.06</v>
          </cell>
          <cell r="AZ36">
            <v>1.06</v>
          </cell>
          <cell r="BA36">
            <v>1.06</v>
          </cell>
          <cell r="BB36">
            <v>1.06</v>
          </cell>
          <cell r="BE36">
            <v>1.06</v>
          </cell>
          <cell r="BF36">
            <v>1.06</v>
          </cell>
          <cell r="BI36">
            <v>1.29</v>
          </cell>
          <cell r="BJ36">
            <v>1.28</v>
          </cell>
          <cell r="BK36">
            <v>0.79</v>
          </cell>
          <cell r="BL36">
            <v>1.06</v>
          </cell>
          <cell r="BM36">
            <v>1.29</v>
          </cell>
          <cell r="BN36">
            <v>1.28</v>
          </cell>
          <cell r="BO36">
            <v>0.79</v>
          </cell>
          <cell r="BP36">
            <v>1.06</v>
          </cell>
        </row>
        <row r="37">
          <cell r="A37" t="str">
            <v>M-03</v>
          </cell>
          <cell r="B37">
            <v>3</v>
          </cell>
          <cell r="C37" t="str">
            <v>Block Stone</v>
          </cell>
          <cell r="D37" t="str">
            <v>M-03</v>
          </cell>
          <cell r="E37" t="str">
            <v>m3</v>
          </cell>
          <cell r="F37">
            <v>3.38</v>
          </cell>
          <cell r="G37">
            <v>2.65</v>
          </cell>
          <cell r="H37">
            <v>4.1500000000000004</v>
          </cell>
          <cell r="I37">
            <v>3.38</v>
          </cell>
          <cell r="J37">
            <v>2.65</v>
          </cell>
          <cell r="K37">
            <v>4.1500000000000004</v>
          </cell>
          <cell r="L37">
            <v>3.4</v>
          </cell>
          <cell r="M37">
            <v>3.4</v>
          </cell>
          <cell r="N37">
            <v>3.4</v>
          </cell>
          <cell r="O37">
            <v>3.4</v>
          </cell>
          <cell r="P37">
            <v>2.82</v>
          </cell>
          <cell r="Q37">
            <v>2.82</v>
          </cell>
          <cell r="R37">
            <v>3.4</v>
          </cell>
          <cell r="S37">
            <v>1.5909090909090908</v>
          </cell>
          <cell r="T37">
            <v>3.4</v>
          </cell>
          <cell r="U37">
            <v>1.5909090909090908</v>
          </cell>
          <cell r="V37">
            <v>3.4</v>
          </cell>
          <cell r="W37">
            <v>1.5909090909090908</v>
          </cell>
          <cell r="X37">
            <v>3.4</v>
          </cell>
          <cell r="Y37">
            <v>1.5909090909090908</v>
          </cell>
          <cell r="Z37">
            <v>2.76</v>
          </cell>
          <cell r="AA37">
            <v>3.05</v>
          </cell>
          <cell r="AB37">
            <v>3.35</v>
          </cell>
          <cell r="AC37">
            <v>4.3499999999999996</v>
          </cell>
          <cell r="AD37">
            <v>5.95</v>
          </cell>
          <cell r="AE37">
            <v>2.76</v>
          </cell>
          <cell r="AF37">
            <v>3.05</v>
          </cell>
          <cell r="AG37">
            <v>3.35</v>
          </cell>
          <cell r="AH37">
            <v>4.3499999999999996</v>
          </cell>
          <cell r="AI37">
            <v>5.95</v>
          </cell>
          <cell r="AJ37">
            <v>2.8962654221687298</v>
          </cell>
          <cell r="AK37">
            <v>2.8962654221687298</v>
          </cell>
          <cell r="AL37">
            <v>3.2811105222334795</v>
          </cell>
          <cell r="AM37">
            <v>3.2811105222334795</v>
          </cell>
          <cell r="AN37">
            <v>3.7444954386379736</v>
          </cell>
          <cell r="AO37">
            <v>3.7444954386379736</v>
          </cell>
          <cell r="AP37">
            <v>3.7444954386379736</v>
          </cell>
          <cell r="AQ37">
            <v>3.7444954386379736</v>
          </cell>
          <cell r="AR37">
            <v>4.2864201713822148</v>
          </cell>
          <cell r="AS37">
            <v>4.2864201713822148</v>
          </cell>
          <cell r="AT37">
            <v>4.2864201713822148</v>
          </cell>
          <cell r="AU37">
            <v>4.9068847204661976</v>
          </cell>
          <cell r="AV37">
            <v>4.9068847204661976</v>
          </cell>
          <cell r="AW37">
            <v>5.6058890858899257</v>
          </cell>
          <cell r="AX37">
            <v>5.6058890858899257</v>
          </cell>
          <cell r="AY37">
            <v>1.8</v>
          </cell>
          <cell r="AZ37">
            <v>1.8</v>
          </cell>
          <cell r="BA37">
            <v>1.8</v>
          </cell>
          <cell r="BB37">
            <v>1.8</v>
          </cell>
          <cell r="BE37">
            <v>1.8</v>
          </cell>
          <cell r="BF37">
            <v>1.8</v>
          </cell>
          <cell r="BI37">
            <v>1.82</v>
          </cell>
          <cell r="BJ37">
            <v>2.16</v>
          </cell>
          <cell r="BK37">
            <v>0.86</v>
          </cell>
          <cell r="BL37">
            <v>1.26</v>
          </cell>
          <cell r="BM37">
            <v>1.82</v>
          </cell>
          <cell r="BN37">
            <v>2.16</v>
          </cell>
          <cell r="BO37">
            <v>0.86</v>
          </cell>
          <cell r="BP37">
            <v>1.26</v>
          </cell>
        </row>
        <row r="38">
          <cell r="A38" t="str">
            <v>M-04</v>
          </cell>
          <cell r="B38">
            <v>4</v>
          </cell>
          <cell r="C38" t="str">
            <v>Bond Stone</v>
          </cell>
          <cell r="D38" t="str">
            <v>M-04</v>
          </cell>
          <cell r="E38" t="str">
            <v>m3</v>
          </cell>
          <cell r="F38">
            <v>0.34</v>
          </cell>
          <cell r="G38">
            <v>0.28999999999999998</v>
          </cell>
          <cell r="H38">
            <v>0.42</v>
          </cell>
          <cell r="I38">
            <v>0.34</v>
          </cell>
          <cell r="J38">
            <v>0.28999999999999998</v>
          </cell>
          <cell r="K38">
            <v>0.42</v>
          </cell>
          <cell r="L38">
            <v>0.34</v>
          </cell>
          <cell r="M38">
            <v>0.34</v>
          </cell>
          <cell r="N38">
            <v>0.34</v>
          </cell>
          <cell r="O38">
            <v>0.34</v>
          </cell>
          <cell r="P38">
            <v>0.43</v>
          </cell>
          <cell r="Q38">
            <v>0.43</v>
          </cell>
          <cell r="R38">
            <v>0.34</v>
          </cell>
          <cell r="S38">
            <v>0.15909090909090909</v>
          </cell>
          <cell r="T38">
            <v>0.34</v>
          </cell>
          <cell r="U38">
            <v>0.15909090909090909</v>
          </cell>
          <cell r="V38">
            <v>0.34</v>
          </cell>
          <cell r="W38">
            <v>0.15909090909090909</v>
          </cell>
          <cell r="X38">
            <v>0.34</v>
          </cell>
          <cell r="Y38">
            <v>0.15909090909090909</v>
          </cell>
          <cell r="Z38">
            <v>0.31</v>
          </cell>
          <cell r="AA38">
            <v>0.46</v>
          </cell>
          <cell r="AB38">
            <v>0.54</v>
          </cell>
          <cell r="AC38">
            <v>0.59</v>
          </cell>
          <cell r="AD38">
            <v>0.75</v>
          </cell>
          <cell r="AE38">
            <v>0.31</v>
          </cell>
          <cell r="AF38">
            <v>0.46</v>
          </cell>
          <cell r="AG38">
            <v>0.54</v>
          </cell>
          <cell r="AH38">
            <v>0.59</v>
          </cell>
          <cell r="AI38">
            <v>0.75</v>
          </cell>
          <cell r="AJ38">
            <v>0.28962654221687301</v>
          </cell>
          <cell r="AK38">
            <v>0.28962654221687301</v>
          </cell>
          <cell r="AL38">
            <v>0.32811105222334797</v>
          </cell>
          <cell r="AM38">
            <v>0.32811105222334797</v>
          </cell>
          <cell r="AN38">
            <v>0.37444954386379742</v>
          </cell>
          <cell r="AO38">
            <v>0.37444954386379742</v>
          </cell>
          <cell r="AP38">
            <v>0.37444954386379742</v>
          </cell>
          <cell r="AQ38">
            <v>0.37444954386379742</v>
          </cell>
          <cell r="AR38">
            <v>0.42864201713822148</v>
          </cell>
          <cell r="AS38">
            <v>0.42864201713822148</v>
          </cell>
          <cell r="AT38">
            <v>0.42864201713822148</v>
          </cell>
          <cell r="AU38">
            <v>0.49068847204661981</v>
          </cell>
          <cell r="AV38">
            <v>0.49068847204661981</v>
          </cell>
          <cell r="AW38">
            <v>0.56058890858899268</v>
          </cell>
          <cell r="AX38">
            <v>0.56058890858899268</v>
          </cell>
          <cell r="AY38">
            <v>0.2</v>
          </cell>
          <cell r="AZ38">
            <v>0.2</v>
          </cell>
          <cell r="BA38">
            <v>0.2</v>
          </cell>
          <cell r="BB38">
            <v>0.2</v>
          </cell>
          <cell r="BE38">
            <v>0.2</v>
          </cell>
          <cell r="BF38">
            <v>0.2</v>
          </cell>
          <cell r="BI38">
            <v>0.2</v>
          </cell>
          <cell r="BJ38">
            <v>0.24</v>
          </cell>
          <cell r="BK38">
            <v>0.09</v>
          </cell>
          <cell r="BL38">
            <v>0.14000000000000001</v>
          </cell>
          <cell r="BM38">
            <v>0.2</v>
          </cell>
          <cell r="BN38">
            <v>0.24</v>
          </cell>
          <cell r="BO38">
            <v>0.09</v>
          </cell>
          <cell r="BP38">
            <v>0.14000000000000001</v>
          </cell>
        </row>
        <row r="39">
          <cell r="A39" t="str">
            <v>M-05</v>
          </cell>
          <cell r="B39">
            <v>5</v>
          </cell>
          <cell r="C39" t="str">
            <v>Aggregate (5-10mm)</v>
          </cell>
          <cell r="D39" t="str">
            <v>M-05</v>
          </cell>
          <cell r="E39" t="str">
            <v>m3</v>
          </cell>
          <cell r="F39">
            <v>0.10595744680851063</v>
          </cell>
          <cell r="G39">
            <v>0.06</v>
          </cell>
          <cell r="H39">
            <v>0.14000000000000001</v>
          </cell>
          <cell r="I39">
            <v>0.10595744680851063</v>
          </cell>
          <cell r="J39">
            <v>0.06</v>
          </cell>
          <cell r="K39">
            <v>0.14000000000000001</v>
          </cell>
          <cell r="L39">
            <v>0.11</v>
          </cell>
          <cell r="M39">
            <v>0.11</v>
          </cell>
          <cell r="N39">
            <v>0.11</v>
          </cell>
          <cell r="O39">
            <v>0.11</v>
          </cell>
          <cell r="P39">
            <v>0.09</v>
          </cell>
          <cell r="Q39">
            <v>0.09</v>
          </cell>
          <cell r="R39">
            <v>0.11</v>
          </cell>
          <cell r="S39">
            <v>1.164705882352941E-2</v>
          </cell>
          <cell r="T39">
            <v>0.11</v>
          </cell>
          <cell r="U39">
            <v>1.164705882352941E-2</v>
          </cell>
          <cell r="V39">
            <v>0.11</v>
          </cell>
          <cell r="W39">
            <v>1.164705882352941E-2</v>
          </cell>
          <cell r="X39">
            <v>0.11</v>
          </cell>
          <cell r="Y39">
            <v>9.52941176470588E-3</v>
          </cell>
          <cell r="Z39">
            <v>0.09</v>
          </cell>
          <cell r="AA39">
            <v>0.09</v>
          </cell>
          <cell r="AB39">
            <v>0.11</v>
          </cell>
          <cell r="AC39">
            <v>0.15</v>
          </cell>
          <cell r="AD39">
            <v>0.22</v>
          </cell>
          <cell r="AE39">
            <v>0.09</v>
          </cell>
          <cell r="AF39">
            <v>0.09</v>
          </cell>
          <cell r="AG39">
            <v>0.11</v>
          </cell>
          <cell r="AH39">
            <v>0.15</v>
          </cell>
          <cell r="AI39">
            <v>0.22</v>
          </cell>
          <cell r="AJ39">
            <v>8.7097164770760627E-2</v>
          </cell>
          <cell r="AK39">
            <v>8.7097164770760627E-2</v>
          </cell>
          <cell r="AL39">
            <v>0.11221419803621102</v>
          </cell>
          <cell r="AM39">
            <v>0.11221419803621102</v>
          </cell>
          <cell r="AN39">
            <v>0.14345733697616153</v>
          </cell>
          <cell r="AO39">
            <v>0.14345733697616153</v>
          </cell>
          <cell r="AP39">
            <v>0.14345733697616153</v>
          </cell>
          <cell r="AQ39">
            <v>0.14345733697616153</v>
          </cell>
          <cell r="AR39">
            <v>0.18082658159061213</v>
          </cell>
          <cell r="AS39">
            <v>0.18082658159061213</v>
          </cell>
          <cell r="AT39">
            <v>0.18082658159061213</v>
          </cell>
          <cell r="AU39">
            <v>0.22432193187956281</v>
          </cell>
          <cell r="AV39">
            <v>0.22432193187956281</v>
          </cell>
          <cell r="AW39">
            <v>0.27394338784301353</v>
          </cell>
          <cell r="AX39">
            <v>0.27394338784301353</v>
          </cell>
          <cell r="AY39">
            <v>0.03</v>
          </cell>
          <cell r="AZ39">
            <v>0.03</v>
          </cell>
          <cell r="BA39">
            <v>0.03</v>
          </cell>
          <cell r="BB39">
            <v>0.03</v>
          </cell>
          <cell r="BE39">
            <v>0.03</v>
          </cell>
          <cell r="BF39">
            <v>0.03</v>
          </cell>
          <cell r="BI39">
            <v>7.0000000000000007E-2</v>
          </cell>
          <cell r="BJ39">
            <v>0.03</v>
          </cell>
          <cell r="BK39">
            <v>0.04</v>
          </cell>
          <cell r="BL39">
            <v>0.04</v>
          </cell>
          <cell r="BM39">
            <v>7.0000000000000007E-2</v>
          </cell>
          <cell r="BN39">
            <v>0.03</v>
          </cell>
          <cell r="BO39">
            <v>0.04</v>
          </cell>
          <cell r="BP39">
            <v>0.04</v>
          </cell>
        </row>
        <row r="40">
          <cell r="A40" t="str">
            <v>M-06</v>
          </cell>
          <cell r="B40">
            <v>6</v>
          </cell>
          <cell r="C40" t="str">
            <v>Aggregate (10-20mm)</v>
          </cell>
          <cell r="D40" t="str">
            <v>M-06</v>
          </cell>
          <cell r="E40" t="str">
            <v>m3</v>
          </cell>
          <cell r="F40">
            <v>0.21191489361702126</v>
          </cell>
          <cell r="G40">
            <v>0.12</v>
          </cell>
          <cell r="H40">
            <v>0.28000000000000003</v>
          </cell>
          <cell r="I40">
            <v>0.21191489361702126</v>
          </cell>
          <cell r="J40">
            <v>0.12</v>
          </cell>
          <cell r="K40">
            <v>0.28000000000000003</v>
          </cell>
          <cell r="L40">
            <v>0.22</v>
          </cell>
          <cell r="M40">
            <v>0.22</v>
          </cell>
          <cell r="N40">
            <v>0.22</v>
          </cell>
          <cell r="O40">
            <v>0.22</v>
          </cell>
          <cell r="P40">
            <v>0.19</v>
          </cell>
          <cell r="Q40">
            <v>0.19</v>
          </cell>
          <cell r="R40">
            <v>0.22</v>
          </cell>
          <cell r="S40">
            <v>2.3294117647058819E-2</v>
          </cell>
          <cell r="T40">
            <v>0.22</v>
          </cell>
          <cell r="U40">
            <v>2.3294117647058819E-2</v>
          </cell>
          <cell r="V40">
            <v>0.22</v>
          </cell>
          <cell r="W40">
            <v>2.3294117647058819E-2</v>
          </cell>
          <cell r="X40">
            <v>0.22</v>
          </cell>
          <cell r="Y40">
            <v>2.117647058823529E-2</v>
          </cell>
          <cell r="Z40">
            <v>0.2</v>
          </cell>
          <cell r="AA40">
            <v>0.19</v>
          </cell>
          <cell r="AB40">
            <v>0.23</v>
          </cell>
          <cell r="AC40">
            <v>0.32</v>
          </cell>
          <cell r="AD40">
            <v>0.45</v>
          </cell>
          <cell r="AE40">
            <v>0.2</v>
          </cell>
          <cell r="AF40">
            <v>0.19</v>
          </cell>
          <cell r="AG40">
            <v>0.23</v>
          </cell>
          <cell r="AH40">
            <v>0.32</v>
          </cell>
          <cell r="AI40">
            <v>0.45</v>
          </cell>
          <cell r="AJ40">
            <v>0.17419432954152125</v>
          </cell>
          <cell r="AK40">
            <v>0.17419432954152125</v>
          </cell>
          <cell r="AL40">
            <v>0.22442839607242204</v>
          </cell>
          <cell r="AM40">
            <v>0.22442839607242204</v>
          </cell>
          <cell r="AN40">
            <v>0.28691467395232306</v>
          </cell>
          <cell r="AO40">
            <v>0.28691467395232306</v>
          </cell>
          <cell r="AP40">
            <v>0.28691467395232306</v>
          </cell>
          <cell r="AQ40">
            <v>0.28691467395232306</v>
          </cell>
          <cell r="AR40">
            <v>0.36165316318122426</v>
          </cell>
          <cell r="AS40">
            <v>0.36165316318122426</v>
          </cell>
          <cell r="AT40">
            <v>0.36165316318122426</v>
          </cell>
          <cell r="AU40">
            <v>0.44864386375912563</v>
          </cell>
          <cell r="AV40">
            <v>0.44864386375912563</v>
          </cell>
          <cell r="AW40">
            <v>0.54788677568602706</v>
          </cell>
          <cell r="AX40">
            <v>0.54788677568602706</v>
          </cell>
          <cell r="AY40">
            <v>0.06</v>
          </cell>
          <cell r="AZ40">
            <v>0.06</v>
          </cell>
          <cell r="BA40">
            <v>0.06</v>
          </cell>
          <cell r="BB40">
            <v>0.06</v>
          </cell>
          <cell r="BE40">
            <v>0.06</v>
          </cell>
          <cell r="BF40">
            <v>0.06</v>
          </cell>
          <cell r="BI40">
            <v>0.13</v>
          </cell>
          <cell r="BJ40">
            <v>0.06</v>
          </cell>
          <cell r="BK40">
            <v>0.08</v>
          </cell>
          <cell r="BL40">
            <v>0.08</v>
          </cell>
          <cell r="BM40">
            <v>0.13</v>
          </cell>
          <cell r="BN40">
            <v>0.06</v>
          </cell>
          <cell r="BO40">
            <v>0.08</v>
          </cell>
          <cell r="BP40">
            <v>0.08</v>
          </cell>
        </row>
        <row r="41">
          <cell r="A41" t="str">
            <v>M-07</v>
          </cell>
          <cell r="B41">
            <v>7</v>
          </cell>
          <cell r="C41" t="str">
            <v>Aggregate (20-40mm)</v>
          </cell>
          <cell r="D41" t="str">
            <v>M-07</v>
          </cell>
          <cell r="E41" t="str">
            <v>m3</v>
          </cell>
          <cell r="F41">
            <v>0.51212765957446804</v>
          </cell>
          <cell r="G41">
            <v>0.28999999999999998</v>
          </cell>
          <cell r="H41">
            <v>0.69</v>
          </cell>
          <cell r="I41">
            <v>0.51212765957446804</v>
          </cell>
          <cell r="J41">
            <v>0.28999999999999998</v>
          </cell>
          <cell r="K41">
            <v>0.69</v>
          </cell>
          <cell r="L41">
            <v>0.52</v>
          </cell>
          <cell r="M41">
            <v>0.52</v>
          </cell>
          <cell r="N41">
            <v>0.52</v>
          </cell>
          <cell r="O41">
            <v>0.52</v>
          </cell>
          <cell r="P41">
            <v>0.43</v>
          </cell>
          <cell r="Q41">
            <v>0.43</v>
          </cell>
          <cell r="R41">
            <v>0.52</v>
          </cell>
          <cell r="S41">
            <v>5.5058823529411757E-2</v>
          </cell>
          <cell r="T41">
            <v>0.52</v>
          </cell>
          <cell r="U41">
            <v>5.5058823529411757E-2</v>
          </cell>
          <cell r="V41">
            <v>0.52</v>
          </cell>
          <cell r="W41">
            <v>5.5058823529411757E-2</v>
          </cell>
          <cell r="X41">
            <v>0.52</v>
          </cell>
          <cell r="Y41">
            <v>4.8705882352941168E-2</v>
          </cell>
          <cell r="Z41">
            <v>0.46</v>
          </cell>
          <cell r="AA41">
            <v>0.43</v>
          </cell>
          <cell r="AB41">
            <v>0.54</v>
          </cell>
          <cell r="AC41">
            <v>0.74</v>
          </cell>
          <cell r="AD41">
            <v>1.05</v>
          </cell>
          <cell r="AE41">
            <v>0.46</v>
          </cell>
          <cell r="AF41">
            <v>0.43</v>
          </cell>
          <cell r="AG41">
            <v>0.54</v>
          </cell>
          <cell r="AH41">
            <v>0.74</v>
          </cell>
          <cell r="AI41">
            <v>1.05</v>
          </cell>
          <cell r="AJ41">
            <v>0.35564675614727259</v>
          </cell>
          <cell r="AK41">
            <v>0.35564675614727259</v>
          </cell>
          <cell r="AL41">
            <v>0.45820797531452839</v>
          </cell>
          <cell r="AM41">
            <v>0.45820797531452839</v>
          </cell>
          <cell r="AN41">
            <v>0.58578412598599294</v>
          </cell>
          <cell r="AO41">
            <v>0.58578412598599294</v>
          </cell>
          <cell r="AP41">
            <v>0.58578412598599294</v>
          </cell>
          <cell r="AQ41">
            <v>0.58578412598599294</v>
          </cell>
          <cell r="AR41">
            <v>0.73837520816166613</v>
          </cell>
          <cell r="AS41">
            <v>0.73837520816166613</v>
          </cell>
          <cell r="AT41">
            <v>0.73837520816166613</v>
          </cell>
          <cell r="AU41">
            <v>0.91598122184154818</v>
          </cell>
          <cell r="AV41">
            <v>0.91598122184154818</v>
          </cell>
          <cell r="AW41">
            <v>1.1186021670256387</v>
          </cell>
          <cell r="AX41">
            <v>1.1186021670256387</v>
          </cell>
          <cell r="AY41">
            <v>0.15</v>
          </cell>
          <cell r="AZ41">
            <v>0.15</v>
          </cell>
          <cell r="BA41">
            <v>0.15</v>
          </cell>
          <cell r="BB41">
            <v>0.15</v>
          </cell>
          <cell r="BE41">
            <v>0.15</v>
          </cell>
          <cell r="BF41">
            <v>0.15</v>
          </cell>
          <cell r="BI41">
            <v>0.31</v>
          </cell>
          <cell r="BJ41">
            <v>0.13</v>
          </cell>
          <cell r="BK41">
            <v>0.18</v>
          </cell>
          <cell r="BL41">
            <v>0.21</v>
          </cell>
          <cell r="BM41">
            <v>0.31</v>
          </cell>
          <cell r="BN41">
            <v>0.13</v>
          </cell>
          <cell r="BO41">
            <v>0.18</v>
          </cell>
          <cell r="BP41">
            <v>0.21</v>
          </cell>
        </row>
        <row r="42">
          <cell r="A42" t="str">
            <v>M-08</v>
          </cell>
          <cell r="B42">
            <v>8</v>
          </cell>
          <cell r="C42" t="str">
            <v>Project Information Board</v>
          </cell>
          <cell r="D42" t="str">
            <v>M-08</v>
          </cell>
          <cell r="E42" t="str">
            <v>set</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row>
        <row r="43">
          <cell r="A43" t="str">
            <v>M-09</v>
          </cell>
          <cell r="B43">
            <v>9</v>
          </cell>
          <cell r="C43" t="str">
            <v>Reinforcement ( 6mm)</v>
          </cell>
          <cell r="D43" t="str">
            <v>M-09</v>
          </cell>
          <cell r="E43" t="str">
            <v>kg</v>
          </cell>
          <cell r="F43">
            <v>2</v>
          </cell>
          <cell r="G43">
            <v>3.08</v>
          </cell>
          <cell r="H43">
            <v>3.17</v>
          </cell>
          <cell r="I43">
            <v>2</v>
          </cell>
          <cell r="J43">
            <v>3.08</v>
          </cell>
          <cell r="K43">
            <v>3.17</v>
          </cell>
          <cell r="L43">
            <v>5.94</v>
          </cell>
          <cell r="M43">
            <v>5.94</v>
          </cell>
          <cell r="N43">
            <v>5.94</v>
          </cell>
          <cell r="O43">
            <v>5.94</v>
          </cell>
          <cell r="P43">
            <v>4.07</v>
          </cell>
          <cell r="Q43">
            <v>4.07</v>
          </cell>
          <cell r="R43">
            <v>5.94</v>
          </cell>
          <cell r="S43">
            <v>2.33</v>
          </cell>
          <cell r="T43">
            <v>5.94</v>
          </cell>
          <cell r="U43">
            <v>2.33</v>
          </cell>
          <cell r="V43">
            <v>5.94</v>
          </cell>
          <cell r="W43">
            <v>2.33</v>
          </cell>
          <cell r="X43">
            <v>5.94</v>
          </cell>
          <cell r="Y43">
            <v>2.33</v>
          </cell>
          <cell r="Z43">
            <v>2</v>
          </cell>
          <cell r="AA43">
            <v>3.08</v>
          </cell>
          <cell r="AB43">
            <v>4.62</v>
          </cell>
          <cell r="AC43">
            <v>6.6</v>
          </cell>
          <cell r="AD43">
            <v>11.66</v>
          </cell>
          <cell r="AE43">
            <v>2</v>
          </cell>
          <cell r="AF43">
            <v>3.08</v>
          </cell>
          <cell r="AG43">
            <v>4.62</v>
          </cell>
          <cell r="AH43">
            <v>6.6</v>
          </cell>
          <cell r="AI43">
            <v>11.66</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row>
        <row r="44">
          <cell r="A44" t="str">
            <v>M-10</v>
          </cell>
          <cell r="B44">
            <v>10</v>
          </cell>
          <cell r="C44" t="str">
            <v>Reinforcement ( 8mm)</v>
          </cell>
          <cell r="D44" t="str">
            <v>M-10</v>
          </cell>
          <cell r="E44" t="str">
            <v>kg</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row>
        <row r="45">
          <cell r="A45" t="str">
            <v>M-11</v>
          </cell>
          <cell r="B45">
            <v>11</v>
          </cell>
          <cell r="C45" t="str">
            <v>Reinforcement (10mm)</v>
          </cell>
          <cell r="D45" t="str">
            <v>M-11</v>
          </cell>
          <cell r="E45" t="str">
            <v>kg</v>
          </cell>
          <cell r="F45">
            <v>20</v>
          </cell>
          <cell r="G45">
            <v>34.1</v>
          </cell>
          <cell r="H45">
            <v>44.33</v>
          </cell>
          <cell r="I45">
            <v>20</v>
          </cell>
          <cell r="J45">
            <v>34.1</v>
          </cell>
          <cell r="K45">
            <v>44.33</v>
          </cell>
          <cell r="L45">
            <v>16.739999999999998</v>
          </cell>
          <cell r="M45">
            <v>16.739999999999998</v>
          </cell>
          <cell r="N45">
            <v>16.739999999999998</v>
          </cell>
          <cell r="O45">
            <v>16.739999999999998</v>
          </cell>
          <cell r="P45">
            <v>36.08</v>
          </cell>
          <cell r="Q45">
            <v>36.08</v>
          </cell>
          <cell r="R45">
            <v>16.739999999999998</v>
          </cell>
          <cell r="S45">
            <v>5.1100000000000003</v>
          </cell>
          <cell r="T45">
            <v>16.739999999999998</v>
          </cell>
          <cell r="U45">
            <v>5.1100000000000003</v>
          </cell>
          <cell r="V45">
            <v>16.739999999999998</v>
          </cell>
          <cell r="W45">
            <v>5.1100000000000003</v>
          </cell>
          <cell r="X45">
            <v>16.739999999999998</v>
          </cell>
          <cell r="Y45">
            <v>5.1100000000000003</v>
          </cell>
          <cell r="Z45">
            <v>20</v>
          </cell>
          <cell r="AA45">
            <v>34.1</v>
          </cell>
          <cell r="AB45">
            <v>49.6</v>
          </cell>
          <cell r="AC45">
            <v>70.680000000000007</v>
          </cell>
          <cell r="AD45">
            <v>89.28</v>
          </cell>
          <cell r="AE45">
            <v>20</v>
          </cell>
          <cell r="AF45">
            <v>34.1</v>
          </cell>
          <cell r="AG45">
            <v>49.6</v>
          </cell>
          <cell r="AH45">
            <v>70.680000000000007</v>
          </cell>
          <cell r="AI45">
            <v>89.28</v>
          </cell>
          <cell r="AJ45">
            <v>25.069279156804424</v>
          </cell>
          <cell r="AK45">
            <v>31.399588353787856</v>
          </cell>
          <cell r="AL45">
            <v>37.97494177775129</v>
          </cell>
          <cell r="AM45">
            <v>42.998348430841368</v>
          </cell>
          <cell r="AN45">
            <v>50.349675240241488</v>
          </cell>
          <cell r="AO45">
            <v>54.515427098901554</v>
          </cell>
          <cell r="AP45">
            <v>57.639740992896598</v>
          </cell>
          <cell r="AQ45">
            <v>61.805492851556671</v>
          </cell>
          <cell r="AR45">
            <v>67.216886197365085</v>
          </cell>
          <cell r="AS45">
            <v>70.953810658810141</v>
          </cell>
          <cell r="AT45">
            <v>77.182018094551907</v>
          </cell>
          <cell r="AU45">
            <v>86.90210576475873</v>
          </cell>
          <cell r="AV45">
            <v>92.701485803285479</v>
          </cell>
          <cell r="AW45">
            <v>101.13509128184729</v>
          </cell>
          <cell r="AX45">
            <v>106.09723687819238</v>
          </cell>
        </row>
        <row r="46">
          <cell r="A46" t="str">
            <v>M-12</v>
          </cell>
          <cell r="B46">
            <v>12</v>
          </cell>
          <cell r="C46" t="str">
            <v>Binding wire</v>
          </cell>
          <cell r="D46" t="str">
            <v>M-12</v>
          </cell>
          <cell r="E46" t="str">
            <v>kg</v>
          </cell>
          <cell r="F46">
            <v>1.34</v>
          </cell>
          <cell r="G46">
            <v>5.0999999999999996</v>
          </cell>
          <cell r="H46">
            <v>5.6</v>
          </cell>
          <cell r="I46">
            <v>1.34</v>
          </cell>
          <cell r="J46">
            <v>5.0999999999999996</v>
          </cell>
          <cell r="K46">
            <v>5.6</v>
          </cell>
          <cell r="L46">
            <v>0.2</v>
          </cell>
          <cell r="M46">
            <v>0.2</v>
          </cell>
          <cell r="N46">
            <v>0.2</v>
          </cell>
          <cell r="O46">
            <v>0.2</v>
          </cell>
          <cell r="P46">
            <v>5.0999999999999996</v>
          </cell>
          <cell r="Q46">
            <v>5.0999999999999996</v>
          </cell>
          <cell r="R46">
            <v>0.2</v>
          </cell>
          <cell r="S46">
            <v>0.94</v>
          </cell>
          <cell r="T46">
            <v>0.2</v>
          </cell>
          <cell r="U46">
            <v>0.94</v>
          </cell>
          <cell r="V46">
            <v>0.2</v>
          </cell>
          <cell r="W46">
            <v>0.94</v>
          </cell>
          <cell r="X46">
            <v>0.2</v>
          </cell>
          <cell r="Y46">
            <v>0.94</v>
          </cell>
          <cell r="Z46">
            <v>1.34</v>
          </cell>
          <cell r="AA46">
            <v>5.0999999999999996</v>
          </cell>
          <cell r="AB46">
            <v>5.6</v>
          </cell>
          <cell r="AC46">
            <v>7.1</v>
          </cell>
          <cell r="AD46">
            <v>8.1</v>
          </cell>
          <cell r="AE46">
            <v>1.34</v>
          </cell>
          <cell r="AF46">
            <v>5.0999999999999996</v>
          </cell>
          <cell r="AG46">
            <v>5.6</v>
          </cell>
          <cell r="AH46">
            <v>7.1</v>
          </cell>
          <cell r="AI46">
            <v>8.1</v>
          </cell>
          <cell r="AJ46">
            <v>1.3294860889849558</v>
          </cell>
          <cell r="AK46">
            <v>1.8164329502913736</v>
          </cell>
          <cell r="AL46">
            <v>2.3222293675193302</v>
          </cell>
          <cell r="AM46">
            <v>2.7086452639108747</v>
          </cell>
          <cell r="AN46">
            <v>3.2741319415570378</v>
          </cell>
          <cell r="AO46">
            <v>3.5945743922231967</v>
          </cell>
          <cell r="AP46">
            <v>3.8349062302228152</v>
          </cell>
          <cell r="AQ46">
            <v>4.1553486808889746</v>
          </cell>
          <cell r="AR46">
            <v>4.5716097074896211</v>
          </cell>
          <cell r="AS46">
            <v>4.8590654352930871</v>
          </cell>
          <cell r="AT46">
            <v>5.3381583149655318</v>
          </cell>
          <cell r="AU46">
            <v>6.0858573665199023</v>
          </cell>
          <cell r="AV46">
            <v>6.5319635233296527</v>
          </cell>
          <cell r="AW46">
            <v>7.1807024062959455</v>
          </cell>
          <cell r="AX46">
            <v>7.5624059137071056</v>
          </cell>
        </row>
        <row r="47">
          <cell r="A47" t="str">
            <v>M-13</v>
          </cell>
          <cell r="B47">
            <v>13</v>
          </cell>
          <cell r="C47" t="str">
            <v>Plain wire (3.5 mm dia)</v>
          </cell>
          <cell r="D47" t="str">
            <v>M-13</v>
          </cell>
          <cell r="E47" t="str">
            <v>kg</v>
          </cell>
          <cell r="F47">
            <v>13.65</v>
          </cell>
          <cell r="G47">
            <v>23</v>
          </cell>
          <cell r="H47">
            <v>30</v>
          </cell>
          <cell r="I47">
            <v>13.65</v>
          </cell>
          <cell r="J47">
            <v>23</v>
          </cell>
          <cell r="K47">
            <v>30</v>
          </cell>
          <cell r="L47">
            <v>0.6</v>
          </cell>
          <cell r="M47">
            <v>0.6</v>
          </cell>
          <cell r="N47">
            <v>0.6</v>
          </cell>
          <cell r="O47">
            <v>0.6</v>
          </cell>
          <cell r="P47">
            <v>25</v>
          </cell>
          <cell r="Q47">
            <v>25</v>
          </cell>
          <cell r="R47">
            <v>0.6</v>
          </cell>
          <cell r="S47">
            <v>0.6</v>
          </cell>
          <cell r="T47">
            <v>0.6</v>
          </cell>
          <cell r="U47">
            <v>0.6</v>
          </cell>
          <cell r="V47">
            <v>0.6</v>
          </cell>
          <cell r="W47">
            <v>0.6</v>
          </cell>
          <cell r="X47">
            <v>0.6</v>
          </cell>
          <cell r="Y47">
            <v>0.6</v>
          </cell>
          <cell r="Z47">
            <v>14</v>
          </cell>
          <cell r="AA47">
            <v>23</v>
          </cell>
          <cell r="AB47">
            <v>30</v>
          </cell>
          <cell r="AC47">
            <v>51</v>
          </cell>
          <cell r="AD47">
            <v>80</v>
          </cell>
          <cell r="AE47">
            <v>14</v>
          </cell>
          <cell r="AF47">
            <v>23</v>
          </cell>
          <cell r="AG47">
            <v>30</v>
          </cell>
          <cell r="AH47">
            <v>51</v>
          </cell>
          <cell r="AI47">
            <v>80</v>
          </cell>
          <cell r="AJ47">
            <v>12.448560889849556</v>
          </cell>
          <cell r="AK47">
            <v>17.318029502913735</v>
          </cell>
          <cell r="AL47">
            <v>22.3759936751933</v>
          </cell>
          <cell r="AM47">
            <v>26.240152639108743</v>
          </cell>
          <cell r="AN47">
            <v>31.895019415570374</v>
          </cell>
          <cell r="AO47">
            <v>35.099443922231963</v>
          </cell>
          <cell r="AP47">
            <v>37.502762302228149</v>
          </cell>
          <cell r="AQ47">
            <v>40.707186808889745</v>
          </cell>
          <cell r="AR47">
            <v>44.869797074896212</v>
          </cell>
          <cell r="AS47">
            <v>47.74435435293087</v>
          </cell>
          <cell r="AT47">
            <v>52.535283149655314</v>
          </cell>
          <cell r="AU47">
            <v>60.012273665199018</v>
          </cell>
          <cell r="AV47">
            <v>64.473335233296524</v>
          </cell>
          <cell r="AW47">
            <v>70.960724062959457</v>
          </cell>
          <cell r="AX47">
            <v>74.777759137071058</v>
          </cell>
        </row>
        <row r="48">
          <cell r="A48" t="str">
            <v>M-14</v>
          </cell>
          <cell r="B48">
            <v>14</v>
          </cell>
          <cell r="C48" t="str">
            <v>Chicken wire mesh (3 Ft wide)</v>
          </cell>
          <cell r="D48" t="str">
            <v>M-14</v>
          </cell>
          <cell r="E48" t="str">
            <v>m</v>
          </cell>
          <cell r="F48">
            <v>21</v>
          </cell>
          <cell r="G48">
            <v>22</v>
          </cell>
          <cell r="H48">
            <v>38</v>
          </cell>
          <cell r="I48">
            <v>21</v>
          </cell>
          <cell r="J48">
            <v>22</v>
          </cell>
          <cell r="K48">
            <v>38</v>
          </cell>
          <cell r="L48">
            <v>1</v>
          </cell>
          <cell r="M48">
            <v>1</v>
          </cell>
          <cell r="N48">
            <v>1</v>
          </cell>
          <cell r="O48">
            <v>1</v>
          </cell>
          <cell r="P48">
            <v>25</v>
          </cell>
          <cell r="Q48">
            <v>25</v>
          </cell>
          <cell r="R48">
            <v>1</v>
          </cell>
          <cell r="T48">
            <v>1</v>
          </cell>
          <cell r="V48">
            <v>1</v>
          </cell>
          <cell r="X48">
            <v>1</v>
          </cell>
          <cell r="Z48">
            <v>21</v>
          </cell>
          <cell r="AA48">
            <v>22</v>
          </cell>
          <cell r="AB48">
            <v>38</v>
          </cell>
          <cell r="AC48">
            <v>55</v>
          </cell>
          <cell r="AD48">
            <v>75</v>
          </cell>
          <cell r="AE48">
            <v>21</v>
          </cell>
          <cell r="AF48">
            <v>22</v>
          </cell>
          <cell r="AG48">
            <v>38</v>
          </cell>
          <cell r="AH48">
            <v>55</v>
          </cell>
          <cell r="AI48">
            <v>75</v>
          </cell>
          <cell r="AJ48">
            <v>12.448560889849556</v>
          </cell>
          <cell r="AK48">
            <v>17.318029502913735</v>
          </cell>
          <cell r="AL48">
            <v>22.3759936751933</v>
          </cell>
          <cell r="AM48">
            <v>26.240152639108743</v>
          </cell>
          <cell r="AN48">
            <v>31.895019415570374</v>
          </cell>
          <cell r="AO48">
            <v>35.099443922231963</v>
          </cell>
          <cell r="AP48">
            <v>37.502762302228149</v>
          </cell>
          <cell r="AQ48">
            <v>40.707186808889745</v>
          </cell>
          <cell r="AR48">
            <v>44.869797074896212</v>
          </cell>
          <cell r="AS48">
            <v>47.74435435293087</v>
          </cell>
          <cell r="AT48">
            <v>52.535283149655314</v>
          </cell>
          <cell r="AU48">
            <v>60.012273665199018</v>
          </cell>
          <cell r="AV48">
            <v>64.473335233296524</v>
          </cell>
          <cell r="AW48">
            <v>70.960724062959457</v>
          </cell>
          <cell r="AX48">
            <v>74.777759137071058</v>
          </cell>
        </row>
        <row r="49">
          <cell r="A49" t="str">
            <v>M-15</v>
          </cell>
          <cell r="B49">
            <v>15</v>
          </cell>
          <cell r="C49" t="str">
            <v>Bamboo</v>
          </cell>
          <cell r="D49" t="str">
            <v>M-15</v>
          </cell>
          <cell r="E49" t="str">
            <v>pc</v>
          </cell>
          <cell r="F49">
            <v>3</v>
          </cell>
          <cell r="G49">
            <v>6</v>
          </cell>
          <cell r="H49">
            <v>8</v>
          </cell>
          <cell r="I49">
            <v>3</v>
          </cell>
          <cell r="J49">
            <v>6</v>
          </cell>
          <cell r="K49">
            <v>8</v>
          </cell>
          <cell r="P49">
            <v>6.5</v>
          </cell>
          <cell r="Q49">
            <v>6.5</v>
          </cell>
          <cell r="Z49">
            <v>3</v>
          </cell>
          <cell r="AA49">
            <v>6</v>
          </cell>
          <cell r="AB49">
            <v>8</v>
          </cell>
          <cell r="AC49">
            <v>10</v>
          </cell>
          <cell r="AD49">
            <v>12</v>
          </cell>
          <cell r="AE49">
            <v>3</v>
          </cell>
          <cell r="AF49">
            <v>6</v>
          </cell>
          <cell r="AG49">
            <v>8</v>
          </cell>
          <cell r="AH49">
            <v>10</v>
          </cell>
          <cell r="AI49">
            <v>12</v>
          </cell>
          <cell r="AJ49">
            <v>1.9542277101655308</v>
          </cell>
          <cell r="AK49">
            <v>2.7317718919290046</v>
          </cell>
          <cell r="AL49">
            <v>3.5585605385374985</v>
          </cell>
          <cell r="AM49">
            <v>4.1805958839482775</v>
          </cell>
          <cell r="AN49">
            <v>5.1058734602468121</v>
          </cell>
          <cell r="AO49">
            <v>5.6242362480891277</v>
          </cell>
          <cell r="AP49">
            <v>6.013008338970864</v>
          </cell>
          <cell r="AQ49">
            <v>6.5313711268131804</v>
          </cell>
          <cell r="AR49">
            <v>7.2182018207042482</v>
          </cell>
          <cell r="AS49">
            <v>7.684728329762331</v>
          </cell>
          <cell r="AT49">
            <v>8.4622725115258053</v>
          </cell>
          <cell r="AU49">
            <v>9.6882005047728832</v>
          </cell>
          <cell r="AV49">
            <v>10.413908407752125</v>
          </cell>
          <cell r="AW49">
            <v>11.479143936768084</v>
          </cell>
          <cell r="AX49">
            <v>12.101179282178865</v>
          </cell>
        </row>
        <row r="50">
          <cell r="A50" t="str">
            <v>M-16</v>
          </cell>
          <cell r="B50">
            <v>16</v>
          </cell>
          <cell r="C50" t="str">
            <v>Angle Pole</v>
          </cell>
          <cell r="D50" t="str">
            <v>M-16</v>
          </cell>
          <cell r="E50" t="str">
            <v>pc</v>
          </cell>
          <cell r="F50">
            <v>3</v>
          </cell>
          <cell r="G50">
            <v>3</v>
          </cell>
          <cell r="H50">
            <v>3</v>
          </cell>
          <cell r="I50">
            <v>3</v>
          </cell>
          <cell r="J50">
            <v>3</v>
          </cell>
          <cell r="K50">
            <v>3</v>
          </cell>
          <cell r="L50">
            <v>1</v>
          </cell>
          <cell r="M50">
            <v>1</v>
          </cell>
          <cell r="N50">
            <v>1</v>
          </cell>
          <cell r="O50">
            <v>1</v>
          </cell>
          <cell r="P50">
            <v>3</v>
          </cell>
          <cell r="Q50">
            <v>3</v>
          </cell>
          <cell r="R50">
            <v>1</v>
          </cell>
          <cell r="S50">
            <v>1</v>
          </cell>
          <cell r="T50">
            <v>1</v>
          </cell>
          <cell r="U50">
            <v>1</v>
          </cell>
          <cell r="V50">
            <v>1</v>
          </cell>
          <cell r="W50">
            <v>1</v>
          </cell>
          <cell r="X50">
            <v>1</v>
          </cell>
          <cell r="Y50">
            <v>1</v>
          </cell>
          <cell r="Z50">
            <v>3</v>
          </cell>
          <cell r="AA50">
            <v>3</v>
          </cell>
          <cell r="AB50">
            <v>3</v>
          </cell>
          <cell r="AC50">
            <v>5</v>
          </cell>
          <cell r="AD50">
            <v>9</v>
          </cell>
          <cell r="AE50">
            <v>3</v>
          </cell>
          <cell r="AF50">
            <v>3</v>
          </cell>
          <cell r="AG50">
            <v>3</v>
          </cell>
          <cell r="AH50">
            <v>5</v>
          </cell>
          <cell r="AI50">
            <v>9</v>
          </cell>
          <cell r="AJ50">
            <v>3</v>
          </cell>
          <cell r="AK50">
            <v>3</v>
          </cell>
          <cell r="AL50">
            <v>3</v>
          </cell>
          <cell r="AM50">
            <v>3</v>
          </cell>
          <cell r="AN50">
            <v>3</v>
          </cell>
          <cell r="AO50">
            <v>5</v>
          </cell>
          <cell r="AP50">
            <v>5</v>
          </cell>
          <cell r="AQ50">
            <v>5</v>
          </cell>
          <cell r="AR50">
            <v>5</v>
          </cell>
          <cell r="AS50">
            <v>5</v>
          </cell>
          <cell r="AT50">
            <v>9</v>
          </cell>
          <cell r="AU50">
            <v>9</v>
          </cell>
          <cell r="AV50">
            <v>9</v>
          </cell>
          <cell r="AW50">
            <v>9</v>
          </cell>
          <cell r="AX50">
            <v>9</v>
          </cell>
        </row>
        <row r="51">
          <cell r="A51" t="str">
            <v>M-17</v>
          </cell>
          <cell r="B51">
            <v>17</v>
          </cell>
          <cell r="C51" t="str">
            <v>Angle Pole for Gate</v>
          </cell>
          <cell r="D51" t="str">
            <v>M-17</v>
          </cell>
          <cell r="E51" t="str">
            <v>pc</v>
          </cell>
          <cell r="F51">
            <v>2</v>
          </cell>
          <cell r="G51">
            <v>2</v>
          </cell>
          <cell r="H51">
            <v>2</v>
          </cell>
          <cell r="I51">
            <v>2</v>
          </cell>
          <cell r="J51">
            <v>2</v>
          </cell>
          <cell r="K51">
            <v>2</v>
          </cell>
          <cell r="L51">
            <v>2</v>
          </cell>
          <cell r="M51">
            <v>2</v>
          </cell>
          <cell r="N51">
            <v>2</v>
          </cell>
          <cell r="O51">
            <v>2</v>
          </cell>
          <cell r="R51">
            <v>2</v>
          </cell>
          <cell r="S51">
            <v>2</v>
          </cell>
          <cell r="T51">
            <v>2</v>
          </cell>
          <cell r="U51">
            <v>2</v>
          </cell>
          <cell r="V51">
            <v>2</v>
          </cell>
          <cell r="W51">
            <v>2</v>
          </cell>
          <cell r="X51">
            <v>2</v>
          </cell>
          <cell r="Y51">
            <v>2</v>
          </cell>
          <cell r="Z51">
            <v>2</v>
          </cell>
          <cell r="AA51">
            <v>2</v>
          </cell>
          <cell r="AB51">
            <v>2</v>
          </cell>
          <cell r="AC51">
            <v>2</v>
          </cell>
          <cell r="AD51">
            <v>2</v>
          </cell>
          <cell r="AE51">
            <v>2</v>
          </cell>
          <cell r="AF51">
            <v>2</v>
          </cell>
          <cell r="AG51">
            <v>2</v>
          </cell>
          <cell r="AH51">
            <v>2</v>
          </cell>
          <cell r="AI51">
            <v>2</v>
          </cell>
          <cell r="AJ51">
            <v>2</v>
          </cell>
          <cell r="AK51">
            <v>2</v>
          </cell>
          <cell r="AL51">
            <v>2</v>
          </cell>
          <cell r="AM51">
            <v>2</v>
          </cell>
          <cell r="AN51">
            <v>2</v>
          </cell>
          <cell r="AO51">
            <v>2</v>
          </cell>
          <cell r="AP51">
            <v>2</v>
          </cell>
          <cell r="AQ51">
            <v>2</v>
          </cell>
          <cell r="AR51">
            <v>2</v>
          </cell>
          <cell r="AS51">
            <v>2</v>
          </cell>
          <cell r="AT51">
            <v>2</v>
          </cell>
          <cell r="AU51">
            <v>2</v>
          </cell>
          <cell r="AV51">
            <v>2</v>
          </cell>
          <cell r="AW51">
            <v>2</v>
          </cell>
          <cell r="AX51">
            <v>2</v>
          </cell>
        </row>
        <row r="52">
          <cell r="A52" t="str">
            <v>M-18</v>
          </cell>
          <cell r="B52">
            <v>18</v>
          </cell>
          <cell r="C52" t="str">
            <v>Corner Angle Pole</v>
          </cell>
          <cell r="D52" t="str">
            <v>M-18</v>
          </cell>
          <cell r="E52" t="str">
            <v>pc</v>
          </cell>
          <cell r="F52">
            <v>4</v>
          </cell>
          <cell r="G52">
            <v>4</v>
          </cell>
          <cell r="H52">
            <v>4</v>
          </cell>
          <cell r="I52">
            <v>4</v>
          </cell>
          <cell r="J52">
            <v>4</v>
          </cell>
          <cell r="K52">
            <v>4</v>
          </cell>
          <cell r="L52">
            <v>4</v>
          </cell>
          <cell r="M52">
            <v>4</v>
          </cell>
          <cell r="N52">
            <v>4</v>
          </cell>
          <cell r="O52">
            <v>4</v>
          </cell>
          <cell r="P52">
            <v>4</v>
          </cell>
          <cell r="Q52">
            <v>4</v>
          </cell>
          <cell r="R52">
            <v>4</v>
          </cell>
          <cell r="S52">
            <v>4</v>
          </cell>
          <cell r="T52">
            <v>4</v>
          </cell>
          <cell r="U52">
            <v>4</v>
          </cell>
          <cell r="V52">
            <v>4</v>
          </cell>
          <cell r="W52">
            <v>4</v>
          </cell>
          <cell r="X52">
            <v>4</v>
          </cell>
          <cell r="Y52">
            <v>4</v>
          </cell>
          <cell r="Z52">
            <v>4</v>
          </cell>
          <cell r="AA52">
            <v>4</v>
          </cell>
          <cell r="AB52">
            <v>4</v>
          </cell>
          <cell r="AC52">
            <v>4</v>
          </cell>
          <cell r="AD52">
            <v>4</v>
          </cell>
          <cell r="AE52">
            <v>4</v>
          </cell>
          <cell r="AF52">
            <v>4</v>
          </cell>
          <cell r="AG52">
            <v>4</v>
          </cell>
          <cell r="AH52">
            <v>4</v>
          </cell>
          <cell r="AI52">
            <v>4</v>
          </cell>
          <cell r="AJ52">
            <v>4</v>
          </cell>
          <cell r="AK52">
            <v>4</v>
          </cell>
          <cell r="AL52">
            <v>4</v>
          </cell>
          <cell r="AM52">
            <v>4</v>
          </cell>
          <cell r="AN52">
            <v>4</v>
          </cell>
          <cell r="AO52">
            <v>4</v>
          </cell>
          <cell r="AP52">
            <v>4</v>
          </cell>
          <cell r="AQ52">
            <v>4</v>
          </cell>
          <cell r="AR52">
            <v>4</v>
          </cell>
          <cell r="AS52">
            <v>4</v>
          </cell>
          <cell r="AT52">
            <v>4</v>
          </cell>
          <cell r="AU52">
            <v>4</v>
          </cell>
          <cell r="AV52">
            <v>4</v>
          </cell>
          <cell r="AW52">
            <v>4</v>
          </cell>
          <cell r="AX52">
            <v>4</v>
          </cell>
        </row>
        <row r="53">
          <cell r="A53" t="str">
            <v>M-19</v>
          </cell>
          <cell r="B53">
            <v>19</v>
          </cell>
          <cell r="C53" t="str">
            <v>Bracing Angle Pole</v>
          </cell>
          <cell r="D53" t="str">
            <v>M-19</v>
          </cell>
          <cell r="E53" t="str">
            <v>pc</v>
          </cell>
          <cell r="F53">
            <v>6</v>
          </cell>
          <cell r="G53">
            <v>6</v>
          </cell>
          <cell r="H53">
            <v>6</v>
          </cell>
          <cell r="I53">
            <v>6</v>
          </cell>
          <cell r="J53">
            <v>6</v>
          </cell>
          <cell r="K53">
            <v>6</v>
          </cell>
          <cell r="L53">
            <v>8</v>
          </cell>
          <cell r="M53">
            <v>8</v>
          </cell>
          <cell r="N53">
            <v>8</v>
          </cell>
          <cell r="O53">
            <v>8</v>
          </cell>
          <cell r="P53">
            <v>8</v>
          </cell>
          <cell r="Q53">
            <v>8</v>
          </cell>
          <cell r="R53">
            <v>8</v>
          </cell>
          <cell r="S53">
            <v>4</v>
          </cell>
          <cell r="T53">
            <v>8</v>
          </cell>
          <cell r="U53">
            <v>4</v>
          </cell>
          <cell r="V53">
            <v>8</v>
          </cell>
          <cell r="W53">
            <v>4</v>
          </cell>
          <cell r="X53">
            <v>8</v>
          </cell>
          <cell r="Y53">
            <v>4</v>
          </cell>
          <cell r="Z53">
            <v>8</v>
          </cell>
          <cell r="AA53">
            <v>8</v>
          </cell>
          <cell r="AB53">
            <v>8</v>
          </cell>
          <cell r="AC53">
            <v>8</v>
          </cell>
          <cell r="AD53">
            <v>8</v>
          </cell>
          <cell r="AE53">
            <v>8</v>
          </cell>
          <cell r="AF53">
            <v>8</v>
          </cell>
          <cell r="AG53">
            <v>8</v>
          </cell>
          <cell r="AH53">
            <v>8</v>
          </cell>
          <cell r="AI53">
            <v>8</v>
          </cell>
          <cell r="AJ53">
            <v>8</v>
          </cell>
          <cell r="AK53">
            <v>8</v>
          </cell>
          <cell r="AL53">
            <v>8</v>
          </cell>
          <cell r="AM53">
            <v>8</v>
          </cell>
          <cell r="AN53">
            <v>8</v>
          </cell>
          <cell r="AO53">
            <v>8</v>
          </cell>
          <cell r="AP53">
            <v>8</v>
          </cell>
          <cell r="AQ53">
            <v>8</v>
          </cell>
          <cell r="AR53">
            <v>8</v>
          </cell>
          <cell r="AS53">
            <v>8</v>
          </cell>
          <cell r="AT53">
            <v>8</v>
          </cell>
          <cell r="AU53">
            <v>8</v>
          </cell>
          <cell r="AV53">
            <v>8</v>
          </cell>
          <cell r="AW53">
            <v>8</v>
          </cell>
          <cell r="AX53">
            <v>8</v>
          </cell>
        </row>
        <row r="54">
          <cell r="A54" t="str">
            <v>M-20</v>
          </cell>
          <cell r="B54">
            <v>20</v>
          </cell>
          <cell r="C54" t="str">
            <v>Polythene Sheet</v>
          </cell>
          <cell r="D54" t="str">
            <v>M-20</v>
          </cell>
          <cell r="E54" t="str">
            <v>m</v>
          </cell>
          <cell r="F54">
            <v>8.7899999999999991</v>
          </cell>
          <cell r="G54">
            <v>13.4</v>
          </cell>
          <cell r="H54">
            <v>17.600000000000001</v>
          </cell>
          <cell r="I54">
            <v>8.7899999999999991</v>
          </cell>
          <cell r="J54">
            <v>13.4</v>
          </cell>
          <cell r="K54">
            <v>17.600000000000001</v>
          </cell>
          <cell r="L54">
            <v>2</v>
          </cell>
          <cell r="M54">
            <v>2</v>
          </cell>
          <cell r="N54">
            <v>2</v>
          </cell>
          <cell r="O54">
            <v>2</v>
          </cell>
          <cell r="P54">
            <v>13.4</v>
          </cell>
          <cell r="Q54">
            <v>13.4</v>
          </cell>
          <cell r="R54">
            <v>2</v>
          </cell>
          <cell r="T54">
            <v>2</v>
          </cell>
          <cell r="V54">
            <v>2</v>
          </cell>
          <cell r="X54">
            <v>2</v>
          </cell>
          <cell r="Z54">
            <v>8.7899999999999991</v>
          </cell>
          <cell r="AA54">
            <v>13.4</v>
          </cell>
          <cell r="AB54">
            <v>17.600000000000001</v>
          </cell>
          <cell r="AC54">
            <v>23.6</v>
          </cell>
          <cell r="AD54">
            <v>30.1</v>
          </cell>
          <cell r="AE54">
            <v>8.7899999999999991</v>
          </cell>
          <cell r="AF54">
            <v>13.4</v>
          </cell>
          <cell r="AG54">
            <v>17.600000000000001</v>
          </cell>
          <cell r="AH54">
            <v>23.6</v>
          </cell>
          <cell r="AI54">
            <v>30.1</v>
          </cell>
          <cell r="AJ54">
            <v>6.5659286460026678</v>
          </cell>
          <cell r="AK54">
            <v>9.0792027688745023</v>
          </cell>
          <cell r="AL54">
            <v>11.411835314164923</v>
          </cell>
          <cell r="AM54">
            <v>13.391038685926492</v>
          </cell>
          <cell r="AN54">
            <v>15.959290680236151</v>
          </cell>
          <cell r="AO54">
            <v>17.592918860102841</v>
          </cell>
          <cell r="AP54">
            <v>18.818139995002859</v>
          </cell>
          <cell r="AQ54">
            <v>20.451768174869553</v>
          </cell>
          <cell r="AR54">
            <v>22.187498115977917</v>
          </cell>
          <cell r="AS54">
            <v>23.648338699897167</v>
          </cell>
          <cell r="AT54">
            <v>26.083073006429256</v>
          </cell>
          <cell r="AU54">
            <v>29.43672316413636</v>
          </cell>
          <cell r="AV54">
            <v>31.698669874721013</v>
          </cell>
          <cell r="AW54">
            <v>34.48683335478195</v>
          </cell>
          <cell r="AX54">
            <v>36.418912836739672</v>
          </cell>
          <cell r="AY54">
            <v>1</v>
          </cell>
          <cell r="AZ54">
            <v>1</v>
          </cell>
          <cell r="BA54">
            <v>1</v>
          </cell>
          <cell r="BB54">
            <v>1</v>
          </cell>
          <cell r="BE54">
            <v>1</v>
          </cell>
          <cell r="BF54">
            <v>1</v>
          </cell>
        </row>
        <row r="55">
          <cell r="A55" t="str">
            <v>M-21</v>
          </cell>
          <cell r="B55">
            <v>21</v>
          </cell>
          <cell r="C55" t="str">
            <v>Barbed Wire</v>
          </cell>
          <cell r="D55" t="str">
            <v>M-21</v>
          </cell>
          <cell r="E55" t="str">
            <v>kg</v>
          </cell>
          <cell r="F55">
            <v>20.25</v>
          </cell>
          <cell r="G55">
            <v>20.25</v>
          </cell>
          <cell r="H55">
            <v>20.25</v>
          </cell>
          <cell r="I55">
            <v>20.25</v>
          </cell>
          <cell r="J55">
            <v>20.25</v>
          </cell>
          <cell r="K55">
            <v>20.25</v>
          </cell>
          <cell r="L55">
            <v>17.55</v>
          </cell>
          <cell r="M55">
            <v>17.55</v>
          </cell>
          <cell r="N55">
            <v>17.55</v>
          </cell>
          <cell r="O55">
            <v>17.55</v>
          </cell>
          <cell r="P55">
            <v>20.25</v>
          </cell>
          <cell r="Q55">
            <v>20.25</v>
          </cell>
          <cell r="R55">
            <v>17.55</v>
          </cell>
          <cell r="S55">
            <v>17.55</v>
          </cell>
          <cell r="T55">
            <v>17.55</v>
          </cell>
          <cell r="U55">
            <v>17.55</v>
          </cell>
          <cell r="V55">
            <v>17.55</v>
          </cell>
          <cell r="W55">
            <v>17.55</v>
          </cell>
          <cell r="X55">
            <v>17.55</v>
          </cell>
          <cell r="Y55">
            <v>17.55</v>
          </cell>
          <cell r="Z55">
            <v>20.25</v>
          </cell>
          <cell r="AA55">
            <v>20.25</v>
          </cell>
          <cell r="AB55">
            <v>22.95</v>
          </cell>
          <cell r="AC55">
            <v>25.65</v>
          </cell>
          <cell r="AD55">
            <v>29.7</v>
          </cell>
          <cell r="AE55">
            <v>20.25</v>
          </cell>
          <cell r="AF55">
            <v>20.25</v>
          </cell>
          <cell r="AG55">
            <v>22.95</v>
          </cell>
          <cell r="AH55">
            <v>25.65</v>
          </cell>
          <cell r="AI55">
            <v>29.7</v>
          </cell>
          <cell r="AJ55">
            <v>22.95</v>
          </cell>
          <cell r="AK55">
            <v>22.95</v>
          </cell>
          <cell r="AL55">
            <v>22.95</v>
          </cell>
          <cell r="AM55">
            <v>22.95</v>
          </cell>
          <cell r="AN55">
            <v>22.95</v>
          </cell>
          <cell r="AO55">
            <v>25.65</v>
          </cell>
          <cell r="AP55">
            <v>25.65</v>
          </cell>
          <cell r="AQ55">
            <v>25.65</v>
          </cell>
          <cell r="AR55">
            <v>25.65</v>
          </cell>
          <cell r="AS55">
            <v>25.65</v>
          </cell>
          <cell r="AT55">
            <v>29.7</v>
          </cell>
          <cell r="AU55">
            <v>29.7</v>
          </cell>
          <cell r="AV55">
            <v>29.7</v>
          </cell>
          <cell r="AW55">
            <v>29.7</v>
          </cell>
          <cell r="AX55">
            <v>29.7</v>
          </cell>
        </row>
        <row r="56">
          <cell r="A56" t="str">
            <v>M-22</v>
          </cell>
          <cell r="B56">
            <v>22</v>
          </cell>
          <cell r="C56" t="str">
            <v>Fencing Post</v>
          </cell>
          <cell r="D56" t="str">
            <v>M-22</v>
          </cell>
          <cell r="E56" t="str">
            <v>pc</v>
          </cell>
        </row>
        <row r="57">
          <cell r="A57" t="str">
            <v>M-23</v>
          </cell>
          <cell r="B57">
            <v>23</v>
          </cell>
          <cell r="C57" t="str">
            <v>Angle Gate</v>
          </cell>
          <cell r="D57" t="str">
            <v>M-23</v>
          </cell>
          <cell r="E57" t="str">
            <v>pc</v>
          </cell>
          <cell r="F57">
            <v>1</v>
          </cell>
          <cell r="G57">
            <v>1</v>
          </cell>
          <cell r="H57">
            <v>1</v>
          </cell>
          <cell r="I57">
            <v>1</v>
          </cell>
          <cell r="J57">
            <v>1</v>
          </cell>
          <cell r="K57">
            <v>1</v>
          </cell>
          <cell r="L57">
            <v>1</v>
          </cell>
          <cell r="M57">
            <v>1</v>
          </cell>
          <cell r="N57">
            <v>1</v>
          </cell>
          <cell r="O57">
            <v>1</v>
          </cell>
          <cell r="R57">
            <v>1</v>
          </cell>
          <cell r="S57">
            <v>1</v>
          </cell>
          <cell r="T57">
            <v>1</v>
          </cell>
          <cell r="U57">
            <v>1</v>
          </cell>
          <cell r="V57">
            <v>1</v>
          </cell>
          <cell r="W57">
            <v>1</v>
          </cell>
          <cell r="X57">
            <v>1</v>
          </cell>
          <cell r="Y57">
            <v>1</v>
          </cell>
          <cell r="Z57">
            <v>1</v>
          </cell>
          <cell r="AA57">
            <v>1</v>
          </cell>
          <cell r="AB57">
            <v>1</v>
          </cell>
          <cell r="AC57">
            <v>1</v>
          </cell>
          <cell r="AD57">
            <v>1</v>
          </cell>
          <cell r="AE57">
            <v>1</v>
          </cell>
          <cell r="AF57">
            <v>1</v>
          </cell>
          <cell r="AG57">
            <v>1</v>
          </cell>
          <cell r="AH57">
            <v>1</v>
          </cell>
          <cell r="AI57">
            <v>1</v>
          </cell>
          <cell r="AJ57">
            <v>1</v>
          </cell>
          <cell r="AK57">
            <v>1</v>
          </cell>
          <cell r="AL57">
            <v>1</v>
          </cell>
          <cell r="AM57">
            <v>1</v>
          </cell>
          <cell r="AN57">
            <v>1</v>
          </cell>
          <cell r="AO57">
            <v>1</v>
          </cell>
          <cell r="AP57">
            <v>1</v>
          </cell>
          <cell r="AQ57">
            <v>1</v>
          </cell>
          <cell r="AR57">
            <v>1</v>
          </cell>
          <cell r="AS57">
            <v>1</v>
          </cell>
          <cell r="AT57">
            <v>1</v>
          </cell>
          <cell r="AU57">
            <v>1</v>
          </cell>
          <cell r="AV57">
            <v>1</v>
          </cell>
          <cell r="AW57">
            <v>1</v>
          </cell>
          <cell r="AX57">
            <v>1</v>
          </cell>
        </row>
        <row r="58">
          <cell r="A58" t="str">
            <v>M-24</v>
          </cell>
          <cell r="B58">
            <v>24</v>
          </cell>
          <cell r="C58" t="str">
            <v>4" Hinges</v>
          </cell>
          <cell r="D58" t="str">
            <v>M-24</v>
          </cell>
          <cell r="E58" t="str">
            <v>pc</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row>
        <row r="59">
          <cell r="A59" t="str">
            <v>M-25</v>
          </cell>
          <cell r="B59">
            <v>25</v>
          </cell>
          <cell r="C59" t="str">
            <v>10" Aldrop</v>
          </cell>
          <cell r="D59" t="str">
            <v>M-25</v>
          </cell>
          <cell r="E59" t="str">
            <v>pc</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row>
        <row r="60">
          <cell r="A60" t="str">
            <v>M-26</v>
          </cell>
          <cell r="B60">
            <v>26</v>
          </cell>
          <cell r="C60" t="str">
            <v>Gate Lock Key</v>
          </cell>
          <cell r="D60" t="str">
            <v>M-26</v>
          </cell>
          <cell r="E60" t="str">
            <v>pc</v>
          </cell>
          <cell r="F60">
            <v>1</v>
          </cell>
          <cell r="G60">
            <v>1</v>
          </cell>
          <cell r="H60">
            <v>1</v>
          </cell>
          <cell r="I60">
            <v>1</v>
          </cell>
          <cell r="J60">
            <v>1</v>
          </cell>
          <cell r="K60">
            <v>1</v>
          </cell>
          <cell r="L60">
            <v>1</v>
          </cell>
          <cell r="M60">
            <v>1</v>
          </cell>
          <cell r="N60">
            <v>1</v>
          </cell>
          <cell r="O60">
            <v>1</v>
          </cell>
          <cell r="R60">
            <v>1</v>
          </cell>
          <cell r="S60">
            <v>1</v>
          </cell>
          <cell r="T60">
            <v>1</v>
          </cell>
          <cell r="U60">
            <v>1</v>
          </cell>
          <cell r="V60">
            <v>1</v>
          </cell>
          <cell r="W60">
            <v>1</v>
          </cell>
          <cell r="X60">
            <v>1</v>
          </cell>
          <cell r="Y60">
            <v>1</v>
          </cell>
          <cell r="Z60">
            <v>1</v>
          </cell>
          <cell r="AA60">
            <v>1</v>
          </cell>
          <cell r="AB60">
            <v>1</v>
          </cell>
          <cell r="AC60">
            <v>1</v>
          </cell>
          <cell r="AD60">
            <v>1</v>
          </cell>
          <cell r="AE60">
            <v>1</v>
          </cell>
          <cell r="AF60">
            <v>1</v>
          </cell>
          <cell r="AG60">
            <v>1</v>
          </cell>
          <cell r="AH60">
            <v>1</v>
          </cell>
          <cell r="AI60">
            <v>1</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row>
        <row r="61">
          <cell r="A61" t="str">
            <v>M-27</v>
          </cell>
          <cell r="B61">
            <v>27</v>
          </cell>
          <cell r="C61" t="str">
            <v>Nut with bolt (8mm dia)</v>
          </cell>
          <cell r="D61" t="str">
            <v>M-27</v>
          </cell>
          <cell r="E61" t="str">
            <v>pc</v>
          </cell>
          <cell r="F61">
            <v>14</v>
          </cell>
          <cell r="G61">
            <v>14</v>
          </cell>
          <cell r="H61">
            <v>14</v>
          </cell>
          <cell r="I61">
            <v>14</v>
          </cell>
          <cell r="J61">
            <v>14</v>
          </cell>
          <cell r="K61">
            <v>14</v>
          </cell>
          <cell r="L61">
            <v>18</v>
          </cell>
          <cell r="M61">
            <v>18</v>
          </cell>
          <cell r="N61">
            <v>18</v>
          </cell>
          <cell r="O61">
            <v>18</v>
          </cell>
          <cell r="P61">
            <v>18</v>
          </cell>
          <cell r="Q61">
            <v>18</v>
          </cell>
          <cell r="R61">
            <v>18</v>
          </cell>
          <cell r="S61">
            <v>6</v>
          </cell>
          <cell r="T61">
            <v>18</v>
          </cell>
          <cell r="U61">
            <v>6</v>
          </cell>
          <cell r="V61">
            <v>18</v>
          </cell>
          <cell r="W61">
            <v>6</v>
          </cell>
          <cell r="X61">
            <v>18</v>
          </cell>
          <cell r="Y61">
            <v>6</v>
          </cell>
          <cell r="Z61">
            <v>18</v>
          </cell>
          <cell r="AA61">
            <v>18</v>
          </cell>
          <cell r="AB61">
            <v>18</v>
          </cell>
          <cell r="AC61">
            <v>18</v>
          </cell>
          <cell r="AD61">
            <v>18</v>
          </cell>
          <cell r="AE61">
            <v>18</v>
          </cell>
          <cell r="AF61">
            <v>18</v>
          </cell>
          <cell r="AG61">
            <v>18</v>
          </cell>
          <cell r="AH61">
            <v>18</v>
          </cell>
          <cell r="AI61">
            <v>18</v>
          </cell>
          <cell r="AJ61">
            <v>18</v>
          </cell>
          <cell r="AK61">
            <v>18</v>
          </cell>
          <cell r="AL61">
            <v>18</v>
          </cell>
          <cell r="AM61">
            <v>18</v>
          </cell>
          <cell r="AN61">
            <v>18</v>
          </cell>
          <cell r="AO61">
            <v>18</v>
          </cell>
          <cell r="AP61">
            <v>18</v>
          </cell>
          <cell r="AQ61">
            <v>18</v>
          </cell>
          <cell r="AR61">
            <v>18</v>
          </cell>
          <cell r="AS61">
            <v>18</v>
          </cell>
          <cell r="AT61">
            <v>18</v>
          </cell>
          <cell r="AU61">
            <v>18</v>
          </cell>
          <cell r="AV61">
            <v>18</v>
          </cell>
          <cell r="AW61">
            <v>18</v>
          </cell>
          <cell r="AX61">
            <v>18</v>
          </cell>
        </row>
        <row r="62">
          <cell r="A62" t="str">
            <v>M-28</v>
          </cell>
          <cell r="B62">
            <v>28</v>
          </cell>
          <cell r="C62" t="str">
            <v>Screws</v>
          </cell>
          <cell r="D62" t="str">
            <v>M-28</v>
          </cell>
          <cell r="E62" t="str">
            <v>pc</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row>
        <row r="63">
          <cell r="A63" t="str">
            <v>M-29</v>
          </cell>
          <cell r="B63">
            <v>29</v>
          </cell>
          <cell r="C63" t="str">
            <v>GI sheet Plain (3'x7')</v>
          </cell>
          <cell r="D63" t="str">
            <v>M-29</v>
          </cell>
          <cell r="E63" t="str">
            <v>pc</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row>
        <row r="64">
          <cell r="A64" t="str">
            <v>M-30</v>
          </cell>
          <cell r="B64">
            <v>30</v>
          </cell>
          <cell r="C64" t="str">
            <v>Manhole Cover (Circular)</v>
          </cell>
          <cell r="D64" t="str">
            <v>M-30</v>
          </cell>
          <cell r="E64" t="str">
            <v>pc</v>
          </cell>
          <cell r="AJ64">
            <v>2</v>
          </cell>
          <cell r="AK64">
            <v>2</v>
          </cell>
          <cell r="AL64">
            <v>2</v>
          </cell>
          <cell r="AM64">
            <v>2</v>
          </cell>
          <cell r="AN64">
            <v>2</v>
          </cell>
          <cell r="AO64">
            <v>2</v>
          </cell>
          <cell r="AP64">
            <v>2</v>
          </cell>
          <cell r="AQ64">
            <v>2</v>
          </cell>
          <cell r="AR64">
            <v>2</v>
          </cell>
          <cell r="AS64">
            <v>2</v>
          </cell>
          <cell r="AT64">
            <v>2</v>
          </cell>
          <cell r="AU64">
            <v>2</v>
          </cell>
          <cell r="AV64">
            <v>2</v>
          </cell>
          <cell r="AW64">
            <v>2</v>
          </cell>
          <cell r="AX64">
            <v>2</v>
          </cell>
        </row>
        <row r="65">
          <cell r="A65" t="str">
            <v>M-31</v>
          </cell>
          <cell r="B65">
            <v>31</v>
          </cell>
          <cell r="C65" t="str">
            <v>Manhole Cover (Square)</v>
          </cell>
          <cell r="D65" t="str">
            <v>M-31</v>
          </cell>
          <cell r="E65" t="str">
            <v>pc</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row>
        <row r="66">
          <cell r="A66" t="str">
            <v>M-32</v>
          </cell>
          <cell r="B66">
            <v>32</v>
          </cell>
          <cell r="C66" t="str">
            <v>Manhole Cover (Rectangle)</v>
          </cell>
          <cell r="D66" t="str">
            <v>M-32</v>
          </cell>
          <cell r="E66" t="str">
            <v>pc</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row>
        <row r="67">
          <cell r="A67" t="str">
            <v>M-33</v>
          </cell>
          <cell r="B67">
            <v>33</v>
          </cell>
          <cell r="C67" t="str">
            <v>Small Slab Frame (55x55)</v>
          </cell>
          <cell r="D67" t="str">
            <v>M-33</v>
          </cell>
          <cell r="E67" t="str">
            <v>pc</v>
          </cell>
          <cell r="F67">
            <v>1</v>
          </cell>
          <cell r="G67">
            <v>1</v>
          </cell>
          <cell r="H67">
            <v>1</v>
          </cell>
          <cell r="I67">
            <v>1</v>
          </cell>
          <cell r="J67">
            <v>1</v>
          </cell>
          <cell r="K67">
            <v>1</v>
          </cell>
          <cell r="P67">
            <v>2</v>
          </cell>
          <cell r="Q67">
            <v>2</v>
          </cell>
          <cell r="S67">
            <v>1</v>
          </cell>
          <cell r="U67">
            <v>1</v>
          </cell>
          <cell r="W67">
            <v>1</v>
          </cell>
          <cell r="Y67">
            <v>1</v>
          </cell>
          <cell r="Z67">
            <v>2</v>
          </cell>
          <cell r="AA67">
            <v>2</v>
          </cell>
          <cell r="AB67">
            <v>2</v>
          </cell>
          <cell r="AC67">
            <v>2</v>
          </cell>
          <cell r="AD67">
            <v>2</v>
          </cell>
          <cell r="AE67">
            <v>2</v>
          </cell>
          <cell r="AF67">
            <v>2</v>
          </cell>
          <cell r="AG67">
            <v>2</v>
          </cell>
          <cell r="AH67">
            <v>2</v>
          </cell>
          <cell r="AI67">
            <v>2</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row>
        <row r="68">
          <cell r="A68" t="str">
            <v>M-34</v>
          </cell>
          <cell r="B68">
            <v>34</v>
          </cell>
          <cell r="C68" t="str">
            <v>Big Slab Frame (75x75)</v>
          </cell>
          <cell r="D68" t="str">
            <v>M-34</v>
          </cell>
          <cell r="E68" t="str">
            <v>pc</v>
          </cell>
          <cell r="L68">
            <v>1</v>
          </cell>
          <cell r="M68">
            <v>1</v>
          </cell>
          <cell r="N68">
            <v>1</v>
          </cell>
          <cell r="O68">
            <v>1</v>
          </cell>
          <cell r="R68">
            <v>1</v>
          </cell>
          <cell r="S68">
            <v>1</v>
          </cell>
          <cell r="T68">
            <v>1</v>
          </cell>
          <cell r="U68">
            <v>1</v>
          </cell>
          <cell r="V68">
            <v>1</v>
          </cell>
          <cell r="W68">
            <v>1</v>
          </cell>
          <cell r="X68">
            <v>1</v>
          </cell>
          <cell r="Y68">
            <v>1</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1</v>
          </cell>
          <cell r="AZ68">
            <v>1</v>
          </cell>
          <cell r="BA68">
            <v>1</v>
          </cell>
          <cell r="BB68">
            <v>1</v>
          </cell>
          <cell r="BE68">
            <v>1</v>
          </cell>
          <cell r="BF68">
            <v>1</v>
          </cell>
        </row>
        <row r="69">
          <cell r="A69" t="str">
            <v>M-35</v>
          </cell>
          <cell r="B69">
            <v>35</v>
          </cell>
          <cell r="C69" t="str">
            <v>Cement Paint</v>
          </cell>
          <cell r="D69" t="str">
            <v>M-35</v>
          </cell>
          <cell r="E69" t="str">
            <v>kg</v>
          </cell>
          <cell r="F69">
            <v>1.36</v>
          </cell>
          <cell r="G69">
            <v>1.65</v>
          </cell>
          <cell r="H69">
            <v>2.7</v>
          </cell>
          <cell r="I69">
            <v>1.36</v>
          </cell>
          <cell r="J69">
            <v>1.65</v>
          </cell>
          <cell r="K69">
            <v>2.7</v>
          </cell>
          <cell r="P69">
            <v>1.65</v>
          </cell>
          <cell r="Q69">
            <v>1.65</v>
          </cell>
          <cell r="Z69">
            <v>1</v>
          </cell>
          <cell r="AA69">
            <v>1.67</v>
          </cell>
          <cell r="AB69">
            <v>2.7</v>
          </cell>
          <cell r="AC69">
            <v>4.6500000000000004</v>
          </cell>
          <cell r="AD69">
            <v>7.65</v>
          </cell>
          <cell r="AE69">
            <v>1</v>
          </cell>
          <cell r="AF69">
            <v>1.67</v>
          </cell>
          <cell r="AG69">
            <v>2.7</v>
          </cell>
          <cell r="AH69">
            <v>4.6500000000000004</v>
          </cell>
          <cell r="AI69">
            <v>7.65</v>
          </cell>
          <cell r="AJ69">
            <v>1.398008730847458</v>
          </cell>
          <cell r="AK69">
            <v>1.398008730847458</v>
          </cell>
          <cell r="AL69">
            <v>1.8172150005608461</v>
          </cell>
          <cell r="AM69">
            <v>1.8172150005608461</v>
          </cell>
          <cell r="AN69">
            <v>2.2368139693559326</v>
          </cell>
          <cell r="AO69">
            <v>2.2368139693559326</v>
          </cell>
          <cell r="AP69">
            <v>2.2368139693559326</v>
          </cell>
          <cell r="AQ69">
            <v>2.2368139693559326</v>
          </cell>
          <cell r="AR69">
            <v>2.6566092876918685</v>
          </cell>
          <cell r="AS69">
            <v>2.6566092876918685</v>
          </cell>
          <cell r="AT69">
            <v>2.6566092876918685</v>
          </cell>
          <cell r="AU69">
            <v>3.0765168057654333</v>
          </cell>
          <cell r="AV69">
            <v>3.0765168057654333</v>
          </cell>
          <cell r="AW69">
            <v>3.4964944486750142</v>
          </cell>
          <cell r="AX69">
            <v>3.4964944486750142</v>
          </cell>
        </row>
        <row r="70">
          <cell r="A70" t="str">
            <v>M-36</v>
          </cell>
          <cell r="B70">
            <v>36</v>
          </cell>
          <cell r="C70" t="str">
            <v>Lime</v>
          </cell>
          <cell r="D70" t="str">
            <v>M-36</v>
          </cell>
          <cell r="E70" t="str">
            <v>kg</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row>
        <row r="71">
          <cell r="A71" t="str">
            <v>M-37</v>
          </cell>
          <cell r="B71">
            <v>37</v>
          </cell>
          <cell r="C71" t="str">
            <v>GI Selwage Wire (8g)</v>
          </cell>
          <cell r="D71" t="str">
            <v>M-37</v>
          </cell>
          <cell r="E71" t="str">
            <v>kg</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row>
        <row r="72">
          <cell r="A72" t="str">
            <v>M-38</v>
          </cell>
          <cell r="B72">
            <v>38</v>
          </cell>
          <cell r="C72" t="str">
            <v>GI Mesh Wire (10g)</v>
          </cell>
          <cell r="D72" t="str">
            <v>M-38</v>
          </cell>
          <cell r="E72" t="str">
            <v>kg</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row>
        <row r="73">
          <cell r="A73" t="str">
            <v>M-39</v>
          </cell>
          <cell r="B73">
            <v>39</v>
          </cell>
          <cell r="C73" t="str">
            <v>Wood for Formwork</v>
          </cell>
          <cell r="D73" t="str">
            <v>M-39</v>
          </cell>
          <cell r="E73" t="str">
            <v>m3</v>
          </cell>
          <cell r="G73">
            <v>7.0000000000000007E-2</v>
          </cell>
          <cell r="J73">
            <v>7.0000000000000007E-2</v>
          </cell>
          <cell r="L73">
            <v>0.16</v>
          </cell>
          <cell r="M73">
            <v>0.16</v>
          </cell>
          <cell r="N73">
            <v>0.16</v>
          </cell>
          <cell r="O73">
            <v>0.16</v>
          </cell>
          <cell r="P73">
            <v>7.0000000000000007E-2</v>
          </cell>
          <cell r="Q73">
            <v>7.0000000000000007E-2</v>
          </cell>
          <cell r="R73">
            <v>0.16</v>
          </cell>
          <cell r="T73">
            <v>0.16</v>
          </cell>
          <cell r="V73">
            <v>0.16</v>
          </cell>
          <cell r="X73">
            <v>0.16</v>
          </cell>
          <cell r="Z73">
            <v>7.0000000000000007E-2</v>
          </cell>
          <cell r="AA73">
            <v>7.0000000000000007E-2</v>
          </cell>
          <cell r="AB73">
            <v>7.0000000000000007E-2</v>
          </cell>
          <cell r="AC73">
            <v>7.0000000000000007E-2</v>
          </cell>
          <cell r="AD73">
            <v>7.0000000000000007E-2</v>
          </cell>
          <cell r="AE73">
            <v>7.0000000000000007E-2</v>
          </cell>
          <cell r="AF73">
            <v>7.0000000000000007E-2</v>
          </cell>
          <cell r="AG73">
            <v>7.0000000000000007E-2</v>
          </cell>
          <cell r="AH73">
            <v>7.0000000000000007E-2</v>
          </cell>
          <cell r="AI73">
            <v>7.0000000000000007E-2</v>
          </cell>
          <cell r="AJ73">
            <v>0.34047531175925355</v>
          </cell>
          <cell r="AK73">
            <v>0.34047531175925355</v>
          </cell>
          <cell r="AL73">
            <v>0.34047531175925355</v>
          </cell>
          <cell r="AM73">
            <v>0.34047531175925355</v>
          </cell>
          <cell r="AN73">
            <v>0.34047531175925355</v>
          </cell>
          <cell r="AO73">
            <v>0.34047531175925355</v>
          </cell>
          <cell r="AP73">
            <v>0.34047531175925355</v>
          </cell>
          <cell r="AQ73">
            <v>0.34047531175925355</v>
          </cell>
          <cell r="AR73">
            <v>0.34047531175925355</v>
          </cell>
          <cell r="AS73">
            <v>0.34047531175925355</v>
          </cell>
          <cell r="AT73">
            <v>0.34047531175925355</v>
          </cell>
          <cell r="AU73">
            <v>0.34047531175925355</v>
          </cell>
          <cell r="AV73">
            <v>0.34047531175925355</v>
          </cell>
          <cell r="AW73">
            <v>0.34047531175925355</v>
          </cell>
          <cell r="AX73">
            <v>0.34047531175925355</v>
          </cell>
          <cell r="AY73">
            <v>0.08</v>
          </cell>
          <cell r="AZ73">
            <v>0.08</v>
          </cell>
          <cell r="BA73">
            <v>0.08</v>
          </cell>
          <cell r="BB73">
            <v>0.08</v>
          </cell>
          <cell r="BE73">
            <v>0.08</v>
          </cell>
          <cell r="BF73">
            <v>0.08</v>
          </cell>
          <cell r="BI73">
            <v>0.13</v>
          </cell>
          <cell r="BK73">
            <v>0.1</v>
          </cell>
          <cell r="BL73">
            <v>0.1</v>
          </cell>
          <cell r="BM73">
            <v>0.13</v>
          </cell>
          <cell r="BO73">
            <v>0.1</v>
          </cell>
          <cell r="BP73">
            <v>0.1</v>
          </cell>
        </row>
        <row r="74">
          <cell r="A74" t="str">
            <v>M-40</v>
          </cell>
          <cell r="B74">
            <v>40</v>
          </cell>
          <cell r="C74" t="str">
            <v>Nails</v>
          </cell>
          <cell r="D74" t="str">
            <v>M-40</v>
          </cell>
          <cell r="E74" t="str">
            <v>kg</v>
          </cell>
          <cell r="F74">
            <v>0.5</v>
          </cell>
          <cell r="G74">
            <v>0.4</v>
          </cell>
          <cell r="H74">
            <v>0.5</v>
          </cell>
          <cell r="I74">
            <v>0.5</v>
          </cell>
          <cell r="J74">
            <v>0.4</v>
          </cell>
          <cell r="K74">
            <v>0.5</v>
          </cell>
          <cell r="P74">
            <v>0.4</v>
          </cell>
          <cell r="Q74">
            <v>0.4</v>
          </cell>
          <cell r="Z74">
            <v>0.28999999999999998</v>
          </cell>
          <cell r="AA74">
            <v>0.5</v>
          </cell>
          <cell r="AB74">
            <v>0.5</v>
          </cell>
          <cell r="AC74">
            <v>0.5</v>
          </cell>
          <cell r="AD74">
            <v>0.5</v>
          </cell>
          <cell r="AE74">
            <v>0.28999999999999998</v>
          </cell>
          <cell r="AF74">
            <v>0.5</v>
          </cell>
          <cell r="AG74">
            <v>0.5</v>
          </cell>
          <cell r="AH74">
            <v>0.5</v>
          </cell>
          <cell r="AI74">
            <v>0.5</v>
          </cell>
          <cell r="AJ74">
            <v>0.14804755380041898</v>
          </cell>
          <cell r="AK74">
            <v>0.20695241605522763</v>
          </cell>
          <cell r="AL74">
            <v>0.26958791958617412</v>
          </cell>
          <cell r="AM74">
            <v>0.31671180939002103</v>
          </cell>
          <cell r="AN74">
            <v>0.38680859547324337</v>
          </cell>
          <cell r="AO74">
            <v>0.42607850364311572</v>
          </cell>
          <cell r="AP74">
            <v>0.45553093477052004</v>
          </cell>
          <cell r="AQ74">
            <v>0.4948008429403925</v>
          </cell>
          <cell r="AR74">
            <v>0.54683347126547333</v>
          </cell>
          <cell r="AS74">
            <v>0.58217638861835841</v>
          </cell>
          <cell r="AT74">
            <v>0.64108125087316703</v>
          </cell>
          <cell r="AU74">
            <v>0.7339545836949154</v>
          </cell>
          <cell r="AV74">
            <v>0.7889324551327368</v>
          </cell>
          <cell r="AW74">
            <v>0.86963211642182459</v>
          </cell>
          <cell r="AX74">
            <v>0.91675600622567155</v>
          </cell>
        </row>
        <row r="75">
          <cell r="A75" t="str">
            <v>M-41</v>
          </cell>
          <cell r="B75">
            <v>41</v>
          </cell>
          <cell r="C75" t="str">
            <v>Suspension Cable (8mm)</v>
          </cell>
          <cell r="D75" t="str">
            <v>M-41</v>
          </cell>
          <cell r="E75" t="str">
            <v>m</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row>
        <row r="76">
          <cell r="A76" t="str">
            <v>M-42</v>
          </cell>
          <cell r="B76">
            <v>42</v>
          </cell>
          <cell r="C76" t="str">
            <v>Suspension Cable (13mm)</v>
          </cell>
          <cell r="D76" t="str">
            <v>M-42</v>
          </cell>
          <cell r="E76" t="str">
            <v>m</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row>
        <row r="77">
          <cell r="A77" t="str">
            <v>M-43</v>
          </cell>
          <cell r="B77">
            <v>43</v>
          </cell>
          <cell r="C77" t="str">
            <v>Bulldog Grips (8mm)</v>
          </cell>
          <cell r="D77" t="str">
            <v>M-43</v>
          </cell>
          <cell r="E77" t="str">
            <v>pc</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row>
        <row r="78">
          <cell r="A78" t="str">
            <v>M-44</v>
          </cell>
          <cell r="B78">
            <v>44</v>
          </cell>
          <cell r="C78" t="str">
            <v>Bulldog Grips (13mm)</v>
          </cell>
          <cell r="D78" t="str">
            <v>M-44</v>
          </cell>
          <cell r="E78" t="str">
            <v>pc</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row>
        <row r="79">
          <cell r="A79" t="str">
            <v>M-45</v>
          </cell>
          <cell r="B79">
            <v>45</v>
          </cell>
          <cell r="C79" t="str">
            <v>PE Tank 200 ltrs.</v>
          </cell>
          <cell r="D79" t="str">
            <v>M-45</v>
          </cell>
          <cell r="E79" t="str">
            <v>pc</v>
          </cell>
          <cell r="S79">
            <v>1</v>
          </cell>
          <cell r="U79">
            <v>1</v>
          </cell>
          <cell r="W79">
            <v>1</v>
          </cell>
          <cell r="Y79">
            <v>1</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row>
        <row r="80">
          <cell r="A80" t="str">
            <v>M-46</v>
          </cell>
          <cell r="B80">
            <v>46</v>
          </cell>
          <cell r="C80" t="str">
            <v>Tapstand Grid</v>
          </cell>
          <cell r="D80" t="str">
            <v>M-46</v>
          </cell>
          <cell r="E80" t="str">
            <v>pc</v>
          </cell>
          <cell r="F80">
            <v>1</v>
          </cell>
          <cell r="G80">
            <v>1</v>
          </cell>
          <cell r="H80">
            <v>1</v>
          </cell>
          <cell r="I80">
            <v>1</v>
          </cell>
          <cell r="J80">
            <v>1</v>
          </cell>
          <cell r="K80">
            <v>1</v>
          </cell>
          <cell r="BI80">
            <v>1</v>
          </cell>
          <cell r="BJ80">
            <v>1</v>
          </cell>
          <cell r="BK80">
            <v>1</v>
          </cell>
          <cell r="BL80">
            <v>1</v>
          </cell>
          <cell r="BM80">
            <v>1</v>
          </cell>
          <cell r="BN80">
            <v>1</v>
          </cell>
          <cell r="BO80">
            <v>1</v>
          </cell>
          <cell r="BP80">
            <v>1</v>
          </cell>
        </row>
        <row r="81">
          <cell r="A81" t="str">
            <v>M-47</v>
          </cell>
          <cell r="B81">
            <v>47</v>
          </cell>
          <cell r="C81" t="str">
            <v>Anchor Bolt (1/2")</v>
          </cell>
          <cell r="D81" t="str">
            <v>M-47</v>
          </cell>
          <cell r="E81" t="str">
            <v>pc</v>
          </cell>
        </row>
        <row r="82">
          <cell r="A82" t="str">
            <v>M-48</v>
          </cell>
          <cell r="B82">
            <v>48</v>
          </cell>
          <cell r="C82" t="str">
            <v>Anchor Bolt (1")</v>
          </cell>
          <cell r="D82" t="str">
            <v>M-48</v>
          </cell>
          <cell r="E82" t="str">
            <v>pc</v>
          </cell>
        </row>
        <row r="83">
          <cell r="A83" t="str">
            <v>M-49</v>
          </cell>
          <cell r="B83">
            <v>49</v>
          </cell>
          <cell r="C83" t="str">
            <v>Anchor Bolt (1 1/2")</v>
          </cell>
          <cell r="D83" t="str">
            <v>M-49</v>
          </cell>
          <cell r="E83" t="str">
            <v>pc</v>
          </cell>
        </row>
        <row r="84">
          <cell r="A84" t="str">
            <v>M-50</v>
          </cell>
          <cell r="B84">
            <v>50</v>
          </cell>
          <cell r="C84" t="str">
            <v>Anchor Bolt (2")</v>
          </cell>
          <cell r="D84" t="str">
            <v>M-50</v>
          </cell>
          <cell r="E84" t="str">
            <v>pc</v>
          </cell>
        </row>
        <row r="85">
          <cell r="A85" t="str">
            <v>M-51</v>
          </cell>
          <cell r="B85">
            <v>51</v>
          </cell>
          <cell r="C85" t="str">
            <v>Bulldog Grips ( 20mm)</v>
          </cell>
          <cell r="D85" t="str">
            <v>M-51</v>
          </cell>
          <cell r="E85" t="str">
            <v>pc</v>
          </cell>
        </row>
        <row r="86">
          <cell r="A86" t="str">
            <v>M-52</v>
          </cell>
          <cell r="B86">
            <v>52</v>
          </cell>
          <cell r="C86" t="str">
            <v>Bulldog Grips ( 32mm)</v>
          </cell>
          <cell r="D86" t="str">
            <v>M-52</v>
          </cell>
          <cell r="E86" t="str">
            <v>pc</v>
          </cell>
        </row>
        <row r="87">
          <cell r="A87" t="str">
            <v>M-53</v>
          </cell>
          <cell r="B87">
            <v>53</v>
          </cell>
          <cell r="C87" t="str">
            <v>Rainforcement ( 20mm)</v>
          </cell>
          <cell r="D87" t="str">
            <v>M-53</v>
          </cell>
          <cell r="E87" t="str">
            <v>kg</v>
          </cell>
        </row>
        <row r="88">
          <cell r="A88" t="str">
            <v>M-54</v>
          </cell>
          <cell r="B88">
            <v>54</v>
          </cell>
          <cell r="C88" t="str">
            <v>Fibre Glass Pan</v>
          </cell>
          <cell r="D88" t="str">
            <v>M-54</v>
          </cell>
          <cell r="E88" t="str">
            <v>Set</v>
          </cell>
        </row>
        <row r="89">
          <cell r="A89" t="str">
            <v>M-55</v>
          </cell>
          <cell r="B89">
            <v>55</v>
          </cell>
          <cell r="C89" t="str">
            <v>HDPE Bend (syphon)</v>
          </cell>
          <cell r="D89" t="str">
            <v>M-55</v>
          </cell>
          <cell r="E89" t="str">
            <v>pc</v>
          </cell>
        </row>
        <row r="90">
          <cell r="A90" t="str">
            <v>M-56</v>
          </cell>
          <cell r="B90">
            <v>56</v>
          </cell>
          <cell r="C90" t="str">
            <v>Ceramic Pan Set</v>
          </cell>
          <cell r="D90" t="str">
            <v>M-56</v>
          </cell>
          <cell r="E90" t="str">
            <v>Set</v>
          </cell>
        </row>
        <row r="91">
          <cell r="A91" t="str">
            <v>M-57</v>
          </cell>
          <cell r="B91">
            <v>57</v>
          </cell>
          <cell r="C91" t="str">
            <v>PE Tank 500 ltrs.</v>
          </cell>
          <cell r="D91" t="str">
            <v>M-57</v>
          </cell>
          <cell r="E91" t="str">
            <v>pc</v>
          </cell>
        </row>
        <row r="92">
          <cell r="A92" t="str">
            <v>M-58</v>
          </cell>
          <cell r="B92">
            <v>58</v>
          </cell>
          <cell r="C92" t="str">
            <v>Enamel Paint</v>
          </cell>
          <cell r="D92" t="str">
            <v>M-58</v>
          </cell>
          <cell r="E92" t="str">
            <v>Ltr</v>
          </cell>
        </row>
        <row r="93">
          <cell r="A93" t="str">
            <v>M-59</v>
          </cell>
          <cell r="B93">
            <v>59</v>
          </cell>
          <cell r="C93" t="str">
            <v>U-Hook</v>
          </cell>
          <cell r="D93" t="str">
            <v>M-59</v>
          </cell>
          <cell r="E93" t="str">
            <v>pc</v>
          </cell>
        </row>
        <row r="94">
          <cell r="A94" t="str">
            <v>M-60</v>
          </cell>
          <cell r="B94">
            <v>60</v>
          </cell>
          <cell r="C94" t="str">
            <v>Hilltake Metal Cover</v>
          </cell>
          <cell r="D94" t="str">
            <v>M-60</v>
          </cell>
          <cell r="E94" t="str">
            <v>pc</v>
          </cell>
        </row>
        <row r="95">
          <cell r="A95" t="str">
            <v>M-61</v>
          </cell>
          <cell r="B95">
            <v>61</v>
          </cell>
          <cell r="C95" t="str">
            <v>CGI Nails</v>
          </cell>
          <cell r="D95" t="str">
            <v>M-61</v>
          </cell>
          <cell r="E95" t="str">
            <v>kg</v>
          </cell>
        </row>
        <row r="96">
          <cell r="A96" t="str">
            <v>M-62</v>
          </cell>
          <cell r="B96">
            <v>62</v>
          </cell>
          <cell r="C96" t="str">
            <v>CGI Sheet 26#</v>
          </cell>
          <cell r="D96" t="str">
            <v>M-62</v>
          </cell>
          <cell r="E96" t="str">
            <v>pc</v>
          </cell>
        </row>
        <row r="97">
          <cell r="A97" t="str">
            <v>M-63</v>
          </cell>
          <cell r="B97">
            <v>63</v>
          </cell>
          <cell r="C97" t="str">
            <v>CGI Plain Sheet 26#</v>
          </cell>
          <cell r="D97" t="str">
            <v>M-63</v>
          </cell>
          <cell r="E97" t="str">
            <v>pc</v>
          </cell>
        </row>
        <row r="98">
          <cell r="A98" t="str">
            <v>M-64</v>
          </cell>
          <cell r="B98">
            <v>64</v>
          </cell>
          <cell r="C98" t="str">
            <v>PVC Net</v>
          </cell>
          <cell r="D98" t="str">
            <v>M-64</v>
          </cell>
          <cell r="E98" t="str">
            <v>m</v>
          </cell>
        </row>
        <row r="99">
          <cell r="A99" t="str">
            <v>M-65</v>
          </cell>
          <cell r="B99">
            <v>65</v>
          </cell>
          <cell r="C99" t="str">
            <v>Binding Wire (Galvenized)</v>
          </cell>
          <cell r="D99" t="str">
            <v>M-65</v>
          </cell>
          <cell r="E99" t="str">
            <v>Kg</v>
          </cell>
        </row>
        <row r="100">
          <cell r="A100" t="str">
            <v>M-66</v>
          </cell>
          <cell r="B100">
            <v>66</v>
          </cell>
          <cell r="C100" t="str">
            <v>Metal Cover 22#</v>
          </cell>
          <cell r="D100" t="str">
            <v>M-66</v>
          </cell>
          <cell r="E100" t="str">
            <v>pc</v>
          </cell>
        </row>
        <row r="101">
          <cell r="A101" t="str">
            <v>M-67</v>
          </cell>
          <cell r="B101">
            <v>67</v>
          </cell>
          <cell r="C101" t="str">
            <v>Plastic Tirpal</v>
          </cell>
          <cell r="D101" t="str">
            <v>M-67</v>
          </cell>
          <cell r="E101" t="str">
            <v>pc</v>
          </cell>
        </row>
        <row r="102">
          <cell r="A102" t="str">
            <v>M-68</v>
          </cell>
          <cell r="B102">
            <v>68</v>
          </cell>
          <cell r="C102" t="str">
            <v>Gasket for Flange set</v>
          </cell>
          <cell r="D102" t="str">
            <v>M-68</v>
          </cell>
          <cell r="E102" t="str">
            <v>pc</v>
          </cell>
        </row>
        <row r="103">
          <cell r="B103" t="str">
            <v>B.</v>
          </cell>
          <cell r="C103" t="str">
            <v>Labour</v>
          </cell>
          <cell r="D103">
            <v>1</v>
          </cell>
          <cell r="E103">
            <v>2</v>
          </cell>
        </row>
        <row r="104">
          <cell r="A104" t="str">
            <v>L-1</v>
          </cell>
          <cell r="B104">
            <v>1</v>
          </cell>
          <cell r="C104" t="str">
            <v>Skilled Labour</v>
          </cell>
          <cell r="D104" t="str">
            <v>L-1</v>
          </cell>
          <cell r="E104" t="str">
            <v>md</v>
          </cell>
          <cell r="F104">
            <v>24.51</v>
          </cell>
          <cell r="G104">
            <v>19.93</v>
          </cell>
          <cell r="H104">
            <v>34.92</v>
          </cell>
          <cell r="I104">
            <v>24.51</v>
          </cell>
          <cell r="J104">
            <v>19.93</v>
          </cell>
          <cell r="K104">
            <v>34.92</v>
          </cell>
          <cell r="L104">
            <v>8</v>
          </cell>
          <cell r="M104">
            <v>8</v>
          </cell>
          <cell r="N104">
            <v>8</v>
          </cell>
          <cell r="O104">
            <v>8</v>
          </cell>
          <cell r="P104">
            <v>47.31</v>
          </cell>
          <cell r="Q104">
            <v>47.31</v>
          </cell>
          <cell r="R104">
            <v>8</v>
          </cell>
          <cell r="S104">
            <v>1.63</v>
          </cell>
          <cell r="T104">
            <v>8</v>
          </cell>
          <cell r="U104">
            <v>1.63</v>
          </cell>
          <cell r="V104">
            <v>8</v>
          </cell>
          <cell r="W104">
            <v>1.63</v>
          </cell>
          <cell r="X104">
            <v>8</v>
          </cell>
          <cell r="Y104">
            <v>1.63</v>
          </cell>
          <cell r="Z104">
            <v>12.92</v>
          </cell>
          <cell r="AA104">
            <v>46.14</v>
          </cell>
          <cell r="AB104">
            <v>50.84</v>
          </cell>
          <cell r="AC104">
            <v>63.54</v>
          </cell>
          <cell r="AD104">
            <v>82.94</v>
          </cell>
          <cell r="AE104">
            <v>12.92</v>
          </cell>
          <cell r="AF104">
            <v>46.14</v>
          </cell>
          <cell r="AG104">
            <v>50.84</v>
          </cell>
          <cell r="AH104">
            <v>63.54</v>
          </cell>
          <cell r="AI104">
            <v>82.94</v>
          </cell>
          <cell r="AJ104">
            <v>13.022008939785524</v>
          </cell>
          <cell r="AK104">
            <v>15.743335036141341</v>
          </cell>
          <cell r="AL104">
            <v>19.420881410456708</v>
          </cell>
          <cell r="AM104">
            <v>21.589475695339939</v>
          </cell>
          <cell r="AN104">
            <v>25.056728995334225</v>
          </cell>
          <cell r="AO104">
            <v>26.859657603302875</v>
          </cell>
          <cell r="AP104">
            <v>28.211854059279354</v>
          </cell>
          <cell r="AQ104">
            <v>30.014782667248003</v>
          </cell>
          <cell r="AR104">
            <v>33.397214273617074</v>
          </cell>
          <cell r="AS104">
            <v>35.017310043128425</v>
          </cell>
          <cell r="AT104">
            <v>37.717469658980683</v>
          </cell>
          <cell r="AU104">
            <v>43.140467398070996</v>
          </cell>
          <cell r="AV104">
            <v>45.657794175465966</v>
          </cell>
          <cell r="AW104">
            <v>50.693331272114897</v>
          </cell>
          <cell r="AX104">
            <v>52.849225668695986</v>
          </cell>
          <cell r="AY104">
            <v>3.1</v>
          </cell>
          <cell r="AZ104">
            <v>3.1</v>
          </cell>
          <cell r="BA104">
            <v>3.1</v>
          </cell>
          <cell r="BB104">
            <v>3.1</v>
          </cell>
          <cell r="BE104">
            <v>3.1</v>
          </cell>
          <cell r="BF104">
            <v>3.1</v>
          </cell>
          <cell r="BI104">
            <v>4.6500000000000004</v>
          </cell>
          <cell r="BJ104">
            <v>4.5</v>
          </cell>
          <cell r="BK104">
            <v>2.13</v>
          </cell>
          <cell r="BL104">
            <v>3.16</v>
          </cell>
          <cell r="BM104">
            <v>4.6500000000000004</v>
          </cell>
          <cell r="BN104">
            <v>4.5</v>
          </cell>
          <cell r="BO104">
            <v>2.13</v>
          </cell>
          <cell r="BP104">
            <v>3.16</v>
          </cell>
        </row>
        <row r="105">
          <cell r="A105" t="str">
            <v>L-2</v>
          </cell>
          <cell r="B105">
            <v>2</v>
          </cell>
          <cell r="C105" t="str">
            <v>Unskilled Labour</v>
          </cell>
          <cell r="D105" t="str">
            <v>L-2</v>
          </cell>
          <cell r="E105" t="str">
            <v>md</v>
          </cell>
          <cell r="F105">
            <v>28.94</v>
          </cell>
          <cell r="G105">
            <v>62.46</v>
          </cell>
          <cell r="H105">
            <v>76.430000000000007</v>
          </cell>
          <cell r="I105">
            <v>28.94</v>
          </cell>
          <cell r="J105">
            <v>62.46</v>
          </cell>
          <cell r="K105">
            <v>76.430000000000007</v>
          </cell>
          <cell r="L105">
            <v>31.7</v>
          </cell>
          <cell r="M105">
            <v>31.7</v>
          </cell>
          <cell r="N105">
            <v>31.7</v>
          </cell>
          <cell r="O105">
            <v>31.7</v>
          </cell>
          <cell r="P105">
            <v>57.1</v>
          </cell>
          <cell r="Q105">
            <v>57.1</v>
          </cell>
          <cell r="R105">
            <v>31.7</v>
          </cell>
          <cell r="S105">
            <v>8.61</v>
          </cell>
          <cell r="T105">
            <v>31.7</v>
          </cell>
          <cell r="U105">
            <v>8.61</v>
          </cell>
          <cell r="V105">
            <v>31.7</v>
          </cell>
          <cell r="W105">
            <v>8.61</v>
          </cell>
          <cell r="X105">
            <v>31.7</v>
          </cell>
          <cell r="Y105">
            <v>8.61</v>
          </cell>
          <cell r="Z105">
            <v>38.4</v>
          </cell>
          <cell r="AA105">
            <v>56.02</v>
          </cell>
          <cell r="AB105">
            <v>70.72</v>
          </cell>
          <cell r="AC105">
            <v>102.22</v>
          </cell>
          <cell r="AD105">
            <v>153.82</v>
          </cell>
          <cell r="AE105">
            <v>38.4</v>
          </cell>
          <cell r="AF105">
            <v>56.02</v>
          </cell>
          <cell r="AG105">
            <v>70.72</v>
          </cell>
          <cell r="AH105">
            <v>102.22</v>
          </cell>
          <cell r="AI105">
            <v>153.82</v>
          </cell>
          <cell r="AJ105">
            <v>45.222838606301075</v>
          </cell>
          <cell r="AK105">
            <v>47.527903676056233</v>
          </cell>
          <cell r="AL105">
            <v>56.829953714635394</v>
          </cell>
          <cell r="AM105">
            <v>58.666795815299544</v>
          </cell>
          <cell r="AN105">
            <v>68.60440308254779</v>
          </cell>
          <cell r="AO105">
            <v>70.13149985553126</v>
          </cell>
          <cell r="AP105">
            <v>71.276822435268855</v>
          </cell>
          <cell r="AQ105">
            <v>72.803919208252324</v>
          </cell>
          <cell r="AR105">
            <v>83.847518606865265</v>
          </cell>
          <cell r="AS105">
            <v>85.219742716008369</v>
          </cell>
          <cell r="AT105">
            <v>87.506782897913581</v>
          </cell>
          <cell r="AU105">
            <v>101.29441346118463</v>
          </cell>
          <cell r="AV105">
            <v>103.42658097924948</v>
          </cell>
          <cell r="AW105">
            <v>117.90170940916933</v>
          </cell>
          <cell r="AX105">
            <v>119.72773657712351</v>
          </cell>
          <cell r="AY105">
            <v>15.1</v>
          </cell>
          <cell r="AZ105">
            <v>15.1</v>
          </cell>
          <cell r="BA105">
            <v>15.1</v>
          </cell>
          <cell r="BB105">
            <v>15.1</v>
          </cell>
          <cell r="BE105">
            <v>15.1</v>
          </cell>
          <cell r="BF105">
            <v>15.1</v>
          </cell>
          <cell r="BI105">
            <v>15.36</v>
          </cell>
          <cell r="BJ105">
            <v>14.54</v>
          </cell>
          <cell r="BK105">
            <v>7.5</v>
          </cell>
          <cell r="BL105">
            <v>14.56</v>
          </cell>
          <cell r="BM105">
            <v>15.36</v>
          </cell>
          <cell r="BN105">
            <v>14.54</v>
          </cell>
          <cell r="BO105">
            <v>7.5</v>
          </cell>
          <cell r="BP105">
            <v>14.56</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row r="5">
          <cell r="B5" t="str">
            <v>I-01</v>
          </cell>
          <cell r="C5" t="str">
            <v>Earth Work in Excavation</v>
          </cell>
          <cell r="I5">
            <v>3.9441249999999997</v>
          </cell>
          <cell r="J5" t="str">
            <v>m3</v>
          </cell>
        </row>
        <row r="6">
          <cell r="C6" t="str">
            <v>Dam / Intake</v>
          </cell>
          <cell r="D6">
            <v>1</v>
          </cell>
          <cell r="E6">
            <v>2.4499999999999997</v>
          </cell>
          <cell r="F6">
            <v>1.1000000000000001</v>
          </cell>
          <cell r="G6">
            <v>0.25</v>
          </cell>
          <cell r="H6">
            <v>0.67374999999999996</v>
          </cell>
        </row>
        <row r="7">
          <cell r="C7" t="str">
            <v>Collection Chamber</v>
          </cell>
          <cell r="D7">
            <v>1</v>
          </cell>
          <cell r="E7">
            <v>2.4</v>
          </cell>
          <cell r="F7">
            <v>1.35</v>
          </cell>
          <cell r="G7">
            <v>1.1500000000000001</v>
          </cell>
          <cell r="H7">
            <v>3.7260000000000004</v>
          </cell>
        </row>
        <row r="8">
          <cell r="C8" t="str">
            <v>Deduction</v>
          </cell>
        </row>
        <row r="9">
          <cell r="C9" t="str">
            <v>Front Wall of Dam Intake</v>
          </cell>
          <cell r="D9">
            <v>-1</v>
          </cell>
          <cell r="E9">
            <v>1.35</v>
          </cell>
          <cell r="F9">
            <v>0.35</v>
          </cell>
          <cell r="G9">
            <v>0.25</v>
          </cell>
          <cell r="H9">
            <v>-0.11812499999999999</v>
          </cell>
        </row>
        <row r="10">
          <cell r="C10" t="str">
            <v>At the Bed of Water Chamber</v>
          </cell>
        </row>
        <row r="11">
          <cell r="C11" t="str">
            <v>Rectangular Portion</v>
          </cell>
          <cell r="D11">
            <v>-1</v>
          </cell>
          <cell r="E11">
            <v>1.35</v>
          </cell>
          <cell r="F11">
            <v>1.1000000000000001</v>
          </cell>
          <cell r="G11">
            <v>0.20000000000000009</v>
          </cell>
          <cell r="H11">
            <v>-0.29700000000000015</v>
          </cell>
        </row>
        <row r="12">
          <cell r="C12" t="str">
            <v>Triangular Portion</v>
          </cell>
          <cell r="D12">
            <v>-0.5</v>
          </cell>
          <cell r="E12">
            <v>1.35</v>
          </cell>
          <cell r="F12">
            <v>0.3</v>
          </cell>
          <cell r="G12">
            <v>0.20000000000000009</v>
          </cell>
          <cell r="H12">
            <v>-4.0500000000000022E-2</v>
          </cell>
        </row>
        <row r="14">
          <cell r="B14" t="str">
            <v>I-02</v>
          </cell>
          <cell r="C14" t="str">
            <v>Earth Work in Backfilling</v>
          </cell>
          <cell r="I14">
            <v>0</v>
          </cell>
          <cell r="J14" t="str">
            <v>m3</v>
          </cell>
        </row>
        <row r="18">
          <cell r="B18" t="str">
            <v>I-03</v>
          </cell>
          <cell r="C18" t="str">
            <v>Dry Stone Soling</v>
          </cell>
          <cell r="I18">
            <v>0.48599999999999999</v>
          </cell>
          <cell r="J18" t="str">
            <v>m3</v>
          </cell>
        </row>
        <row r="19">
          <cell r="C19" t="str">
            <v>Foundation</v>
          </cell>
          <cell r="D19">
            <v>1</v>
          </cell>
          <cell r="E19">
            <v>2.4</v>
          </cell>
          <cell r="F19">
            <v>1.35</v>
          </cell>
          <cell r="G19">
            <v>0.15</v>
          </cell>
          <cell r="H19">
            <v>0.48599999999999999</v>
          </cell>
        </row>
        <row r="21">
          <cell r="B21" t="str">
            <v>I-04</v>
          </cell>
          <cell r="C21" t="str">
            <v>P.C.C. (1:2:4)</v>
          </cell>
          <cell r="I21">
            <v>0.72499999999999998</v>
          </cell>
          <cell r="J21" t="str">
            <v>m3</v>
          </cell>
        </row>
        <row r="22">
          <cell r="C22" t="str">
            <v>at Bottom of Dam / Intake</v>
          </cell>
          <cell r="D22">
            <v>1</v>
          </cell>
          <cell r="E22">
            <v>2.4499999999999997</v>
          </cell>
          <cell r="F22">
            <v>1.1000000000000001</v>
          </cell>
          <cell r="G22">
            <v>0.1</v>
          </cell>
          <cell r="H22">
            <v>0.26950000000000002</v>
          </cell>
        </row>
        <row r="23">
          <cell r="C23" t="str">
            <v>Top of Wing Wall</v>
          </cell>
          <cell r="D23">
            <v>2</v>
          </cell>
          <cell r="E23">
            <v>1.5416666666666665</v>
          </cell>
          <cell r="F23">
            <v>0.35</v>
          </cell>
          <cell r="G23">
            <v>0.1</v>
          </cell>
          <cell r="H23">
            <v>0.10791666666666665</v>
          </cell>
        </row>
        <row r="24">
          <cell r="C24" t="str">
            <v>Top of Front Wall of Intake</v>
          </cell>
          <cell r="D24">
            <v>1</v>
          </cell>
          <cell r="E24">
            <v>0.86666666666666647</v>
          </cell>
          <cell r="F24">
            <v>0.35</v>
          </cell>
          <cell r="G24">
            <v>0.1</v>
          </cell>
          <cell r="H24">
            <v>3.0333333333333323E-2</v>
          </cell>
        </row>
        <row r="25">
          <cell r="C25" t="str">
            <v>at the Foundation of CC</v>
          </cell>
          <cell r="D25">
            <v>1</v>
          </cell>
          <cell r="E25">
            <v>2.4</v>
          </cell>
          <cell r="F25">
            <v>1.35</v>
          </cell>
          <cell r="G25">
            <v>0.1</v>
          </cell>
          <cell r="H25">
            <v>0.32400000000000001</v>
          </cell>
        </row>
        <row r="26">
          <cell r="C26" t="str">
            <v>at the Triangular Portion below the overflow</v>
          </cell>
          <cell r="D26">
            <v>0.5</v>
          </cell>
          <cell r="E26">
            <v>1.35</v>
          </cell>
          <cell r="F26">
            <v>0.3</v>
          </cell>
          <cell r="G26">
            <v>0.20000000000000009</v>
          </cell>
          <cell r="H26">
            <v>4.0500000000000022E-2</v>
          </cell>
        </row>
        <row r="27">
          <cell r="C27" t="str">
            <v>Deduction</v>
          </cell>
        </row>
        <row r="28">
          <cell r="C28" t="str">
            <v>RCC projection at dam wall</v>
          </cell>
          <cell r="D28">
            <v>-1</v>
          </cell>
          <cell r="E28">
            <v>1.35</v>
          </cell>
          <cell r="F28">
            <v>0.35</v>
          </cell>
          <cell r="G28">
            <v>0.1</v>
          </cell>
          <cell r="H28">
            <v>-4.725E-2</v>
          </cell>
        </row>
        <row r="30">
          <cell r="B30" t="str">
            <v>I-05</v>
          </cell>
          <cell r="C30" t="str">
            <v>P.C.C. for Pre-cast Slab (1:2:4)</v>
          </cell>
          <cell r="I30">
            <v>0</v>
          </cell>
          <cell r="J30" t="str">
            <v>m3</v>
          </cell>
        </row>
        <row r="34">
          <cell r="B34" t="str">
            <v>I-06</v>
          </cell>
          <cell r="C34" t="str">
            <v>P.C.C. for R.C.C. (1:2:4)</v>
          </cell>
          <cell r="I34">
            <v>0.32400000000000001</v>
          </cell>
          <cell r="J34" t="str">
            <v>m3</v>
          </cell>
        </row>
        <row r="35">
          <cell r="C35" t="str">
            <v>Slab of CC with Manhole Cover</v>
          </cell>
          <cell r="D35">
            <v>1</v>
          </cell>
          <cell r="E35">
            <v>2.4</v>
          </cell>
          <cell r="F35">
            <v>1.35</v>
          </cell>
          <cell r="G35">
            <v>0.1</v>
          </cell>
          <cell r="H35">
            <v>0.32400000000000001</v>
          </cell>
        </row>
        <row r="37">
          <cell r="B37" t="str">
            <v>I-07</v>
          </cell>
          <cell r="C37" t="str">
            <v>Random Rubble Masonry (1:4)</v>
          </cell>
          <cell r="I37">
            <v>1.9417499999999996</v>
          </cell>
          <cell r="J37" t="str">
            <v>m3</v>
          </cell>
        </row>
        <row r="38">
          <cell r="C38" t="str">
            <v>I Dam Intake</v>
          </cell>
        </row>
        <row r="39">
          <cell r="C39" t="str">
            <v>Front Wall</v>
          </cell>
          <cell r="D39">
            <v>1</v>
          </cell>
          <cell r="E39">
            <v>0.86666666666666647</v>
          </cell>
          <cell r="F39">
            <v>0.35</v>
          </cell>
          <cell r="G39">
            <v>0.30000000000000004</v>
          </cell>
          <cell r="H39">
            <v>9.0999999999999984E-2</v>
          </cell>
        </row>
        <row r="40">
          <cell r="C40" t="str">
            <v>Wing Wall</v>
          </cell>
          <cell r="D40">
            <v>2</v>
          </cell>
          <cell r="E40">
            <v>1.5416666666666665</v>
          </cell>
          <cell r="F40">
            <v>0.35</v>
          </cell>
          <cell r="G40">
            <v>0.30000000000000004</v>
          </cell>
          <cell r="H40">
            <v>0.32374999999999998</v>
          </cell>
        </row>
        <row r="41">
          <cell r="C41" t="str">
            <v>ii Collection Chamber</v>
          </cell>
        </row>
        <row r="42">
          <cell r="C42" t="str">
            <v>Long Wall</v>
          </cell>
          <cell r="D42">
            <v>2</v>
          </cell>
          <cell r="E42">
            <v>2.0499999999999998</v>
          </cell>
          <cell r="F42">
            <v>0.3</v>
          </cell>
          <cell r="G42">
            <v>1.05</v>
          </cell>
          <cell r="H42">
            <v>1.2914999999999999</v>
          </cell>
        </row>
        <row r="43">
          <cell r="C43" t="str">
            <v>Short Wall</v>
          </cell>
          <cell r="D43">
            <v>1</v>
          </cell>
          <cell r="E43">
            <v>0.75</v>
          </cell>
          <cell r="F43">
            <v>0.3</v>
          </cell>
          <cell r="G43">
            <v>1.05</v>
          </cell>
          <cell r="H43">
            <v>0.23625000000000002</v>
          </cell>
        </row>
        <row r="44">
          <cell r="C44" t="str">
            <v>Wall below the Dam Front Wall</v>
          </cell>
          <cell r="D44">
            <v>1</v>
          </cell>
          <cell r="E44">
            <v>0.75</v>
          </cell>
          <cell r="F44">
            <v>0.35</v>
          </cell>
          <cell r="G44">
            <v>0.45</v>
          </cell>
          <cell r="H44">
            <v>0.11812500000000001</v>
          </cell>
        </row>
        <row r="45">
          <cell r="C45" t="str">
            <v>Overflow Wall</v>
          </cell>
          <cell r="D45">
            <v>1</v>
          </cell>
          <cell r="E45">
            <v>0.75</v>
          </cell>
          <cell r="F45">
            <v>0.3</v>
          </cell>
          <cell r="G45">
            <v>0.42499999999999999</v>
          </cell>
          <cell r="H45">
            <v>9.5625000000000002E-2</v>
          </cell>
        </row>
        <row r="46">
          <cell r="C46" t="str">
            <v>Deduction</v>
          </cell>
        </row>
        <row r="47">
          <cell r="C47" t="str">
            <v>Dry Wall of Dam Front Wall</v>
          </cell>
          <cell r="D47">
            <v>-1</v>
          </cell>
          <cell r="E47">
            <v>0.5</v>
          </cell>
          <cell r="F47">
            <v>0.35</v>
          </cell>
          <cell r="G47">
            <v>0.30000000000000004</v>
          </cell>
          <cell r="H47">
            <v>-5.2500000000000005E-2</v>
          </cell>
        </row>
        <row r="48">
          <cell r="C48" t="str">
            <v>Rised portion below Water Chamber</v>
          </cell>
          <cell r="D48">
            <v>-2</v>
          </cell>
          <cell r="E48">
            <v>1.35</v>
          </cell>
          <cell r="F48">
            <v>0.3</v>
          </cell>
          <cell r="G48">
            <v>0.20000000000000009</v>
          </cell>
          <cell r="H48">
            <v>-0.16200000000000009</v>
          </cell>
        </row>
        <row r="50">
          <cell r="B50" t="str">
            <v>I-08</v>
          </cell>
          <cell r="C50" t="str">
            <v>Random Rubble Masonry (1:6)</v>
          </cell>
          <cell r="I50">
            <v>0</v>
          </cell>
          <cell r="J50" t="str">
            <v>m3</v>
          </cell>
        </row>
        <row r="54">
          <cell r="B54" t="str">
            <v>I-09</v>
          </cell>
          <cell r="C54" t="str">
            <v>Dry Stone masonry</v>
          </cell>
          <cell r="I54">
            <v>0.57750000000000012</v>
          </cell>
          <cell r="J54" t="str">
            <v>m3</v>
          </cell>
        </row>
        <row r="55">
          <cell r="C55" t="str">
            <v>Inside of Dam Intake</v>
          </cell>
          <cell r="D55">
            <v>1</v>
          </cell>
          <cell r="E55">
            <v>1.75</v>
          </cell>
          <cell r="F55">
            <v>0.75</v>
          </cell>
          <cell r="G55">
            <v>0.4</v>
          </cell>
          <cell r="H55">
            <v>0.52500000000000013</v>
          </cell>
        </row>
        <row r="56">
          <cell r="C56" t="str">
            <v>Outlet Opening at Front Dam Wall</v>
          </cell>
          <cell r="D56">
            <v>1</v>
          </cell>
          <cell r="E56">
            <v>0.5</v>
          </cell>
          <cell r="F56">
            <v>0.35</v>
          </cell>
          <cell r="G56">
            <v>0.30000000000000004</v>
          </cell>
          <cell r="H56">
            <v>5.2500000000000005E-2</v>
          </cell>
        </row>
        <row r="58">
          <cell r="B58" t="str">
            <v>I-10</v>
          </cell>
          <cell r="C58" t="str">
            <v>Form Work for P.C.C.</v>
          </cell>
          <cell r="I58">
            <v>0.75</v>
          </cell>
          <cell r="J58" t="str">
            <v>m2</v>
          </cell>
        </row>
        <row r="59">
          <cell r="C59" t="str">
            <v>at the Collection Chamber</v>
          </cell>
          <cell r="D59">
            <v>1</v>
          </cell>
          <cell r="E59">
            <v>1.75</v>
          </cell>
          <cell r="F59">
            <v>0.75</v>
          </cell>
          <cell r="H59">
            <v>1.3125</v>
          </cell>
        </row>
        <row r="60">
          <cell r="C60" t="str">
            <v>Deduction of Manhole Cover</v>
          </cell>
          <cell r="D60">
            <v>-1</v>
          </cell>
          <cell r="E60">
            <v>0.75</v>
          </cell>
          <cell r="F60">
            <v>0.75</v>
          </cell>
          <cell r="H60">
            <v>-0.5625</v>
          </cell>
        </row>
        <row r="62">
          <cell r="B62" t="str">
            <v>I-11</v>
          </cell>
          <cell r="C62" t="str">
            <v>12.5mm Cement Plaster (1:2)</v>
          </cell>
          <cell r="I62">
            <v>17.606666666666669</v>
          </cell>
          <cell r="J62" t="str">
            <v>m2</v>
          </cell>
        </row>
        <row r="63">
          <cell r="C63" t="str">
            <v>I Dam / Intake</v>
          </cell>
        </row>
        <row r="64">
          <cell r="C64" t="str">
            <v>at the Bottom</v>
          </cell>
          <cell r="D64">
            <v>1</v>
          </cell>
          <cell r="E64">
            <v>1.75</v>
          </cell>
          <cell r="F64">
            <v>0.75</v>
          </cell>
          <cell r="H64">
            <v>1.3125</v>
          </cell>
        </row>
        <row r="65">
          <cell r="C65" t="str">
            <v>Inside Wall</v>
          </cell>
          <cell r="D65">
            <v>1</v>
          </cell>
          <cell r="E65">
            <v>2.7499999999999996</v>
          </cell>
          <cell r="G65">
            <v>0.4</v>
          </cell>
          <cell r="H65">
            <v>1.0999999999999999</v>
          </cell>
        </row>
        <row r="66">
          <cell r="C66" t="str">
            <v>Outside Wall</v>
          </cell>
          <cell r="D66">
            <v>1</v>
          </cell>
          <cell r="E66">
            <v>3.6666666666666665</v>
          </cell>
          <cell r="G66">
            <v>0.4</v>
          </cell>
          <cell r="H66">
            <v>1.4666666666666668</v>
          </cell>
        </row>
        <row r="67">
          <cell r="C67" t="str">
            <v>at the Top of Wall</v>
          </cell>
        </row>
        <row r="68">
          <cell r="C68" t="str">
            <v>Wing Wall</v>
          </cell>
          <cell r="D68">
            <v>2</v>
          </cell>
          <cell r="E68">
            <v>1.5416666666666665</v>
          </cell>
          <cell r="F68">
            <v>0.35</v>
          </cell>
          <cell r="H68">
            <v>1.0791666666666664</v>
          </cell>
        </row>
        <row r="69">
          <cell r="C69" t="str">
            <v>Front Wall</v>
          </cell>
          <cell r="D69">
            <v>1</v>
          </cell>
          <cell r="E69">
            <v>1.2166666666666666</v>
          </cell>
          <cell r="F69">
            <v>0.35</v>
          </cell>
          <cell r="H69">
            <v>0.42583333333333329</v>
          </cell>
        </row>
        <row r="70">
          <cell r="C70" t="str">
            <v>Sides of Outlet Opening of dam Wall</v>
          </cell>
          <cell r="D70">
            <v>2</v>
          </cell>
          <cell r="E70">
            <v>0.35</v>
          </cell>
          <cell r="F70">
            <v>0.4</v>
          </cell>
          <cell r="H70">
            <v>0.27999999999999997</v>
          </cell>
        </row>
        <row r="71">
          <cell r="C71" t="str">
            <v>ii Collection Chamber</v>
          </cell>
        </row>
        <row r="72">
          <cell r="C72" t="str">
            <v>Bottom of Water Chamber</v>
          </cell>
          <cell r="D72">
            <v>1</v>
          </cell>
          <cell r="E72">
            <v>0.75</v>
          </cell>
          <cell r="F72">
            <v>0.75</v>
          </cell>
          <cell r="H72">
            <v>0.5625</v>
          </cell>
        </row>
        <row r="73">
          <cell r="C73" t="str">
            <v>Bottom of Valve Chamber</v>
          </cell>
          <cell r="D73">
            <v>1</v>
          </cell>
          <cell r="E73">
            <v>0.7</v>
          </cell>
          <cell r="F73">
            <v>0.75</v>
          </cell>
          <cell r="H73">
            <v>0.52499999999999991</v>
          </cell>
        </row>
        <row r="74">
          <cell r="C74" t="str">
            <v>Inside Wall of Water Chamber</v>
          </cell>
          <cell r="D74">
            <v>1</v>
          </cell>
          <cell r="E74">
            <v>2.25</v>
          </cell>
          <cell r="G74">
            <v>0.85000000000000009</v>
          </cell>
          <cell r="H74">
            <v>1.9125000000000001</v>
          </cell>
        </row>
        <row r="75">
          <cell r="C75" t="str">
            <v>Inside Wall of Valve Chamber</v>
          </cell>
          <cell r="D75">
            <v>1</v>
          </cell>
          <cell r="E75">
            <v>2.15</v>
          </cell>
          <cell r="G75">
            <v>1.1000000000000001</v>
          </cell>
          <cell r="H75">
            <v>2.3650000000000002</v>
          </cell>
        </row>
        <row r="76">
          <cell r="C76" t="str">
            <v>Overflow Wall - at Inside</v>
          </cell>
          <cell r="D76">
            <v>1</v>
          </cell>
          <cell r="E76">
            <v>0.75</v>
          </cell>
          <cell r="G76">
            <v>0.45</v>
          </cell>
          <cell r="H76">
            <v>0.33750000000000002</v>
          </cell>
        </row>
        <row r="77">
          <cell r="C77" t="str">
            <v>Overflow Wall - at Outside</v>
          </cell>
          <cell r="D77">
            <v>1</v>
          </cell>
          <cell r="E77">
            <v>0.75</v>
          </cell>
          <cell r="G77">
            <v>0.60000000000000009</v>
          </cell>
          <cell r="H77">
            <v>0.45000000000000007</v>
          </cell>
        </row>
        <row r="78">
          <cell r="C78" t="str">
            <v>Top of Overflow Wall</v>
          </cell>
          <cell r="D78">
            <v>1</v>
          </cell>
          <cell r="E78">
            <v>0.75</v>
          </cell>
          <cell r="F78">
            <v>0.3</v>
          </cell>
          <cell r="H78">
            <v>0.22499999999999998</v>
          </cell>
        </row>
        <row r="79">
          <cell r="C79" t="str">
            <v>Wall above the Overflow Wall</v>
          </cell>
          <cell r="D79">
            <v>2</v>
          </cell>
        </row>
        <row r="80">
          <cell r="C80" t="str">
            <v>Celling of Slab</v>
          </cell>
          <cell r="D80">
            <v>1</v>
          </cell>
          <cell r="E80">
            <v>1.75</v>
          </cell>
          <cell r="F80">
            <v>0.75</v>
          </cell>
          <cell r="H80">
            <v>1.3125</v>
          </cell>
        </row>
        <row r="81">
          <cell r="C81" t="str">
            <v>Outside Wall of CC</v>
          </cell>
          <cell r="D81">
            <v>1</v>
          </cell>
          <cell r="E81">
            <v>5.4499999999999993</v>
          </cell>
          <cell r="G81">
            <v>0.3</v>
          </cell>
          <cell r="H81">
            <v>1.6349999999999998</v>
          </cell>
        </row>
        <row r="82">
          <cell r="C82" t="str">
            <v>Top of the CC Slab</v>
          </cell>
          <cell r="D82">
            <v>1</v>
          </cell>
          <cell r="E82">
            <v>2.0499999999999998</v>
          </cell>
          <cell r="F82">
            <v>1.35</v>
          </cell>
          <cell r="H82">
            <v>2.7675000000000001</v>
          </cell>
        </row>
        <row r="83">
          <cell r="C83" t="str">
            <v>Deduction</v>
          </cell>
        </row>
        <row r="84">
          <cell r="C84" t="str">
            <v>Dry Wall portion of Front Dam Wall</v>
          </cell>
          <cell r="D84">
            <v>-1</v>
          </cell>
          <cell r="E84">
            <v>0.5</v>
          </cell>
          <cell r="G84">
            <v>0.30000000000000004</v>
          </cell>
          <cell r="H84">
            <v>-0.15000000000000002</v>
          </cell>
        </row>
        <row r="86">
          <cell r="B86" t="str">
            <v>I-12</v>
          </cell>
          <cell r="C86" t="str">
            <v>12.5mm Cement Plaster (1:3)</v>
          </cell>
          <cell r="I86">
            <v>0</v>
          </cell>
          <cell r="J86" t="str">
            <v>m2</v>
          </cell>
        </row>
        <row r="90">
          <cell r="B90" t="str">
            <v>I-13</v>
          </cell>
          <cell r="C90" t="str">
            <v>12.5mm Cement Plaster (1:4)</v>
          </cell>
          <cell r="I90">
            <v>0</v>
          </cell>
          <cell r="J90" t="str">
            <v>m2</v>
          </cell>
        </row>
        <row r="94">
          <cell r="B94" t="str">
            <v>I-14</v>
          </cell>
          <cell r="C94" t="str">
            <v>Cement Pointing (1:3)</v>
          </cell>
          <cell r="I94">
            <v>4.5724999999999998</v>
          </cell>
          <cell r="J94" t="str">
            <v>m2</v>
          </cell>
        </row>
        <row r="95">
          <cell r="C95" t="str">
            <v>I Dam / Intake</v>
          </cell>
        </row>
        <row r="96">
          <cell r="C96" t="str">
            <v>at the Bottom</v>
          </cell>
          <cell r="D96">
            <v>1</v>
          </cell>
          <cell r="E96">
            <v>1.75</v>
          </cell>
          <cell r="F96">
            <v>0.75</v>
          </cell>
          <cell r="H96">
            <v>1.3125</v>
          </cell>
        </row>
        <row r="97">
          <cell r="C97" t="str">
            <v>Inside Wall</v>
          </cell>
          <cell r="D97">
            <v>1</v>
          </cell>
          <cell r="E97">
            <v>2.7499999999999996</v>
          </cell>
          <cell r="G97">
            <v>0.30000000000000004</v>
          </cell>
          <cell r="H97">
            <v>0.82499999999999996</v>
          </cell>
        </row>
        <row r="98">
          <cell r="C98" t="str">
            <v>Bottom of Dry Wall at Front Dam Wall</v>
          </cell>
          <cell r="D98">
            <v>1</v>
          </cell>
          <cell r="E98">
            <v>0.85</v>
          </cell>
          <cell r="F98">
            <v>0.35</v>
          </cell>
          <cell r="H98">
            <v>0.29749999999999999</v>
          </cell>
        </row>
        <row r="99">
          <cell r="C99" t="str">
            <v>ii Collection Chamber</v>
          </cell>
        </row>
        <row r="100">
          <cell r="C100" t="str">
            <v>Bottom of Water Chamber</v>
          </cell>
          <cell r="D100">
            <v>1</v>
          </cell>
          <cell r="E100">
            <v>0.75</v>
          </cell>
          <cell r="F100">
            <v>0.75</v>
          </cell>
          <cell r="H100">
            <v>0.5625</v>
          </cell>
        </row>
        <row r="101">
          <cell r="C101" t="str">
            <v>Inside Wall of Water Chamber</v>
          </cell>
          <cell r="D101">
            <v>1</v>
          </cell>
          <cell r="E101">
            <v>3</v>
          </cell>
          <cell r="G101">
            <v>0.45</v>
          </cell>
          <cell r="H101">
            <v>1.35</v>
          </cell>
        </row>
        <row r="102">
          <cell r="C102" t="str">
            <v>Top of Overflow Wall</v>
          </cell>
          <cell r="D102">
            <v>1</v>
          </cell>
          <cell r="E102">
            <v>0.75</v>
          </cell>
          <cell r="F102">
            <v>0.3</v>
          </cell>
          <cell r="H102">
            <v>0.22499999999999998</v>
          </cell>
        </row>
        <row r="104">
          <cell r="B104" t="str">
            <v>I-15</v>
          </cell>
          <cell r="C104" t="str">
            <v>3mm Cement Punning</v>
          </cell>
          <cell r="I104">
            <v>4.5724999999999998</v>
          </cell>
          <cell r="J104" t="str">
            <v>m2</v>
          </cell>
        </row>
        <row r="105">
          <cell r="C105" t="str">
            <v>I Dam / Intake</v>
          </cell>
        </row>
        <row r="106">
          <cell r="C106" t="str">
            <v>at the Bottom</v>
          </cell>
          <cell r="D106">
            <v>1</v>
          </cell>
          <cell r="E106">
            <v>1.75</v>
          </cell>
          <cell r="F106">
            <v>0.75</v>
          </cell>
          <cell r="H106">
            <v>1.3125</v>
          </cell>
        </row>
        <row r="107">
          <cell r="C107" t="str">
            <v>Inside Wall</v>
          </cell>
          <cell r="D107">
            <v>1</v>
          </cell>
          <cell r="E107">
            <v>2.7499999999999996</v>
          </cell>
          <cell r="G107">
            <v>0.30000000000000004</v>
          </cell>
          <cell r="H107">
            <v>0.82499999999999996</v>
          </cell>
        </row>
        <row r="108">
          <cell r="C108" t="str">
            <v>Bottom of Dry Wall at Front Dam Wall</v>
          </cell>
          <cell r="D108">
            <v>1</v>
          </cell>
          <cell r="E108">
            <v>0.85</v>
          </cell>
          <cell r="F108">
            <v>0.35</v>
          </cell>
          <cell r="H108">
            <v>0.29749999999999999</v>
          </cell>
        </row>
        <row r="109">
          <cell r="C109" t="str">
            <v>ii Collection Chamber</v>
          </cell>
        </row>
        <row r="110">
          <cell r="C110" t="str">
            <v>Bottom of Water Chamber</v>
          </cell>
          <cell r="D110">
            <v>1</v>
          </cell>
          <cell r="E110">
            <v>0.75</v>
          </cell>
          <cell r="F110">
            <v>0.75</v>
          </cell>
          <cell r="H110">
            <v>0.5625</v>
          </cell>
        </row>
        <row r="111">
          <cell r="C111" t="str">
            <v>Inside Wall of Water Chamber</v>
          </cell>
          <cell r="D111">
            <v>1</v>
          </cell>
          <cell r="E111">
            <v>3</v>
          </cell>
          <cell r="G111">
            <v>0.45</v>
          </cell>
          <cell r="H111">
            <v>1.35</v>
          </cell>
        </row>
        <row r="112">
          <cell r="C112" t="str">
            <v>Top of Overflow Wall</v>
          </cell>
          <cell r="D112">
            <v>1</v>
          </cell>
          <cell r="E112">
            <v>0.75</v>
          </cell>
          <cell r="F112">
            <v>0.3</v>
          </cell>
          <cell r="H112">
            <v>0.22499999999999998</v>
          </cell>
        </row>
        <row r="114">
          <cell r="B114" t="str">
            <v>I-16A</v>
          </cell>
          <cell r="C114" t="str">
            <v>Bar Binding for R.C.C. (10mm bar)</v>
          </cell>
          <cell r="I114">
            <v>14</v>
          </cell>
          <cell r="J114" t="str">
            <v>Kg</v>
          </cell>
        </row>
        <row r="115">
          <cell r="C115" t="str">
            <v>a. Main bar 10 mm dia @ 100 mm c/c</v>
          </cell>
        </row>
        <row r="116">
          <cell r="C116" t="str">
            <v>17 pc. * 1.30 m = 22.10 m * 0.62 kg/m = 13.70 kg Say</v>
          </cell>
          <cell r="H116">
            <v>14</v>
          </cell>
        </row>
        <row r="118">
          <cell r="B118" t="str">
            <v>I-16B</v>
          </cell>
          <cell r="C118" t="str">
            <v>Bar Binding for R.C.C. (6mm bar)</v>
          </cell>
          <cell r="I118">
            <v>4</v>
          </cell>
          <cell r="J118" t="str">
            <v>Kg</v>
          </cell>
        </row>
        <row r="119">
          <cell r="C119" t="str">
            <v xml:space="preserve">b. Distribution bar 6 mm dia @ 150 mm c/c </v>
          </cell>
        </row>
        <row r="120">
          <cell r="C120" t="str">
            <v>4 pc. * 2.35 m = 9.40 m</v>
          </cell>
        </row>
        <row r="121">
          <cell r="C121" t="str">
            <v>6 pc. *1.35 m = 8.10 m</v>
          </cell>
        </row>
        <row r="122">
          <cell r="C122" t="str">
            <v>Total - 17.50 m * 0.22 kg/m = 3.85 kg Say</v>
          </cell>
          <cell r="H122">
            <v>4</v>
          </cell>
        </row>
        <row r="124">
          <cell r="B124" t="str">
            <v>I-17</v>
          </cell>
          <cell r="C124" t="str">
            <v>Bar Binding for Ferro-Cement Works</v>
          </cell>
          <cell r="I124">
            <v>0</v>
          </cell>
          <cell r="J124" t="str">
            <v>m2</v>
          </cell>
        </row>
        <row r="128">
          <cell r="B128" t="str">
            <v>I-18</v>
          </cell>
          <cell r="C128" t="str">
            <v>Formwork for Ferro-Cement Works</v>
          </cell>
          <cell r="I128">
            <v>0</v>
          </cell>
          <cell r="J128" t="str">
            <v>m2</v>
          </cell>
        </row>
        <row r="132">
          <cell r="B132" t="str">
            <v>I-19</v>
          </cell>
          <cell r="C132" t="str">
            <v>Cement Plaster for Ferro-Cement Work (1:3)</v>
          </cell>
          <cell r="I132">
            <v>0</v>
          </cell>
          <cell r="J132" t="str">
            <v>m2</v>
          </cell>
        </row>
        <row r="136">
          <cell r="B136" t="str">
            <v>I-20</v>
          </cell>
          <cell r="C136" t="str">
            <v>Formwork for Precast RCC Work</v>
          </cell>
          <cell r="I136">
            <v>0</v>
          </cell>
          <cell r="J136" t="str">
            <v>m2</v>
          </cell>
        </row>
        <row r="140">
          <cell r="B140" t="str">
            <v>I-21</v>
          </cell>
          <cell r="C140" t="str">
            <v>Cement Painting</v>
          </cell>
          <cell r="I140">
            <v>0</v>
          </cell>
          <cell r="J140" t="str">
            <v>m2</v>
          </cell>
        </row>
        <row r="144">
          <cell r="B144" t="str">
            <v>I-22</v>
          </cell>
          <cell r="C144" t="str">
            <v>Trench digging</v>
          </cell>
          <cell r="I144">
            <v>0</v>
          </cell>
          <cell r="J144" t="str">
            <v>m3</v>
          </cell>
        </row>
        <row r="148">
          <cell r="B148" t="str">
            <v>I-23</v>
          </cell>
          <cell r="C148" t="str">
            <v>Trench backfilling</v>
          </cell>
          <cell r="I148">
            <v>0</v>
          </cell>
          <cell r="J148" t="str">
            <v>m3</v>
          </cell>
        </row>
        <row r="152">
          <cell r="B152" t="str">
            <v>I-24</v>
          </cell>
          <cell r="C152" t="str">
            <v>Gabion Box (2mX1mX1m)</v>
          </cell>
          <cell r="I152">
            <v>1</v>
          </cell>
          <cell r="J152" t="str">
            <v>No</v>
          </cell>
        </row>
        <row r="153">
          <cell r="H153">
            <v>1</v>
          </cell>
        </row>
        <row r="155">
          <cell r="B155" t="str">
            <v>I-25</v>
          </cell>
          <cell r="C155" t="str">
            <v>Gabion Box (3mX1mX1m)</v>
          </cell>
          <cell r="I155">
            <v>1</v>
          </cell>
          <cell r="J155" t="str">
            <v>No</v>
          </cell>
        </row>
        <row r="156">
          <cell r="H156">
            <v>1</v>
          </cell>
        </row>
        <row r="159">
          <cell r="B159" t="str">
            <v>M-16</v>
          </cell>
          <cell r="C159" t="str">
            <v>Angle Pole</v>
          </cell>
          <cell r="J159" t="str">
            <v>pc</v>
          </cell>
        </row>
        <row r="160">
          <cell r="B160" t="str">
            <v>M-17</v>
          </cell>
          <cell r="C160" t="str">
            <v>Angle Pole for Gate</v>
          </cell>
          <cell r="J160" t="str">
            <v>pc</v>
          </cell>
        </row>
        <row r="161">
          <cell r="B161" t="str">
            <v>M-18</v>
          </cell>
          <cell r="C161" t="str">
            <v>Corner Angle Pole</v>
          </cell>
          <cell r="J161" t="str">
            <v>pc</v>
          </cell>
        </row>
        <row r="162">
          <cell r="B162" t="str">
            <v>M-19</v>
          </cell>
          <cell r="C162" t="str">
            <v>Bracing Angle Pole</v>
          </cell>
          <cell r="J162" t="str">
            <v>pc</v>
          </cell>
        </row>
        <row r="163">
          <cell r="B163" t="str">
            <v>M-20</v>
          </cell>
          <cell r="C163" t="str">
            <v>Polythene Sheet</v>
          </cell>
          <cell r="J163" t="str">
            <v>m</v>
          </cell>
        </row>
        <row r="164">
          <cell r="B164" t="str">
            <v>M-21</v>
          </cell>
          <cell r="C164" t="str">
            <v>Barbed Wire</v>
          </cell>
          <cell r="J164" t="str">
            <v>kg</v>
          </cell>
        </row>
        <row r="165">
          <cell r="B165" t="str">
            <v>M-22</v>
          </cell>
          <cell r="C165" t="str">
            <v>Fencing Post</v>
          </cell>
          <cell r="J165" t="str">
            <v>pc</v>
          </cell>
        </row>
        <row r="166">
          <cell r="B166" t="str">
            <v>M-23</v>
          </cell>
          <cell r="C166" t="str">
            <v>Angle Gate</v>
          </cell>
          <cell r="J166" t="str">
            <v>pc</v>
          </cell>
        </row>
        <row r="167">
          <cell r="B167" t="str">
            <v>M-24</v>
          </cell>
          <cell r="C167" t="str">
            <v>4" Hinges</v>
          </cell>
          <cell r="J167" t="str">
            <v>pc</v>
          </cell>
        </row>
        <row r="168">
          <cell r="B168" t="str">
            <v>M-25</v>
          </cell>
          <cell r="C168" t="str">
            <v>10" Aldrop</v>
          </cell>
          <cell r="J168" t="str">
            <v>pc</v>
          </cell>
        </row>
        <row r="169">
          <cell r="B169" t="str">
            <v>M-26</v>
          </cell>
          <cell r="C169" t="str">
            <v>Gate Lock Key</v>
          </cell>
          <cell r="J169" t="str">
            <v>pc</v>
          </cell>
        </row>
        <row r="170">
          <cell r="B170" t="str">
            <v>M-27</v>
          </cell>
          <cell r="C170" t="str">
            <v>Nut with bolt (8mm dia)</v>
          </cell>
          <cell r="J170" t="str">
            <v>pc</v>
          </cell>
        </row>
        <row r="171">
          <cell r="B171" t="str">
            <v>M-28</v>
          </cell>
          <cell r="C171" t="str">
            <v>Screws</v>
          </cell>
          <cell r="J171" t="str">
            <v>pc</v>
          </cell>
        </row>
        <row r="172">
          <cell r="B172" t="str">
            <v>M-29</v>
          </cell>
          <cell r="C172" t="str">
            <v>GI sheet Plain (3'x7')</v>
          </cell>
          <cell r="J172" t="str">
            <v>pc</v>
          </cell>
        </row>
        <row r="173">
          <cell r="B173" t="str">
            <v>M-30</v>
          </cell>
          <cell r="C173" t="str">
            <v>Manhole Cover (Circular)</v>
          </cell>
          <cell r="J173" t="str">
            <v>pc</v>
          </cell>
        </row>
        <row r="174">
          <cell r="B174" t="str">
            <v>M-31</v>
          </cell>
          <cell r="C174" t="str">
            <v>Manhole Cover (Square)</v>
          </cell>
          <cell r="J174" t="str">
            <v>pc</v>
          </cell>
        </row>
        <row r="175">
          <cell r="B175" t="str">
            <v>M-32</v>
          </cell>
          <cell r="C175" t="str">
            <v>Manhole Cover (Rectangle)</v>
          </cell>
          <cell r="J175" t="str">
            <v>pc</v>
          </cell>
        </row>
        <row r="176">
          <cell r="B176" t="str">
            <v>M-33</v>
          </cell>
          <cell r="C176" t="str">
            <v>Small Slab Frame (55x55)</v>
          </cell>
          <cell r="J176" t="str">
            <v>pc</v>
          </cell>
        </row>
        <row r="177">
          <cell r="B177" t="str">
            <v>M-34</v>
          </cell>
          <cell r="C177" t="str">
            <v>Big Slab Frame (75x75)</v>
          </cell>
          <cell r="J177" t="str">
            <v>pc</v>
          </cell>
        </row>
        <row r="178">
          <cell r="B178" t="str">
            <v>M-36</v>
          </cell>
          <cell r="C178" t="str">
            <v>Lime</v>
          </cell>
          <cell r="J178" t="str">
            <v>kg</v>
          </cell>
        </row>
        <row r="179">
          <cell r="B179" t="str">
            <v>M-37</v>
          </cell>
          <cell r="C179" t="str">
            <v>GI Selwage Wire (8g)</v>
          </cell>
          <cell r="J179" t="str">
            <v>kg</v>
          </cell>
        </row>
        <row r="180">
          <cell r="B180" t="str">
            <v>M-38</v>
          </cell>
          <cell r="C180" t="str">
            <v>GI Mesh Wire (10g)</v>
          </cell>
          <cell r="J180" t="str">
            <v>kg</v>
          </cell>
        </row>
        <row r="181">
          <cell r="B181" t="str">
            <v>M-41</v>
          </cell>
          <cell r="C181" t="str">
            <v>Suspension Cable (8mm)</v>
          </cell>
          <cell r="J181" t="str">
            <v>m</v>
          </cell>
        </row>
        <row r="182">
          <cell r="B182" t="str">
            <v>M-42</v>
          </cell>
          <cell r="C182" t="str">
            <v>Suspension Cable (13mm)</v>
          </cell>
          <cell r="J182" t="str">
            <v>m</v>
          </cell>
        </row>
        <row r="183">
          <cell r="B183" t="str">
            <v>M-43</v>
          </cell>
          <cell r="C183" t="str">
            <v>Bulldog Grips (8mm)</v>
          </cell>
          <cell r="J183" t="str">
            <v>pc</v>
          </cell>
        </row>
        <row r="184">
          <cell r="B184" t="str">
            <v>M-44</v>
          </cell>
          <cell r="C184" t="str">
            <v>Bulldog Grips (13mm)</v>
          </cell>
          <cell r="J184" t="str">
            <v>pc</v>
          </cell>
        </row>
        <row r="185">
          <cell r="B185" t="str">
            <v>M-45</v>
          </cell>
          <cell r="C185" t="str">
            <v>PE Tank 200 ltrs.</v>
          </cell>
          <cell r="J185" t="str">
            <v>pc</v>
          </cell>
        </row>
        <row r="186">
          <cell r="B186" t="str">
            <v>M-01</v>
          </cell>
          <cell r="C186" t="str">
            <v>Cement</v>
          </cell>
          <cell r="I186">
            <v>16.638272499999999</v>
          </cell>
          <cell r="J186" t="str">
            <v>bag</v>
          </cell>
        </row>
        <row r="187">
          <cell r="B187" t="str">
            <v>M-02</v>
          </cell>
          <cell r="C187" t="str">
            <v>Sand</v>
          </cell>
          <cell r="I187">
            <v>1.5793075000000001</v>
          </cell>
          <cell r="J187" t="str">
            <v>m3</v>
          </cell>
        </row>
        <row r="188">
          <cell r="B188" t="str">
            <v>M-03</v>
          </cell>
          <cell r="C188" t="str">
            <v>Block Stone</v>
          </cell>
          <cell r="I188">
            <v>8.5052500000000002</v>
          </cell>
          <cell r="J188" t="str">
            <v>m3</v>
          </cell>
        </row>
        <row r="189">
          <cell r="B189" t="str">
            <v>M-04</v>
          </cell>
          <cell r="C189" t="str">
            <v>Bond Stone</v>
          </cell>
          <cell r="I189">
            <v>0.30052499999999999</v>
          </cell>
          <cell r="J189" t="str">
            <v>m3</v>
          </cell>
        </row>
        <row r="190">
          <cell r="B190" t="str">
            <v>M-05</v>
          </cell>
          <cell r="C190" t="str">
            <v>Aggregate (5-10mm)</v>
          </cell>
          <cell r="I190">
            <v>0.12587999999999999</v>
          </cell>
          <cell r="J190" t="str">
            <v>m3</v>
          </cell>
        </row>
        <row r="191">
          <cell r="B191" t="str">
            <v>M-06</v>
          </cell>
          <cell r="C191" t="str">
            <v>Aggregate (10-20mm)</v>
          </cell>
          <cell r="I191">
            <v>0.25175999999999998</v>
          </cell>
          <cell r="J191" t="str">
            <v>m3</v>
          </cell>
        </row>
        <row r="192">
          <cell r="B192" t="str">
            <v>M-07</v>
          </cell>
          <cell r="C192" t="str">
            <v>Aggregate (20-40mm)</v>
          </cell>
          <cell r="I192">
            <v>0.51401000000000008</v>
          </cell>
          <cell r="J192" t="str">
            <v>m3</v>
          </cell>
        </row>
        <row r="193">
          <cell r="B193" t="str">
            <v>M-08</v>
          </cell>
          <cell r="C193" t="str">
            <v>Project Information Board</v>
          </cell>
          <cell r="J193" t="str">
            <v>set</v>
          </cell>
        </row>
        <row r="194">
          <cell r="B194" t="str">
            <v>M-09</v>
          </cell>
          <cell r="C194" t="str">
            <v>Reinforcement ( 6mm)</v>
          </cell>
          <cell r="I194">
            <v>4.2</v>
          </cell>
          <cell r="J194" t="str">
            <v>kg</v>
          </cell>
        </row>
        <row r="195">
          <cell r="B195" t="str">
            <v>M-10</v>
          </cell>
          <cell r="C195" t="str">
            <v>Reinforcement ( 8mm)</v>
          </cell>
          <cell r="J195" t="str">
            <v>kg</v>
          </cell>
        </row>
        <row r="196">
          <cell r="B196" t="str">
            <v>M-11</v>
          </cell>
          <cell r="C196" t="str">
            <v>Reinforcement (10mm)</v>
          </cell>
          <cell r="I196">
            <v>14.700000000000001</v>
          </cell>
          <cell r="J196" t="str">
            <v>kg</v>
          </cell>
        </row>
        <row r="197">
          <cell r="B197" t="str">
            <v>M-12</v>
          </cell>
          <cell r="C197" t="str">
            <v>Binding wire</v>
          </cell>
          <cell r="I197">
            <v>0.18000000000000002</v>
          </cell>
          <cell r="J197" t="str">
            <v>kg</v>
          </cell>
        </row>
        <row r="198">
          <cell r="B198" t="str">
            <v>M-13</v>
          </cell>
          <cell r="C198" t="str">
            <v>Plain wire (3.5 mm dia)</v>
          </cell>
          <cell r="I198">
            <v>0</v>
          </cell>
          <cell r="J198" t="str">
            <v>kg</v>
          </cell>
        </row>
        <row r="199">
          <cell r="B199" t="str">
            <v>M-14</v>
          </cell>
          <cell r="C199" t="str">
            <v>Chicken wire mesh (3 Ft wide)</v>
          </cell>
          <cell r="I199">
            <v>0</v>
          </cell>
          <cell r="J199" t="str">
            <v>m</v>
          </cell>
        </row>
        <row r="200">
          <cell r="B200" t="str">
            <v>M-15</v>
          </cell>
          <cell r="C200" t="str">
            <v>Bamboo</v>
          </cell>
          <cell r="I200">
            <v>0</v>
          </cell>
          <cell r="J200" t="str">
            <v>pc</v>
          </cell>
        </row>
        <row r="201">
          <cell r="B201" t="str">
            <v>M-35</v>
          </cell>
          <cell r="C201" t="str">
            <v>Cement Paint</v>
          </cell>
          <cell r="I201">
            <v>0</v>
          </cell>
          <cell r="J201" t="str">
            <v>kg</v>
          </cell>
        </row>
        <row r="202">
          <cell r="B202" t="str">
            <v>M-39</v>
          </cell>
          <cell r="C202" t="str">
            <v>Wood for Formwork</v>
          </cell>
          <cell r="I202">
            <v>0.18975</v>
          </cell>
          <cell r="J202" t="str">
            <v>m3</v>
          </cell>
        </row>
        <row r="203">
          <cell r="B203" t="str">
            <v>M-40</v>
          </cell>
          <cell r="C203" t="str">
            <v>Nails</v>
          </cell>
          <cell r="I203">
            <v>0.1875</v>
          </cell>
          <cell r="J203" t="str">
            <v>kg</v>
          </cell>
        </row>
        <row r="204">
          <cell r="B204" t="str">
            <v>L-1</v>
          </cell>
          <cell r="C204" t="str">
            <v>Skilled Labour</v>
          </cell>
          <cell r="I204">
            <v>12.285641666666667</v>
          </cell>
          <cell r="J204" t="str">
            <v>md</v>
          </cell>
        </row>
        <row r="205">
          <cell r="B205" t="str">
            <v>L-2</v>
          </cell>
          <cell r="C205" t="str">
            <v>Unskilled Labour</v>
          </cell>
          <cell r="I205">
            <v>37.041025416666663</v>
          </cell>
          <cell r="J205" t="str">
            <v>md</v>
          </cell>
        </row>
        <row r="206">
          <cell r="C206" t="str">
            <v>FITTINGS</v>
          </cell>
        </row>
        <row r="207">
          <cell r="C207" t="str">
            <v>Outlet Pipe Dia</v>
          </cell>
          <cell r="D207">
            <v>15</v>
          </cell>
        </row>
        <row r="208">
          <cell r="C208" t="str">
            <v>Washout Pipe Dia</v>
          </cell>
          <cell r="D208">
            <v>50</v>
          </cell>
        </row>
        <row r="209">
          <cell r="B209" t="str">
            <v>HET-25</v>
          </cell>
          <cell r="C209" t="str">
            <v>HDPE Equal Tee (25mm)</v>
          </cell>
          <cell r="I209">
            <v>0.7</v>
          </cell>
          <cell r="J209" t="str">
            <v>pc</v>
          </cell>
        </row>
        <row r="210">
          <cell r="B210" t="str">
            <v>GPM-15</v>
          </cell>
          <cell r="C210" t="str">
            <v>G.I. Pipe (1/2") - MC</v>
          </cell>
          <cell r="I210">
            <v>0.55000000000000004</v>
          </cell>
          <cell r="J210" t="str">
            <v>m</v>
          </cell>
        </row>
        <row r="211">
          <cell r="B211" t="str">
            <v>GEL-15</v>
          </cell>
          <cell r="C211" t="str">
            <v xml:space="preserve">G.I. Elbow (1/2") </v>
          </cell>
          <cell r="I211">
            <v>1</v>
          </cell>
          <cell r="J211" t="str">
            <v>pc</v>
          </cell>
        </row>
        <row r="212">
          <cell r="B212" t="str">
            <v>GSO-15</v>
          </cell>
          <cell r="C212" t="str">
            <v>G.I. Socket (1/2")</v>
          </cell>
          <cell r="I212">
            <v>1</v>
          </cell>
          <cell r="J212" t="str">
            <v>pc</v>
          </cell>
        </row>
        <row r="213">
          <cell r="B213" t="str">
            <v>BT400-15</v>
          </cell>
          <cell r="C213" t="str">
            <v>Brass Tap ( 400g )</v>
          </cell>
          <cell r="I213">
            <v>1</v>
          </cell>
          <cell r="J213" t="str">
            <v>pc</v>
          </cell>
        </row>
        <row r="214">
          <cell r="B214" t="str">
            <v>BU-20</v>
          </cell>
          <cell r="C214" t="str">
            <v>Brass Union  (20mm x 1/2")</v>
          </cell>
          <cell r="I214">
            <v>2</v>
          </cell>
          <cell r="J214" t="str">
            <v>pc</v>
          </cell>
        </row>
        <row r="215">
          <cell r="B215" t="str">
            <v>BRT-15</v>
          </cell>
          <cell r="C215" t="str">
            <v>Regulating Tee (1/2")</v>
          </cell>
          <cell r="I215">
            <v>2</v>
          </cell>
          <cell r="J215" t="str">
            <v>pc</v>
          </cell>
        </row>
        <row r="218">
          <cell r="B218" t="str">
            <v>I-01</v>
          </cell>
          <cell r="C218" t="str">
            <v>Earth Work in Excavation</v>
          </cell>
          <cell r="I218" t="e">
            <v>#DIV/0!</v>
          </cell>
          <cell r="J218" t="str">
            <v>m3</v>
          </cell>
        </row>
        <row r="219">
          <cell r="C219" t="str">
            <v>Dam / Intake</v>
          </cell>
          <cell r="D219">
            <v>1</v>
          </cell>
          <cell r="E219" t="e">
            <v>#DIV/0!</v>
          </cell>
          <cell r="F219">
            <v>0.35</v>
          </cell>
          <cell r="G219">
            <v>0.25</v>
          </cell>
          <cell r="H219" t="e">
            <v>#DIV/0!</v>
          </cell>
        </row>
        <row r="220">
          <cell r="C220" t="str">
            <v>Collection Chamber</v>
          </cell>
          <cell r="D220">
            <v>1</v>
          </cell>
          <cell r="E220">
            <v>2.4</v>
          </cell>
          <cell r="F220">
            <v>1.35</v>
          </cell>
          <cell r="G220">
            <v>1.1500000000000001</v>
          </cell>
          <cell r="H220">
            <v>3.7260000000000004</v>
          </cell>
        </row>
        <row r="221">
          <cell r="C221" t="str">
            <v>Deduction</v>
          </cell>
        </row>
        <row r="222">
          <cell r="C222" t="str">
            <v>Front Wall of Dam Intake</v>
          </cell>
          <cell r="D222">
            <v>-1</v>
          </cell>
          <cell r="E222">
            <v>1.35</v>
          </cell>
          <cell r="F222">
            <v>0.35</v>
          </cell>
          <cell r="G222">
            <v>0.25</v>
          </cell>
          <cell r="H222">
            <v>-0.11812499999999999</v>
          </cell>
        </row>
        <row r="223">
          <cell r="C223" t="str">
            <v>At the Bed of Water Chamber</v>
          </cell>
        </row>
        <row r="224">
          <cell r="C224" t="str">
            <v>Rectangular Portion</v>
          </cell>
          <cell r="D224">
            <v>-1</v>
          </cell>
          <cell r="E224">
            <v>1.35</v>
          </cell>
          <cell r="F224">
            <v>1.1000000000000001</v>
          </cell>
          <cell r="G224">
            <v>0.20000000000000009</v>
          </cell>
          <cell r="H224">
            <v>-0.29700000000000015</v>
          </cell>
        </row>
        <row r="225">
          <cell r="C225" t="str">
            <v>Triangular Portion</v>
          </cell>
          <cell r="D225">
            <v>-0.5</v>
          </cell>
          <cell r="E225">
            <v>1.35</v>
          </cell>
          <cell r="F225">
            <v>0.3</v>
          </cell>
          <cell r="G225">
            <v>0.20000000000000009</v>
          </cell>
          <cell r="H225">
            <v>-4.0500000000000022E-2</v>
          </cell>
        </row>
        <row r="227">
          <cell r="B227" t="str">
            <v>I-02</v>
          </cell>
          <cell r="C227" t="str">
            <v>Earth Work in Backfilling</v>
          </cell>
          <cell r="I227">
            <v>0</v>
          </cell>
          <cell r="J227" t="str">
            <v>m3</v>
          </cell>
        </row>
        <row r="231">
          <cell r="B231" t="str">
            <v>I-03</v>
          </cell>
          <cell r="C231" t="str">
            <v>Dry Stone Soling</v>
          </cell>
          <cell r="I231">
            <v>0.48599999999999999</v>
          </cell>
          <cell r="J231" t="str">
            <v>m3</v>
          </cell>
        </row>
        <row r="232">
          <cell r="C232" t="str">
            <v>Foundation</v>
          </cell>
          <cell r="D232">
            <v>1</v>
          </cell>
          <cell r="E232">
            <v>2.4</v>
          </cell>
          <cell r="F232">
            <v>1.35</v>
          </cell>
          <cell r="G232">
            <v>0.15</v>
          </cell>
          <cell r="H232">
            <v>0.48599999999999999</v>
          </cell>
        </row>
        <row r="234">
          <cell r="B234" t="str">
            <v>I-04</v>
          </cell>
          <cell r="C234" t="str">
            <v>P.C.C. (1:2:4)</v>
          </cell>
          <cell r="I234" t="e">
            <v>#DIV/0!</v>
          </cell>
          <cell r="J234" t="str">
            <v>m3</v>
          </cell>
        </row>
        <row r="235">
          <cell r="C235" t="str">
            <v>at Bottom of Dam / Intake</v>
          </cell>
          <cell r="D235">
            <v>1</v>
          </cell>
          <cell r="E235" t="e">
            <v>#DIV/0!</v>
          </cell>
          <cell r="F235">
            <v>0.35</v>
          </cell>
          <cell r="G235">
            <v>0.1</v>
          </cell>
          <cell r="H235" t="e">
            <v>#DIV/0!</v>
          </cell>
        </row>
        <row r="236">
          <cell r="C236" t="str">
            <v>Top of Wing Wall</v>
          </cell>
          <cell r="D236">
            <v>2</v>
          </cell>
          <cell r="E236" t="e">
            <v>#DIV/0!</v>
          </cell>
          <cell r="F236">
            <v>0.35</v>
          </cell>
          <cell r="G236">
            <v>0.1</v>
          </cell>
          <cell r="H236" t="e">
            <v>#DIV/0!</v>
          </cell>
        </row>
        <row r="237">
          <cell r="C237" t="str">
            <v>Top of Front Wall of Intake</v>
          </cell>
          <cell r="D237">
            <v>1</v>
          </cell>
          <cell r="E237" t="e">
            <v>#DIV/0!</v>
          </cell>
          <cell r="F237">
            <v>0.35</v>
          </cell>
          <cell r="G237">
            <v>0.1</v>
          </cell>
          <cell r="H237" t="e">
            <v>#DIV/0!</v>
          </cell>
        </row>
        <row r="238">
          <cell r="C238" t="str">
            <v>at the Foundation of CC</v>
          </cell>
          <cell r="D238">
            <v>1</v>
          </cell>
          <cell r="E238">
            <v>2.4</v>
          </cell>
          <cell r="F238">
            <v>1.35</v>
          </cell>
          <cell r="G238">
            <v>0.1</v>
          </cell>
          <cell r="H238">
            <v>0.32400000000000001</v>
          </cell>
        </row>
        <row r="239">
          <cell r="C239" t="str">
            <v>at the Triangular Portion below the overflow</v>
          </cell>
          <cell r="D239">
            <v>0.5</v>
          </cell>
          <cell r="E239">
            <v>1.35</v>
          </cell>
          <cell r="F239">
            <v>0.3</v>
          </cell>
          <cell r="G239">
            <v>0.20000000000000009</v>
          </cell>
          <cell r="H239">
            <v>4.0500000000000022E-2</v>
          </cell>
        </row>
        <row r="240">
          <cell r="C240" t="str">
            <v>Deduction</v>
          </cell>
        </row>
        <row r="241">
          <cell r="C241" t="str">
            <v>RCC projection at dam wall</v>
          </cell>
          <cell r="D241">
            <v>-1</v>
          </cell>
          <cell r="E241">
            <v>1.35</v>
          </cell>
          <cell r="F241">
            <v>0.35</v>
          </cell>
          <cell r="G241">
            <v>0.1</v>
          </cell>
          <cell r="H241">
            <v>-4.725E-2</v>
          </cell>
        </row>
        <row r="243">
          <cell r="B243" t="str">
            <v>I-05</v>
          </cell>
          <cell r="C243" t="str">
            <v>P.C.C. for Pre-cast Slab (1:2:4)</v>
          </cell>
          <cell r="I243">
            <v>0</v>
          </cell>
          <cell r="J243" t="str">
            <v>m3</v>
          </cell>
        </row>
        <row r="247">
          <cell r="B247" t="str">
            <v>I-06</v>
          </cell>
          <cell r="C247" t="str">
            <v>P.C.C. for R.C.C. (1:2:4)</v>
          </cell>
          <cell r="I247">
            <v>0.32400000000000001</v>
          </cell>
          <cell r="J247" t="str">
            <v>m3</v>
          </cell>
        </row>
        <row r="248">
          <cell r="C248" t="str">
            <v>Slab of CC with Manhole Cover</v>
          </cell>
          <cell r="D248">
            <v>1</v>
          </cell>
          <cell r="E248">
            <v>2.4</v>
          </cell>
          <cell r="F248">
            <v>1.35</v>
          </cell>
          <cell r="G248">
            <v>0.1</v>
          </cell>
          <cell r="H248">
            <v>0.32400000000000001</v>
          </cell>
        </row>
        <row r="250">
          <cell r="B250" t="str">
            <v>I-07</v>
          </cell>
          <cell r="C250" t="str">
            <v>Random Rubble Masonry (1:4)</v>
          </cell>
          <cell r="I250" t="e">
            <v>#DIV/0!</v>
          </cell>
          <cell r="J250" t="str">
            <v>m3</v>
          </cell>
        </row>
        <row r="251">
          <cell r="C251" t="str">
            <v>I Dam Intake</v>
          </cell>
        </row>
        <row r="252">
          <cell r="C252" t="str">
            <v>Front Wall</v>
          </cell>
          <cell r="D252">
            <v>1</v>
          </cell>
          <cell r="E252" t="e">
            <v>#DIV/0!</v>
          </cell>
          <cell r="F252">
            <v>0.35</v>
          </cell>
          <cell r="G252">
            <v>0.30000000000000004</v>
          </cell>
          <cell r="H252" t="e">
            <v>#DIV/0!</v>
          </cell>
        </row>
        <row r="253">
          <cell r="C253" t="str">
            <v>Wing Wall</v>
          </cell>
          <cell r="D253">
            <v>2</v>
          </cell>
          <cell r="E253" t="e">
            <v>#DIV/0!</v>
          </cell>
          <cell r="F253">
            <v>0.35</v>
          </cell>
          <cell r="G253">
            <v>0.30000000000000004</v>
          </cell>
          <cell r="H253" t="e">
            <v>#DIV/0!</v>
          </cell>
        </row>
        <row r="254">
          <cell r="C254" t="str">
            <v>ii Collection Chamber</v>
          </cell>
        </row>
        <row r="255">
          <cell r="C255" t="str">
            <v>Long Wall</v>
          </cell>
          <cell r="D255">
            <v>2</v>
          </cell>
          <cell r="E255">
            <v>2.0499999999999998</v>
          </cell>
          <cell r="F255">
            <v>0.3</v>
          </cell>
          <cell r="G255">
            <v>1.05</v>
          </cell>
          <cell r="H255">
            <v>1.2914999999999999</v>
          </cell>
        </row>
        <row r="256">
          <cell r="C256" t="str">
            <v>Short Wall</v>
          </cell>
          <cell r="D256">
            <v>1</v>
          </cell>
          <cell r="E256">
            <v>0.75</v>
          </cell>
          <cell r="F256">
            <v>0.3</v>
          </cell>
          <cell r="G256">
            <v>1.05</v>
          </cell>
          <cell r="H256">
            <v>0.23625000000000002</v>
          </cell>
        </row>
        <row r="257">
          <cell r="C257" t="str">
            <v>Wall below the Dam Front Wall</v>
          </cell>
          <cell r="D257">
            <v>1</v>
          </cell>
          <cell r="E257">
            <v>0.75</v>
          </cell>
          <cell r="F257">
            <v>0.35</v>
          </cell>
          <cell r="G257">
            <v>0.45</v>
          </cell>
          <cell r="H257">
            <v>0.11812500000000001</v>
          </cell>
        </row>
        <row r="258">
          <cell r="C258" t="str">
            <v>Overflow Wall</v>
          </cell>
          <cell r="D258">
            <v>1</v>
          </cell>
          <cell r="E258">
            <v>0.75</v>
          </cell>
          <cell r="F258">
            <v>0.3</v>
          </cell>
          <cell r="G258">
            <v>0.42499999999999999</v>
          </cell>
          <cell r="H258">
            <v>9.5625000000000002E-2</v>
          </cell>
        </row>
        <row r="259">
          <cell r="C259" t="str">
            <v>Deduction</v>
          </cell>
        </row>
        <row r="260">
          <cell r="C260" t="str">
            <v>Dry Wall of Dam Front Wall</v>
          </cell>
          <cell r="D260">
            <v>-1</v>
          </cell>
          <cell r="E260">
            <v>0.5</v>
          </cell>
          <cell r="F260">
            <v>0.35</v>
          </cell>
          <cell r="G260">
            <v>0.30000000000000004</v>
          </cell>
          <cell r="H260">
            <v>-5.2500000000000005E-2</v>
          </cell>
        </row>
        <row r="261">
          <cell r="C261" t="str">
            <v>Rised portion below Water Chamber</v>
          </cell>
          <cell r="D261">
            <v>-2</v>
          </cell>
          <cell r="E261">
            <v>1.35</v>
          </cell>
          <cell r="F261">
            <v>0.3</v>
          </cell>
          <cell r="G261">
            <v>0.20000000000000009</v>
          </cell>
          <cell r="H261">
            <v>-0.16200000000000009</v>
          </cell>
        </row>
        <row r="263">
          <cell r="B263" t="str">
            <v>I-08</v>
          </cell>
          <cell r="C263" t="str">
            <v>Random Rubble Masonry (1:6)</v>
          </cell>
          <cell r="I263">
            <v>0</v>
          </cell>
          <cell r="J263" t="str">
            <v>m3</v>
          </cell>
        </row>
        <row r="267">
          <cell r="B267" t="str">
            <v>I-09</v>
          </cell>
          <cell r="C267" t="str">
            <v>Dry Stone masonry</v>
          </cell>
          <cell r="I267">
            <v>5.2500000000000005E-2</v>
          </cell>
          <cell r="J267" t="str">
            <v>m3</v>
          </cell>
        </row>
        <row r="268">
          <cell r="C268" t="str">
            <v>Inside of Dam Intake</v>
          </cell>
          <cell r="D268">
            <v>1</v>
          </cell>
          <cell r="E268">
            <v>0</v>
          </cell>
          <cell r="F268">
            <v>0</v>
          </cell>
          <cell r="G268">
            <v>0.4</v>
          </cell>
          <cell r="H268">
            <v>0</v>
          </cell>
        </row>
        <row r="269">
          <cell r="C269" t="str">
            <v>Outlet Opening at Front Dam Wall</v>
          </cell>
          <cell r="D269">
            <v>1</v>
          </cell>
          <cell r="E269">
            <v>0.5</v>
          </cell>
          <cell r="F269">
            <v>0.35</v>
          </cell>
          <cell r="G269">
            <v>0.30000000000000004</v>
          </cell>
          <cell r="H269">
            <v>5.2500000000000005E-2</v>
          </cell>
        </row>
        <row r="271">
          <cell r="B271" t="str">
            <v>I-10</v>
          </cell>
          <cell r="C271" t="str">
            <v>Form Work for P.C.C.</v>
          </cell>
          <cell r="I271">
            <v>0.75</v>
          </cell>
          <cell r="J271" t="str">
            <v>m2</v>
          </cell>
        </row>
        <row r="272">
          <cell r="C272" t="str">
            <v>at the Collection Chamber</v>
          </cell>
          <cell r="D272">
            <v>1</v>
          </cell>
          <cell r="E272">
            <v>1.75</v>
          </cell>
          <cell r="F272">
            <v>0.75</v>
          </cell>
          <cell r="H272">
            <v>1.3125</v>
          </cell>
        </row>
        <row r="273">
          <cell r="C273" t="str">
            <v>Deduction of Manhole Cover</v>
          </cell>
          <cell r="D273">
            <v>-1</v>
          </cell>
          <cell r="E273">
            <v>0.75</v>
          </cell>
          <cell r="F273">
            <v>0.75</v>
          </cell>
          <cell r="H273">
            <v>-0.5625</v>
          </cell>
        </row>
        <row r="275">
          <cell r="B275" t="str">
            <v>I-11</v>
          </cell>
          <cell r="C275" t="str">
            <v>12.5mm Cement Plaster (1:2)</v>
          </cell>
          <cell r="I275" t="e">
            <v>#DIV/0!</v>
          </cell>
          <cell r="J275" t="str">
            <v>m2</v>
          </cell>
        </row>
        <row r="276">
          <cell r="C276" t="str">
            <v>I Dam / Intake</v>
          </cell>
        </row>
        <row r="277">
          <cell r="C277" t="str">
            <v>at the Bottom</v>
          </cell>
          <cell r="D277">
            <v>1</v>
          </cell>
          <cell r="E277">
            <v>0</v>
          </cell>
          <cell r="F277">
            <v>0</v>
          </cell>
          <cell r="H277">
            <v>0</v>
          </cell>
        </row>
        <row r="278">
          <cell r="C278" t="str">
            <v>Inside Wall</v>
          </cell>
          <cell r="D278">
            <v>1</v>
          </cell>
          <cell r="E278" t="e">
            <v>#DIV/0!</v>
          </cell>
          <cell r="G278">
            <v>0.4</v>
          </cell>
          <cell r="H278" t="e">
            <v>#DIV/0!</v>
          </cell>
        </row>
        <row r="279">
          <cell r="C279" t="str">
            <v>Outside Wall</v>
          </cell>
          <cell r="D279">
            <v>1</v>
          </cell>
          <cell r="E279" t="e">
            <v>#DIV/0!</v>
          </cell>
          <cell r="G279">
            <v>0.4</v>
          </cell>
          <cell r="H279" t="e">
            <v>#DIV/0!</v>
          </cell>
        </row>
        <row r="280">
          <cell r="C280" t="str">
            <v>at the Top of Wall</v>
          </cell>
        </row>
        <row r="281">
          <cell r="C281" t="str">
            <v>Wing Wall</v>
          </cell>
          <cell r="D281">
            <v>2</v>
          </cell>
          <cell r="E281" t="e">
            <v>#DIV/0!</v>
          </cell>
          <cell r="F281">
            <v>0.35</v>
          </cell>
          <cell r="H281" t="e">
            <v>#DIV/0!</v>
          </cell>
        </row>
        <row r="282">
          <cell r="C282" t="str">
            <v>Front Wall</v>
          </cell>
          <cell r="D282">
            <v>1</v>
          </cell>
          <cell r="E282" t="e">
            <v>#DIV/0!</v>
          </cell>
          <cell r="F282">
            <v>0.35</v>
          </cell>
          <cell r="H282" t="e">
            <v>#DIV/0!</v>
          </cell>
        </row>
        <row r="283">
          <cell r="C283" t="str">
            <v>Sides of Outlet Opening of dam Wall</v>
          </cell>
          <cell r="D283">
            <v>2</v>
          </cell>
          <cell r="E283">
            <v>0.35</v>
          </cell>
          <cell r="F283">
            <v>0.4</v>
          </cell>
          <cell r="H283">
            <v>0.27999999999999997</v>
          </cell>
        </row>
        <row r="284">
          <cell r="C284" t="str">
            <v>ii Collection Chamber</v>
          </cell>
        </row>
        <row r="285">
          <cell r="C285" t="str">
            <v>Bottom of Water Chamber</v>
          </cell>
          <cell r="D285">
            <v>1</v>
          </cell>
          <cell r="E285">
            <v>0.75</v>
          </cell>
          <cell r="F285">
            <v>0.75</v>
          </cell>
          <cell r="H285">
            <v>0.5625</v>
          </cell>
        </row>
        <row r="286">
          <cell r="C286" t="str">
            <v>Bottom of Valve Chamber</v>
          </cell>
          <cell r="D286">
            <v>1</v>
          </cell>
          <cell r="E286">
            <v>0.7</v>
          </cell>
          <cell r="F286">
            <v>0.75</v>
          </cell>
          <cell r="H286">
            <v>0.52499999999999991</v>
          </cell>
        </row>
        <row r="287">
          <cell r="C287" t="str">
            <v>Inside Wall of Water Chamber</v>
          </cell>
          <cell r="D287">
            <v>1</v>
          </cell>
          <cell r="E287">
            <v>2.25</v>
          </cell>
          <cell r="G287">
            <v>0.85000000000000009</v>
          </cell>
          <cell r="H287">
            <v>1.9125000000000001</v>
          </cell>
        </row>
        <row r="288">
          <cell r="C288" t="str">
            <v>Inside Wall of Valve Chamber</v>
          </cell>
          <cell r="D288">
            <v>1</v>
          </cell>
          <cell r="E288">
            <v>2.15</v>
          </cell>
          <cell r="G288">
            <v>1.1000000000000001</v>
          </cell>
          <cell r="H288">
            <v>2.3650000000000002</v>
          </cell>
        </row>
        <row r="289">
          <cell r="C289" t="str">
            <v>Overflow Wall - at Inside</v>
          </cell>
          <cell r="D289">
            <v>1</v>
          </cell>
          <cell r="E289">
            <v>0.75</v>
          </cell>
          <cell r="G289">
            <v>0.45</v>
          </cell>
          <cell r="H289">
            <v>0.33750000000000002</v>
          </cell>
        </row>
        <row r="290">
          <cell r="C290" t="str">
            <v>Overflow Wall - at Outside</v>
          </cell>
          <cell r="D290">
            <v>1</v>
          </cell>
          <cell r="E290">
            <v>0.75</v>
          </cell>
          <cell r="G290">
            <v>0.60000000000000009</v>
          </cell>
          <cell r="H290">
            <v>0.45000000000000007</v>
          </cell>
        </row>
        <row r="291">
          <cell r="C291" t="str">
            <v>Top of Overflow Wall</v>
          </cell>
          <cell r="D291">
            <v>1</v>
          </cell>
          <cell r="E291">
            <v>0.75</v>
          </cell>
          <cell r="F291">
            <v>0.3</v>
          </cell>
          <cell r="H291">
            <v>0.22499999999999998</v>
          </cell>
        </row>
        <row r="292">
          <cell r="C292" t="str">
            <v>Wall above the Overflow Wall</v>
          </cell>
          <cell r="D292">
            <v>2</v>
          </cell>
        </row>
        <row r="293">
          <cell r="C293" t="str">
            <v>Celling of Slab</v>
          </cell>
          <cell r="D293">
            <v>1</v>
          </cell>
          <cell r="E293">
            <v>1.75</v>
          </cell>
          <cell r="F293">
            <v>0.75</v>
          </cell>
          <cell r="H293">
            <v>1.3125</v>
          </cell>
        </row>
        <row r="294">
          <cell r="C294" t="str">
            <v>Outside Wall of CC</v>
          </cell>
          <cell r="D294">
            <v>1</v>
          </cell>
          <cell r="E294">
            <v>5.4499999999999993</v>
          </cell>
          <cell r="G294">
            <v>0.3</v>
          </cell>
          <cell r="H294">
            <v>1.6349999999999998</v>
          </cell>
        </row>
        <row r="295">
          <cell r="C295" t="str">
            <v>Top of the CC Slab</v>
          </cell>
          <cell r="D295">
            <v>1</v>
          </cell>
          <cell r="E295">
            <v>2.0499999999999998</v>
          </cell>
          <cell r="F295">
            <v>1.35</v>
          </cell>
          <cell r="H295">
            <v>2.7675000000000001</v>
          </cell>
        </row>
        <row r="296">
          <cell r="C296" t="str">
            <v>Deduction</v>
          </cell>
        </row>
        <row r="297">
          <cell r="C297" t="str">
            <v>Dry Wall portion of Front Dam Wall</v>
          </cell>
          <cell r="D297">
            <v>-1</v>
          </cell>
          <cell r="E297">
            <v>0.5</v>
          </cell>
          <cell r="G297">
            <v>0.30000000000000004</v>
          </cell>
          <cell r="H297">
            <v>-0.15000000000000002</v>
          </cell>
        </row>
        <row r="299">
          <cell r="B299" t="str">
            <v>I-12</v>
          </cell>
          <cell r="C299" t="str">
            <v>12.5mm Cement Plaster (1:3)</v>
          </cell>
          <cell r="I299">
            <v>0</v>
          </cell>
          <cell r="J299" t="str">
            <v>m2</v>
          </cell>
        </row>
        <row r="303">
          <cell r="B303" t="str">
            <v>I-13</v>
          </cell>
          <cell r="C303" t="str">
            <v>12.5mm Cement Plaster (1:4)</v>
          </cell>
          <cell r="I303">
            <v>0</v>
          </cell>
          <cell r="J303" t="str">
            <v>m2</v>
          </cell>
        </row>
        <row r="307">
          <cell r="B307" t="str">
            <v>I-14</v>
          </cell>
          <cell r="C307" t="str">
            <v>Cement Pointing (1:3)</v>
          </cell>
          <cell r="I307" t="e">
            <v>#DIV/0!</v>
          </cell>
          <cell r="J307" t="str">
            <v>m2</v>
          </cell>
        </row>
        <row r="308">
          <cell r="C308" t="str">
            <v>I Dam / Intake</v>
          </cell>
        </row>
        <row r="309">
          <cell r="C309" t="str">
            <v>at the Bottom</v>
          </cell>
          <cell r="D309">
            <v>1</v>
          </cell>
          <cell r="E309">
            <v>0</v>
          </cell>
          <cell r="F309">
            <v>0</v>
          </cell>
          <cell r="H309">
            <v>0</v>
          </cell>
        </row>
        <row r="310">
          <cell r="C310" t="str">
            <v>Inside Wall</v>
          </cell>
          <cell r="D310">
            <v>1</v>
          </cell>
          <cell r="E310" t="e">
            <v>#DIV/0!</v>
          </cell>
          <cell r="G310">
            <v>0.30000000000000004</v>
          </cell>
          <cell r="H310" t="e">
            <v>#DIV/0!</v>
          </cell>
        </row>
        <row r="311">
          <cell r="C311" t="str">
            <v>Bottom of Dry Wall at Front Dam Wall</v>
          </cell>
          <cell r="D311">
            <v>1</v>
          </cell>
          <cell r="E311">
            <v>0.1</v>
          </cell>
          <cell r="F311">
            <v>0.35</v>
          </cell>
          <cell r="H311">
            <v>3.4999999999999996E-2</v>
          </cell>
        </row>
        <row r="312">
          <cell r="C312" t="str">
            <v>ii Collection Chamber</v>
          </cell>
        </row>
        <row r="313">
          <cell r="C313" t="str">
            <v>Bottom of Water Chamber</v>
          </cell>
          <cell r="D313">
            <v>1</v>
          </cell>
          <cell r="E313">
            <v>0.75</v>
          </cell>
          <cell r="F313">
            <v>0.75</v>
          </cell>
          <cell r="H313">
            <v>0.5625</v>
          </cell>
        </row>
        <row r="314">
          <cell r="C314" t="str">
            <v>Inside Wall of Water Chamber</v>
          </cell>
          <cell r="D314">
            <v>1</v>
          </cell>
          <cell r="E314">
            <v>3</v>
          </cell>
          <cell r="G314">
            <v>0.45</v>
          </cell>
          <cell r="H314">
            <v>1.35</v>
          </cell>
        </row>
        <row r="315">
          <cell r="C315" t="str">
            <v>Top of Overflow Wall</v>
          </cell>
          <cell r="D315">
            <v>1</v>
          </cell>
          <cell r="E315">
            <v>0.75</v>
          </cell>
          <cell r="F315">
            <v>0.3</v>
          </cell>
          <cell r="H315">
            <v>0.22499999999999998</v>
          </cell>
        </row>
        <row r="317">
          <cell r="B317" t="str">
            <v>I-15</v>
          </cell>
          <cell r="C317" t="str">
            <v>3mm Cement Punning</v>
          </cell>
          <cell r="I317" t="e">
            <v>#DIV/0!</v>
          </cell>
          <cell r="J317" t="str">
            <v>m2</v>
          </cell>
        </row>
        <row r="318">
          <cell r="C318" t="str">
            <v>I Dam / Intake</v>
          </cell>
        </row>
        <row r="319">
          <cell r="C319" t="str">
            <v>at the Bottom</v>
          </cell>
          <cell r="D319">
            <v>1</v>
          </cell>
          <cell r="E319">
            <v>0</v>
          </cell>
          <cell r="F319">
            <v>0</v>
          </cell>
          <cell r="H319">
            <v>0</v>
          </cell>
        </row>
        <row r="320">
          <cell r="C320" t="str">
            <v>Inside Wall</v>
          </cell>
          <cell r="D320">
            <v>1</v>
          </cell>
          <cell r="E320" t="e">
            <v>#DIV/0!</v>
          </cell>
          <cell r="G320">
            <v>0.30000000000000004</v>
          </cell>
          <cell r="H320" t="e">
            <v>#DIV/0!</v>
          </cell>
        </row>
        <row r="321">
          <cell r="C321" t="str">
            <v>Bottom of Dry Wall at Front Dam Wall</v>
          </cell>
          <cell r="D321">
            <v>1</v>
          </cell>
          <cell r="E321">
            <v>0.1</v>
          </cell>
          <cell r="F321">
            <v>0.35</v>
          </cell>
          <cell r="H321">
            <v>3.4999999999999996E-2</v>
          </cell>
        </row>
        <row r="322">
          <cell r="C322" t="str">
            <v>ii Collection Chamber</v>
          </cell>
        </row>
        <row r="323">
          <cell r="C323" t="str">
            <v>Bottom of Water Chamber</v>
          </cell>
          <cell r="D323">
            <v>1</v>
          </cell>
          <cell r="E323">
            <v>0.75</v>
          </cell>
          <cell r="F323">
            <v>0.75</v>
          </cell>
          <cell r="H323">
            <v>0.5625</v>
          </cell>
        </row>
        <row r="324">
          <cell r="C324" t="str">
            <v>Inside Wall of Water Chamber</v>
          </cell>
          <cell r="D324">
            <v>1</v>
          </cell>
          <cell r="E324">
            <v>3</v>
          </cell>
          <cell r="G324">
            <v>0.45</v>
          </cell>
          <cell r="H324">
            <v>1.35</v>
          </cell>
        </row>
        <row r="325">
          <cell r="C325" t="str">
            <v>Top of Overflow Wall</v>
          </cell>
          <cell r="D325">
            <v>1</v>
          </cell>
          <cell r="E325">
            <v>0.75</v>
          </cell>
          <cell r="F325">
            <v>0.3</v>
          </cell>
          <cell r="H325">
            <v>0.22499999999999998</v>
          </cell>
        </row>
        <row r="327">
          <cell r="B327" t="str">
            <v>I-16A</v>
          </cell>
          <cell r="C327" t="str">
            <v>Bar Binding for R.C.C. (10mm bar)</v>
          </cell>
          <cell r="I327">
            <v>14</v>
          </cell>
          <cell r="J327" t="str">
            <v>Kg</v>
          </cell>
        </row>
        <row r="328">
          <cell r="C328" t="str">
            <v>a. Main bar 10 mm dia @ 100 mm c/c</v>
          </cell>
        </row>
        <row r="329">
          <cell r="C329" t="str">
            <v>17 pc. * 1.30 m = 22.10 m * 0.62 kg/m = 13.70 kg Say</v>
          </cell>
          <cell r="H329">
            <v>14</v>
          </cell>
        </row>
        <row r="331">
          <cell r="B331" t="str">
            <v>I-16B</v>
          </cell>
          <cell r="C331" t="str">
            <v>Bar Binding for R.C.C. (6mm bar)</v>
          </cell>
          <cell r="I331">
            <v>4</v>
          </cell>
          <cell r="J331" t="str">
            <v>Kg</v>
          </cell>
        </row>
        <row r="332">
          <cell r="C332" t="str">
            <v xml:space="preserve">b. Distribution bar 6 mm dia @ 150 mm c/c </v>
          </cell>
        </row>
        <row r="333">
          <cell r="C333" t="str">
            <v>4 pc. * 2.35 m = 9.40 m</v>
          </cell>
        </row>
        <row r="334">
          <cell r="C334" t="str">
            <v>6 pc. *1.35 m = 8.10 m</v>
          </cell>
        </row>
        <row r="335">
          <cell r="C335" t="str">
            <v>Total - 17.50 m * 0.22 kg/m = 3.85 kg Say</v>
          </cell>
          <cell r="H335">
            <v>4</v>
          </cell>
        </row>
        <row r="337">
          <cell r="B337" t="str">
            <v>I-17</v>
          </cell>
          <cell r="C337" t="str">
            <v>Bar Binding for Ferro-Cement Works</v>
          </cell>
          <cell r="I337">
            <v>0</v>
          </cell>
          <cell r="J337" t="str">
            <v>m2</v>
          </cell>
        </row>
        <row r="341">
          <cell r="B341" t="str">
            <v>I-18</v>
          </cell>
          <cell r="C341" t="str">
            <v>Formwork for Ferro-Cement Works</v>
          </cell>
          <cell r="I341">
            <v>0</v>
          </cell>
          <cell r="J341" t="str">
            <v>m2</v>
          </cell>
        </row>
        <row r="345">
          <cell r="B345" t="str">
            <v>I-19</v>
          </cell>
          <cell r="C345" t="str">
            <v>Cement Plaster for Ferro-Cement Work (1:3)</v>
          </cell>
          <cell r="I345">
            <v>0</v>
          </cell>
          <cell r="J345" t="str">
            <v>m2</v>
          </cell>
        </row>
        <row r="349">
          <cell r="B349" t="str">
            <v>I-20</v>
          </cell>
          <cell r="C349" t="str">
            <v>Formwork for Precast RCC Work</v>
          </cell>
          <cell r="I349">
            <v>0</v>
          </cell>
          <cell r="J349" t="str">
            <v>m2</v>
          </cell>
        </row>
        <row r="353">
          <cell r="B353" t="str">
            <v>I-21</v>
          </cell>
          <cell r="C353" t="str">
            <v>Cement Painting</v>
          </cell>
          <cell r="I353">
            <v>0</v>
          </cell>
          <cell r="J353" t="str">
            <v>m2</v>
          </cell>
        </row>
        <row r="357">
          <cell r="B357" t="str">
            <v>I-22</v>
          </cell>
          <cell r="C357" t="str">
            <v>Trench digging</v>
          </cell>
          <cell r="I357">
            <v>0</v>
          </cell>
          <cell r="J357" t="str">
            <v>m3</v>
          </cell>
        </row>
        <row r="361">
          <cell r="B361" t="str">
            <v>I-23</v>
          </cell>
          <cell r="C361" t="str">
            <v>Trench backfilling</v>
          </cell>
          <cell r="I361">
            <v>0</v>
          </cell>
          <cell r="J361" t="str">
            <v>m3</v>
          </cell>
        </row>
        <row r="365">
          <cell r="B365" t="str">
            <v>I-24</v>
          </cell>
          <cell r="C365" t="str">
            <v>Gabion Box (2mX1mX1m)</v>
          </cell>
          <cell r="I365">
            <v>0</v>
          </cell>
          <cell r="J365" t="str">
            <v>No</v>
          </cell>
        </row>
        <row r="368">
          <cell r="B368" t="str">
            <v>I-25</v>
          </cell>
          <cell r="C368" t="str">
            <v>Gabion Box (3mX1mX1m)</v>
          </cell>
          <cell r="I368">
            <v>0</v>
          </cell>
          <cell r="J368" t="str">
            <v>No</v>
          </cell>
        </row>
        <row r="372">
          <cell r="B372" t="str">
            <v>M-16</v>
          </cell>
          <cell r="C372" t="str">
            <v>Angle Pole</v>
          </cell>
          <cell r="J372" t="str">
            <v>pc</v>
          </cell>
        </row>
        <row r="373">
          <cell r="B373" t="str">
            <v>M-17</v>
          </cell>
          <cell r="C373" t="str">
            <v>Angle Pole for Gate</v>
          </cell>
          <cell r="J373" t="str">
            <v>pc</v>
          </cell>
        </row>
        <row r="374">
          <cell r="B374" t="str">
            <v>M-18</v>
          </cell>
          <cell r="C374" t="str">
            <v>Corner Angle Pole</v>
          </cell>
          <cell r="J374" t="str">
            <v>pc</v>
          </cell>
        </row>
        <row r="375">
          <cell r="B375" t="str">
            <v>M-19</v>
          </cell>
          <cell r="C375" t="str">
            <v>Bracing Angle Pole</v>
          </cell>
          <cell r="J375" t="str">
            <v>pc</v>
          </cell>
        </row>
        <row r="376">
          <cell r="B376" t="str">
            <v>M-20</v>
          </cell>
          <cell r="C376" t="str">
            <v>Polythene Sheet</v>
          </cell>
          <cell r="J376" t="str">
            <v>m</v>
          </cell>
        </row>
        <row r="377">
          <cell r="B377" t="str">
            <v>M-21</v>
          </cell>
          <cell r="C377" t="str">
            <v>Barbed Wire</v>
          </cell>
          <cell r="J377" t="str">
            <v>kg</v>
          </cell>
        </row>
        <row r="378">
          <cell r="B378" t="str">
            <v>M-22</v>
          </cell>
          <cell r="C378" t="str">
            <v>Fencing Post</v>
          </cell>
          <cell r="J378" t="str">
            <v>pc</v>
          </cell>
        </row>
        <row r="379">
          <cell r="B379" t="str">
            <v>M-23</v>
          </cell>
          <cell r="C379" t="str">
            <v>Angle Gate</v>
          </cell>
          <cell r="J379" t="str">
            <v>pc</v>
          </cell>
        </row>
        <row r="380">
          <cell r="B380" t="str">
            <v>M-24</v>
          </cell>
          <cell r="C380" t="str">
            <v>4" Hinges</v>
          </cell>
          <cell r="J380" t="str">
            <v>pc</v>
          </cell>
        </row>
        <row r="381">
          <cell r="B381" t="str">
            <v>M-25</v>
          </cell>
          <cell r="C381" t="str">
            <v>10" Aldrop</v>
          </cell>
          <cell r="J381" t="str">
            <v>pc</v>
          </cell>
        </row>
        <row r="382">
          <cell r="B382" t="str">
            <v>M-26</v>
          </cell>
          <cell r="C382" t="str">
            <v>Gate Lock Key</v>
          </cell>
          <cell r="J382" t="str">
            <v>pc</v>
          </cell>
        </row>
        <row r="383">
          <cell r="B383" t="str">
            <v>M-27</v>
          </cell>
          <cell r="C383" t="str">
            <v>Nut with bolt (8mm dia)</v>
          </cell>
          <cell r="J383" t="str">
            <v>pc</v>
          </cell>
        </row>
        <row r="384">
          <cell r="B384" t="str">
            <v>M-28</v>
          </cell>
          <cell r="C384" t="str">
            <v>Screws</v>
          </cell>
          <cell r="J384" t="str">
            <v>pc</v>
          </cell>
        </row>
        <row r="385">
          <cell r="B385" t="str">
            <v>M-29</v>
          </cell>
          <cell r="C385" t="str">
            <v>GI sheet Plain (3'x7')</v>
          </cell>
          <cell r="J385" t="str">
            <v>pc</v>
          </cell>
        </row>
        <row r="386">
          <cell r="B386" t="str">
            <v>M-30</v>
          </cell>
          <cell r="C386" t="str">
            <v>Manhole Cover (Circular)</v>
          </cell>
          <cell r="J386" t="str">
            <v>pc</v>
          </cell>
        </row>
        <row r="387">
          <cell r="B387" t="str">
            <v>M-31</v>
          </cell>
          <cell r="C387" t="str">
            <v>Manhole Cover (Square)</v>
          </cell>
          <cell r="J387" t="str">
            <v>pc</v>
          </cell>
        </row>
        <row r="388">
          <cell r="B388" t="str">
            <v>M-32</v>
          </cell>
          <cell r="C388" t="str">
            <v>Manhole Cover (Rectangle)</v>
          </cell>
          <cell r="J388" t="str">
            <v>pc</v>
          </cell>
        </row>
        <row r="389">
          <cell r="B389" t="str">
            <v>M-33</v>
          </cell>
          <cell r="C389" t="str">
            <v>Small Slab Frame (55x55)</v>
          </cell>
          <cell r="J389" t="str">
            <v>pc</v>
          </cell>
        </row>
        <row r="390">
          <cell r="B390" t="str">
            <v>M-34</v>
          </cell>
          <cell r="C390" t="str">
            <v>Big Slab Frame (75x75)</v>
          </cell>
          <cell r="J390" t="str">
            <v>pc</v>
          </cell>
        </row>
        <row r="391">
          <cell r="B391" t="str">
            <v>M-36</v>
          </cell>
          <cell r="C391" t="str">
            <v>Lime</v>
          </cell>
          <cell r="J391" t="str">
            <v>kg</v>
          </cell>
        </row>
        <row r="392">
          <cell r="B392" t="str">
            <v>M-37</v>
          </cell>
          <cell r="C392" t="str">
            <v>GI Selwage Wire (8g)</v>
          </cell>
          <cell r="J392" t="str">
            <v>kg</v>
          </cell>
        </row>
        <row r="393">
          <cell r="B393" t="str">
            <v>M-38</v>
          </cell>
          <cell r="C393" t="str">
            <v>GI Mesh Wire (10g)</v>
          </cell>
          <cell r="J393" t="str">
            <v>kg</v>
          </cell>
        </row>
        <row r="394">
          <cell r="B394" t="str">
            <v>M-41</v>
          </cell>
          <cell r="C394" t="str">
            <v>Suspension Cable (8mm)</v>
          </cell>
          <cell r="J394" t="str">
            <v>m</v>
          </cell>
        </row>
        <row r="395">
          <cell r="B395" t="str">
            <v>M-42</v>
          </cell>
          <cell r="C395" t="str">
            <v>Suspension Cable (13mm)</v>
          </cell>
          <cell r="J395" t="str">
            <v>m</v>
          </cell>
        </row>
        <row r="396">
          <cell r="B396" t="str">
            <v>M-43</v>
          </cell>
          <cell r="C396" t="str">
            <v>Bulldog Grips (8mm)</v>
          </cell>
          <cell r="J396" t="str">
            <v>pc</v>
          </cell>
        </row>
        <row r="397">
          <cell r="B397" t="str">
            <v>M-44</v>
          </cell>
          <cell r="C397" t="str">
            <v>Bulldog Grips (13mm)</v>
          </cell>
          <cell r="J397" t="str">
            <v>pc</v>
          </cell>
        </row>
        <row r="398">
          <cell r="B398" t="str">
            <v>M-45</v>
          </cell>
          <cell r="C398" t="str">
            <v>PE Tank 200 ltrs.</v>
          </cell>
          <cell r="J398" t="str">
            <v>pc</v>
          </cell>
        </row>
        <row r="399">
          <cell r="B399" t="str">
            <v>M-01</v>
          </cell>
          <cell r="C399" t="str">
            <v>Cement</v>
          </cell>
          <cell r="I399" t="e">
            <v>#DIV/0!</v>
          </cell>
          <cell r="J399" t="str">
            <v>bag</v>
          </cell>
        </row>
        <row r="400">
          <cell r="B400" t="str">
            <v>M-02</v>
          </cell>
          <cell r="C400" t="str">
            <v>Sand</v>
          </cell>
          <cell r="I400" t="e">
            <v>#DIV/0!</v>
          </cell>
          <cell r="J400" t="str">
            <v>m3</v>
          </cell>
        </row>
        <row r="401">
          <cell r="B401" t="str">
            <v>M-03</v>
          </cell>
          <cell r="C401" t="str">
            <v>Block Stone</v>
          </cell>
          <cell r="I401" t="e">
            <v>#DIV/0!</v>
          </cell>
          <cell r="J401" t="str">
            <v>m3</v>
          </cell>
        </row>
        <row r="402">
          <cell r="B402" t="str">
            <v>M-04</v>
          </cell>
          <cell r="C402" t="str">
            <v>Bond Stone</v>
          </cell>
          <cell r="I402" t="e">
            <v>#DIV/0!</v>
          </cell>
          <cell r="J402" t="str">
            <v>m3</v>
          </cell>
        </row>
        <row r="403">
          <cell r="B403" t="str">
            <v>M-05</v>
          </cell>
          <cell r="C403" t="str">
            <v>Aggregate (5-10mm)</v>
          </cell>
          <cell r="I403" t="e">
            <v>#DIV/0!</v>
          </cell>
          <cell r="J403" t="str">
            <v>m3</v>
          </cell>
        </row>
        <row r="404">
          <cell r="B404" t="str">
            <v>M-06</v>
          </cell>
          <cell r="C404" t="str">
            <v>Aggregate (10-20mm)</v>
          </cell>
          <cell r="I404" t="e">
            <v>#DIV/0!</v>
          </cell>
          <cell r="J404" t="str">
            <v>m3</v>
          </cell>
        </row>
        <row r="405">
          <cell r="B405" t="str">
            <v>M-07</v>
          </cell>
          <cell r="C405" t="str">
            <v>Aggregate (20-40mm)</v>
          </cell>
          <cell r="I405" t="e">
            <v>#DIV/0!</v>
          </cell>
          <cell r="J405" t="str">
            <v>m3</v>
          </cell>
        </row>
        <row r="406">
          <cell r="B406" t="str">
            <v>M-08</v>
          </cell>
          <cell r="C406" t="str">
            <v>Project Information Board</v>
          </cell>
          <cell r="J406" t="str">
            <v>set</v>
          </cell>
        </row>
        <row r="407">
          <cell r="B407" t="str">
            <v>M-09</v>
          </cell>
          <cell r="C407" t="str">
            <v>Reinforcement ( 6mm)</v>
          </cell>
          <cell r="I407">
            <v>4.2</v>
          </cell>
          <cell r="J407" t="str">
            <v>kg</v>
          </cell>
        </row>
        <row r="408">
          <cell r="B408" t="str">
            <v>M-10</v>
          </cell>
          <cell r="C408" t="str">
            <v>Reinforcement ( 8mm)</v>
          </cell>
          <cell r="J408" t="str">
            <v>kg</v>
          </cell>
        </row>
        <row r="409">
          <cell r="B409" t="str">
            <v>M-11</v>
          </cell>
          <cell r="C409" t="str">
            <v>Reinforcement (10mm)</v>
          </cell>
          <cell r="I409">
            <v>14.700000000000001</v>
          </cell>
          <cell r="J409" t="str">
            <v>kg</v>
          </cell>
        </row>
        <row r="410">
          <cell r="B410" t="str">
            <v>M-12</v>
          </cell>
          <cell r="C410" t="str">
            <v>Binding wire</v>
          </cell>
          <cell r="I410">
            <v>0.18000000000000002</v>
          </cell>
          <cell r="J410" t="str">
            <v>kg</v>
          </cell>
        </row>
        <row r="411">
          <cell r="B411" t="str">
            <v>M-13</v>
          </cell>
          <cell r="C411" t="str">
            <v>Plain wire (3.5 mm dia)</v>
          </cell>
          <cell r="I411">
            <v>0</v>
          </cell>
          <cell r="J411" t="str">
            <v>kg</v>
          </cell>
        </row>
        <row r="412">
          <cell r="B412" t="str">
            <v>M-14</v>
          </cell>
          <cell r="C412" t="str">
            <v>Chicken wire mesh (3 Ft wide)</v>
          </cell>
          <cell r="I412">
            <v>0</v>
          </cell>
          <cell r="J412" t="str">
            <v>m</v>
          </cell>
        </row>
        <row r="413">
          <cell r="B413" t="str">
            <v>M-15</v>
          </cell>
          <cell r="C413" t="str">
            <v>Bamboo</v>
          </cell>
          <cell r="I413">
            <v>0</v>
          </cell>
          <cell r="J413" t="str">
            <v>pc</v>
          </cell>
        </row>
        <row r="414">
          <cell r="B414" t="str">
            <v>M-35</v>
          </cell>
          <cell r="C414" t="str">
            <v>Cement Paint</v>
          </cell>
          <cell r="I414">
            <v>0</v>
          </cell>
          <cell r="J414" t="str">
            <v>kg</v>
          </cell>
        </row>
        <row r="415">
          <cell r="B415" t="str">
            <v>M-39</v>
          </cell>
          <cell r="C415" t="str">
            <v>Wood for Formwork</v>
          </cell>
          <cell r="I415">
            <v>0.18975</v>
          </cell>
          <cell r="J415" t="str">
            <v>m3</v>
          </cell>
        </row>
        <row r="416">
          <cell r="B416" t="str">
            <v>M-40</v>
          </cell>
          <cell r="C416" t="str">
            <v>Nails</v>
          </cell>
          <cell r="I416">
            <v>0.1875</v>
          </cell>
          <cell r="J416" t="str">
            <v>kg</v>
          </cell>
        </row>
        <row r="417">
          <cell r="B417" t="str">
            <v>L-1</v>
          </cell>
          <cell r="C417" t="str">
            <v>Skilled Labour</v>
          </cell>
          <cell r="I417" t="e">
            <v>#DIV/0!</v>
          </cell>
          <cell r="J417" t="str">
            <v>md</v>
          </cell>
        </row>
        <row r="418">
          <cell r="B418" t="str">
            <v>L-2</v>
          </cell>
          <cell r="C418" t="str">
            <v>Unskilled Labour</v>
          </cell>
          <cell r="I418" t="e">
            <v>#DIV/0!</v>
          </cell>
          <cell r="J418" t="str">
            <v>md</v>
          </cell>
        </row>
        <row r="419">
          <cell r="C419" t="str">
            <v>FITTINGS</v>
          </cell>
        </row>
        <row r="420">
          <cell r="C420" t="str">
            <v>Outlet Pipe Dia</v>
          </cell>
          <cell r="D420">
            <v>0</v>
          </cell>
        </row>
        <row r="421">
          <cell r="C421" t="str">
            <v>Washout Pipe Dia</v>
          </cell>
          <cell r="D421">
            <v>0</v>
          </cell>
        </row>
        <row r="422">
          <cell r="B422" t="str">
            <v>HP2.5-75</v>
          </cell>
          <cell r="C422" t="str">
            <v>HDPE Pipe(75mm) - 2.5 kgf/cm2</v>
          </cell>
          <cell r="J422" t="str">
            <v>m</v>
          </cell>
        </row>
        <row r="423">
          <cell r="B423" t="str">
            <v>GPM-15</v>
          </cell>
          <cell r="C423" t="str">
            <v>G.I. Pipe (1/2") - MC</v>
          </cell>
          <cell r="J423" t="str">
            <v>m</v>
          </cell>
        </row>
        <row r="424">
          <cell r="B424" t="str">
            <v>GEL-15</v>
          </cell>
          <cell r="C424" t="str">
            <v xml:space="preserve">G.I. Elbow (1/2") </v>
          </cell>
          <cell r="J424" t="str">
            <v>pc</v>
          </cell>
        </row>
        <row r="425">
          <cell r="B425" t="str">
            <v>GSO-15</v>
          </cell>
          <cell r="C425" t="str">
            <v>G.I. Socket (1/2")</v>
          </cell>
          <cell r="J425" t="str">
            <v>pc</v>
          </cell>
        </row>
        <row r="426">
          <cell r="B426" t="str">
            <v>BT400-15</v>
          </cell>
          <cell r="C426" t="str">
            <v>Brass Tap ( 400g )</v>
          </cell>
          <cell r="J426" t="str">
            <v>pc</v>
          </cell>
        </row>
        <row r="427">
          <cell r="B427" t="str">
            <v>BU-20</v>
          </cell>
          <cell r="C427" t="str">
            <v>Brass Union  (20mm x 1/2")</v>
          </cell>
          <cell r="J427" t="str">
            <v>pc</v>
          </cell>
        </row>
        <row r="428">
          <cell r="B428" t="str">
            <v>BRT-15</v>
          </cell>
          <cell r="C428" t="str">
            <v>Regulating Tee (1/2")</v>
          </cell>
          <cell r="J428" t="str">
            <v>pc</v>
          </cell>
        </row>
        <row r="431">
          <cell r="B431" t="str">
            <v>I-01</v>
          </cell>
          <cell r="C431" t="str">
            <v>Earth Work in Excavation</v>
          </cell>
          <cell r="I431" t="e">
            <v>#DIV/0!</v>
          </cell>
          <cell r="J431" t="str">
            <v>m3</v>
          </cell>
        </row>
        <row r="432">
          <cell r="C432" t="str">
            <v>Dam / Intake</v>
          </cell>
          <cell r="D432">
            <v>1</v>
          </cell>
          <cell r="E432" t="e">
            <v>#DIV/0!</v>
          </cell>
          <cell r="F432">
            <v>0.35</v>
          </cell>
          <cell r="G432">
            <v>0.25</v>
          </cell>
          <cell r="H432" t="e">
            <v>#DIV/0!</v>
          </cell>
        </row>
        <row r="433">
          <cell r="C433" t="str">
            <v>Collection Chamber</v>
          </cell>
          <cell r="D433">
            <v>1</v>
          </cell>
          <cell r="E433">
            <v>2.4</v>
          </cell>
          <cell r="F433">
            <v>1.35</v>
          </cell>
          <cell r="G433">
            <v>1.1500000000000001</v>
          </cell>
          <cell r="H433">
            <v>3.7260000000000004</v>
          </cell>
        </row>
        <row r="434">
          <cell r="C434" t="str">
            <v>Deduction</v>
          </cell>
        </row>
        <row r="435">
          <cell r="C435" t="str">
            <v>Front Wall of Dam Intake</v>
          </cell>
          <cell r="D435">
            <v>-1</v>
          </cell>
          <cell r="E435">
            <v>1.35</v>
          </cell>
          <cell r="F435">
            <v>0.35</v>
          </cell>
          <cell r="G435">
            <v>0.25</v>
          </cell>
          <cell r="H435">
            <v>-0.11812499999999999</v>
          </cell>
        </row>
        <row r="436">
          <cell r="C436" t="str">
            <v>At the Bed of Water Chamber</v>
          </cell>
        </row>
        <row r="437">
          <cell r="C437" t="str">
            <v>Rectangular Portion</v>
          </cell>
          <cell r="D437">
            <v>-1</v>
          </cell>
          <cell r="E437">
            <v>1.35</v>
          </cell>
          <cell r="F437">
            <v>1.1000000000000001</v>
          </cell>
          <cell r="G437">
            <v>0.20000000000000009</v>
          </cell>
          <cell r="H437">
            <v>-0.29700000000000015</v>
          </cell>
        </row>
        <row r="438">
          <cell r="C438" t="str">
            <v>Triangular Portion</v>
          </cell>
          <cell r="D438">
            <v>-0.5</v>
          </cell>
          <cell r="E438">
            <v>1.35</v>
          </cell>
          <cell r="F438">
            <v>0.3</v>
          </cell>
          <cell r="G438">
            <v>0.20000000000000009</v>
          </cell>
          <cell r="H438">
            <v>-4.0500000000000022E-2</v>
          </cell>
        </row>
        <row r="440">
          <cell r="B440" t="str">
            <v>I-02</v>
          </cell>
          <cell r="C440" t="str">
            <v>Earth Work in Backfilling</v>
          </cell>
          <cell r="I440">
            <v>0</v>
          </cell>
          <cell r="J440" t="str">
            <v>m3</v>
          </cell>
        </row>
        <row r="444">
          <cell r="B444" t="str">
            <v>I-03</v>
          </cell>
          <cell r="C444" t="str">
            <v>Dry Stone Soling</v>
          </cell>
          <cell r="I444">
            <v>0.48599999999999999</v>
          </cell>
          <cell r="J444" t="str">
            <v>m3</v>
          </cell>
        </row>
        <row r="445">
          <cell r="C445" t="str">
            <v>Foundation</v>
          </cell>
          <cell r="D445">
            <v>1</v>
          </cell>
          <cell r="E445">
            <v>2.4</v>
          </cell>
          <cell r="F445">
            <v>1.35</v>
          </cell>
          <cell r="G445">
            <v>0.15</v>
          </cell>
          <cell r="H445">
            <v>0.48599999999999999</v>
          </cell>
        </row>
        <row r="447">
          <cell r="B447" t="str">
            <v>I-04</v>
          </cell>
          <cell r="C447" t="str">
            <v>P.C.C. (1:2:4)</v>
          </cell>
          <cell r="I447" t="e">
            <v>#DIV/0!</v>
          </cell>
          <cell r="J447" t="str">
            <v>m3</v>
          </cell>
        </row>
        <row r="448">
          <cell r="C448" t="str">
            <v>at Bottom of Dam / Intake</v>
          </cell>
          <cell r="D448">
            <v>1</v>
          </cell>
          <cell r="E448" t="e">
            <v>#DIV/0!</v>
          </cell>
          <cell r="F448">
            <v>0.35</v>
          </cell>
          <cell r="G448">
            <v>0.1</v>
          </cell>
          <cell r="H448" t="e">
            <v>#DIV/0!</v>
          </cell>
        </row>
        <row r="449">
          <cell r="C449" t="str">
            <v>Top of Wing Wall</v>
          </cell>
          <cell r="D449">
            <v>2</v>
          </cell>
          <cell r="E449" t="e">
            <v>#DIV/0!</v>
          </cell>
          <cell r="F449">
            <v>0.35</v>
          </cell>
          <cell r="G449">
            <v>0.1</v>
          </cell>
          <cell r="H449" t="e">
            <v>#DIV/0!</v>
          </cell>
        </row>
        <row r="450">
          <cell r="C450" t="str">
            <v>Top of Front Wall of Intake</v>
          </cell>
          <cell r="D450">
            <v>1</v>
          </cell>
          <cell r="E450" t="e">
            <v>#DIV/0!</v>
          </cell>
          <cell r="F450">
            <v>0.35</v>
          </cell>
          <cell r="G450">
            <v>0.1</v>
          </cell>
          <cell r="H450" t="e">
            <v>#DIV/0!</v>
          </cell>
        </row>
        <row r="451">
          <cell r="C451" t="str">
            <v>at the Foundation of CC</v>
          </cell>
          <cell r="D451">
            <v>1</v>
          </cell>
          <cell r="E451">
            <v>2.4</v>
          </cell>
          <cell r="F451">
            <v>1.35</v>
          </cell>
          <cell r="G451">
            <v>0.1</v>
          </cell>
          <cell r="H451">
            <v>0.32400000000000001</v>
          </cell>
        </row>
        <row r="452">
          <cell r="C452" t="str">
            <v>at the Triangular Portion below the overflow</v>
          </cell>
          <cell r="D452">
            <v>0.5</v>
          </cell>
          <cell r="E452">
            <v>1.35</v>
          </cell>
          <cell r="F452">
            <v>0.3</v>
          </cell>
          <cell r="G452">
            <v>0.20000000000000009</v>
          </cell>
          <cell r="H452">
            <v>4.0500000000000022E-2</v>
          </cell>
        </row>
        <row r="453">
          <cell r="C453" t="str">
            <v>Deduction</v>
          </cell>
        </row>
        <row r="454">
          <cell r="C454" t="str">
            <v>RCC projection at dam wall</v>
          </cell>
          <cell r="D454">
            <v>-1</v>
          </cell>
          <cell r="E454">
            <v>1.35</v>
          </cell>
          <cell r="F454">
            <v>0.35</v>
          </cell>
          <cell r="G454">
            <v>0.1</v>
          </cell>
          <cell r="H454">
            <v>-4.725E-2</v>
          </cell>
        </row>
        <row r="456">
          <cell r="B456" t="str">
            <v>I-05</v>
          </cell>
          <cell r="C456" t="str">
            <v>P.C.C. for Pre-cast Slab (1:2:4)</v>
          </cell>
          <cell r="I456">
            <v>0</v>
          </cell>
          <cell r="J456" t="str">
            <v>m3</v>
          </cell>
        </row>
        <row r="460">
          <cell r="B460" t="str">
            <v>I-06</v>
          </cell>
          <cell r="C460" t="str">
            <v>P.C.C. for R.C.C. (1:2:4)</v>
          </cell>
          <cell r="I460">
            <v>0.32400000000000001</v>
          </cell>
          <cell r="J460" t="str">
            <v>m3</v>
          </cell>
        </row>
        <row r="461">
          <cell r="C461" t="str">
            <v>Slab of CC with Manhole Cover</v>
          </cell>
          <cell r="D461">
            <v>1</v>
          </cell>
          <cell r="E461">
            <v>2.4</v>
          </cell>
          <cell r="F461">
            <v>1.35</v>
          </cell>
          <cell r="G461">
            <v>0.1</v>
          </cell>
          <cell r="H461">
            <v>0.32400000000000001</v>
          </cell>
        </row>
        <row r="463">
          <cell r="B463" t="str">
            <v>I-07</v>
          </cell>
          <cell r="C463" t="str">
            <v>Random Rubble Masonry (1:4)</v>
          </cell>
          <cell r="I463" t="e">
            <v>#DIV/0!</v>
          </cell>
          <cell r="J463" t="str">
            <v>m3</v>
          </cell>
        </row>
        <row r="464">
          <cell r="C464" t="str">
            <v>I Dam Intake</v>
          </cell>
        </row>
        <row r="465">
          <cell r="C465" t="str">
            <v>Front Wall</v>
          </cell>
          <cell r="D465">
            <v>1</v>
          </cell>
          <cell r="E465" t="e">
            <v>#DIV/0!</v>
          </cell>
          <cell r="F465">
            <v>0.35</v>
          </cell>
          <cell r="G465">
            <v>0.30000000000000004</v>
          </cell>
          <cell r="H465" t="e">
            <v>#DIV/0!</v>
          </cell>
        </row>
        <row r="466">
          <cell r="C466" t="str">
            <v>Wing Wall</v>
          </cell>
          <cell r="D466">
            <v>2</v>
          </cell>
          <cell r="E466" t="e">
            <v>#DIV/0!</v>
          </cell>
          <cell r="F466">
            <v>0.35</v>
          </cell>
          <cell r="G466">
            <v>0.30000000000000004</v>
          </cell>
          <cell r="H466" t="e">
            <v>#DIV/0!</v>
          </cell>
        </row>
        <row r="467">
          <cell r="C467" t="str">
            <v>ii Collection Chamber</v>
          </cell>
        </row>
        <row r="468">
          <cell r="C468" t="str">
            <v>Long Wall</v>
          </cell>
          <cell r="D468">
            <v>2</v>
          </cell>
          <cell r="E468">
            <v>2.0499999999999998</v>
          </cell>
          <cell r="F468">
            <v>0.3</v>
          </cell>
          <cell r="G468">
            <v>1.05</v>
          </cell>
          <cell r="H468">
            <v>1.2914999999999999</v>
          </cell>
        </row>
        <row r="469">
          <cell r="C469" t="str">
            <v>Short Wall</v>
          </cell>
          <cell r="D469">
            <v>1</v>
          </cell>
          <cell r="E469">
            <v>0.75</v>
          </cell>
          <cell r="F469">
            <v>0.3</v>
          </cell>
          <cell r="G469">
            <v>1.05</v>
          </cell>
          <cell r="H469">
            <v>0.23625000000000002</v>
          </cell>
        </row>
        <row r="470">
          <cell r="C470" t="str">
            <v>Wall below the Dam Front Wall</v>
          </cell>
          <cell r="D470">
            <v>1</v>
          </cell>
          <cell r="E470">
            <v>0.75</v>
          </cell>
          <cell r="F470">
            <v>0.35</v>
          </cell>
          <cell r="G470">
            <v>0.45</v>
          </cell>
          <cell r="H470">
            <v>0.11812500000000001</v>
          </cell>
        </row>
        <row r="471">
          <cell r="C471" t="str">
            <v>Overflow Wall</v>
          </cell>
          <cell r="D471">
            <v>1</v>
          </cell>
          <cell r="E471">
            <v>0.75</v>
          </cell>
          <cell r="F471">
            <v>0.3</v>
          </cell>
          <cell r="G471">
            <v>0.42499999999999999</v>
          </cell>
          <cell r="H471">
            <v>9.5625000000000002E-2</v>
          </cell>
        </row>
        <row r="472">
          <cell r="C472" t="str">
            <v>Deduction</v>
          </cell>
        </row>
        <row r="473">
          <cell r="C473" t="str">
            <v>Dry Wall of Dam Front Wall</v>
          </cell>
          <cell r="D473">
            <v>-1</v>
          </cell>
          <cell r="E473">
            <v>0.5</v>
          </cell>
          <cell r="F473">
            <v>0.35</v>
          </cell>
          <cell r="G473">
            <v>0.30000000000000004</v>
          </cell>
          <cell r="H473">
            <v>-5.2500000000000005E-2</v>
          </cell>
        </row>
        <row r="474">
          <cell r="C474" t="str">
            <v>Rised portion below Water Chamber</v>
          </cell>
          <cell r="D474">
            <v>-2</v>
          </cell>
          <cell r="E474">
            <v>1.35</v>
          </cell>
          <cell r="F474">
            <v>0.3</v>
          </cell>
          <cell r="G474">
            <v>0.20000000000000009</v>
          </cell>
          <cell r="H474">
            <v>-0.16200000000000009</v>
          </cell>
        </row>
        <row r="476">
          <cell r="B476" t="str">
            <v>I-08</v>
          </cell>
          <cell r="C476" t="str">
            <v>Random Rubble Masonry (1:6)</v>
          </cell>
          <cell r="I476">
            <v>0</v>
          </cell>
          <cell r="J476" t="str">
            <v>m3</v>
          </cell>
        </row>
        <row r="480">
          <cell r="B480" t="str">
            <v>I-09</v>
          </cell>
          <cell r="C480" t="str">
            <v>Dry Stone masonry</v>
          </cell>
          <cell r="I480">
            <v>5.2500000000000005E-2</v>
          </cell>
          <cell r="J480" t="str">
            <v>m3</v>
          </cell>
        </row>
        <row r="481">
          <cell r="C481" t="str">
            <v>Inside of Dam Intake</v>
          </cell>
          <cell r="D481">
            <v>1</v>
          </cell>
          <cell r="E481">
            <v>0</v>
          </cell>
          <cell r="F481">
            <v>0</v>
          </cell>
          <cell r="G481">
            <v>0.4</v>
          </cell>
          <cell r="H481">
            <v>0</v>
          </cell>
        </row>
        <row r="482">
          <cell r="C482" t="str">
            <v>Outlet Opening at Front Dam Wall</v>
          </cell>
          <cell r="D482">
            <v>1</v>
          </cell>
          <cell r="E482">
            <v>0.5</v>
          </cell>
          <cell r="F482">
            <v>0.35</v>
          </cell>
          <cell r="G482">
            <v>0.30000000000000004</v>
          </cell>
          <cell r="H482">
            <v>5.2500000000000005E-2</v>
          </cell>
        </row>
        <row r="484">
          <cell r="B484" t="str">
            <v>I-10</v>
          </cell>
          <cell r="C484" t="str">
            <v>Form Work for P.C.C.</v>
          </cell>
          <cell r="I484">
            <v>0.75</v>
          </cell>
          <cell r="J484" t="str">
            <v>m2</v>
          </cell>
        </row>
        <row r="485">
          <cell r="C485" t="str">
            <v>at the Collection Chamber</v>
          </cell>
          <cell r="D485">
            <v>1</v>
          </cell>
          <cell r="E485">
            <v>1.75</v>
          </cell>
          <cell r="F485">
            <v>0.75</v>
          </cell>
          <cell r="H485">
            <v>1.3125</v>
          </cell>
        </row>
        <row r="486">
          <cell r="C486" t="str">
            <v>Deduction of Manhole Cover</v>
          </cell>
          <cell r="D486">
            <v>-1</v>
          </cell>
          <cell r="E486">
            <v>0.75</v>
          </cell>
          <cell r="F486">
            <v>0.75</v>
          </cell>
          <cell r="H486">
            <v>-0.5625</v>
          </cell>
        </row>
        <row r="488">
          <cell r="B488" t="str">
            <v>I-11</v>
          </cell>
          <cell r="C488" t="str">
            <v>12.5mm Cement Plaster (1:2)</v>
          </cell>
          <cell r="I488" t="e">
            <v>#DIV/0!</v>
          </cell>
          <cell r="J488" t="str">
            <v>m2</v>
          </cell>
        </row>
        <row r="489">
          <cell r="C489" t="str">
            <v>I Dam / Intake</v>
          </cell>
        </row>
        <row r="490">
          <cell r="C490" t="str">
            <v>at the Bottom</v>
          </cell>
          <cell r="D490">
            <v>1</v>
          </cell>
          <cell r="E490">
            <v>0</v>
          </cell>
          <cell r="F490">
            <v>0</v>
          </cell>
          <cell r="H490">
            <v>0</v>
          </cell>
        </row>
        <row r="491">
          <cell r="C491" t="str">
            <v>Inside Wall</v>
          </cell>
          <cell r="D491">
            <v>1</v>
          </cell>
          <cell r="E491" t="e">
            <v>#DIV/0!</v>
          </cell>
          <cell r="G491">
            <v>0.4</v>
          </cell>
          <cell r="H491" t="e">
            <v>#DIV/0!</v>
          </cell>
        </row>
        <row r="492">
          <cell r="C492" t="str">
            <v>Outside Wall</v>
          </cell>
          <cell r="D492">
            <v>1</v>
          </cell>
          <cell r="E492" t="e">
            <v>#DIV/0!</v>
          </cell>
          <cell r="G492">
            <v>0.4</v>
          </cell>
          <cell r="H492" t="e">
            <v>#DIV/0!</v>
          </cell>
        </row>
        <row r="493">
          <cell r="C493" t="str">
            <v>at the Top of Wall</v>
          </cell>
        </row>
        <row r="494">
          <cell r="C494" t="str">
            <v>Wing Wall</v>
          </cell>
          <cell r="D494">
            <v>2</v>
          </cell>
          <cell r="E494" t="e">
            <v>#DIV/0!</v>
          </cell>
          <cell r="F494">
            <v>0.35</v>
          </cell>
          <cell r="H494" t="e">
            <v>#DIV/0!</v>
          </cell>
        </row>
        <row r="495">
          <cell r="C495" t="str">
            <v>Front Wall</v>
          </cell>
          <cell r="D495">
            <v>1</v>
          </cell>
          <cell r="E495" t="e">
            <v>#DIV/0!</v>
          </cell>
          <cell r="F495">
            <v>0.35</v>
          </cell>
          <cell r="H495" t="e">
            <v>#DIV/0!</v>
          </cell>
        </row>
        <row r="496">
          <cell r="C496" t="str">
            <v>Sides of Outlet Opening of dam Wall</v>
          </cell>
          <cell r="D496">
            <v>2</v>
          </cell>
          <cell r="E496">
            <v>0.35</v>
          </cell>
          <cell r="F496">
            <v>0.4</v>
          </cell>
          <cell r="H496">
            <v>0.27999999999999997</v>
          </cell>
        </row>
        <row r="497">
          <cell r="C497" t="str">
            <v>ii Collection Chamber</v>
          </cell>
        </row>
        <row r="498">
          <cell r="C498" t="str">
            <v>Bottom of Water Chamber</v>
          </cell>
          <cell r="D498">
            <v>1</v>
          </cell>
          <cell r="E498">
            <v>0.75</v>
          </cell>
          <cell r="F498">
            <v>0.75</v>
          </cell>
          <cell r="H498">
            <v>0.5625</v>
          </cell>
        </row>
        <row r="499">
          <cell r="C499" t="str">
            <v>Bottom of Valve Chamber</v>
          </cell>
          <cell r="D499">
            <v>1</v>
          </cell>
          <cell r="E499">
            <v>0.7</v>
          </cell>
          <cell r="F499">
            <v>0.75</v>
          </cell>
          <cell r="H499">
            <v>0.52499999999999991</v>
          </cell>
        </row>
        <row r="500">
          <cell r="C500" t="str">
            <v>Inside Wall of Water Chamber</v>
          </cell>
          <cell r="D500">
            <v>1</v>
          </cell>
          <cell r="E500">
            <v>2.25</v>
          </cell>
          <cell r="G500">
            <v>0.85000000000000009</v>
          </cell>
          <cell r="H500">
            <v>1.9125000000000001</v>
          </cell>
        </row>
        <row r="501">
          <cell r="C501" t="str">
            <v>Inside Wall of Valve Chamber</v>
          </cell>
          <cell r="D501">
            <v>1</v>
          </cell>
          <cell r="E501">
            <v>2.15</v>
          </cell>
          <cell r="G501">
            <v>1.1000000000000001</v>
          </cell>
          <cell r="H501">
            <v>2.3650000000000002</v>
          </cell>
        </row>
        <row r="502">
          <cell r="C502" t="str">
            <v>Overflow Wall - at Inside</v>
          </cell>
          <cell r="D502">
            <v>1</v>
          </cell>
          <cell r="E502">
            <v>0.75</v>
          </cell>
          <cell r="G502">
            <v>0.45</v>
          </cell>
          <cell r="H502">
            <v>0.33750000000000002</v>
          </cell>
        </row>
        <row r="503">
          <cell r="C503" t="str">
            <v>Overflow Wall - at Outside</v>
          </cell>
          <cell r="D503">
            <v>1</v>
          </cell>
          <cell r="E503">
            <v>0.75</v>
          </cell>
          <cell r="G503">
            <v>0.60000000000000009</v>
          </cell>
          <cell r="H503">
            <v>0.45000000000000007</v>
          </cell>
        </row>
        <row r="504">
          <cell r="C504" t="str">
            <v>Top of Overflow Wall</v>
          </cell>
          <cell r="D504">
            <v>1</v>
          </cell>
          <cell r="E504">
            <v>0.75</v>
          </cell>
          <cell r="F504">
            <v>0.3</v>
          </cell>
          <cell r="H504">
            <v>0.22499999999999998</v>
          </cell>
        </row>
        <row r="505">
          <cell r="C505" t="str">
            <v>Wall above the Overflow Wall</v>
          </cell>
          <cell r="D505">
            <v>2</v>
          </cell>
        </row>
        <row r="506">
          <cell r="C506" t="str">
            <v>Celling of Slab</v>
          </cell>
          <cell r="D506">
            <v>1</v>
          </cell>
          <cell r="E506">
            <v>1.75</v>
          </cell>
          <cell r="F506">
            <v>0.75</v>
          </cell>
          <cell r="H506">
            <v>1.3125</v>
          </cell>
        </row>
        <row r="507">
          <cell r="C507" t="str">
            <v>Outside Wall of CC</v>
          </cell>
          <cell r="D507">
            <v>1</v>
          </cell>
          <cell r="E507">
            <v>5.4499999999999993</v>
          </cell>
          <cell r="G507">
            <v>0.3</v>
          </cell>
          <cell r="H507">
            <v>1.6349999999999998</v>
          </cell>
        </row>
        <row r="508">
          <cell r="C508" t="str">
            <v>Top of the CC Slab</v>
          </cell>
          <cell r="D508">
            <v>1</v>
          </cell>
          <cell r="E508">
            <v>2.0499999999999998</v>
          </cell>
          <cell r="F508">
            <v>1.35</v>
          </cell>
          <cell r="H508">
            <v>2.7675000000000001</v>
          </cell>
        </row>
        <row r="509">
          <cell r="C509" t="str">
            <v>Deduction</v>
          </cell>
        </row>
        <row r="510">
          <cell r="C510" t="str">
            <v>Dry Wall portion of Front Dam Wall</v>
          </cell>
          <cell r="D510">
            <v>-1</v>
          </cell>
          <cell r="E510">
            <v>0.5</v>
          </cell>
          <cell r="G510">
            <v>0.30000000000000004</v>
          </cell>
          <cell r="H510">
            <v>-0.15000000000000002</v>
          </cell>
        </row>
        <row r="512">
          <cell r="B512" t="str">
            <v>I-12</v>
          </cell>
          <cell r="C512" t="str">
            <v>12.5mm Cement Plaster (1:3)</v>
          </cell>
          <cell r="I512">
            <v>0</v>
          </cell>
          <cell r="J512" t="str">
            <v>m2</v>
          </cell>
        </row>
        <row r="516">
          <cell r="B516" t="str">
            <v>I-13</v>
          </cell>
          <cell r="C516" t="str">
            <v>12.5mm Cement Plaster (1:4)</v>
          </cell>
          <cell r="I516">
            <v>0</v>
          </cell>
          <cell r="J516" t="str">
            <v>m2</v>
          </cell>
        </row>
        <row r="520">
          <cell r="B520" t="str">
            <v>I-14</v>
          </cell>
          <cell r="C520" t="str">
            <v>Cement Pointing (1:3)</v>
          </cell>
          <cell r="I520" t="e">
            <v>#DIV/0!</v>
          </cell>
          <cell r="J520" t="str">
            <v>m2</v>
          </cell>
        </row>
        <row r="521">
          <cell r="C521" t="str">
            <v>I Dam / Intake</v>
          </cell>
        </row>
        <row r="522">
          <cell r="C522" t="str">
            <v>at the Bottom</v>
          </cell>
          <cell r="D522">
            <v>1</v>
          </cell>
          <cell r="E522">
            <v>0</v>
          </cell>
          <cell r="F522">
            <v>0</v>
          </cell>
          <cell r="H522">
            <v>0</v>
          </cell>
        </row>
        <row r="523">
          <cell r="C523" t="str">
            <v>Inside Wall</v>
          </cell>
          <cell r="D523">
            <v>1</v>
          </cell>
          <cell r="E523" t="e">
            <v>#DIV/0!</v>
          </cell>
          <cell r="G523">
            <v>0.30000000000000004</v>
          </cell>
          <cell r="H523" t="e">
            <v>#DIV/0!</v>
          </cell>
        </row>
        <row r="524">
          <cell r="C524" t="str">
            <v>Bottom of Dry Wall at Front Dam Wall</v>
          </cell>
          <cell r="D524">
            <v>1</v>
          </cell>
          <cell r="E524">
            <v>0.1</v>
          </cell>
          <cell r="F524">
            <v>0.35</v>
          </cell>
          <cell r="H524">
            <v>3.4999999999999996E-2</v>
          </cell>
        </row>
        <row r="525">
          <cell r="C525" t="str">
            <v>ii Collection Chamber</v>
          </cell>
        </row>
        <row r="526">
          <cell r="C526" t="str">
            <v>Bottom of Water Chamber</v>
          </cell>
          <cell r="D526">
            <v>1</v>
          </cell>
          <cell r="E526">
            <v>0.75</v>
          </cell>
          <cell r="F526">
            <v>0.75</v>
          </cell>
          <cell r="H526">
            <v>0.5625</v>
          </cell>
        </row>
        <row r="527">
          <cell r="C527" t="str">
            <v>Inside Wall of Water Chamber</v>
          </cell>
          <cell r="D527">
            <v>1</v>
          </cell>
          <cell r="E527">
            <v>3</v>
          </cell>
          <cell r="G527">
            <v>0.45</v>
          </cell>
          <cell r="H527">
            <v>1.35</v>
          </cell>
        </row>
        <row r="528">
          <cell r="C528" t="str">
            <v>Top of Overflow Wall</v>
          </cell>
          <cell r="D528">
            <v>1</v>
          </cell>
          <cell r="E528">
            <v>0.75</v>
          </cell>
          <cell r="F528">
            <v>0.3</v>
          </cell>
          <cell r="H528">
            <v>0.22499999999999998</v>
          </cell>
        </row>
        <row r="530">
          <cell r="B530" t="str">
            <v>I-15</v>
          </cell>
          <cell r="C530" t="str">
            <v>3mm Cement Punning</v>
          </cell>
          <cell r="I530" t="e">
            <v>#DIV/0!</v>
          </cell>
          <cell r="J530" t="str">
            <v>m2</v>
          </cell>
        </row>
        <row r="531">
          <cell r="C531" t="str">
            <v>I Dam / Intake</v>
          </cell>
        </row>
        <row r="532">
          <cell r="C532" t="str">
            <v>at the Bottom</v>
          </cell>
          <cell r="D532">
            <v>1</v>
          </cell>
          <cell r="E532">
            <v>0</v>
          </cell>
          <cell r="F532">
            <v>0</v>
          </cell>
          <cell r="H532">
            <v>0</v>
          </cell>
        </row>
        <row r="533">
          <cell r="C533" t="str">
            <v>Inside Wall</v>
          </cell>
          <cell r="D533">
            <v>1</v>
          </cell>
          <cell r="E533" t="e">
            <v>#DIV/0!</v>
          </cell>
          <cell r="G533">
            <v>0.30000000000000004</v>
          </cell>
          <cell r="H533" t="e">
            <v>#DIV/0!</v>
          </cell>
        </row>
        <row r="534">
          <cell r="C534" t="str">
            <v>Bottom of Dry Wall at Front Dam Wall</v>
          </cell>
          <cell r="D534">
            <v>1</v>
          </cell>
          <cell r="E534">
            <v>0.1</v>
          </cell>
          <cell r="F534">
            <v>0.35</v>
          </cell>
          <cell r="H534">
            <v>3.4999999999999996E-2</v>
          </cell>
        </row>
        <row r="535">
          <cell r="C535" t="str">
            <v>ii Collection Chamber</v>
          </cell>
        </row>
        <row r="536">
          <cell r="C536" t="str">
            <v>Bottom of Water Chamber</v>
          </cell>
          <cell r="D536">
            <v>1</v>
          </cell>
          <cell r="E536">
            <v>0.75</v>
          </cell>
          <cell r="F536">
            <v>0.75</v>
          </cell>
          <cell r="H536">
            <v>0.5625</v>
          </cell>
        </row>
        <row r="537">
          <cell r="C537" t="str">
            <v>Inside Wall of Water Chamber</v>
          </cell>
          <cell r="D537">
            <v>1</v>
          </cell>
          <cell r="E537">
            <v>3</v>
          </cell>
          <cell r="G537">
            <v>0.45</v>
          </cell>
          <cell r="H537">
            <v>1.35</v>
          </cell>
        </row>
        <row r="538">
          <cell r="C538" t="str">
            <v>Top of Overflow Wall</v>
          </cell>
          <cell r="D538">
            <v>1</v>
          </cell>
          <cell r="E538">
            <v>0.75</v>
          </cell>
          <cell r="F538">
            <v>0.3</v>
          </cell>
          <cell r="H538">
            <v>0.22499999999999998</v>
          </cell>
        </row>
        <row r="540">
          <cell r="B540" t="str">
            <v>I-16A</v>
          </cell>
          <cell r="C540" t="str">
            <v>Bar Binding for R.C.C. (10mm bar)</v>
          </cell>
          <cell r="I540">
            <v>14</v>
          </cell>
          <cell r="J540" t="str">
            <v>Kg</v>
          </cell>
        </row>
        <row r="541">
          <cell r="C541" t="str">
            <v>a. Main bar 10 mm dia @ 100 mm c/c</v>
          </cell>
        </row>
        <row r="542">
          <cell r="C542" t="str">
            <v>17 pc. * 1.30 m = 22.10 m * 0.62 kg/m = 13.70 kg Say</v>
          </cell>
          <cell r="H542">
            <v>14</v>
          </cell>
        </row>
        <row r="544">
          <cell r="B544" t="str">
            <v>I-16B</v>
          </cell>
          <cell r="C544" t="str">
            <v>Bar Binding for R.C.C. (6mm bar)</v>
          </cell>
          <cell r="I544">
            <v>4</v>
          </cell>
          <cell r="J544" t="str">
            <v>Kg</v>
          </cell>
        </row>
        <row r="545">
          <cell r="C545" t="str">
            <v xml:space="preserve">b. Distribution bar 6 mm dia @ 150 mm c/c </v>
          </cell>
        </row>
        <row r="546">
          <cell r="C546" t="str">
            <v>4 pc. * 2.35 m = 9.40 m</v>
          </cell>
        </row>
        <row r="547">
          <cell r="C547" t="str">
            <v>6 pc. *1.35 m = 8.10 m</v>
          </cell>
        </row>
        <row r="548">
          <cell r="C548" t="str">
            <v>Total - 17.50 m * 0.22 kg/m = 3.85 kg Say</v>
          </cell>
          <cell r="H548">
            <v>4</v>
          </cell>
        </row>
        <row r="550">
          <cell r="B550" t="str">
            <v>I-17</v>
          </cell>
          <cell r="C550" t="str">
            <v>Bar Binding for Ferro-Cement Works</v>
          </cell>
          <cell r="I550">
            <v>0</v>
          </cell>
          <cell r="J550" t="str">
            <v>m2</v>
          </cell>
        </row>
        <row r="554">
          <cell r="B554" t="str">
            <v>I-18</v>
          </cell>
          <cell r="C554" t="str">
            <v>Formwork for Ferro-Cement Works</v>
          </cell>
          <cell r="I554">
            <v>0</v>
          </cell>
          <cell r="J554" t="str">
            <v>m2</v>
          </cell>
        </row>
        <row r="558">
          <cell r="B558" t="str">
            <v>I-19</v>
          </cell>
          <cell r="C558" t="str">
            <v>Cement Plaster for Ferro-Cement Work (1:3)</v>
          </cell>
          <cell r="I558">
            <v>0</v>
          </cell>
          <cell r="J558" t="str">
            <v>m2</v>
          </cell>
        </row>
        <row r="562">
          <cell r="B562" t="str">
            <v>I-20</v>
          </cell>
          <cell r="C562" t="str">
            <v>Formwork for Precast RCC Work</v>
          </cell>
          <cell r="I562">
            <v>0</v>
          </cell>
          <cell r="J562" t="str">
            <v>m2</v>
          </cell>
        </row>
        <row r="566">
          <cell r="B566" t="str">
            <v>I-21</v>
          </cell>
          <cell r="C566" t="str">
            <v>Cement Painting</v>
          </cell>
          <cell r="I566">
            <v>0</v>
          </cell>
          <cell r="J566" t="str">
            <v>m2</v>
          </cell>
        </row>
        <row r="570">
          <cell r="B570" t="str">
            <v>I-22</v>
          </cell>
          <cell r="C570" t="str">
            <v>Trench digging</v>
          </cell>
          <cell r="I570">
            <v>0</v>
          </cell>
          <cell r="J570" t="str">
            <v>m3</v>
          </cell>
        </row>
        <row r="574">
          <cell r="B574" t="str">
            <v>I-23</v>
          </cell>
          <cell r="C574" t="str">
            <v>Trench backfilling</v>
          </cell>
          <cell r="I574">
            <v>0</v>
          </cell>
          <cell r="J574" t="str">
            <v>m3</v>
          </cell>
        </row>
        <row r="578">
          <cell r="B578" t="str">
            <v>I-24</v>
          </cell>
          <cell r="C578" t="str">
            <v>Gabion Box (2mX1mX1m)</v>
          </cell>
          <cell r="I578">
            <v>1</v>
          </cell>
          <cell r="J578" t="str">
            <v>No</v>
          </cell>
        </row>
        <row r="579">
          <cell r="H579">
            <v>1</v>
          </cell>
        </row>
        <row r="581">
          <cell r="B581" t="str">
            <v>I-25</v>
          </cell>
          <cell r="C581" t="str">
            <v>Gabion Box (3mX1mX1m)</v>
          </cell>
          <cell r="I581">
            <v>2</v>
          </cell>
          <cell r="J581" t="str">
            <v>No</v>
          </cell>
        </row>
        <row r="582">
          <cell r="H582">
            <v>2</v>
          </cell>
        </row>
        <row r="585">
          <cell r="B585" t="str">
            <v>M-16</v>
          </cell>
          <cell r="C585" t="str">
            <v>Angle Pole</v>
          </cell>
          <cell r="J585" t="str">
            <v>pc</v>
          </cell>
        </row>
        <row r="586">
          <cell r="B586" t="str">
            <v>M-17</v>
          </cell>
          <cell r="C586" t="str">
            <v>Angle Pole for Gate</v>
          </cell>
          <cell r="J586" t="str">
            <v>pc</v>
          </cell>
        </row>
        <row r="587">
          <cell r="B587" t="str">
            <v>M-18</v>
          </cell>
          <cell r="C587" t="str">
            <v>Corner Angle Pole</v>
          </cell>
          <cell r="J587" t="str">
            <v>pc</v>
          </cell>
        </row>
        <row r="588">
          <cell r="B588" t="str">
            <v>M-19</v>
          </cell>
          <cell r="C588" t="str">
            <v>Bracing Angle Pole</v>
          </cell>
          <cell r="J588" t="str">
            <v>pc</v>
          </cell>
        </row>
        <row r="589">
          <cell r="B589" t="str">
            <v>M-20</v>
          </cell>
          <cell r="C589" t="str">
            <v>Polythene Sheet</v>
          </cell>
          <cell r="J589" t="str">
            <v>m</v>
          </cell>
        </row>
        <row r="590">
          <cell r="B590" t="str">
            <v>M-21</v>
          </cell>
          <cell r="C590" t="str">
            <v>Barbed Wire</v>
          </cell>
          <cell r="J590" t="str">
            <v>kg</v>
          </cell>
        </row>
        <row r="591">
          <cell r="B591" t="str">
            <v>M-22</v>
          </cell>
          <cell r="C591" t="str">
            <v>Fencing Post</v>
          </cell>
          <cell r="J591" t="str">
            <v>pc</v>
          </cell>
        </row>
        <row r="592">
          <cell r="B592" t="str">
            <v>M-23</v>
          </cell>
          <cell r="C592" t="str">
            <v>Angle Gate</v>
          </cell>
          <cell r="J592" t="str">
            <v>pc</v>
          </cell>
        </row>
        <row r="593">
          <cell r="B593" t="str">
            <v>M-24</v>
          </cell>
          <cell r="C593" t="str">
            <v>4" Hinges</v>
          </cell>
          <cell r="J593" t="str">
            <v>pc</v>
          </cell>
        </row>
        <row r="594">
          <cell r="B594" t="str">
            <v>M-25</v>
          </cell>
          <cell r="C594" t="str">
            <v>10" Aldrop</v>
          </cell>
          <cell r="J594" t="str">
            <v>pc</v>
          </cell>
        </row>
        <row r="595">
          <cell r="B595" t="str">
            <v>M-26</v>
          </cell>
          <cell r="C595" t="str">
            <v>Gate Lock Key</v>
          </cell>
          <cell r="J595" t="str">
            <v>pc</v>
          </cell>
        </row>
        <row r="596">
          <cell r="B596" t="str">
            <v>M-27</v>
          </cell>
          <cell r="C596" t="str">
            <v>Nut with bolt (8mm dia)</v>
          </cell>
          <cell r="J596" t="str">
            <v>pc</v>
          </cell>
        </row>
        <row r="597">
          <cell r="B597" t="str">
            <v>M-28</v>
          </cell>
          <cell r="C597" t="str">
            <v>Screws</v>
          </cell>
          <cell r="J597" t="str">
            <v>pc</v>
          </cell>
        </row>
        <row r="598">
          <cell r="B598" t="str">
            <v>M-29</v>
          </cell>
          <cell r="C598" t="str">
            <v>GI sheet Plain (3'x7')</v>
          </cell>
          <cell r="J598" t="str">
            <v>pc</v>
          </cell>
        </row>
        <row r="599">
          <cell r="B599" t="str">
            <v>M-30</v>
          </cell>
          <cell r="C599" t="str">
            <v>Manhole Cover (Circular)</v>
          </cell>
          <cell r="J599" t="str">
            <v>pc</v>
          </cell>
        </row>
        <row r="600">
          <cell r="B600" t="str">
            <v>M-31</v>
          </cell>
          <cell r="C600" t="str">
            <v>Manhole Cover (Square)</v>
          </cell>
          <cell r="J600" t="str">
            <v>pc</v>
          </cell>
        </row>
        <row r="601">
          <cell r="B601" t="str">
            <v>M-32</v>
          </cell>
          <cell r="C601" t="str">
            <v>Manhole Cover (Rectangle)</v>
          </cell>
          <cell r="J601" t="str">
            <v>pc</v>
          </cell>
        </row>
        <row r="602">
          <cell r="B602" t="str">
            <v>M-33</v>
          </cell>
          <cell r="C602" t="str">
            <v>Small Slab Frame (55x55)</v>
          </cell>
          <cell r="J602" t="str">
            <v>pc</v>
          </cell>
        </row>
        <row r="603">
          <cell r="B603" t="str">
            <v>M-34</v>
          </cell>
          <cell r="C603" t="str">
            <v>Big Slab Frame (75x75)</v>
          </cell>
          <cell r="J603" t="str">
            <v>pc</v>
          </cell>
        </row>
        <row r="604">
          <cell r="B604" t="str">
            <v>M-36</v>
          </cell>
          <cell r="C604" t="str">
            <v>Lime</v>
          </cell>
          <cell r="J604" t="str">
            <v>kg</v>
          </cell>
        </row>
        <row r="605">
          <cell r="B605" t="str">
            <v>M-37</v>
          </cell>
          <cell r="C605" t="str">
            <v>GI Selwage Wire (8g)</v>
          </cell>
          <cell r="J605" t="str">
            <v>kg</v>
          </cell>
        </row>
        <row r="606">
          <cell r="B606" t="str">
            <v>M-38</v>
          </cell>
          <cell r="C606" t="str">
            <v>GI Mesh Wire (10g)</v>
          </cell>
          <cell r="J606" t="str">
            <v>kg</v>
          </cell>
        </row>
        <row r="607">
          <cell r="B607" t="str">
            <v>M-41</v>
          </cell>
          <cell r="C607" t="str">
            <v>Suspension Cable (8mm)</v>
          </cell>
          <cell r="J607" t="str">
            <v>m</v>
          </cell>
        </row>
        <row r="608">
          <cell r="B608" t="str">
            <v>M-42</v>
          </cell>
          <cell r="C608" t="str">
            <v>Suspension Cable (13mm)</v>
          </cell>
          <cell r="J608" t="str">
            <v>m</v>
          </cell>
        </row>
        <row r="609">
          <cell r="B609" t="str">
            <v>M-43</v>
          </cell>
          <cell r="C609" t="str">
            <v>Bulldog Grips (8mm)</v>
          </cell>
          <cell r="J609" t="str">
            <v>pc</v>
          </cell>
        </row>
        <row r="610">
          <cell r="B610" t="str">
            <v>M-44</v>
          </cell>
          <cell r="C610" t="str">
            <v>Bulldog Grips (13mm)</v>
          </cell>
          <cell r="J610" t="str">
            <v>pc</v>
          </cell>
        </row>
        <row r="611">
          <cell r="B611" t="str">
            <v>M-45</v>
          </cell>
          <cell r="C611" t="str">
            <v>PE Tank 200 ltrs.</v>
          </cell>
          <cell r="J611" t="str">
            <v>pc</v>
          </cell>
        </row>
        <row r="612">
          <cell r="B612" t="str">
            <v>M-01</v>
          </cell>
          <cell r="C612" t="str">
            <v>Cement</v>
          </cell>
          <cell r="I612" t="e">
            <v>#DIV/0!</v>
          </cell>
          <cell r="J612" t="str">
            <v>bag</v>
          </cell>
        </row>
        <row r="613">
          <cell r="B613" t="str">
            <v>M-02</v>
          </cell>
          <cell r="C613" t="str">
            <v>Sand</v>
          </cell>
          <cell r="I613" t="e">
            <v>#DIV/0!</v>
          </cell>
          <cell r="J613" t="str">
            <v>m3</v>
          </cell>
        </row>
        <row r="614">
          <cell r="B614" t="str">
            <v>M-03</v>
          </cell>
          <cell r="C614" t="str">
            <v>Block Stone</v>
          </cell>
          <cell r="I614" t="e">
            <v>#DIV/0!</v>
          </cell>
          <cell r="J614" t="str">
            <v>m3</v>
          </cell>
        </row>
        <row r="615">
          <cell r="B615" t="str">
            <v>M-04</v>
          </cell>
          <cell r="C615" t="str">
            <v>Bond Stone</v>
          </cell>
          <cell r="I615" t="e">
            <v>#DIV/0!</v>
          </cell>
          <cell r="J615" t="str">
            <v>m3</v>
          </cell>
        </row>
        <row r="616">
          <cell r="B616" t="str">
            <v>M-05</v>
          </cell>
          <cell r="C616" t="str">
            <v>Aggregate (5-10mm)</v>
          </cell>
          <cell r="I616" t="e">
            <v>#DIV/0!</v>
          </cell>
          <cell r="J616" t="str">
            <v>m3</v>
          </cell>
        </row>
        <row r="617">
          <cell r="B617" t="str">
            <v>M-06</v>
          </cell>
          <cell r="C617" t="str">
            <v>Aggregate (10-20mm)</v>
          </cell>
          <cell r="I617" t="e">
            <v>#DIV/0!</v>
          </cell>
          <cell r="J617" t="str">
            <v>m3</v>
          </cell>
        </row>
        <row r="618">
          <cell r="B618" t="str">
            <v>M-07</v>
          </cell>
          <cell r="C618" t="str">
            <v>Aggregate (20-40mm)</v>
          </cell>
          <cell r="I618" t="e">
            <v>#DIV/0!</v>
          </cell>
          <cell r="J618" t="str">
            <v>m3</v>
          </cell>
        </row>
        <row r="619">
          <cell r="B619" t="str">
            <v>M-08</v>
          </cell>
          <cell r="C619" t="str">
            <v>Project Information Board</v>
          </cell>
          <cell r="J619" t="str">
            <v>set</v>
          </cell>
        </row>
        <row r="620">
          <cell r="B620" t="str">
            <v>M-09</v>
          </cell>
          <cell r="C620" t="str">
            <v>Reinforcement ( 6mm)</v>
          </cell>
          <cell r="I620">
            <v>4.2</v>
          </cell>
          <cell r="J620" t="str">
            <v>kg</v>
          </cell>
        </row>
        <row r="621">
          <cell r="B621" t="str">
            <v>M-10</v>
          </cell>
          <cell r="C621" t="str">
            <v>Reinforcement ( 8mm)</v>
          </cell>
          <cell r="J621" t="str">
            <v>kg</v>
          </cell>
        </row>
        <row r="622">
          <cell r="B622" t="str">
            <v>M-11</v>
          </cell>
          <cell r="C622" t="str">
            <v>Reinforcement (10mm)</v>
          </cell>
          <cell r="I622">
            <v>14.700000000000001</v>
          </cell>
          <cell r="J622" t="str">
            <v>kg</v>
          </cell>
        </row>
        <row r="623">
          <cell r="B623" t="str">
            <v>M-12</v>
          </cell>
          <cell r="C623" t="str">
            <v>Binding wire</v>
          </cell>
          <cell r="I623">
            <v>0.18000000000000002</v>
          </cell>
          <cell r="J623" t="str">
            <v>kg</v>
          </cell>
        </row>
        <row r="624">
          <cell r="B624" t="str">
            <v>M-13</v>
          </cell>
          <cell r="C624" t="str">
            <v>Plain wire (3.5 mm dia)</v>
          </cell>
          <cell r="I624">
            <v>0</v>
          </cell>
          <cell r="J624" t="str">
            <v>kg</v>
          </cell>
        </row>
        <row r="625">
          <cell r="B625" t="str">
            <v>M-14</v>
          </cell>
          <cell r="C625" t="str">
            <v>Chicken wire mesh (3 Ft wide)</v>
          </cell>
          <cell r="I625">
            <v>0</v>
          </cell>
          <cell r="J625" t="str">
            <v>m</v>
          </cell>
        </row>
        <row r="626">
          <cell r="B626" t="str">
            <v>M-15</v>
          </cell>
          <cell r="C626" t="str">
            <v>Bamboo</v>
          </cell>
          <cell r="I626">
            <v>0</v>
          </cell>
          <cell r="J626" t="str">
            <v>pc</v>
          </cell>
        </row>
        <row r="627">
          <cell r="B627" t="str">
            <v>M-35</v>
          </cell>
          <cell r="C627" t="str">
            <v>Cement Paint</v>
          </cell>
          <cell r="I627">
            <v>0</v>
          </cell>
          <cell r="J627" t="str">
            <v>kg</v>
          </cell>
        </row>
        <row r="628">
          <cell r="B628" t="str">
            <v>M-39</v>
          </cell>
          <cell r="C628" t="str">
            <v>Wood for Formwork</v>
          </cell>
          <cell r="I628">
            <v>0.18975</v>
          </cell>
          <cell r="J628" t="str">
            <v>m3</v>
          </cell>
        </row>
        <row r="629">
          <cell r="B629" t="str">
            <v>M-40</v>
          </cell>
          <cell r="C629" t="str">
            <v>Nails</v>
          </cell>
          <cell r="I629">
            <v>0.1875</v>
          </cell>
          <cell r="J629" t="str">
            <v>kg</v>
          </cell>
        </row>
        <row r="630">
          <cell r="B630" t="str">
            <v>L-1</v>
          </cell>
          <cell r="C630" t="str">
            <v>Skilled Labour</v>
          </cell>
          <cell r="I630" t="e">
            <v>#DIV/0!</v>
          </cell>
          <cell r="J630" t="str">
            <v>md</v>
          </cell>
        </row>
        <row r="631">
          <cell r="B631" t="str">
            <v>L-2</v>
          </cell>
          <cell r="C631" t="str">
            <v>Unskilled Labour</v>
          </cell>
          <cell r="I631" t="e">
            <v>#DIV/0!</v>
          </cell>
          <cell r="J631" t="str">
            <v>md</v>
          </cell>
        </row>
        <row r="632">
          <cell r="C632" t="str">
            <v>FITTINGS</v>
          </cell>
        </row>
        <row r="633">
          <cell r="C633" t="str">
            <v>Outlet Pipe Dia</v>
          </cell>
          <cell r="D633">
            <v>0</v>
          </cell>
        </row>
        <row r="634">
          <cell r="C634" t="str">
            <v>Washout Pipe Dia</v>
          </cell>
          <cell r="D634">
            <v>0</v>
          </cell>
        </row>
        <row r="635">
          <cell r="B635" t="str">
            <v>HP2.5-75</v>
          </cell>
          <cell r="C635" t="str">
            <v>HDPE Pipe(75mm) - 2.5 kgf/cm2</v>
          </cell>
          <cell r="J635" t="str">
            <v>m</v>
          </cell>
        </row>
        <row r="636">
          <cell r="B636" t="str">
            <v>GPM-15</v>
          </cell>
          <cell r="C636" t="str">
            <v>G.I. Pipe (1/2") - MC</v>
          </cell>
          <cell r="J636" t="str">
            <v>m</v>
          </cell>
        </row>
        <row r="637">
          <cell r="B637" t="str">
            <v>GEL-15</v>
          </cell>
          <cell r="C637" t="str">
            <v xml:space="preserve">G.I. Elbow (1/2") </v>
          </cell>
          <cell r="J637" t="str">
            <v>pc</v>
          </cell>
        </row>
        <row r="638">
          <cell r="B638" t="str">
            <v>GSO-15</v>
          </cell>
          <cell r="C638" t="str">
            <v>G.I. Socket (1/2")</v>
          </cell>
          <cell r="J638" t="str">
            <v>pc</v>
          </cell>
        </row>
        <row r="639">
          <cell r="B639" t="str">
            <v>BT400-15</v>
          </cell>
          <cell r="C639" t="str">
            <v>Brass Tap ( 400g )</v>
          </cell>
          <cell r="J639" t="str">
            <v>pc</v>
          </cell>
        </row>
        <row r="640">
          <cell r="B640" t="str">
            <v>BU-20</v>
          </cell>
          <cell r="C640" t="str">
            <v>Brass Union  (20mm x 1/2")</v>
          </cell>
          <cell r="J640" t="str">
            <v>pc</v>
          </cell>
        </row>
        <row r="641">
          <cell r="B641" t="str">
            <v>BRT-15</v>
          </cell>
          <cell r="C641" t="str">
            <v>Regulating Tee (1/2")</v>
          </cell>
          <cell r="J641" t="str">
            <v>pc</v>
          </cell>
        </row>
        <row r="644">
          <cell r="B644" t="str">
            <v>I-01</v>
          </cell>
          <cell r="C644" t="str">
            <v>Earth Work in Excavation</v>
          </cell>
          <cell r="I644" t="e">
            <v>#DIV/0!</v>
          </cell>
          <cell r="J644" t="str">
            <v>m3</v>
          </cell>
        </row>
        <row r="645">
          <cell r="C645" t="str">
            <v>Dam / Intake</v>
          </cell>
          <cell r="D645">
            <v>1</v>
          </cell>
          <cell r="E645" t="e">
            <v>#DIV/0!</v>
          </cell>
          <cell r="F645">
            <v>0.35</v>
          </cell>
          <cell r="G645">
            <v>0.25</v>
          </cell>
          <cell r="H645" t="e">
            <v>#DIV/0!</v>
          </cell>
        </row>
        <row r="646">
          <cell r="C646" t="str">
            <v>Collection Chamber</v>
          </cell>
          <cell r="D646">
            <v>1</v>
          </cell>
          <cell r="E646">
            <v>2.4</v>
          </cell>
          <cell r="F646">
            <v>1.35</v>
          </cell>
          <cell r="G646">
            <v>1.1500000000000001</v>
          </cell>
          <cell r="H646">
            <v>3.7260000000000004</v>
          </cell>
        </row>
        <row r="647">
          <cell r="C647" t="str">
            <v>Deduction</v>
          </cell>
        </row>
        <row r="648">
          <cell r="C648" t="str">
            <v>Front Wall of Dam Intake</v>
          </cell>
          <cell r="D648">
            <v>-1</v>
          </cell>
          <cell r="E648">
            <v>1.35</v>
          </cell>
          <cell r="F648">
            <v>0.35</v>
          </cell>
          <cell r="G648">
            <v>0.25</v>
          </cell>
          <cell r="H648">
            <v>-0.11812499999999999</v>
          </cell>
        </row>
        <row r="649">
          <cell r="C649" t="str">
            <v>At the Bed of Water Chamber</v>
          </cell>
        </row>
        <row r="650">
          <cell r="C650" t="str">
            <v>Rectangular Portion</v>
          </cell>
          <cell r="D650">
            <v>-1</v>
          </cell>
          <cell r="E650">
            <v>1.35</v>
          </cell>
          <cell r="F650">
            <v>1.1000000000000001</v>
          </cell>
          <cell r="G650">
            <v>0.20000000000000009</v>
          </cell>
          <cell r="H650">
            <v>-0.29700000000000015</v>
          </cell>
        </row>
        <row r="651">
          <cell r="C651" t="str">
            <v>Triangular Portion</v>
          </cell>
          <cell r="D651">
            <v>-0.5</v>
          </cell>
          <cell r="E651">
            <v>1.35</v>
          </cell>
          <cell r="F651">
            <v>0.3</v>
          </cell>
          <cell r="G651">
            <v>0.20000000000000009</v>
          </cell>
          <cell r="H651">
            <v>-4.0500000000000022E-2</v>
          </cell>
        </row>
        <row r="653">
          <cell r="B653" t="str">
            <v>I-02</v>
          </cell>
          <cell r="C653" t="str">
            <v>Earth Work in Backfilling</v>
          </cell>
          <cell r="I653">
            <v>0</v>
          </cell>
          <cell r="J653" t="str">
            <v>m3</v>
          </cell>
        </row>
        <row r="657">
          <cell r="B657" t="str">
            <v>I-03</v>
          </cell>
          <cell r="C657" t="str">
            <v>Dry Stone Soling</v>
          </cell>
          <cell r="I657">
            <v>0.48599999999999999</v>
          </cell>
          <cell r="J657" t="str">
            <v>m3</v>
          </cell>
        </row>
        <row r="658">
          <cell r="C658" t="str">
            <v>Foundation</v>
          </cell>
          <cell r="D658">
            <v>1</v>
          </cell>
          <cell r="E658">
            <v>2.4</v>
          </cell>
          <cell r="F658">
            <v>1.35</v>
          </cell>
          <cell r="G658">
            <v>0.15</v>
          </cell>
          <cell r="H658">
            <v>0.48599999999999999</v>
          </cell>
        </row>
        <row r="660">
          <cell r="B660" t="str">
            <v>I-04</v>
          </cell>
          <cell r="C660" t="str">
            <v>P.C.C. (1:2:4)</v>
          </cell>
          <cell r="I660" t="e">
            <v>#DIV/0!</v>
          </cell>
          <cell r="J660" t="str">
            <v>m3</v>
          </cell>
        </row>
        <row r="661">
          <cell r="C661" t="str">
            <v>at Bottom of Dam / Intake</v>
          </cell>
          <cell r="D661">
            <v>1</v>
          </cell>
          <cell r="E661" t="e">
            <v>#DIV/0!</v>
          </cell>
          <cell r="F661">
            <v>0.35</v>
          </cell>
          <cell r="G661">
            <v>0.1</v>
          </cell>
          <cell r="H661" t="e">
            <v>#DIV/0!</v>
          </cell>
        </row>
        <row r="662">
          <cell r="C662" t="str">
            <v>Top of Wing Wall</v>
          </cell>
          <cell r="D662">
            <v>2</v>
          </cell>
          <cell r="E662" t="e">
            <v>#DIV/0!</v>
          </cell>
          <cell r="F662">
            <v>0.35</v>
          </cell>
          <cell r="G662">
            <v>0.1</v>
          </cell>
          <cell r="H662" t="e">
            <v>#DIV/0!</v>
          </cell>
        </row>
        <row r="663">
          <cell r="C663" t="str">
            <v>Top of Front Wall of Intake</v>
          </cell>
          <cell r="D663">
            <v>1</v>
          </cell>
          <cell r="E663" t="e">
            <v>#DIV/0!</v>
          </cell>
          <cell r="F663">
            <v>0.35</v>
          </cell>
          <cell r="G663">
            <v>0.1</v>
          </cell>
          <cell r="H663" t="e">
            <v>#DIV/0!</v>
          </cell>
        </row>
        <row r="664">
          <cell r="C664" t="str">
            <v>at the Foundation of CC</v>
          </cell>
          <cell r="D664">
            <v>1</v>
          </cell>
          <cell r="E664">
            <v>2.4</v>
          </cell>
          <cell r="F664">
            <v>1.35</v>
          </cell>
          <cell r="G664">
            <v>0.1</v>
          </cell>
          <cell r="H664">
            <v>0.32400000000000001</v>
          </cell>
        </row>
        <row r="665">
          <cell r="C665" t="str">
            <v>at the Triangular Portion below the overflow</v>
          </cell>
          <cell r="D665">
            <v>0.5</v>
          </cell>
          <cell r="E665">
            <v>1.35</v>
          </cell>
          <cell r="F665">
            <v>0.3</v>
          </cell>
          <cell r="G665">
            <v>0.20000000000000009</v>
          </cell>
          <cell r="H665">
            <v>4.0500000000000022E-2</v>
          </cell>
        </row>
        <row r="666">
          <cell r="C666" t="str">
            <v>Deduction</v>
          </cell>
        </row>
        <row r="667">
          <cell r="C667" t="str">
            <v>RCC projection at dam wall</v>
          </cell>
          <cell r="D667">
            <v>-1</v>
          </cell>
          <cell r="E667">
            <v>1.35</v>
          </cell>
          <cell r="F667">
            <v>0.35</v>
          </cell>
          <cell r="G667">
            <v>0.1</v>
          </cell>
          <cell r="H667">
            <v>-4.725E-2</v>
          </cell>
        </row>
        <row r="669">
          <cell r="B669" t="str">
            <v>I-05</v>
          </cell>
          <cell r="C669" t="str">
            <v>P.C.C. for Pre-cast Slab (1:2:4)</v>
          </cell>
          <cell r="I669">
            <v>0</v>
          </cell>
          <cell r="J669" t="str">
            <v>m3</v>
          </cell>
        </row>
        <row r="673">
          <cell r="B673" t="str">
            <v>I-06</v>
          </cell>
          <cell r="C673" t="str">
            <v>P.C.C. for R.C.C. (1:2:4)</v>
          </cell>
          <cell r="I673">
            <v>0.32400000000000001</v>
          </cell>
          <cell r="J673" t="str">
            <v>m3</v>
          </cell>
        </row>
        <row r="674">
          <cell r="C674" t="str">
            <v>Slab of CC with Manhole Cover</v>
          </cell>
          <cell r="D674">
            <v>1</v>
          </cell>
          <cell r="E674">
            <v>2.4</v>
          </cell>
          <cell r="F674">
            <v>1.35</v>
          </cell>
          <cell r="G674">
            <v>0.1</v>
          </cell>
          <cell r="H674">
            <v>0.32400000000000001</v>
          </cell>
        </row>
        <row r="676">
          <cell r="B676" t="str">
            <v>I-07</v>
          </cell>
          <cell r="C676" t="str">
            <v>Random Rubble Masonry (1:4)</v>
          </cell>
          <cell r="I676" t="e">
            <v>#DIV/0!</v>
          </cell>
          <cell r="J676" t="str">
            <v>m3</v>
          </cell>
        </row>
        <row r="677">
          <cell r="C677" t="str">
            <v>I Dam Intake</v>
          </cell>
        </row>
        <row r="678">
          <cell r="C678" t="str">
            <v>Front Wall</v>
          </cell>
          <cell r="D678">
            <v>1</v>
          </cell>
          <cell r="E678" t="e">
            <v>#DIV/0!</v>
          </cell>
          <cell r="F678">
            <v>0.35</v>
          </cell>
          <cell r="G678">
            <v>0.30000000000000004</v>
          </cell>
          <cell r="H678" t="e">
            <v>#DIV/0!</v>
          </cell>
        </row>
        <row r="679">
          <cell r="C679" t="str">
            <v>Wing Wall</v>
          </cell>
          <cell r="D679">
            <v>2</v>
          </cell>
          <cell r="E679" t="e">
            <v>#DIV/0!</v>
          </cell>
          <cell r="F679">
            <v>0.35</v>
          </cell>
          <cell r="G679">
            <v>0.30000000000000004</v>
          </cell>
          <cell r="H679" t="e">
            <v>#DIV/0!</v>
          </cell>
        </row>
        <row r="680">
          <cell r="C680" t="str">
            <v>ii Collection Chamber</v>
          </cell>
        </row>
        <row r="681">
          <cell r="C681" t="str">
            <v>Long Wall</v>
          </cell>
          <cell r="D681">
            <v>2</v>
          </cell>
          <cell r="E681">
            <v>2.0499999999999998</v>
          </cell>
          <cell r="F681">
            <v>0.3</v>
          </cell>
          <cell r="G681">
            <v>1.05</v>
          </cell>
          <cell r="H681">
            <v>1.2914999999999999</v>
          </cell>
        </row>
        <row r="682">
          <cell r="C682" t="str">
            <v>Short Wall</v>
          </cell>
          <cell r="D682">
            <v>1</v>
          </cell>
          <cell r="E682">
            <v>0.75</v>
          </cell>
          <cell r="F682">
            <v>0.3</v>
          </cell>
          <cell r="G682">
            <v>1.05</v>
          </cell>
          <cell r="H682">
            <v>0.23625000000000002</v>
          </cell>
        </row>
        <row r="683">
          <cell r="C683" t="str">
            <v>Wall below the Dam Front Wall</v>
          </cell>
          <cell r="D683">
            <v>1</v>
          </cell>
          <cell r="E683">
            <v>0.75</v>
          </cell>
          <cell r="F683">
            <v>0.35</v>
          </cell>
          <cell r="G683">
            <v>0.45</v>
          </cell>
          <cell r="H683">
            <v>0.11812500000000001</v>
          </cell>
        </row>
        <row r="684">
          <cell r="C684" t="str">
            <v>Overflow Wall</v>
          </cell>
          <cell r="D684">
            <v>1</v>
          </cell>
          <cell r="E684">
            <v>0.75</v>
          </cell>
          <cell r="F684">
            <v>0.3</v>
          </cell>
          <cell r="G684">
            <v>0.42499999999999999</v>
          </cell>
          <cell r="H684">
            <v>9.5625000000000002E-2</v>
          </cell>
        </row>
        <row r="685">
          <cell r="C685" t="str">
            <v>Deduction</v>
          </cell>
        </row>
        <row r="686">
          <cell r="C686" t="str">
            <v>Dry Wall of Dam Front Wall</v>
          </cell>
          <cell r="D686">
            <v>-1</v>
          </cell>
          <cell r="E686">
            <v>0.5</v>
          </cell>
          <cell r="F686">
            <v>0.35</v>
          </cell>
          <cell r="G686">
            <v>0.30000000000000004</v>
          </cell>
          <cell r="H686">
            <v>-5.2500000000000005E-2</v>
          </cell>
        </row>
        <row r="687">
          <cell r="C687" t="str">
            <v>Rised portion below Water Chamber</v>
          </cell>
          <cell r="D687">
            <v>-2</v>
          </cell>
          <cell r="E687">
            <v>1.35</v>
          </cell>
          <cell r="F687">
            <v>0.3</v>
          </cell>
          <cell r="G687">
            <v>0.20000000000000009</v>
          </cell>
          <cell r="H687">
            <v>-0.16200000000000009</v>
          </cell>
        </row>
        <row r="689">
          <cell r="B689" t="str">
            <v>I-08</v>
          </cell>
          <cell r="C689" t="str">
            <v>Random Rubble Masonry (1:6)</v>
          </cell>
          <cell r="I689">
            <v>0</v>
          </cell>
          <cell r="J689" t="str">
            <v>m3</v>
          </cell>
        </row>
        <row r="693">
          <cell r="B693" t="str">
            <v>I-09</v>
          </cell>
          <cell r="C693" t="str">
            <v>Dry Stone masonry</v>
          </cell>
          <cell r="I693">
            <v>5.2500000000000005E-2</v>
          </cell>
          <cell r="J693" t="str">
            <v>m3</v>
          </cell>
        </row>
        <row r="694">
          <cell r="C694" t="str">
            <v>Inside of Dam Intake</v>
          </cell>
          <cell r="D694">
            <v>1</v>
          </cell>
          <cell r="E694">
            <v>0</v>
          </cell>
          <cell r="F694">
            <v>0</v>
          </cell>
          <cell r="G694">
            <v>0.4</v>
          </cell>
          <cell r="H694">
            <v>0</v>
          </cell>
        </row>
        <row r="695">
          <cell r="C695" t="str">
            <v>Outlet Opening at Front Dam Wall</v>
          </cell>
          <cell r="D695">
            <v>1</v>
          </cell>
          <cell r="E695">
            <v>0.5</v>
          </cell>
          <cell r="F695">
            <v>0.35</v>
          </cell>
          <cell r="G695">
            <v>0.30000000000000004</v>
          </cell>
          <cell r="H695">
            <v>5.2500000000000005E-2</v>
          </cell>
        </row>
        <row r="697">
          <cell r="B697" t="str">
            <v>I-10</v>
          </cell>
          <cell r="C697" t="str">
            <v>Form Work for P.C.C.</v>
          </cell>
          <cell r="I697">
            <v>0.75</v>
          </cell>
          <cell r="J697" t="str">
            <v>m2</v>
          </cell>
        </row>
        <row r="698">
          <cell r="C698" t="str">
            <v>at the Collection Chamber</v>
          </cell>
          <cell r="D698">
            <v>1</v>
          </cell>
          <cell r="E698">
            <v>1.75</v>
          </cell>
          <cell r="F698">
            <v>0.75</v>
          </cell>
          <cell r="H698">
            <v>1.3125</v>
          </cell>
        </row>
        <row r="699">
          <cell r="C699" t="str">
            <v>Deduction of Manhole Cover</v>
          </cell>
          <cell r="D699">
            <v>-1</v>
          </cell>
          <cell r="E699">
            <v>0.75</v>
          </cell>
          <cell r="F699">
            <v>0.75</v>
          </cell>
          <cell r="H699">
            <v>-0.5625</v>
          </cell>
        </row>
        <row r="701">
          <cell r="B701" t="str">
            <v>I-11</v>
          </cell>
          <cell r="C701" t="str">
            <v>12.5mm Cement Plaster (1:2)</v>
          </cell>
          <cell r="I701" t="e">
            <v>#DIV/0!</v>
          </cell>
          <cell r="J701" t="str">
            <v>m2</v>
          </cell>
        </row>
        <row r="702">
          <cell r="C702" t="str">
            <v>I Dam / Intake</v>
          </cell>
        </row>
        <row r="703">
          <cell r="C703" t="str">
            <v>at the Bottom</v>
          </cell>
          <cell r="D703">
            <v>1</v>
          </cell>
          <cell r="E703">
            <v>0</v>
          </cell>
          <cell r="F703">
            <v>0</v>
          </cell>
          <cell r="H703">
            <v>0</v>
          </cell>
        </row>
        <row r="704">
          <cell r="C704" t="str">
            <v>Inside Wall</v>
          </cell>
          <cell r="D704">
            <v>1</v>
          </cell>
          <cell r="E704" t="e">
            <v>#DIV/0!</v>
          </cell>
          <cell r="G704">
            <v>0.4</v>
          </cell>
          <cell r="H704" t="e">
            <v>#DIV/0!</v>
          </cell>
        </row>
        <row r="705">
          <cell r="C705" t="str">
            <v>Outside Wall</v>
          </cell>
          <cell r="D705">
            <v>1</v>
          </cell>
          <cell r="E705" t="e">
            <v>#DIV/0!</v>
          </cell>
          <cell r="G705">
            <v>0.4</v>
          </cell>
          <cell r="H705" t="e">
            <v>#DIV/0!</v>
          </cell>
        </row>
        <row r="706">
          <cell r="C706" t="str">
            <v>at the Top of Wall</v>
          </cell>
        </row>
        <row r="707">
          <cell r="C707" t="str">
            <v>Wing Wall</v>
          </cell>
          <cell r="D707">
            <v>2</v>
          </cell>
          <cell r="E707" t="e">
            <v>#DIV/0!</v>
          </cell>
          <cell r="F707">
            <v>0.35</v>
          </cell>
          <cell r="H707" t="e">
            <v>#DIV/0!</v>
          </cell>
        </row>
        <row r="708">
          <cell r="C708" t="str">
            <v>Front Wall</v>
          </cell>
          <cell r="D708">
            <v>1</v>
          </cell>
          <cell r="E708" t="e">
            <v>#DIV/0!</v>
          </cell>
          <cell r="F708">
            <v>0.35</v>
          </cell>
          <cell r="H708" t="e">
            <v>#DIV/0!</v>
          </cell>
        </row>
        <row r="709">
          <cell r="C709" t="str">
            <v>Sides of Outlet Opening of dam Wall</v>
          </cell>
          <cell r="D709">
            <v>2</v>
          </cell>
          <cell r="E709">
            <v>0.35</v>
          </cell>
          <cell r="F709">
            <v>0.4</v>
          </cell>
          <cell r="H709">
            <v>0.27999999999999997</v>
          </cell>
        </row>
        <row r="710">
          <cell r="C710" t="str">
            <v>ii Collection Chamber</v>
          </cell>
        </row>
        <row r="711">
          <cell r="C711" t="str">
            <v>Bottom of Water Chamber</v>
          </cell>
          <cell r="D711">
            <v>1</v>
          </cell>
          <cell r="E711">
            <v>0.75</v>
          </cell>
          <cell r="F711">
            <v>0.75</v>
          </cell>
          <cell r="H711">
            <v>0.5625</v>
          </cell>
        </row>
        <row r="712">
          <cell r="C712" t="str">
            <v>Bottom of Valve Chamber</v>
          </cell>
          <cell r="D712">
            <v>1</v>
          </cell>
          <cell r="E712">
            <v>0.7</v>
          </cell>
          <cell r="F712">
            <v>0.75</v>
          </cell>
          <cell r="H712">
            <v>0.52499999999999991</v>
          </cell>
        </row>
        <row r="713">
          <cell r="C713" t="str">
            <v>Inside Wall of Water Chamber</v>
          </cell>
          <cell r="D713">
            <v>1</v>
          </cell>
          <cell r="E713">
            <v>2.25</v>
          </cell>
          <cell r="G713">
            <v>0.85000000000000009</v>
          </cell>
          <cell r="H713">
            <v>1.9125000000000001</v>
          </cell>
        </row>
        <row r="714">
          <cell r="C714" t="str">
            <v>Inside Wall of Valve Chamber</v>
          </cell>
          <cell r="D714">
            <v>1</v>
          </cell>
          <cell r="E714">
            <v>2.15</v>
          </cell>
          <cell r="G714">
            <v>1.1000000000000001</v>
          </cell>
          <cell r="H714">
            <v>2.3650000000000002</v>
          </cell>
        </row>
        <row r="715">
          <cell r="C715" t="str">
            <v>Overflow Wall - at Inside</v>
          </cell>
          <cell r="D715">
            <v>1</v>
          </cell>
          <cell r="E715">
            <v>0.75</v>
          </cell>
          <cell r="G715">
            <v>0.45</v>
          </cell>
          <cell r="H715">
            <v>0.33750000000000002</v>
          </cell>
        </row>
        <row r="716">
          <cell r="C716" t="str">
            <v>Overflow Wall - at Outside</v>
          </cell>
          <cell r="D716">
            <v>1</v>
          </cell>
          <cell r="E716">
            <v>0.75</v>
          </cell>
          <cell r="G716">
            <v>0.60000000000000009</v>
          </cell>
          <cell r="H716">
            <v>0.45000000000000007</v>
          </cell>
        </row>
        <row r="717">
          <cell r="C717" t="str">
            <v>Top of Overflow Wall</v>
          </cell>
          <cell r="D717">
            <v>1</v>
          </cell>
          <cell r="E717">
            <v>0.75</v>
          </cell>
          <cell r="F717">
            <v>0.3</v>
          </cell>
          <cell r="H717">
            <v>0.22499999999999998</v>
          </cell>
        </row>
        <row r="718">
          <cell r="C718" t="str">
            <v>Wall above the Overflow Wall</v>
          </cell>
          <cell r="D718">
            <v>2</v>
          </cell>
        </row>
        <row r="719">
          <cell r="C719" t="str">
            <v>Celling of Slab</v>
          </cell>
          <cell r="D719">
            <v>1</v>
          </cell>
          <cell r="E719">
            <v>1.75</v>
          </cell>
          <cell r="F719">
            <v>0.75</v>
          </cell>
          <cell r="H719">
            <v>1.3125</v>
          </cell>
        </row>
        <row r="720">
          <cell r="C720" t="str">
            <v>Outside Wall of CC</v>
          </cell>
          <cell r="D720">
            <v>1</v>
          </cell>
          <cell r="E720">
            <v>5.4499999999999993</v>
          </cell>
          <cell r="G720">
            <v>0.3</v>
          </cell>
          <cell r="H720">
            <v>1.6349999999999998</v>
          </cell>
        </row>
        <row r="721">
          <cell r="C721" t="str">
            <v>Top of the CC Slab</v>
          </cell>
          <cell r="D721">
            <v>1</v>
          </cell>
          <cell r="E721">
            <v>2.0499999999999998</v>
          </cell>
          <cell r="F721">
            <v>1.35</v>
          </cell>
          <cell r="H721">
            <v>2.7675000000000001</v>
          </cell>
        </row>
        <row r="722">
          <cell r="C722" t="str">
            <v>Deduction</v>
          </cell>
        </row>
        <row r="723">
          <cell r="C723" t="str">
            <v>Dry Wall portion of Front Dam Wall</v>
          </cell>
          <cell r="D723">
            <v>-1</v>
          </cell>
          <cell r="E723">
            <v>0.5</v>
          </cell>
          <cell r="G723">
            <v>0.30000000000000004</v>
          </cell>
          <cell r="H723">
            <v>-0.15000000000000002</v>
          </cell>
        </row>
        <row r="725">
          <cell r="B725" t="str">
            <v>I-12</v>
          </cell>
          <cell r="C725" t="str">
            <v>12.5mm Cement Plaster (1:3)</v>
          </cell>
          <cell r="I725">
            <v>0</v>
          </cell>
          <cell r="J725" t="str">
            <v>m2</v>
          </cell>
        </row>
        <row r="729">
          <cell r="B729" t="str">
            <v>I-13</v>
          </cell>
          <cell r="C729" t="str">
            <v>12.5mm Cement Plaster (1:4)</v>
          </cell>
          <cell r="I729">
            <v>0</v>
          </cell>
          <cell r="J729" t="str">
            <v>m2</v>
          </cell>
        </row>
        <row r="733">
          <cell r="B733" t="str">
            <v>I-14</v>
          </cell>
          <cell r="C733" t="str">
            <v>Cement Pointing (1:3)</v>
          </cell>
          <cell r="I733" t="e">
            <v>#DIV/0!</v>
          </cell>
          <cell r="J733" t="str">
            <v>m2</v>
          </cell>
        </row>
        <row r="734">
          <cell r="C734" t="str">
            <v>I Dam / Intake</v>
          </cell>
        </row>
        <row r="735">
          <cell r="C735" t="str">
            <v>at the Bottom</v>
          </cell>
          <cell r="D735">
            <v>1</v>
          </cell>
          <cell r="E735">
            <v>0</v>
          </cell>
          <cell r="F735">
            <v>0</v>
          </cell>
          <cell r="H735">
            <v>0</v>
          </cell>
        </row>
        <row r="736">
          <cell r="C736" t="str">
            <v>Inside Wall</v>
          </cell>
          <cell r="D736">
            <v>1</v>
          </cell>
          <cell r="E736" t="e">
            <v>#DIV/0!</v>
          </cell>
          <cell r="G736">
            <v>0.30000000000000004</v>
          </cell>
          <cell r="H736" t="e">
            <v>#DIV/0!</v>
          </cell>
        </row>
        <row r="737">
          <cell r="C737" t="str">
            <v>Bottom of Dry Wall at Front Dam Wall</v>
          </cell>
          <cell r="D737">
            <v>1</v>
          </cell>
          <cell r="E737">
            <v>0.1</v>
          </cell>
          <cell r="F737">
            <v>0.35</v>
          </cell>
          <cell r="H737">
            <v>3.4999999999999996E-2</v>
          </cell>
        </row>
        <row r="738">
          <cell r="C738" t="str">
            <v>ii Collection Chamber</v>
          </cell>
        </row>
        <row r="739">
          <cell r="C739" t="str">
            <v>Bottom of Water Chamber</v>
          </cell>
          <cell r="D739">
            <v>1</v>
          </cell>
          <cell r="E739">
            <v>0.75</v>
          </cell>
          <cell r="F739">
            <v>0.75</v>
          </cell>
          <cell r="H739">
            <v>0.5625</v>
          </cell>
        </row>
        <row r="740">
          <cell r="C740" t="str">
            <v>Inside Wall of Water Chamber</v>
          </cell>
          <cell r="D740">
            <v>1</v>
          </cell>
          <cell r="E740">
            <v>3</v>
          </cell>
          <cell r="G740">
            <v>0.45</v>
          </cell>
          <cell r="H740">
            <v>1.35</v>
          </cell>
        </row>
        <row r="741">
          <cell r="C741" t="str">
            <v>Top of Overflow Wall</v>
          </cell>
          <cell r="D741">
            <v>1</v>
          </cell>
          <cell r="E741">
            <v>0.75</v>
          </cell>
          <cell r="F741">
            <v>0.3</v>
          </cell>
          <cell r="H741">
            <v>0.22499999999999998</v>
          </cell>
        </row>
        <row r="743">
          <cell r="B743" t="str">
            <v>I-15</v>
          </cell>
          <cell r="C743" t="str">
            <v>3mm Cement Punning</v>
          </cell>
          <cell r="I743" t="e">
            <v>#DIV/0!</v>
          </cell>
          <cell r="J743" t="str">
            <v>m2</v>
          </cell>
        </row>
        <row r="744">
          <cell r="C744" t="str">
            <v>I Dam / Intake</v>
          </cell>
        </row>
        <row r="745">
          <cell r="C745" t="str">
            <v>at the Bottom</v>
          </cell>
          <cell r="D745">
            <v>1</v>
          </cell>
          <cell r="E745">
            <v>0</v>
          </cell>
          <cell r="F745">
            <v>0</v>
          </cell>
          <cell r="H745">
            <v>0</v>
          </cell>
        </row>
        <row r="746">
          <cell r="C746" t="str">
            <v>Inside Wall</v>
          </cell>
          <cell r="D746">
            <v>1</v>
          </cell>
          <cell r="E746" t="e">
            <v>#DIV/0!</v>
          </cell>
          <cell r="G746">
            <v>0.30000000000000004</v>
          </cell>
          <cell r="H746" t="e">
            <v>#DIV/0!</v>
          </cell>
        </row>
        <row r="747">
          <cell r="C747" t="str">
            <v>Bottom of Dry Wall at Front Dam Wall</v>
          </cell>
          <cell r="D747">
            <v>1</v>
          </cell>
          <cell r="E747">
            <v>0.1</v>
          </cell>
          <cell r="F747">
            <v>0.35</v>
          </cell>
          <cell r="H747">
            <v>3.4999999999999996E-2</v>
          </cell>
        </row>
        <row r="748">
          <cell r="C748" t="str">
            <v>ii Collection Chamber</v>
          </cell>
        </row>
        <row r="749">
          <cell r="C749" t="str">
            <v>Bottom of Water Chamber</v>
          </cell>
          <cell r="D749">
            <v>1</v>
          </cell>
          <cell r="E749">
            <v>0.75</v>
          </cell>
          <cell r="F749">
            <v>0.75</v>
          </cell>
          <cell r="H749">
            <v>0.5625</v>
          </cell>
        </row>
        <row r="750">
          <cell r="C750" t="str">
            <v>Inside Wall of Water Chamber</v>
          </cell>
          <cell r="D750">
            <v>1</v>
          </cell>
          <cell r="E750">
            <v>3</v>
          </cell>
          <cell r="G750">
            <v>0.45</v>
          </cell>
          <cell r="H750">
            <v>1.35</v>
          </cell>
        </row>
        <row r="751">
          <cell r="C751" t="str">
            <v>Top of Overflow Wall</v>
          </cell>
          <cell r="D751">
            <v>1</v>
          </cell>
          <cell r="E751">
            <v>0.75</v>
          </cell>
          <cell r="F751">
            <v>0.3</v>
          </cell>
          <cell r="H751">
            <v>0.22499999999999998</v>
          </cell>
        </row>
        <row r="753">
          <cell r="B753" t="str">
            <v>I-16A</v>
          </cell>
          <cell r="C753" t="str">
            <v>Bar Binding for R.C.C. (10mm bar)</v>
          </cell>
          <cell r="I753">
            <v>14</v>
          </cell>
          <cell r="J753" t="str">
            <v>Kg</v>
          </cell>
        </row>
        <row r="754">
          <cell r="C754" t="str">
            <v>a. Main bar 10 mm dia @ 100 mm c/c</v>
          </cell>
        </row>
        <row r="755">
          <cell r="C755" t="str">
            <v>17 pc. * 1.30 m = 22.10 m * 0.62 kg/m = 13.70 kg Say</v>
          </cell>
          <cell r="H755">
            <v>14</v>
          </cell>
        </row>
        <row r="757">
          <cell r="B757" t="str">
            <v>I-16B</v>
          </cell>
          <cell r="C757" t="str">
            <v>Bar Binding for R.C.C. (6mm bar)</v>
          </cell>
          <cell r="I757">
            <v>4</v>
          </cell>
          <cell r="J757" t="str">
            <v>Kg</v>
          </cell>
        </row>
        <row r="758">
          <cell r="C758" t="str">
            <v xml:space="preserve">b. Distribution bar 6 mm dia @ 150 mm c/c </v>
          </cell>
        </row>
        <row r="759">
          <cell r="C759" t="str">
            <v>4 pc. * 2.35 m = 9.40 m</v>
          </cell>
        </row>
        <row r="760">
          <cell r="C760" t="str">
            <v>6 pc. *1.35 m = 8.10 m</v>
          </cell>
        </row>
        <row r="761">
          <cell r="C761" t="str">
            <v>Total - 17.50 m * 0.22 kg/m = 3.85 kg Say</v>
          </cell>
          <cell r="H761">
            <v>4</v>
          </cell>
        </row>
        <row r="763">
          <cell r="B763" t="str">
            <v>I-17</v>
          </cell>
          <cell r="C763" t="str">
            <v>Bar Binding for Ferro-Cement Works</v>
          </cell>
          <cell r="I763">
            <v>0</v>
          </cell>
          <cell r="J763" t="str">
            <v>m2</v>
          </cell>
        </row>
        <row r="767">
          <cell r="B767" t="str">
            <v>I-18</v>
          </cell>
          <cell r="C767" t="str">
            <v>Formwork for Ferro-Cement Works</v>
          </cell>
          <cell r="I767">
            <v>0</v>
          </cell>
          <cell r="J767" t="str">
            <v>m2</v>
          </cell>
        </row>
        <row r="771">
          <cell r="B771" t="str">
            <v>I-19</v>
          </cell>
          <cell r="C771" t="str">
            <v>Cement Plaster for Ferro-Cement Work (1:3)</v>
          </cell>
          <cell r="I771">
            <v>0</v>
          </cell>
          <cell r="J771" t="str">
            <v>m2</v>
          </cell>
        </row>
        <row r="775">
          <cell r="B775" t="str">
            <v>I-20</v>
          </cell>
          <cell r="C775" t="str">
            <v>Formwork for Precast RCC Work</v>
          </cell>
          <cell r="I775">
            <v>0</v>
          </cell>
          <cell r="J775" t="str">
            <v>m2</v>
          </cell>
        </row>
        <row r="779">
          <cell r="B779" t="str">
            <v>I-21</v>
          </cell>
          <cell r="C779" t="str">
            <v>Cement Painting</v>
          </cell>
          <cell r="I779">
            <v>0</v>
          </cell>
          <cell r="J779" t="str">
            <v>m2</v>
          </cell>
        </row>
        <row r="783">
          <cell r="B783" t="str">
            <v>I-22</v>
          </cell>
          <cell r="C783" t="str">
            <v>Trench digging</v>
          </cell>
          <cell r="I783">
            <v>0</v>
          </cell>
          <cell r="J783" t="str">
            <v>m3</v>
          </cell>
        </row>
        <row r="787">
          <cell r="B787" t="str">
            <v>I-23</v>
          </cell>
          <cell r="C787" t="str">
            <v>Trench backfilling</v>
          </cell>
          <cell r="I787">
            <v>0</v>
          </cell>
          <cell r="J787" t="str">
            <v>m3</v>
          </cell>
        </row>
        <row r="791">
          <cell r="B791" t="str">
            <v>I-24</v>
          </cell>
          <cell r="C791" t="str">
            <v>Gabion Box (2mX1mX1m)</v>
          </cell>
          <cell r="I791">
            <v>0</v>
          </cell>
          <cell r="J791" t="str">
            <v>No</v>
          </cell>
        </row>
        <row r="794">
          <cell r="B794" t="str">
            <v>I-25</v>
          </cell>
          <cell r="C794" t="str">
            <v>Gabion Box (3mX1mX1m)</v>
          </cell>
          <cell r="I794">
            <v>0</v>
          </cell>
          <cell r="J794" t="str">
            <v>No</v>
          </cell>
        </row>
        <row r="798">
          <cell r="B798" t="str">
            <v>M-16</v>
          </cell>
          <cell r="C798" t="str">
            <v>Angle Pole</v>
          </cell>
          <cell r="J798" t="str">
            <v>pc</v>
          </cell>
        </row>
        <row r="799">
          <cell r="B799" t="str">
            <v>M-17</v>
          </cell>
          <cell r="C799" t="str">
            <v>Angle Pole for Gate</v>
          </cell>
          <cell r="J799" t="str">
            <v>pc</v>
          </cell>
        </row>
        <row r="800">
          <cell r="B800" t="str">
            <v>M-18</v>
          </cell>
          <cell r="C800" t="str">
            <v>Corner Angle Pole</v>
          </cell>
          <cell r="J800" t="str">
            <v>pc</v>
          </cell>
        </row>
        <row r="801">
          <cell r="B801" t="str">
            <v>M-19</v>
          </cell>
          <cell r="C801" t="str">
            <v>Bracing Angle Pole</v>
          </cell>
          <cell r="J801" t="str">
            <v>pc</v>
          </cell>
        </row>
        <row r="802">
          <cell r="B802" t="str">
            <v>M-20</v>
          </cell>
          <cell r="C802" t="str">
            <v>Polythene Sheet</v>
          </cell>
          <cell r="J802" t="str">
            <v>m</v>
          </cell>
        </row>
        <row r="803">
          <cell r="B803" t="str">
            <v>M-21</v>
          </cell>
          <cell r="C803" t="str">
            <v>Barbed Wire</v>
          </cell>
          <cell r="J803" t="str">
            <v>kg</v>
          </cell>
        </row>
        <row r="804">
          <cell r="B804" t="str">
            <v>M-22</v>
          </cell>
          <cell r="C804" t="str">
            <v>Fencing Post</v>
          </cell>
          <cell r="J804" t="str">
            <v>pc</v>
          </cell>
        </row>
        <row r="805">
          <cell r="B805" t="str">
            <v>M-23</v>
          </cell>
          <cell r="C805" t="str">
            <v>Angle Gate</v>
          </cell>
          <cell r="J805" t="str">
            <v>pc</v>
          </cell>
        </row>
        <row r="806">
          <cell r="B806" t="str">
            <v>M-24</v>
          </cell>
          <cell r="C806" t="str">
            <v>4" Hinges</v>
          </cell>
          <cell r="J806" t="str">
            <v>pc</v>
          </cell>
        </row>
        <row r="807">
          <cell r="B807" t="str">
            <v>M-25</v>
          </cell>
          <cell r="C807" t="str">
            <v>10" Aldrop</v>
          </cell>
          <cell r="J807" t="str">
            <v>pc</v>
          </cell>
        </row>
        <row r="808">
          <cell r="B808" t="str">
            <v>M-26</v>
          </cell>
          <cell r="C808" t="str">
            <v>Gate Lock Key</v>
          </cell>
          <cell r="J808" t="str">
            <v>pc</v>
          </cell>
        </row>
        <row r="809">
          <cell r="B809" t="str">
            <v>M-27</v>
          </cell>
          <cell r="C809" t="str">
            <v>Nut with bolt (8mm dia)</v>
          </cell>
          <cell r="J809" t="str">
            <v>pc</v>
          </cell>
        </row>
        <row r="810">
          <cell r="B810" t="str">
            <v>M-28</v>
          </cell>
          <cell r="C810" t="str">
            <v>Screws</v>
          </cell>
          <cell r="J810" t="str">
            <v>pc</v>
          </cell>
        </row>
        <row r="811">
          <cell r="B811" t="str">
            <v>M-29</v>
          </cell>
          <cell r="C811" t="str">
            <v>GI sheet Plain (3'x7')</v>
          </cell>
          <cell r="J811" t="str">
            <v>pc</v>
          </cell>
        </row>
        <row r="812">
          <cell r="B812" t="str">
            <v>M-30</v>
          </cell>
          <cell r="C812" t="str">
            <v>Manhole Cover (Circular)</v>
          </cell>
          <cell r="J812" t="str">
            <v>pc</v>
          </cell>
        </row>
        <row r="813">
          <cell r="B813" t="str">
            <v>M-31</v>
          </cell>
          <cell r="C813" t="str">
            <v>Manhole Cover (Square)</v>
          </cell>
          <cell r="J813" t="str">
            <v>pc</v>
          </cell>
        </row>
        <row r="814">
          <cell r="B814" t="str">
            <v>M-32</v>
          </cell>
          <cell r="C814" t="str">
            <v>Manhole Cover (Rectangle)</v>
          </cell>
          <cell r="J814" t="str">
            <v>pc</v>
          </cell>
        </row>
        <row r="815">
          <cell r="B815" t="str">
            <v>M-33</v>
          </cell>
          <cell r="C815" t="str">
            <v>Small Slab Frame (55x55)</v>
          </cell>
          <cell r="J815" t="str">
            <v>pc</v>
          </cell>
        </row>
        <row r="816">
          <cell r="B816" t="str">
            <v>M-34</v>
          </cell>
          <cell r="C816" t="str">
            <v>Big Slab Frame (75x75)</v>
          </cell>
          <cell r="J816" t="str">
            <v>pc</v>
          </cell>
        </row>
        <row r="817">
          <cell r="B817" t="str">
            <v>M-36</v>
          </cell>
          <cell r="C817" t="str">
            <v>Lime</v>
          </cell>
          <cell r="J817" t="str">
            <v>kg</v>
          </cell>
        </row>
        <row r="818">
          <cell r="B818" t="str">
            <v>M-37</v>
          </cell>
          <cell r="C818" t="str">
            <v>GI Selwage Wire (8g)</v>
          </cell>
          <cell r="J818" t="str">
            <v>kg</v>
          </cell>
        </row>
        <row r="819">
          <cell r="B819" t="str">
            <v>M-38</v>
          </cell>
          <cell r="C819" t="str">
            <v>GI Mesh Wire (10g)</v>
          </cell>
          <cell r="J819" t="str">
            <v>kg</v>
          </cell>
        </row>
        <row r="820">
          <cell r="B820" t="str">
            <v>M-41</v>
          </cell>
          <cell r="C820" t="str">
            <v>Suspension Cable (8mm)</v>
          </cell>
          <cell r="J820" t="str">
            <v>m</v>
          </cell>
        </row>
        <row r="821">
          <cell r="B821" t="str">
            <v>M-42</v>
          </cell>
          <cell r="C821" t="str">
            <v>Suspension Cable (13mm)</v>
          </cell>
          <cell r="J821" t="str">
            <v>m</v>
          </cell>
        </row>
        <row r="822">
          <cell r="B822" t="str">
            <v>M-43</v>
          </cell>
          <cell r="C822" t="str">
            <v>Bulldog Grips (8mm)</v>
          </cell>
          <cell r="J822" t="str">
            <v>pc</v>
          </cell>
        </row>
        <row r="823">
          <cell r="B823" t="str">
            <v>M-44</v>
          </cell>
          <cell r="C823" t="str">
            <v>Bulldog Grips (13mm)</v>
          </cell>
          <cell r="J823" t="str">
            <v>pc</v>
          </cell>
        </row>
        <row r="824">
          <cell r="B824" t="str">
            <v>M-45</v>
          </cell>
          <cell r="C824" t="str">
            <v>PE Tank 200 ltrs.</v>
          </cell>
          <cell r="J824" t="str">
            <v>pc</v>
          </cell>
        </row>
        <row r="825">
          <cell r="B825" t="str">
            <v>M-01</v>
          </cell>
          <cell r="C825" t="str">
            <v>Cement</v>
          </cell>
          <cell r="I825" t="e">
            <v>#DIV/0!</v>
          </cell>
          <cell r="J825" t="str">
            <v>bag</v>
          </cell>
        </row>
        <row r="826">
          <cell r="B826" t="str">
            <v>M-02</v>
          </cell>
          <cell r="C826" t="str">
            <v>Sand</v>
          </cell>
          <cell r="I826" t="e">
            <v>#DIV/0!</v>
          </cell>
          <cell r="J826" t="str">
            <v>m3</v>
          </cell>
        </row>
        <row r="827">
          <cell r="B827" t="str">
            <v>M-03</v>
          </cell>
          <cell r="C827" t="str">
            <v>Block Stone</v>
          </cell>
          <cell r="I827" t="e">
            <v>#DIV/0!</v>
          </cell>
          <cell r="J827" t="str">
            <v>m3</v>
          </cell>
        </row>
        <row r="828">
          <cell r="B828" t="str">
            <v>M-04</v>
          </cell>
          <cell r="C828" t="str">
            <v>Bond Stone</v>
          </cell>
          <cell r="I828" t="e">
            <v>#DIV/0!</v>
          </cell>
          <cell r="J828" t="str">
            <v>m3</v>
          </cell>
        </row>
        <row r="829">
          <cell r="B829" t="str">
            <v>M-05</v>
          </cell>
          <cell r="C829" t="str">
            <v>Aggregate (5-10mm)</v>
          </cell>
          <cell r="I829" t="e">
            <v>#DIV/0!</v>
          </cell>
          <cell r="J829" t="str">
            <v>m3</v>
          </cell>
        </row>
        <row r="830">
          <cell r="B830" t="str">
            <v>M-06</v>
          </cell>
          <cell r="C830" t="str">
            <v>Aggregate (10-20mm)</v>
          </cell>
          <cell r="I830" t="e">
            <v>#DIV/0!</v>
          </cell>
          <cell r="J830" t="str">
            <v>m3</v>
          </cell>
        </row>
        <row r="831">
          <cell r="B831" t="str">
            <v>M-07</v>
          </cell>
          <cell r="C831" t="str">
            <v>Aggregate (20-40mm)</v>
          </cell>
          <cell r="I831" t="e">
            <v>#DIV/0!</v>
          </cell>
          <cell r="J831" t="str">
            <v>m3</v>
          </cell>
        </row>
        <row r="832">
          <cell r="B832" t="str">
            <v>M-08</v>
          </cell>
          <cell r="C832" t="str">
            <v>Project Information Board</v>
          </cell>
          <cell r="J832" t="str">
            <v>set</v>
          </cell>
        </row>
        <row r="833">
          <cell r="B833" t="str">
            <v>M-09</v>
          </cell>
          <cell r="C833" t="str">
            <v>Reinforcement ( 6mm)</v>
          </cell>
          <cell r="I833">
            <v>4.2</v>
          </cell>
          <cell r="J833" t="str">
            <v>kg</v>
          </cell>
        </row>
        <row r="834">
          <cell r="B834" t="str">
            <v>M-10</v>
          </cell>
          <cell r="C834" t="str">
            <v>Reinforcement ( 8mm)</v>
          </cell>
          <cell r="J834" t="str">
            <v>kg</v>
          </cell>
        </row>
        <row r="835">
          <cell r="B835" t="str">
            <v>M-11</v>
          </cell>
          <cell r="C835" t="str">
            <v>Reinforcement (10mm)</v>
          </cell>
          <cell r="I835">
            <v>14.700000000000001</v>
          </cell>
          <cell r="J835" t="str">
            <v>kg</v>
          </cell>
        </row>
        <row r="836">
          <cell r="B836" t="str">
            <v>M-12</v>
          </cell>
          <cell r="C836" t="str">
            <v>Binding wire</v>
          </cell>
          <cell r="I836">
            <v>0.18000000000000002</v>
          </cell>
          <cell r="J836" t="str">
            <v>kg</v>
          </cell>
        </row>
        <row r="837">
          <cell r="B837" t="str">
            <v>M-13</v>
          </cell>
          <cell r="C837" t="str">
            <v>Plain wire (3.5 mm dia)</v>
          </cell>
          <cell r="I837">
            <v>0</v>
          </cell>
          <cell r="J837" t="str">
            <v>kg</v>
          </cell>
        </row>
        <row r="838">
          <cell r="B838" t="str">
            <v>M-14</v>
          </cell>
          <cell r="C838" t="str">
            <v>Chicken wire mesh (3 Ft wide)</v>
          </cell>
          <cell r="I838">
            <v>0</v>
          </cell>
          <cell r="J838" t="str">
            <v>m</v>
          </cell>
        </row>
        <row r="839">
          <cell r="B839" t="str">
            <v>M-15</v>
          </cell>
          <cell r="C839" t="str">
            <v>Bamboo</v>
          </cell>
          <cell r="I839">
            <v>0</v>
          </cell>
          <cell r="J839" t="str">
            <v>pc</v>
          </cell>
        </row>
        <row r="840">
          <cell r="B840" t="str">
            <v>M-35</v>
          </cell>
          <cell r="C840" t="str">
            <v>Cement Paint</v>
          </cell>
          <cell r="I840">
            <v>0</v>
          </cell>
          <cell r="J840" t="str">
            <v>kg</v>
          </cell>
        </row>
        <row r="841">
          <cell r="B841" t="str">
            <v>M-39</v>
          </cell>
          <cell r="C841" t="str">
            <v>Wood for Formwork</v>
          </cell>
          <cell r="I841">
            <v>0.18975</v>
          </cell>
          <cell r="J841" t="str">
            <v>m3</v>
          </cell>
        </row>
        <row r="842">
          <cell r="B842" t="str">
            <v>M-40</v>
          </cell>
          <cell r="C842" t="str">
            <v>Nails</v>
          </cell>
          <cell r="I842">
            <v>0.1875</v>
          </cell>
          <cell r="J842" t="str">
            <v>kg</v>
          </cell>
        </row>
        <row r="843">
          <cell r="B843" t="str">
            <v>L-1</v>
          </cell>
          <cell r="C843" t="str">
            <v>Skilled Labour</v>
          </cell>
          <cell r="I843" t="e">
            <v>#DIV/0!</v>
          </cell>
          <cell r="J843" t="str">
            <v>md</v>
          </cell>
        </row>
        <row r="844">
          <cell r="B844" t="str">
            <v>L-2</v>
          </cell>
          <cell r="C844" t="str">
            <v>Unskilled Labour</v>
          </cell>
          <cell r="I844" t="e">
            <v>#DIV/0!</v>
          </cell>
          <cell r="J844" t="str">
            <v>md</v>
          </cell>
        </row>
        <row r="845">
          <cell r="C845" t="str">
            <v>FITTINGS</v>
          </cell>
        </row>
        <row r="846">
          <cell r="C846" t="str">
            <v>Outlet Pipe Dia</v>
          </cell>
          <cell r="D846">
            <v>0</v>
          </cell>
        </row>
        <row r="847">
          <cell r="C847" t="str">
            <v>Washout Pipe Dia</v>
          </cell>
          <cell r="D847">
            <v>0</v>
          </cell>
        </row>
        <row r="848">
          <cell r="B848" t="str">
            <v>HP2.5-75</v>
          </cell>
          <cell r="C848" t="str">
            <v>HDPE Pipe(75mm) - 2.5 kgf/cm2</v>
          </cell>
          <cell r="J848" t="str">
            <v>m</v>
          </cell>
        </row>
        <row r="849">
          <cell r="B849" t="str">
            <v>GPM-15</v>
          </cell>
          <cell r="C849" t="str">
            <v>G.I. Pipe (1/2") - MC</v>
          </cell>
          <cell r="J849" t="str">
            <v>m</v>
          </cell>
        </row>
        <row r="850">
          <cell r="B850" t="str">
            <v>GEL-15</v>
          </cell>
          <cell r="C850" t="str">
            <v xml:space="preserve">G.I. Elbow (1/2") </v>
          </cell>
          <cell r="J850" t="str">
            <v>pc</v>
          </cell>
        </row>
        <row r="851">
          <cell r="B851" t="str">
            <v>GSO-15</v>
          </cell>
          <cell r="C851" t="str">
            <v>G.I. Socket (1/2")</v>
          </cell>
          <cell r="J851" t="str">
            <v>pc</v>
          </cell>
        </row>
        <row r="852">
          <cell r="B852" t="str">
            <v>BT400-15</v>
          </cell>
          <cell r="C852" t="str">
            <v>Brass Tap ( 400g )</v>
          </cell>
          <cell r="J852" t="str">
            <v>pc</v>
          </cell>
        </row>
        <row r="853">
          <cell r="B853" t="str">
            <v>BU-20</v>
          </cell>
          <cell r="C853" t="str">
            <v>Brass Union  (20mm x 1/2")</v>
          </cell>
          <cell r="J853" t="str">
            <v>pc</v>
          </cell>
        </row>
        <row r="854">
          <cell r="B854" t="str">
            <v>BRT-15</v>
          </cell>
          <cell r="C854" t="str">
            <v>Regulating Tee (1/2")</v>
          </cell>
          <cell r="J854" t="str">
            <v>pc</v>
          </cell>
        </row>
        <row r="857">
          <cell r="B857" t="str">
            <v>I-01</v>
          </cell>
          <cell r="C857" t="str">
            <v>Earth Work in Excavation</v>
          </cell>
          <cell r="I857" t="e">
            <v>#DIV/0!</v>
          </cell>
          <cell r="J857" t="str">
            <v>m3</v>
          </cell>
        </row>
        <row r="858">
          <cell r="C858" t="str">
            <v>Dam / Intake</v>
          </cell>
          <cell r="D858">
            <v>1</v>
          </cell>
          <cell r="E858" t="e">
            <v>#DIV/0!</v>
          </cell>
          <cell r="F858">
            <v>0.35</v>
          </cell>
          <cell r="G858">
            <v>0.25</v>
          </cell>
          <cell r="H858" t="e">
            <v>#DIV/0!</v>
          </cell>
        </row>
        <row r="859">
          <cell r="C859" t="str">
            <v>Collection Chamber</v>
          </cell>
          <cell r="D859">
            <v>1</v>
          </cell>
          <cell r="E859">
            <v>2.4</v>
          </cell>
          <cell r="F859">
            <v>1.35</v>
          </cell>
          <cell r="G859">
            <v>1.1500000000000001</v>
          </cell>
          <cell r="H859">
            <v>3.7260000000000004</v>
          </cell>
        </row>
        <row r="860">
          <cell r="C860" t="str">
            <v>Deduction</v>
          </cell>
        </row>
        <row r="861">
          <cell r="C861" t="str">
            <v>Front Wall of Dam Intake</v>
          </cell>
          <cell r="D861">
            <v>-1</v>
          </cell>
          <cell r="E861">
            <v>1.35</v>
          </cell>
          <cell r="F861">
            <v>0.35</v>
          </cell>
          <cell r="G861">
            <v>0.25</v>
          </cell>
          <cell r="H861">
            <v>-0.11812499999999999</v>
          </cell>
        </row>
        <row r="862">
          <cell r="C862" t="str">
            <v>At the Bed of Water Chamber</v>
          </cell>
        </row>
        <row r="863">
          <cell r="C863" t="str">
            <v>Rectangular Portion</v>
          </cell>
          <cell r="D863">
            <v>-1</v>
          </cell>
          <cell r="E863">
            <v>1.35</v>
          </cell>
          <cell r="F863">
            <v>1.1000000000000001</v>
          </cell>
          <cell r="G863">
            <v>0.20000000000000009</v>
          </cell>
          <cell r="H863">
            <v>-0.29700000000000015</v>
          </cell>
        </row>
        <row r="864">
          <cell r="C864" t="str">
            <v>Triangular Portion</v>
          </cell>
          <cell r="D864">
            <v>-0.5</v>
          </cell>
          <cell r="E864">
            <v>1.35</v>
          </cell>
          <cell r="F864">
            <v>0.3</v>
          </cell>
          <cell r="G864">
            <v>0.20000000000000009</v>
          </cell>
          <cell r="H864">
            <v>-4.0500000000000022E-2</v>
          </cell>
        </row>
        <row r="866">
          <cell r="B866" t="str">
            <v>I-02</v>
          </cell>
          <cell r="C866" t="str">
            <v>Earth Work in Backfilling</v>
          </cell>
          <cell r="I866">
            <v>0</v>
          </cell>
          <cell r="J866" t="str">
            <v>m3</v>
          </cell>
        </row>
        <row r="870">
          <cell r="B870" t="str">
            <v>I-03</v>
          </cell>
          <cell r="C870" t="str">
            <v>Dry Stone Soling</v>
          </cell>
          <cell r="I870">
            <v>0.48599999999999999</v>
          </cell>
          <cell r="J870" t="str">
            <v>m3</v>
          </cell>
        </row>
        <row r="871">
          <cell r="C871" t="str">
            <v>Foundation</v>
          </cell>
          <cell r="D871">
            <v>1</v>
          </cell>
          <cell r="E871">
            <v>2.4</v>
          </cell>
          <cell r="F871">
            <v>1.35</v>
          </cell>
          <cell r="G871">
            <v>0.15</v>
          </cell>
          <cell r="H871">
            <v>0.48599999999999999</v>
          </cell>
        </row>
        <row r="873">
          <cell r="B873" t="str">
            <v>I-04</v>
          </cell>
          <cell r="C873" t="str">
            <v>P.C.C. (1:2:4)</v>
          </cell>
          <cell r="I873" t="e">
            <v>#DIV/0!</v>
          </cell>
          <cell r="J873" t="str">
            <v>m3</v>
          </cell>
        </row>
        <row r="874">
          <cell r="C874" t="str">
            <v>at Bottom of Dam / Intake</v>
          </cell>
          <cell r="D874">
            <v>1</v>
          </cell>
          <cell r="E874" t="e">
            <v>#DIV/0!</v>
          </cell>
          <cell r="F874">
            <v>0.35</v>
          </cell>
          <cell r="G874">
            <v>0.1</v>
          </cell>
          <cell r="H874" t="e">
            <v>#DIV/0!</v>
          </cell>
        </row>
        <row r="875">
          <cell r="C875" t="str">
            <v>Top of Wing Wall</v>
          </cell>
          <cell r="D875">
            <v>2</v>
          </cell>
          <cell r="E875" t="e">
            <v>#DIV/0!</v>
          </cell>
          <cell r="F875">
            <v>0.35</v>
          </cell>
          <cell r="G875">
            <v>0.1</v>
          </cell>
          <cell r="H875" t="e">
            <v>#DIV/0!</v>
          </cell>
        </row>
        <row r="876">
          <cell r="C876" t="str">
            <v>Top of Front Wall of Intake</v>
          </cell>
          <cell r="D876">
            <v>1</v>
          </cell>
          <cell r="E876" t="e">
            <v>#DIV/0!</v>
          </cell>
          <cell r="F876">
            <v>0.35</v>
          </cell>
          <cell r="G876">
            <v>0.1</v>
          </cell>
          <cell r="H876" t="e">
            <v>#DIV/0!</v>
          </cell>
        </row>
        <row r="877">
          <cell r="C877" t="str">
            <v>at the Foundation of CC</v>
          </cell>
          <cell r="D877">
            <v>1</v>
          </cell>
          <cell r="E877">
            <v>2.4</v>
          </cell>
          <cell r="F877">
            <v>1.35</v>
          </cell>
          <cell r="G877">
            <v>0.1</v>
          </cell>
          <cell r="H877">
            <v>0.32400000000000001</v>
          </cell>
        </row>
        <row r="878">
          <cell r="C878" t="str">
            <v>at the Triangular Portion below the overflow</v>
          </cell>
          <cell r="D878">
            <v>0.5</v>
          </cell>
          <cell r="E878">
            <v>1.35</v>
          </cell>
          <cell r="F878">
            <v>0.3</v>
          </cell>
          <cell r="G878">
            <v>0.20000000000000009</v>
          </cell>
          <cell r="H878">
            <v>4.0500000000000022E-2</v>
          </cell>
        </row>
        <row r="879">
          <cell r="C879" t="str">
            <v>Deduction</v>
          </cell>
        </row>
        <row r="880">
          <cell r="C880" t="str">
            <v>RCC projection at dam wall</v>
          </cell>
          <cell r="D880">
            <v>-1</v>
          </cell>
          <cell r="E880">
            <v>1.35</v>
          </cell>
          <cell r="F880">
            <v>0.35</v>
          </cell>
          <cell r="G880">
            <v>0.1</v>
          </cell>
          <cell r="H880">
            <v>-4.725E-2</v>
          </cell>
        </row>
        <row r="882">
          <cell r="B882" t="str">
            <v>I-05</v>
          </cell>
          <cell r="C882" t="str">
            <v>P.C.C. for Pre-cast Slab (1:2:4)</v>
          </cell>
          <cell r="I882">
            <v>0</v>
          </cell>
          <cell r="J882" t="str">
            <v>m3</v>
          </cell>
        </row>
        <row r="886">
          <cell r="B886" t="str">
            <v>I-06</v>
          </cell>
          <cell r="C886" t="str">
            <v>P.C.C. for R.C.C. (1:2:4)</v>
          </cell>
          <cell r="I886">
            <v>0.32400000000000001</v>
          </cell>
          <cell r="J886" t="str">
            <v>m3</v>
          </cell>
        </row>
        <row r="887">
          <cell r="C887" t="str">
            <v>Slab of CC with Manhole Cover</v>
          </cell>
          <cell r="D887">
            <v>1</v>
          </cell>
          <cell r="E887">
            <v>2.4</v>
          </cell>
          <cell r="F887">
            <v>1.35</v>
          </cell>
          <cell r="G887">
            <v>0.1</v>
          </cell>
          <cell r="H887">
            <v>0.32400000000000001</v>
          </cell>
        </row>
        <row r="889">
          <cell r="B889" t="str">
            <v>I-07</v>
          </cell>
          <cell r="C889" t="str">
            <v>Random Rubble Masonry (1:4)</v>
          </cell>
          <cell r="I889" t="e">
            <v>#DIV/0!</v>
          </cell>
          <cell r="J889" t="str">
            <v>m3</v>
          </cell>
        </row>
        <row r="890">
          <cell r="C890" t="str">
            <v>I Dam Intake</v>
          </cell>
        </row>
        <row r="891">
          <cell r="C891" t="str">
            <v>Front Wall</v>
          </cell>
          <cell r="D891">
            <v>1</v>
          </cell>
          <cell r="E891" t="e">
            <v>#DIV/0!</v>
          </cell>
          <cell r="F891">
            <v>0.35</v>
          </cell>
          <cell r="G891">
            <v>0.30000000000000004</v>
          </cell>
          <cell r="H891" t="e">
            <v>#DIV/0!</v>
          </cell>
        </row>
        <row r="892">
          <cell r="C892" t="str">
            <v>Wing Wall</v>
          </cell>
          <cell r="D892">
            <v>2</v>
          </cell>
          <cell r="E892" t="e">
            <v>#DIV/0!</v>
          </cell>
          <cell r="F892">
            <v>0.35</v>
          </cell>
          <cell r="G892">
            <v>0.30000000000000004</v>
          </cell>
          <cell r="H892" t="e">
            <v>#DIV/0!</v>
          </cell>
        </row>
        <row r="893">
          <cell r="C893" t="str">
            <v>ii Collection Chamber</v>
          </cell>
        </row>
        <row r="894">
          <cell r="C894" t="str">
            <v>Long Wall</v>
          </cell>
          <cell r="D894">
            <v>2</v>
          </cell>
          <cell r="E894">
            <v>2.0499999999999998</v>
          </cell>
          <cell r="F894">
            <v>0.3</v>
          </cell>
          <cell r="G894">
            <v>1.05</v>
          </cell>
          <cell r="H894">
            <v>1.2914999999999999</v>
          </cell>
        </row>
        <row r="895">
          <cell r="C895" t="str">
            <v>Short Wall</v>
          </cell>
          <cell r="D895">
            <v>1</v>
          </cell>
          <cell r="E895">
            <v>0.75</v>
          </cell>
          <cell r="F895">
            <v>0.3</v>
          </cell>
          <cell r="G895">
            <v>1.05</v>
          </cell>
          <cell r="H895">
            <v>0.23625000000000002</v>
          </cell>
        </row>
        <row r="896">
          <cell r="C896" t="str">
            <v>Wall below the Dam Front Wall</v>
          </cell>
          <cell r="D896">
            <v>1</v>
          </cell>
          <cell r="E896">
            <v>0.75</v>
          </cell>
          <cell r="F896">
            <v>0.35</v>
          </cell>
          <cell r="G896">
            <v>0.45</v>
          </cell>
          <cell r="H896">
            <v>0.11812500000000001</v>
          </cell>
        </row>
        <row r="897">
          <cell r="C897" t="str">
            <v>Overflow Wall</v>
          </cell>
          <cell r="D897">
            <v>1</v>
          </cell>
          <cell r="E897">
            <v>0.75</v>
          </cell>
          <cell r="F897">
            <v>0.3</v>
          </cell>
          <cell r="G897">
            <v>0.42499999999999999</v>
          </cell>
          <cell r="H897">
            <v>9.5625000000000002E-2</v>
          </cell>
        </row>
        <row r="898">
          <cell r="C898" t="str">
            <v>Deduction</v>
          </cell>
        </row>
        <row r="899">
          <cell r="C899" t="str">
            <v>Dry Wall of Dam Front Wall</v>
          </cell>
          <cell r="D899">
            <v>-1</v>
          </cell>
          <cell r="E899">
            <v>0.5</v>
          </cell>
          <cell r="F899">
            <v>0.35</v>
          </cell>
          <cell r="G899">
            <v>0.30000000000000004</v>
          </cell>
          <cell r="H899">
            <v>-5.2500000000000005E-2</v>
          </cell>
        </row>
        <row r="900">
          <cell r="C900" t="str">
            <v>Rised portion below Water Chamber</v>
          </cell>
          <cell r="D900">
            <v>-2</v>
          </cell>
          <cell r="E900">
            <v>1.35</v>
          </cell>
          <cell r="F900">
            <v>0.3</v>
          </cell>
          <cell r="G900">
            <v>0.20000000000000009</v>
          </cell>
          <cell r="H900">
            <v>-0.16200000000000009</v>
          </cell>
        </row>
        <row r="902">
          <cell r="B902" t="str">
            <v>I-08</v>
          </cell>
          <cell r="C902" t="str">
            <v>Random Rubble Masonry (1:6)</v>
          </cell>
          <cell r="I902">
            <v>0</v>
          </cell>
          <cell r="J902" t="str">
            <v>m3</v>
          </cell>
        </row>
        <row r="906">
          <cell r="B906" t="str">
            <v>I-09</v>
          </cell>
          <cell r="C906" t="str">
            <v>Dry Stone masonry</v>
          </cell>
          <cell r="I906">
            <v>5.2500000000000005E-2</v>
          </cell>
          <cell r="J906" t="str">
            <v>m3</v>
          </cell>
        </row>
        <row r="907">
          <cell r="C907" t="str">
            <v>Inside of Dam Intake</v>
          </cell>
          <cell r="D907">
            <v>1</v>
          </cell>
          <cell r="E907">
            <v>0</v>
          </cell>
          <cell r="F907">
            <v>0</v>
          </cell>
          <cell r="G907">
            <v>0.4</v>
          </cell>
          <cell r="H907">
            <v>0</v>
          </cell>
        </row>
        <row r="908">
          <cell r="C908" t="str">
            <v>Outlet Opening at Front Dam Wall</v>
          </cell>
          <cell r="D908">
            <v>1</v>
          </cell>
          <cell r="E908">
            <v>0.5</v>
          </cell>
          <cell r="F908">
            <v>0.35</v>
          </cell>
          <cell r="G908">
            <v>0.30000000000000004</v>
          </cell>
          <cell r="H908">
            <v>5.2500000000000005E-2</v>
          </cell>
        </row>
        <row r="910">
          <cell r="B910" t="str">
            <v>I-10</v>
          </cell>
          <cell r="C910" t="str">
            <v>Form Work for P.C.C.</v>
          </cell>
          <cell r="I910">
            <v>0.75</v>
          </cell>
          <cell r="J910" t="str">
            <v>m2</v>
          </cell>
        </row>
        <row r="911">
          <cell r="C911" t="str">
            <v>at the Collection Chamber</v>
          </cell>
          <cell r="D911">
            <v>1</v>
          </cell>
          <cell r="E911">
            <v>1.75</v>
          </cell>
          <cell r="F911">
            <v>0.75</v>
          </cell>
          <cell r="H911">
            <v>1.3125</v>
          </cell>
        </row>
        <row r="912">
          <cell r="C912" t="str">
            <v>Deduction of Manhole Cover</v>
          </cell>
          <cell r="D912">
            <v>-1</v>
          </cell>
          <cell r="E912">
            <v>0.75</v>
          </cell>
          <cell r="F912">
            <v>0.75</v>
          </cell>
          <cell r="H912">
            <v>-0.5625</v>
          </cell>
        </row>
        <row r="914">
          <cell r="B914" t="str">
            <v>I-11</v>
          </cell>
          <cell r="C914" t="str">
            <v>12.5mm Cement Plaster (1:2)</v>
          </cell>
          <cell r="I914" t="e">
            <v>#DIV/0!</v>
          </cell>
          <cell r="J914" t="str">
            <v>m2</v>
          </cell>
        </row>
        <row r="915">
          <cell r="C915" t="str">
            <v>I Dam / Intake</v>
          </cell>
        </row>
        <row r="916">
          <cell r="C916" t="str">
            <v>at the Bottom</v>
          </cell>
          <cell r="D916">
            <v>1</v>
          </cell>
          <cell r="E916">
            <v>0</v>
          </cell>
          <cell r="F916">
            <v>0</v>
          </cell>
          <cell r="H916">
            <v>0</v>
          </cell>
        </row>
        <row r="917">
          <cell r="C917" t="str">
            <v>Inside Wall</v>
          </cell>
          <cell r="D917">
            <v>1</v>
          </cell>
          <cell r="E917" t="e">
            <v>#DIV/0!</v>
          </cell>
          <cell r="G917">
            <v>0.4</v>
          </cell>
          <cell r="H917" t="e">
            <v>#DIV/0!</v>
          </cell>
        </row>
        <row r="918">
          <cell r="C918" t="str">
            <v>Outside Wall</v>
          </cell>
          <cell r="D918">
            <v>1</v>
          </cell>
          <cell r="E918" t="e">
            <v>#DIV/0!</v>
          </cell>
          <cell r="G918">
            <v>0.4</v>
          </cell>
          <cell r="H918" t="e">
            <v>#DIV/0!</v>
          </cell>
        </row>
        <row r="919">
          <cell r="C919" t="str">
            <v>at the Top of Wall</v>
          </cell>
        </row>
        <row r="920">
          <cell r="C920" t="str">
            <v>Wing Wall</v>
          </cell>
          <cell r="D920">
            <v>2</v>
          </cell>
          <cell r="E920" t="e">
            <v>#DIV/0!</v>
          </cell>
          <cell r="F920">
            <v>0.35</v>
          </cell>
          <cell r="H920" t="e">
            <v>#DIV/0!</v>
          </cell>
        </row>
        <row r="921">
          <cell r="C921" t="str">
            <v>Front Wall</v>
          </cell>
          <cell r="D921">
            <v>1</v>
          </cell>
          <cell r="E921" t="e">
            <v>#DIV/0!</v>
          </cell>
          <cell r="F921">
            <v>0.35</v>
          </cell>
          <cell r="H921" t="e">
            <v>#DIV/0!</v>
          </cell>
        </row>
        <row r="922">
          <cell r="C922" t="str">
            <v>Sides of Outlet Opening of dam Wall</v>
          </cell>
          <cell r="D922">
            <v>2</v>
          </cell>
          <cell r="E922">
            <v>0.35</v>
          </cell>
          <cell r="F922">
            <v>0.4</v>
          </cell>
          <cell r="H922">
            <v>0.27999999999999997</v>
          </cell>
        </row>
        <row r="923">
          <cell r="C923" t="str">
            <v>ii Collection Chamber</v>
          </cell>
        </row>
        <row r="924">
          <cell r="C924" t="str">
            <v>Bottom of Water Chamber</v>
          </cell>
          <cell r="D924">
            <v>1</v>
          </cell>
          <cell r="E924">
            <v>0.75</v>
          </cell>
          <cell r="F924">
            <v>0.75</v>
          </cell>
          <cell r="H924">
            <v>0.5625</v>
          </cell>
        </row>
        <row r="925">
          <cell r="C925" t="str">
            <v>Bottom of Valve Chamber</v>
          </cell>
          <cell r="D925">
            <v>1</v>
          </cell>
          <cell r="E925">
            <v>0.7</v>
          </cell>
          <cell r="F925">
            <v>0.75</v>
          </cell>
          <cell r="H925">
            <v>0.52499999999999991</v>
          </cell>
        </row>
        <row r="926">
          <cell r="C926" t="str">
            <v>Inside Wall of Water Chamber</v>
          </cell>
          <cell r="D926">
            <v>1</v>
          </cell>
          <cell r="E926">
            <v>2.25</v>
          </cell>
          <cell r="G926">
            <v>0.85000000000000009</v>
          </cell>
          <cell r="H926">
            <v>1.9125000000000001</v>
          </cell>
        </row>
        <row r="927">
          <cell r="C927" t="str">
            <v>Inside Wall of Valve Chamber</v>
          </cell>
          <cell r="D927">
            <v>1</v>
          </cell>
          <cell r="E927">
            <v>2.15</v>
          </cell>
          <cell r="G927">
            <v>1.1000000000000001</v>
          </cell>
          <cell r="H927">
            <v>2.3650000000000002</v>
          </cell>
        </row>
        <row r="928">
          <cell r="C928" t="str">
            <v>Overflow Wall - at Inside</v>
          </cell>
          <cell r="D928">
            <v>1</v>
          </cell>
          <cell r="E928">
            <v>0.75</v>
          </cell>
          <cell r="G928">
            <v>0.45</v>
          </cell>
          <cell r="H928">
            <v>0.33750000000000002</v>
          </cell>
        </row>
        <row r="929">
          <cell r="C929" t="str">
            <v>Overflow Wall - at Outside</v>
          </cell>
          <cell r="D929">
            <v>1</v>
          </cell>
          <cell r="E929">
            <v>0.75</v>
          </cell>
          <cell r="G929">
            <v>0.60000000000000009</v>
          </cell>
          <cell r="H929">
            <v>0.45000000000000007</v>
          </cell>
        </row>
        <row r="930">
          <cell r="C930" t="str">
            <v>Top of Overflow Wall</v>
          </cell>
          <cell r="D930">
            <v>1</v>
          </cell>
          <cell r="E930">
            <v>0.75</v>
          </cell>
          <cell r="F930">
            <v>0.3</v>
          </cell>
          <cell r="H930">
            <v>0.22499999999999998</v>
          </cell>
        </row>
        <row r="931">
          <cell r="C931" t="str">
            <v>Wall above the Overflow Wall</v>
          </cell>
          <cell r="D931">
            <v>2</v>
          </cell>
        </row>
        <row r="932">
          <cell r="C932" t="str">
            <v>Celling of Slab</v>
          </cell>
          <cell r="D932">
            <v>1</v>
          </cell>
          <cell r="E932">
            <v>1.75</v>
          </cell>
          <cell r="F932">
            <v>0.75</v>
          </cell>
          <cell r="H932">
            <v>1.3125</v>
          </cell>
        </row>
        <row r="933">
          <cell r="C933" t="str">
            <v>Outside Wall of CC</v>
          </cell>
          <cell r="D933">
            <v>1</v>
          </cell>
          <cell r="E933">
            <v>5.4499999999999993</v>
          </cell>
          <cell r="G933">
            <v>0.3</v>
          </cell>
          <cell r="H933">
            <v>1.6349999999999998</v>
          </cell>
        </row>
        <row r="934">
          <cell r="C934" t="str">
            <v>Top of the CC Slab</v>
          </cell>
          <cell r="D934">
            <v>1</v>
          </cell>
          <cell r="E934">
            <v>2.0499999999999998</v>
          </cell>
          <cell r="F934">
            <v>1.35</v>
          </cell>
          <cell r="H934">
            <v>2.7675000000000001</v>
          </cell>
        </row>
        <row r="935">
          <cell r="C935" t="str">
            <v>Deduction</v>
          </cell>
        </row>
        <row r="936">
          <cell r="C936" t="str">
            <v>Dry Wall portion of Front Dam Wall</v>
          </cell>
          <cell r="D936">
            <v>-1</v>
          </cell>
          <cell r="E936">
            <v>0.5</v>
          </cell>
          <cell r="G936">
            <v>0.30000000000000004</v>
          </cell>
          <cell r="H936">
            <v>-0.15000000000000002</v>
          </cell>
        </row>
        <row r="938">
          <cell r="B938" t="str">
            <v>I-12</v>
          </cell>
          <cell r="C938" t="str">
            <v>12.5mm Cement Plaster (1:3)</v>
          </cell>
          <cell r="I938">
            <v>0</v>
          </cell>
          <cell r="J938" t="str">
            <v>m2</v>
          </cell>
        </row>
        <row r="942">
          <cell r="B942" t="str">
            <v>I-13</v>
          </cell>
          <cell r="C942" t="str">
            <v>12.5mm Cement Plaster (1:4)</v>
          </cell>
          <cell r="I942">
            <v>0</v>
          </cell>
          <cell r="J942" t="str">
            <v>m2</v>
          </cell>
        </row>
        <row r="946">
          <cell r="B946" t="str">
            <v>I-14</v>
          </cell>
          <cell r="C946" t="str">
            <v>Cement Pointing (1:3)</v>
          </cell>
          <cell r="I946" t="e">
            <v>#DIV/0!</v>
          </cell>
          <cell r="J946" t="str">
            <v>m2</v>
          </cell>
        </row>
        <row r="947">
          <cell r="C947" t="str">
            <v>I Dam / Intake</v>
          </cell>
        </row>
        <row r="948">
          <cell r="C948" t="str">
            <v>at the Bottom</v>
          </cell>
          <cell r="D948">
            <v>1</v>
          </cell>
          <cell r="E948">
            <v>0</v>
          </cell>
          <cell r="F948">
            <v>0</v>
          </cell>
          <cell r="H948">
            <v>0</v>
          </cell>
        </row>
        <row r="949">
          <cell r="C949" t="str">
            <v>Inside Wall</v>
          </cell>
          <cell r="D949">
            <v>1</v>
          </cell>
          <cell r="E949" t="e">
            <v>#DIV/0!</v>
          </cell>
          <cell r="G949">
            <v>0.30000000000000004</v>
          </cell>
          <cell r="H949" t="e">
            <v>#DIV/0!</v>
          </cell>
        </row>
        <row r="950">
          <cell r="C950" t="str">
            <v>Bottom of Dry Wall at Front Dam Wall</v>
          </cell>
          <cell r="D950">
            <v>1</v>
          </cell>
          <cell r="E950">
            <v>0.1</v>
          </cell>
          <cell r="F950">
            <v>0.35</v>
          </cell>
          <cell r="H950">
            <v>3.4999999999999996E-2</v>
          </cell>
        </row>
        <row r="951">
          <cell r="C951" t="str">
            <v>ii Collection Chamber</v>
          </cell>
        </row>
        <row r="952">
          <cell r="C952" t="str">
            <v>Bottom of Water Chamber</v>
          </cell>
          <cell r="D952">
            <v>1</v>
          </cell>
          <cell r="E952">
            <v>0.75</v>
          </cell>
          <cell r="F952">
            <v>0.75</v>
          </cell>
          <cell r="H952">
            <v>0.5625</v>
          </cell>
        </row>
        <row r="953">
          <cell r="C953" t="str">
            <v>Inside Wall of Water Chamber</v>
          </cell>
          <cell r="D953">
            <v>1</v>
          </cell>
          <cell r="E953">
            <v>3</v>
          </cell>
          <cell r="G953">
            <v>0.45</v>
          </cell>
          <cell r="H953">
            <v>1.35</v>
          </cell>
        </row>
        <row r="954">
          <cell r="C954" t="str">
            <v>Top of Overflow Wall</v>
          </cell>
          <cell r="D954">
            <v>1</v>
          </cell>
          <cell r="E954">
            <v>0.75</v>
          </cell>
          <cell r="F954">
            <v>0.3</v>
          </cell>
          <cell r="H954">
            <v>0.22499999999999998</v>
          </cell>
        </row>
        <row r="956">
          <cell r="B956" t="str">
            <v>I-15</v>
          </cell>
          <cell r="C956" t="str">
            <v>3mm Cement Punning</v>
          </cell>
          <cell r="I956" t="e">
            <v>#DIV/0!</v>
          </cell>
          <cell r="J956" t="str">
            <v>m2</v>
          </cell>
        </row>
        <row r="957">
          <cell r="C957" t="str">
            <v>I Dam / Intake</v>
          </cell>
        </row>
        <row r="958">
          <cell r="C958" t="str">
            <v>at the Bottom</v>
          </cell>
          <cell r="D958">
            <v>1</v>
          </cell>
          <cell r="E958">
            <v>0</v>
          </cell>
          <cell r="F958">
            <v>0</v>
          </cell>
          <cell r="H958">
            <v>0</v>
          </cell>
        </row>
        <row r="959">
          <cell r="C959" t="str">
            <v>Inside Wall</v>
          </cell>
          <cell r="D959">
            <v>1</v>
          </cell>
          <cell r="E959" t="e">
            <v>#DIV/0!</v>
          </cell>
          <cell r="G959">
            <v>0.30000000000000004</v>
          </cell>
          <cell r="H959" t="e">
            <v>#DIV/0!</v>
          </cell>
        </row>
        <row r="960">
          <cell r="C960" t="str">
            <v>Bottom of Dry Wall at Front Dam Wall</v>
          </cell>
          <cell r="D960">
            <v>1</v>
          </cell>
          <cell r="E960">
            <v>0.1</v>
          </cell>
          <cell r="F960">
            <v>0.35</v>
          </cell>
          <cell r="H960">
            <v>3.4999999999999996E-2</v>
          </cell>
        </row>
        <row r="961">
          <cell r="C961" t="str">
            <v>ii Collection Chamber</v>
          </cell>
        </row>
        <row r="962">
          <cell r="C962" t="str">
            <v>Bottom of Water Chamber</v>
          </cell>
          <cell r="D962">
            <v>1</v>
          </cell>
          <cell r="E962">
            <v>0.75</v>
          </cell>
          <cell r="F962">
            <v>0.75</v>
          </cell>
          <cell r="H962">
            <v>0.5625</v>
          </cell>
        </row>
        <row r="963">
          <cell r="C963" t="str">
            <v>Inside Wall of Water Chamber</v>
          </cell>
          <cell r="D963">
            <v>1</v>
          </cell>
          <cell r="E963">
            <v>3</v>
          </cell>
          <cell r="G963">
            <v>0.45</v>
          </cell>
          <cell r="H963">
            <v>1.35</v>
          </cell>
        </row>
        <row r="964">
          <cell r="C964" t="str">
            <v>Top of Overflow Wall</v>
          </cell>
          <cell r="D964">
            <v>1</v>
          </cell>
          <cell r="E964">
            <v>0.75</v>
          </cell>
          <cell r="F964">
            <v>0.3</v>
          </cell>
          <cell r="H964">
            <v>0.22499999999999998</v>
          </cell>
        </row>
        <row r="966">
          <cell r="B966" t="str">
            <v>I-16A</v>
          </cell>
          <cell r="C966" t="str">
            <v>Bar Binding for R.C.C. (10mm bar)</v>
          </cell>
          <cell r="I966">
            <v>14</v>
          </cell>
          <cell r="J966" t="str">
            <v>Kg</v>
          </cell>
        </row>
        <row r="967">
          <cell r="C967" t="str">
            <v>a. Main bar 10 mm dia @ 100 mm c/c</v>
          </cell>
        </row>
        <row r="968">
          <cell r="C968" t="str">
            <v>17 pc. * 1.30 m = 22.10 m * 0.62 kg/m = 13.70 kg Say</v>
          </cell>
          <cell r="H968">
            <v>14</v>
          </cell>
        </row>
        <row r="970">
          <cell r="B970" t="str">
            <v>I-16B</v>
          </cell>
          <cell r="C970" t="str">
            <v>Bar Binding for R.C.C. (6mm bar)</v>
          </cell>
          <cell r="I970">
            <v>4</v>
          </cell>
          <cell r="J970" t="str">
            <v>Kg</v>
          </cell>
        </row>
        <row r="971">
          <cell r="C971" t="str">
            <v xml:space="preserve">b. Distribution bar 6 mm dia @ 150 mm c/c </v>
          </cell>
        </row>
        <row r="972">
          <cell r="C972" t="str">
            <v>4 pc. * 2.35 m = 9.40 m</v>
          </cell>
        </row>
        <row r="973">
          <cell r="C973" t="str">
            <v>6 pc. *1.35 m = 8.10 m</v>
          </cell>
        </row>
        <row r="974">
          <cell r="C974" t="str">
            <v>Total - 17.50 m * 0.22 kg/m = 3.85 kg Say</v>
          </cell>
          <cell r="H974">
            <v>4</v>
          </cell>
        </row>
        <row r="976">
          <cell r="B976" t="str">
            <v>I-17</v>
          </cell>
          <cell r="C976" t="str">
            <v>Bar Binding for Ferro-Cement Works</v>
          </cell>
          <cell r="I976">
            <v>0</v>
          </cell>
          <cell r="J976" t="str">
            <v>m2</v>
          </cell>
        </row>
        <row r="980">
          <cell r="B980" t="str">
            <v>I-18</v>
          </cell>
          <cell r="C980" t="str">
            <v>Formwork for Ferro-Cement Works</v>
          </cell>
          <cell r="I980">
            <v>0</v>
          </cell>
          <cell r="J980" t="str">
            <v>m2</v>
          </cell>
        </row>
        <row r="984">
          <cell r="B984" t="str">
            <v>I-19</v>
          </cell>
          <cell r="C984" t="str">
            <v>Cement Plaster for Ferro-Cement Work (1:3)</v>
          </cell>
          <cell r="I984">
            <v>0</v>
          </cell>
          <cell r="J984" t="str">
            <v>m2</v>
          </cell>
        </row>
        <row r="988">
          <cell r="B988" t="str">
            <v>I-20</v>
          </cell>
          <cell r="C988" t="str">
            <v>Formwork for Precast RCC Work</v>
          </cell>
          <cell r="I988">
            <v>0</v>
          </cell>
          <cell r="J988" t="str">
            <v>m2</v>
          </cell>
        </row>
        <row r="992">
          <cell r="B992" t="str">
            <v>I-21</v>
          </cell>
          <cell r="C992" t="str">
            <v>Cement Painting</v>
          </cell>
          <cell r="I992">
            <v>0</v>
          </cell>
          <cell r="J992" t="str">
            <v>m2</v>
          </cell>
        </row>
        <row r="996">
          <cell r="B996" t="str">
            <v>I-22</v>
          </cell>
          <cell r="C996" t="str">
            <v>Trench digging</v>
          </cell>
          <cell r="I996">
            <v>0</v>
          </cell>
          <cell r="J996" t="str">
            <v>m3</v>
          </cell>
        </row>
        <row r="1000">
          <cell r="B1000" t="str">
            <v>I-23</v>
          </cell>
          <cell r="C1000" t="str">
            <v>Trench backfilling</v>
          </cell>
          <cell r="I1000">
            <v>0</v>
          </cell>
          <cell r="J1000" t="str">
            <v>m3</v>
          </cell>
        </row>
        <row r="1004">
          <cell r="B1004" t="str">
            <v>I-24</v>
          </cell>
          <cell r="C1004" t="str">
            <v>Gabion Box (2mX1mX1m)</v>
          </cell>
          <cell r="I1004">
            <v>0</v>
          </cell>
          <cell r="J1004" t="str">
            <v>No</v>
          </cell>
        </row>
        <row r="1007">
          <cell r="B1007" t="str">
            <v>I-25</v>
          </cell>
          <cell r="C1007" t="str">
            <v>Gabion Box (3mX1mX1m)</v>
          </cell>
          <cell r="I1007">
            <v>0</v>
          </cell>
          <cell r="J1007" t="str">
            <v>No</v>
          </cell>
        </row>
        <row r="1011">
          <cell r="B1011" t="str">
            <v>M-16</v>
          </cell>
          <cell r="C1011" t="str">
            <v>Angle Pole</v>
          </cell>
          <cell r="J1011" t="str">
            <v>pc</v>
          </cell>
        </row>
        <row r="1012">
          <cell r="B1012" t="str">
            <v>M-17</v>
          </cell>
          <cell r="C1012" t="str">
            <v>Angle Pole for Gate</v>
          </cell>
          <cell r="J1012" t="str">
            <v>pc</v>
          </cell>
        </row>
        <row r="1013">
          <cell r="B1013" t="str">
            <v>M-18</v>
          </cell>
          <cell r="C1013" t="str">
            <v>Corner Angle Pole</v>
          </cell>
          <cell r="J1013" t="str">
            <v>pc</v>
          </cell>
        </row>
        <row r="1014">
          <cell r="B1014" t="str">
            <v>M-19</v>
          </cell>
          <cell r="C1014" t="str">
            <v>Bracing Angle Pole</v>
          </cell>
          <cell r="J1014" t="str">
            <v>pc</v>
          </cell>
        </row>
        <row r="1015">
          <cell r="B1015" t="str">
            <v>M-20</v>
          </cell>
          <cell r="C1015" t="str">
            <v>Polythene Sheet</v>
          </cell>
          <cell r="J1015" t="str">
            <v>m</v>
          </cell>
        </row>
        <row r="1016">
          <cell r="B1016" t="str">
            <v>M-21</v>
          </cell>
          <cell r="C1016" t="str">
            <v>Barbed Wire</v>
          </cell>
          <cell r="J1016" t="str">
            <v>kg</v>
          </cell>
        </row>
        <row r="1017">
          <cell r="B1017" t="str">
            <v>M-22</v>
          </cell>
          <cell r="C1017" t="str">
            <v>Fencing Post</v>
          </cell>
          <cell r="J1017" t="str">
            <v>pc</v>
          </cell>
        </row>
        <row r="1018">
          <cell r="B1018" t="str">
            <v>M-23</v>
          </cell>
          <cell r="C1018" t="str">
            <v>Angle Gate</v>
          </cell>
          <cell r="J1018" t="str">
            <v>pc</v>
          </cell>
        </row>
        <row r="1019">
          <cell r="B1019" t="str">
            <v>M-24</v>
          </cell>
          <cell r="C1019" t="str">
            <v>4" Hinges</v>
          </cell>
          <cell r="J1019" t="str">
            <v>pc</v>
          </cell>
        </row>
        <row r="1020">
          <cell r="B1020" t="str">
            <v>M-25</v>
          </cell>
          <cell r="C1020" t="str">
            <v>10" Aldrop</v>
          </cell>
          <cell r="J1020" t="str">
            <v>pc</v>
          </cell>
        </row>
        <row r="1021">
          <cell r="B1021" t="str">
            <v>M-26</v>
          </cell>
          <cell r="C1021" t="str">
            <v>Gate Lock Key</v>
          </cell>
          <cell r="J1021" t="str">
            <v>pc</v>
          </cell>
        </row>
        <row r="1022">
          <cell r="B1022" t="str">
            <v>M-27</v>
          </cell>
          <cell r="C1022" t="str">
            <v>Nut with bolt (8mm dia)</v>
          </cell>
          <cell r="J1022" t="str">
            <v>pc</v>
          </cell>
        </row>
        <row r="1023">
          <cell r="B1023" t="str">
            <v>M-28</v>
          </cell>
          <cell r="C1023" t="str">
            <v>Screws</v>
          </cell>
          <cell r="J1023" t="str">
            <v>pc</v>
          </cell>
        </row>
        <row r="1024">
          <cell r="B1024" t="str">
            <v>M-29</v>
          </cell>
          <cell r="C1024" t="str">
            <v>GI sheet Plain (3'x7')</v>
          </cell>
          <cell r="J1024" t="str">
            <v>pc</v>
          </cell>
        </row>
        <row r="1025">
          <cell r="B1025" t="str">
            <v>M-30</v>
          </cell>
          <cell r="C1025" t="str">
            <v>Manhole Cover (Circular)</v>
          </cell>
          <cell r="J1025" t="str">
            <v>pc</v>
          </cell>
        </row>
        <row r="1026">
          <cell r="B1026" t="str">
            <v>M-31</v>
          </cell>
          <cell r="C1026" t="str">
            <v>Manhole Cover (Square)</v>
          </cell>
          <cell r="J1026" t="str">
            <v>pc</v>
          </cell>
        </row>
        <row r="1027">
          <cell r="B1027" t="str">
            <v>M-32</v>
          </cell>
          <cell r="C1027" t="str">
            <v>Manhole Cover (Rectangle)</v>
          </cell>
          <cell r="J1027" t="str">
            <v>pc</v>
          </cell>
        </row>
        <row r="1028">
          <cell r="B1028" t="str">
            <v>M-33</v>
          </cell>
          <cell r="C1028" t="str">
            <v>Small Slab Frame (55x55)</v>
          </cell>
          <cell r="J1028" t="str">
            <v>pc</v>
          </cell>
        </row>
        <row r="1029">
          <cell r="B1029" t="str">
            <v>M-34</v>
          </cell>
          <cell r="C1029" t="str">
            <v>Big Slab Frame (75x75)</v>
          </cell>
          <cell r="J1029" t="str">
            <v>pc</v>
          </cell>
        </row>
        <row r="1030">
          <cell r="B1030" t="str">
            <v>M-36</v>
          </cell>
          <cell r="C1030" t="str">
            <v>Lime</v>
          </cell>
          <cell r="J1030" t="str">
            <v>kg</v>
          </cell>
        </row>
        <row r="1031">
          <cell r="B1031" t="str">
            <v>M-37</v>
          </cell>
          <cell r="C1031" t="str">
            <v>GI Selwage Wire (8g)</v>
          </cell>
          <cell r="J1031" t="str">
            <v>kg</v>
          </cell>
        </row>
        <row r="1032">
          <cell r="B1032" t="str">
            <v>M-38</v>
          </cell>
          <cell r="C1032" t="str">
            <v>GI Mesh Wire (10g)</v>
          </cell>
          <cell r="J1032" t="str">
            <v>kg</v>
          </cell>
        </row>
        <row r="1033">
          <cell r="B1033" t="str">
            <v>M-41</v>
          </cell>
          <cell r="C1033" t="str">
            <v>Suspension Cable (8mm)</v>
          </cell>
          <cell r="J1033" t="str">
            <v>m</v>
          </cell>
        </row>
        <row r="1034">
          <cell r="B1034" t="str">
            <v>M-42</v>
          </cell>
          <cell r="C1034" t="str">
            <v>Suspension Cable (13mm)</v>
          </cell>
          <cell r="J1034" t="str">
            <v>m</v>
          </cell>
        </row>
        <row r="1035">
          <cell r="B1035" t="str">
            <v>M-43</v>
          </cell>
          <cell r="C1035" t="str">
            <v>Bulldog Grips (8mm)</v>
          </cell>
          <cell r="J1035" t="str">
            <v>pc</v>
          </cell>
        </row>
        <row r="1036">
          <cell r="B1036" t="str">
            <v>M-44</v>
          </cell>
          <cell r="C1036" t="str">
            <v>Bulldog Grips (13mm)</v>
          </cell>
          <cell r="J1036" t="str">
            <v>pc</v>
          </cell>
        </row>
        <row r="1037">
          <cell r="B1037" t="str">
            <v>M-45</v>
          </cell>
          <cell r="C1037" t="str">
            <v>PE Tank 200 ltrs.</v>
          </cell>
          <cell r="J1037" t="str">
            <v>pc</v>
          </cell>
        </row>
        <row r="1038">
          <cell r="B1038" t="str">
            <v>M-01</v>
          </cell>
          <cell r="C1038" t="str">
            <v>Cement</v>
          </cell>
          <cell r="I1038" t="e">
            <v>#DIV/0!</v>
          </cell>
          <cell r="J1038" t="str">
            <v>bag</v>
          </cell>
        </row>
        <row r="1039">
          <cell r="B1039" t="str">
            <v>M-02</v>
          </cell>
          <cell r="C1039" t="str">
            <v>Sand</v>
          </cell>
          <cell r="I1039" t="e">
            <v>#DIV/0!</v>
          </cell>
          <cell r="J1039" t="str">
            <v>m3</v>
          </cell>
        </row>
        <row r="1040">
          <cell r="B1040" t="str">
            <v>M-03</v>
          </cell>
          <cell r="C1040" t="str">
            <v>Block Stone</v>
          </cell>
          <cell r="I1040" t="e">
            <v>#DIV/0!</v>
          </cell>
          <cell r="J1040" t="str">
            <v>m3</v>
          </cell>
        </row>
        <row r="1041">
          <cell r="B1041" t="str">
            <v>M-04</v>
          </cell>
          <cell r="C1041" t="str">
            <v>Bond Stone</v>
          </cell>
          <cell r="I1041" t="e">
            <v>#DIV/0!</v>
          </cell>
          <cell r="J1041" t="str">
            <v>m3</v>
          </cell>
        </row>
        <row r="1042">
          <cell r="B1042" t="str">
            <v>M-05</v>
          </cell>
          <cell r="C1042" t="str">
            <v>Aggregate (5-10mm)</v>
          </cell>
          <cell r="I1042" t="e">
            <v>#DIV/0!</v>
          </cell>
          <cell r="J1042" t="str">
            <v>m3</v>
          </cell>
        </row>
        <row r="1043">
          <cell r="B1043" t="str">
            <v>M-06</v>
          </cell>
          <cell r="C1043" t="str">
            <v>Aggregate (10-20mm)</v>
          </cell>
          <cell r="I1043" t="e">
            <v>#DIV/0!</v>
          </cell>
          <cell r="J1043" t="str">
            <v>m3</v>
          </cell>
        </row>
        <row r="1044">
          <cell r="B1044" t="str">
            <v>M-07</v>
          </cell>
          <cell r="C1044" t="str">
            <v>Aggregate (20-40mm)</v>
          </cell>
          <cell r="I1044" t="e">
            <v>#DIV/0!</v>
          </cell>
          <cell r="J1044" t="str">
            <v>m3</v>
          </cell>
        </row>
        <row r="1045">
          <cell r="B1045" t="str">
            <v>M-08</v>
          </cell>
          <cell r="C1045" t="str">
            <v>Project Information Board</v>
          </cell>
          <cell r="J1045" t="str">
            <v>set</v>
          </cell>
        </row>
        <row r="1046">
          <cell r="B1046" t="str">
            <v>M-09</v>
          </cell>
          <cell r="C1046" t="str">
            <v>Reinforcement ( 6mm)</v>
          </cell>
          <cell r="I1046">
            <v>4.2</v>
          </cell>
          <cell r="J1046" t="str">
            <v>kg</v>
          </cell>
        </row>
        <row r="1047">
          <cell r="B1047" t="str">
            <v>M-10</v>
          </cell>
          <cell r="C1047" t="str">
            <v>Reinforcement ( 8mm)</v>
          </cell>
          <cell r="J1047" t="str">
            <v>kg</v>
          </cell>
        </row>
        <row r="1048">
          <cell r="B1048" t="str">
            <v>M-11</v>
          </cell>
          <cell r="C1048" t="str">
            <v>Reinforcement (10mm)</v>
          </cell>
          <cell r="I1048">
            <v>14.700000000000001</v>
          </cell>
          <cell r="J1048" t="str">
            <v>kg</v>
          </cell>
        </row>
        <row r="1049">
          <cell r="B1049" t="str">
            <v>M-12</v>
          </cell>
          <cell r="C1049" t="str">
            <v>Binding wire</v>
          </cell>
          <cell r="I1049">
            <v>0.18000000000000002</v>
          </cell>
          <cell r="J1049" t="str">
            <v>kg</v>
          </cell>
        </row>
        <row r="1050">
          <cell r="B1050" t="str">
            <v>M-13</v>
          </cell>
          <cell r="C1050" t="str">
            <v>Plain wire (3.5 mm dia)</v>
          </cell>
          <cell r="I1050">
            <v>0</v>
          </cell>
          <cell r="J1050" t="str">
            <v>kg</v>
          </cell>
        </row>
        <row r="1051">
          <cell r="B1051" t="str">
            <v>M-14</v>
          </cell>
          <cell r="C1051" t="str">
            <v>Chicken wire mesh (3 Ft wide)</v>
          </cell>
          <cell r="I1051">
            <v>0</v>
          </cell>
          <cell r="J1051" t="str">
            <v>m</v>
          </cell>
        </row>
        <row r="1052">
          <cell r="B1052" t="str">
            <v>M-15</v>
          </cell>
          <cell r="C1052" t="str">
            <v>Bamboo</v>
          </cell>
          <cell r="I1052">
            <v>0</v>
          </cell>
          <cell r="J1052" t="str">
            <v>pc</v>
          </cell>
        </row>
        <row r="1053">
          <cell r="B1053" t="str">
            <v>M-35</v>
          </cell>
          <cell r="C1053" t="str">
            <v>Cement Paint</v>
          </cell>
          <cell r="I1053">
            <v>0</v>
          </cell>
          <cell r="J1053" t="str">
            <v>kg</v>
          </cell>
        </row>
        <row r="1054">
          <cell r="B1054" t="str">
            <v>M-39</v>
          </cell>
          <cell r="C1054" t="str">
            <v>Wood for Formwork</v>
          </cell>
          <cell r="I1054">
            <v>0.18975</v>
          </cell>
          <cell r="J1054" t="str">
            <v>m3</v>
          </cell>
        </row>
        <row r="1055">
          <cell r="B1055" t="str">
            <v>M-40</v>
          </cell>
          <cell r="C1055" t="str">
            <v>Nails</v>
          </cell>
          <cell r="I1055">
            <v>0.1875</v>
          </cell>
          <cell r="J1055" t="str">
            <v>kg</v>
          </cell>
        </row>
        <row r="1056">
          <cell r="B1056" t="str">
            <v>L-1</v>
          </cell>
          <cell r="C1056" t="str">
            <v>Skilled Labour</v>
          </cell>
          <cell r="I1056" t="e">
            <v>#DIV/0!</v>
          </cell>
          <cell r="J1056" t="str">
            <v>md</v>
          </cell>
        </row>
        <row r="1057">
          <cell r="B1057" t="str">
            <v>L-2</v>
          </cell>
          <cell r="C1057" t="str">
            <v>Unskilled Labour</v>
          </cell>
          <cell r="I1057" t="e">
            <v>#DIV/0!</v>
          </cell>
          <cell r="J1057" t="str">
            <v>md</v>
          </cell>
        </row>
        <row r="1058">
          <cell r="C1058" t="str">
            <v>FITTINGS</v>
          </cell>
        </row>
        <row r="1059">
          <cell r="C1059" t="str">
            <v>Outlet Pipe Dia</v>
          </cell>
          <cell r="D1059">
            <v>0</v>
          </cell>
        </row>
        <row r="1060">
          <cell r="C1060" t="str">
            <v>Washout Pipe Dia</v>
          </cell>
          <cell r="D1060">
            <v>0</v>
          </cell>
        </row>
        <row r="1061">
          <cell r="B1061" t="str">
            <v>HP2.5-75</v>
          </cell>
          <cell r="C1061" t="str">
            <v>HDPE Pipe(75mm) - 2.5 kgf/cm2</v>
          </cell>
          <cell r="J1061" t="str">
            <v>m</v>
          </cell>
        </row>
        <row r="1062">
          <cell r="B1062" t="str">
            <v>GPM-15</v>
          </cell>
          <cell r="C1062" t="str">
            <v>G.I. Pipe (1/2") - MC</v>
          </cell>
          <cell r="J1062" t="str">
            <v>m</v>
          </cell>
        </row>
        <row r="1063">
          <cell r="B1063" t="str">
            <v>GEL-15</v>
          </cell>
          <cell r="C1063" t="str">
            <v xml:space="preserve">G.I. Elbow (1/2") </v>
          </cell>
          <cell r="J1063" t="str">
            <v>pc</v>
          </cell>
        </row>
        <row r="1064">
          <cell r="B1064" t="str">
            <v>GSO-15</v>
          </cell>
          <cell r="C1064" t="str">
            <v>G.I. Socket (1/2")</v>
          </cell>
          <cell r="J1064" t="str">
            <v>pc</v>
          </cell>
        </row>
        <row r="1065">
          <cell r="B1065" t="str">
            <v>BT400-15</v>
          </cell>
          <cell r="C1065" t="str">
            <v>Brass Tap ( 400g )</v>
          </cell>
          <cell r="J1065" t="str">
            <v>pc</v>
          </cell>
        </row>
        <row r="1066">
          <cell r="B1066" t="str">
            <v>BU-20</v>
          </cell>
          <cell r="C1066" t="str">
            <v>Brass Union  (20mm x 1/2")</v>
          </cell>
          <cell r="J1066" t="str">
            <v>pc</v>
          </cell>
        </row>
        <row r="1067">
          <cell r="B1067" t="str">
            <v>BRT-15</v>
          </cell>
          <cell r="C1067" t="str">
            <v>Regulating Tee (1/2")</v>
          </cell>
          <cell r="J1067" t="str">
            <v>pc</v>
          </cell>
        </row>
      </sheetData>
      <sheetData sheetId="25" refreshError="1">
        <row r="4">
          <cell r="D4">
            <v>0</v>
          </cell>
        </row>
        <row r="5">
          <cell r="B5" t="str">
            <v>I-01</v>
          </cell>
          <cell r="C5" t="str">
            <v>Earth Work in Excavation</v>
          </cell>
          <cell r="I5">
            <v>0.58500000000000008</v>
          </cell>
          <cell r="J5" t="str">
            <v>m3</v>
          </cell>
        </row>
        <row r="6">
          <cell r="C6" t="str">
            <v>Catchment Portion</v>
          </cell>
          <cell r="D6">
            <v>1</v>
          </cell>
          <cell r="E6">
            <v>2.25</v>
          </cell>
          <cell r="F6">
            <v>1.3</v>
          </cell>
          <cell r="G6">
            <v>0.2</v>
          </cell>
          <cell r="H6">
            <v>0.58500000000000008</v>
          </cell>
        </row>
        <row r="10">
          <cell r="B10" t="str">
            <v>I-02</v>
          </cell>
          <cell r="C10" t="str">
            <v>Earth Work in Backfilling</v>
          </cell>
          <cell r="I10">
            <v>0.14625000000000002</v>
          </cell>
          <cell r="J10" t="str">
            <v>m3</v>
          </cell>
        </row>
        <row r="11">
          <cell r="C11" t="str">
            <v>25% of excavation</v>
          </cell>
          <cell r="H11">
            <v>0.14625000000000002</v>
          </cell>
        </row>
        <row r="14">
          <cell r="B14" t="str">
            <v>I-03</v>
          </cell>
          <cell r="C14" t="str">
            <v>Dry Stone Soling</v>
          </cell>
          <cell r="I14">
            <v>0.54720000000000002</v>
          </cell>
          <cell r="J14" t="str">
            <v>m3</v>
          </cell>
        </row>
        <row r="15">
          <cell r="C15" t="str">
            <v>At Catchment portion</v>
          </cell>
          <cell r="D15">
            <v>1</v>
          </cell>
          <cell r="E15">
            <v>1.52</v>
          </cell>
          <cell r="F15">
            <v>0.9</v>
          </cell>
          <cell r="G15">
            <v>0.4</v>
          </cell>
          <cell r="H15">
            <v>0.54720000000000002</v>
          </cell>
        </row>
        <row r="19">
          <cell r="B19" t="str">
            <v>I-04</v>
          </cell>
          <cell r="C19" t="str">
            <v>P.C.C. (1:2:4)</v>
          </cell>
          <cell r="I19">
            <v>0.45410000000000006</v>
          </cell>
          <cell r="J19" t="str">
            <v>m3</v>
          </cell>
        </row>
        <row r="20">
          <cell r="C20" t="str">
            <v>catchment floor</v>
          </cell>
          <cell r="D20">
            <v>1</v>
          </cell>
          <cell r="E20">
            <v>2.21</v>
          </cell>
          <cell r="F20">
            <v>1.3</v>
          </cell>
          <cell r="G20">
            <v>0.1</v>
          </cell>
          <cell r="H20">
            <v>0.28730000000000006</v>
          </cell>
        </row>
        <row r="21">
          <cell r="C21" t="str">
            <v>top of wind &amp; dam wall</v>
          </cell>
          <cell r="D21">
            <v>1</v>
          </cell>
          <cell r="E21">
            <v>3.77</v>
          </cell>
          <cell r="F21">
            <v>0.4</v>
          </cell>
          <cell r="G21">
            <v>0.1</v>
          </cell>
          <cell r="H21">
            <v>0.15080000000000002</v>
          </cell>
        </row>
        <row r="22">
          <cell r="C22" t="str">
            <v>Spillway</v>
          </cell>
          <cell r="D22">
            <v>2</v>
          </cell>
          <cell r="E22">
            <v>0.1</v>
          </cell>
          <cell r="F22">
            <v>0.4</v>
          </cell>
          <cell r="G22">
            <v>0.2</v>
          </cell>
          <cell r="H22">
            <v>1.6000000000000004E-2</v>
          </cell>
        </row>
        <row r="25">
          <cell r="B25" t="str">
            <v>I-05</v>
          </cell>
          <cell r="C25" t="str">
            <v>P.C.C. for Pre-cast Slab (1:2:4)</v>
          </cell>
          <cell r="I25">
            <v>0</v>
          </cell>
          <cell r="J25" t="str">
            <v>m3</v>
          </cell>
        </row>
        <row r="29">
          <cell r="B29" t="str">
            <v>I-06</v>
          </cell>
          <cell r="C29" t="str">
            <v>P.C.C. for R.C.C. (1:2:4)</v>
          </cell>
          <cell r="I29">
            <v>0</v>
          </cell>
          <cell r="J29" t="str">
            <v>m3</v>
          </cell>
        </row>
        <row r="33">
          <cell r="B33" t="str">
            <v>I-07</v>
          </cell>
          <cell r="C33" t="str">
            <v>Random Rubble Masonry (1:4)</v>
          </cell>
          <cell r="I33">
            <v>0.43639999999999995</v>
          </cell>
          <cell r="J33" t="str">
            <v>m3</v>
          </cell>
        </row>
        <row r="34">
          <cell r="C34" t="str">
            <v>Wing &amp; dam wall</v>
          </cell>
          <cell r="D34">
            <v>1</v>
          </cell>
          <cell r="E34">
            <v>3.77</v>
          </cell>
          <cell r="F34">
            <v>0.4</v>
          </cell>
          <cell r="G34">
            <v>0.3</v>
          </cell>
          <cell r="H34">
            <v>0.45239999999999997</v>
          </cell>
        </row>
        <row r="35">
          <cell r="C35" t="str">
            <v>Deduction of spillway opening</v>
          </cell>
          <cell r="D35">
            <v>-1</v>
          </cell>
          <cell r="E35">
            <v>0.4</v>
          </cell>
          <cell r="F35">
            <v>0.4</v>
          </cell>
          <cell r="G35">
            <v>0.1</v>
          </cell>
          <cell r="H35">
            <v>-1.6000000000000004E-2</v>
          </cell>
        </row>
        <row r="41">
          <cell r="B41" t="str">
            <v>I-08</v>
          </cell>
          <cell r="C41" t="str">
            <v>Random Rubble Masonry (1:6)</v>
          </cell>
          <cell r="I41">
            <v>0</v>
          </cell>
          <cell r="J41" t="str">
            <v>m3</v>
          </cell>
        </row>
        <row r="45">
          <cell r="B45" t="str">
            <v>I-09</v>
          </cell>
          <cell r="C45" t="str">
            <v>Dry Stone masonry</v>
          </cell>
          <cell r="I45">
            <v>0</v>
          </cell>
          <cell r="J45" t="str">
            <v>m3</v>
          </cell>
        </row>
        <row r="49">
          <cell r="B49" t="str">
            <v>I-10</v>
          </cell>
          <cell r="C49" t="str">
            <v>Form Work for P.C.C.</v>
          </cell>
          <cell r="I49">
            <v>0.754</v>
          </cell>
          <cell r="J49" t="str">
            <v>m2</v>
          </cell>
        </row>
        <row r="50">
          <cell r="C50" t="str">
            <v>top of wall</v>
          </cell>
          <cell r="D50">
            <v>2</v>
          </cell>
          <cell r="E50">
            <v>3.77</v>
          </cell>
          <cell r="G50">
            <v>0.1</v>
          </cell>
          <cell r="H50">
            <v>0.754</v>
          </cell>
        </row>
        <row r="53">
          <cell r="B53" t="str">
            <v>I-11</v>
          </cell>
          <cell r="C53" t="str">
            <v>12.5mm Cement Plaster (1:2)</v>
          </cell>
          <cell r="I53">
            <v>0</v>
          </cell>
          <cell r="J53" t="str">
            <v>m2</v>
          </cell>
        </row>
        <row r="57">
          <cell r="B57" t="str">
            <v>I-12</v>
          </cell>
          <cell r="C57" t="str">
            <v>12.5mm Cement Plaster (1:3)</v>
          </cell>
          <cell r="I57">
            <v>0</v>
          </cell>
          <cell r="J57" t="str">
            <v>m2</v>
          </cell>
        </row>
        <row r="61">
          <cell r="B61" t="str">
            <v>I-13</v>
          </cell>
          <cell r="C61" t="str">
            <v>12.5mm Cement Plaster (1:4)</v>
          </cell>
          <cell r="I61">
            <v>5.9160000000000004</v>
          </cell>
          <cell r="J61" t="str">
            <v>m2</v>
          </cell>
        </row>
        <row r="62">
          <cell r="C62" t="str">
            <v>catchment Floor</v>
          </cell>
          <cell r="D62">
            <v>1</v>
          </cell>
          <cell r="E62">
            <v>1.52</v>
          </cell>
          <cell r="F62">
            <v>0.9</v>
          </cell>
          <cell r="H62">
            <v>1.3680000000000001</v>
          </cell>
        </row>
        <row r="63">
          <cell r="C63" t="str">
            <v>inner face of catchment wall</v>
          </cell>
          <cell r="D63">
            <v>1</v>
          </cell>
          <cell r="E63">
            <v>3.1</v>
          </cell>
          <cell r="G63">
            <v>0.4</v>
          </cell>
          <cell r="H63">
            <v>1.2400000000000002</v>
          </cell>
        </row>
        <row r="64">
          <cell r="C64" t="str">
            <v>Outerface of wall</v>
          </cell>
          <cell r="D64">
            <v>1</v>
          </cell>
          <cell r="E64">
            <v>4.5</v>
          </cell>
          <cell r="G64">
            <v>0.4</v>
          </cell>
          <cell r="H64">
            <v>1.8</v>
          </cell>
        </row>
        <row r="65">
          <cell r="C65" t="str">
            <v>Top of wall</v>
          </cell>
          <cell r="D65">
            <v>1</v>
          </cell>
          <cell r="E65">
            <v>3.77</v>
          </cell>
          <cell r="F65">
            <v>0.4</v>
          </cell>
          <cell r="H65">
            <v>1.508</v>
          </cell>
        </row>
        <row r="67">
          <cell r="B67" t="str">
            <v>I-14</v>
          </cell>
          <cell r="C67" t="str">
            <v>Cement Pointing (1:3)</v>
          </cell>
          <cell r="I67">
            <v>0</v>
          </cell>
          <cell r="J67" t="str">
            <v>m2</v>
          </cell>
        </row>
        <row r="71">
          <cell r="B71" t="str">
            <v>I-15</v>
          </cell>
          <cell r="C71" t="str">
            <v>3mm Cement Punning</v>
          </cell>
          <cell r="I71">
            <v>2.6080000000000005</v>
          </cell>
          <cell r="J71" t="str">
            <v>m2</v>
          </cell>
        </row>
        <row r="72">
          <cell r="C72" t="str">
            <v>floor &amp; inner face of wall</v>
          </cell>
          <cell r="H72">
            <v>2.6080000000000005</v>
          </cell>
        </row>
        <row r="75">
          <cell r="B75" t="str">
            <v>I-16A</v>
          </cell>
          <cell r="C75" t="str">
            <v>Bar Binding for R.C.C. (10mm bar)</v>
          </cell>
          <cell r="I75">
            <v>0</v>
          </cell>
          <cell r="J75" t="str">
            <v>Kg</v>
          </cell>
        </row>
        <row r="79">
          <cell r="B79" t="str">
            <v>I-16B</v>
          </cell>
          <cell r="C79" t="str">
            <v>Bar Binding for R.C.C. (6mm bar)</v>
          </cell>
          <cell r="I79">
            <v>0</v>
          </cell>
          <cell r="J79" t="str">
            <v>Kg</v>
          </cell>
        </row>
        <row r="83">
          <cell r="B83" t="str">
            <v>I-17</v>
          </cell>
          <cell r="C83" t="str">
            <v>Bar Binding for Ferro-Cement Works</v>
          </cell>
          <cell r="I83">
            <v>0</v>
          </cell>
          <cell r="J83" t="str">
            <v>m2</v>
          </cell>
        </row>
        <row r="87">
          <cell r="B87" t="str">
            <v>I-18</v>
          </cell>
          <cell r="C87" t="str">
            <v>Formwork for Ferro-Cement Works</v>
          </cell>
          <cell r="I87">
            <v>0</v>
          </cell>
          <cell r="J87" t="str">
            <v>m2</v>
          </cell>
        </row>
        <row r="91">
          <cell r="B91" t="str">
            <v>I-19</v>
          </cell>
          <cell r="C91" t="str">
            <v>Cement Plaster for Ferro-Cement Work (1:3)</v>
          </cell>
          <cell r="I91">
            <v>0</v>
          </cell>
          <cell r="J91" t="str">
            <v>m2</v>
          </cell>
        </row>
        <row r="95">
          <cell r="B95" t="str">
            <v>I-20</v>
          </cell>
          <cell r="C95" t="str">
            <v>Formwork for Precast RCC Work</v>
          </cell>
          <cell r="I95">
            <v>0</v>
          </cell>
          <cell r="J95" t="str">
            <v>m2</v>
          </cell>
        </row>
        <row r="99">
          <cell r="B99" t="str">
            <v>I-21</v>
          </cell>
          <cell r="C99" t="str">
            <v>Cement Painting</v>
          </cell>
          <cell r="I99">
            <v>0</v>
          </cell>
          <cell r="J99" t="str">
            <v>m2</v>
          </cell>
        </row>
        <row r="103">
          <cell r="B103" t="str">
            <v>I-22</v>
          </cell>
          <cell r="C103" t="str">
            <v>Trench digging</v>
          </cell>
          <cell r="I103">
            <v>0</v>
          </cell>
          <cell r="J103" t="str">
            <v>m3</v>
          </cell>
        </row>
        <row r="107">
          <cell r="B107" t="str">
            <v>I-23</v>
          </cell>
          <cell r="C107" t="str">
            <v>Trench backfilling</v>
          </cell>
          <cell r="I107">
            <v>0</v>
          </cell>
          <cell r="J107" t="str">
            <v>m3</v>
          </cell>
        </row>
        <row r="111">
          <cell r="B111" t="str">
            <v>I-24</v>
          </cell>
          <cell r="C111" t="str">
            <v>Gabion Box (2mX1mX1m)</v>
          </cell>
          <cell r="I111">
            <v>0</v>
          </cell>
          <cell r="J111" t="str">
            <v>No</v>
          </cell>
        </row>
        <row r="114">
          <cell r="B114" t="str">
            <v>I-25</v>
          </cell>
          <cell r="C114" t="str">
            <v>Gabion Box (3mX1mX1m)</v>
          </cell>
          <cell r="I114">
            <v>0</v>
          </cell>
          <cell r="J114" t="str">
            <v>No</v>
          </cell>
        </row>
        <row r="118">
          <cell r="B118" t="str">
            <v>M-16</v>
          </cell>
          <cell r="C118" t="str">
            <v>Angle Pole</v>
          </cell>
          <cell r="I118">
            <v>3</v>
          </cell>
          <cell r="J118" t="str">
            <v>pc</v>
          </cell>
        </row>
        <row r="119">
          <cell r="B119" t="str">
            <v>M-17</v>
          </cell>
          <cell r="C119" t="str">
            <v>Angle Pole for Gate</v>
          </cell>
          <cell r="I119">
            <v>2</v>
          </cell>
          <cell r="J119" t="str">
            <v>pc</v>
          </cell>
        </row>
        <row r="120">
          <cell r="B120" t="str">
            <v>M-18</v>
          </cell>
          <cell r="C120" t="str">
            <v>Corner Angle Pole</v>
          </cell>
          <cell r="J120" t="str">
            <v>pc</v>
          </cell>
        </row>
        <row r="121">
          <cell r="B121" t="str">
            <v>M-19</v>
          </cell>
          <cell r="C121" t="str">
            <v>Bracing Angle Pole</v>
          </cell>
          <cell r="J121" t="str">
            <v>pc</v>
          </cell>
        </row>
        <row r="122">
          <cell r="B122" t="str">
            <v>M-20</v>
          </cell>
          <cell r="C122" t="str">
            <v>Polythene Sheet</v>
          </cell>
          <cell r="J122" t="str">
            <v>m</v>
          </cell>
        </row>
        <row r="123">
          <cell r="B123" t="str">
            <v>M-21</v>
          </cell>
          <cell r="C123" t="str">
            <v>Barbed Wire</v>
          </cell>
          <cell r="I123">
            <v>11</v>
          </cell>
          <cell r="J123" t="str">
            <v>kg</v>
          </cell>
        </row>
        <row r="124">
          <cell r="B124" t="str">
            <v>M-22</v>
          </cell>
          <cell r="C124" t="str">
            <v>Fencing Post</v>
          </cell>
          <cell r="J124" t="str">
            <v>pc</v>
          </cell>
        </row>
        <row r="125">
          <cell r="B125" t="str">
            <v>M-23</v>
          </cell>
          <cell r="C125" t="str">
            <v>Angle Gate</v>
          </cell>
          <cell r="I125">
            <v>1</v>
          </cell>
          <cell r="J125" t="str">
            <v>pc</v>
          </cell>
        </row>
        <row r="126">
          <cell r="B126" t="str">
            <v>M-24</v>
          </cell>
          <cell r="C126" t="str">
            <v>4" Hinges</v>
          </cell>
          <cell r="J126" t="str">
            <v>pc</v>
          </cell>
        </row>
        <row r="127">
          <cell r="B127" t="str">
            <v>M-25</v>
          </cell>
          <cell r="C127" t="str">
            <v>10" Aldrop</v>
          </cell>
          <cell r="J127" t="str">
            <v>pc</v>
          </cell>
        </row>
        <row r="128">
          <cell r="B128" t="str">
            <v>M-26</v>
          </cell>
          <cell r="C128" t="str">
            <v>Gate Lock Key</v>
          </cell>
          <cell r="J128" t="str">
            <v>pc</v>
          </cell>
        </row>
        <row r="129">
          <cell r="B129" t="str">
            <v>M-27</v>
          </cell>
          <cell r="C129" t="str">
            <v>Nut with bolt (8mm dia)</v>
          </cell>
          <cell r="J129" t="str">
            <v>pc</v>
          </cell>
        </row>
        <row r="130">
          <cell r="B130" t="str">
            <v>M-28</v>
          </cell>
          <cell r="C130" t="str">
            <v>Screws</v>
          </cell>
          <cell r="J130" t="str">
            <v>pc</v>
          </cell>
        </row>
        <row r="131">
          <cell r="B131" t="str">
            <v>M-29</v>
          </cell>
          <cell r="C131" t="str">
            <v>GI sheet Plain (3'x7')</v>
          </cell>
          <cell r="J131" t="str">
            <v>pc</v>
          </cell>
        </row>
        <row r="132">
          <cell r="B132" t="str">
            <v>M-30</v>
          </cell>
          <cell r="C132" t="str">
            <v>Manhole Cover (Circular)</v>
          </cell>
          <cell r="J132" t="str">
            <v>pc</v>
          </cell>
        </row>
        <row r="133">
          <cell r="B133" t="str">
            <v>M-31</v>
          </cell>
          <cell r="C133" t="str">
            <v>Manhole Cover (Square)</v>
          </cell>
          <cell r="J133" t="str">
            <v>pc</v>
          </cell>
        </row>
        <row r="134">
          <cell r="B134" t="str">
            <v>M-32</v>
          </cell>
          <cell r="C134" t="str">
            <v>Manhole Cover (Rectangle)</v>
          </cell>
          <cell r="J134" t="str">
            <v>pc</v>
          </cell>
        </row>
        <row r="135">
          <cell r="B135" t="str">
            <v>M-33</v>
          </cell>
          <cell r="C135" t="str">
            <v>Small Slab Frame (55x55)</v>
          </cell>
          <cell r="J135" t="str">
            <v>pc</v>
          </cell>
        </row>
        <row r="136">
          <cell r="B136" t="str">
            <v>M-34</v>
          </cell>
          <cell r="C136" t="str">
            <v>Big Slab Frame (75x75)</v>
          </cell>
          <cell r="J136" t="str">
            <v>pc</v>
          </cell>
        </row>
        <row r="137">
          <cell r="B137" t="str">
            <v>M-36</v>
          </cell>
          <cell r="C137" t="str">
            <v>Lime</v>
          </cell>
          <cell r="J137" t="str">
            <v>kg</v>
          </cell>
        </row>
        <row r="138">
          <cell r="B138" t="str">
            <v>M-41</v>
          </cell>
          <cell r="C138" t="str">
            <v>Suspension Cable (8mm)</v>
          </cell>
          <cell r="J138" t="str">
            <v>m</v>
          </cell>
        </row>
        <row r="139">
          <cell r="B139" t="str">
            <v>M-42</v>
          </cell>
          <cell r="C139" t="str">
            <v>Suspension Cable (13mm)</v>
          </cell>
          <cell r="J139" t="str">
            <v>m</v>
          </cell>
        </row>
        <row r="140">
          <cell r="B140" t="str">
            <v>M-43</v>
          </cell>
          <cell r="C140" t="str">
            <v>Bulldog Grips (8mm)</v>
          </cell>
          <cell r="J140" t="str">
            <v>pc</v>
          </cell>
        </row>
        <row r="141">
          <cell r="B141" t="str">
            <v>M-44</v>
          </cell>
          <cell r="C141" t="str">
            <v>Bulldog Grips (13mm)</v>
          </cell>
          <cell r="J141" t="str">
            <v>pc</v>
          </cell>
        </row>
        <row r="142">
          <cell r="B142" t="str">
            <v>M-45</v>
          </cell>
          <cell r="C142" t="str">
            <v>PE Tank 200 ltrs.</v>
          </cell>
          <cell r="J142" t="str">
            <v>pc</v>
          </cell>
        </row>
        <row r="143">
          <cell r="B143" t="str">
            <v>M-46</v>
          </cell>
          <cell r="C143" t="str">
            <v>Tapstand Grid</v>
          </cell>
          <cell r="J143" t="str">
            <v>pc</v>
          </cell>
        </row>
        <row r="144">
          <cell r="B144" t="str">
            <v>M-47</v>
          </cell>
          <cell r="C144" t="str">
            <v>Anchor Bolt (1/2")</v>
          </cell>
          <cell r="J144" t="str">
            <v>pc</v>
          </cell>
        </row>
        <row r="145">
          <cell r="B145" t="str">
            <v>M-48</v>
          </cell>
          <cell r="C145" t="str">
            <v>Anchor Bolt (1")</v>
          </cell>
          <cell r="J145" t="str">
            <v>pc</v>
          </cell>
        </row>
        <row r="146">
          <cell r="B146" t="str">
            <v>M-49</v>
          </cell>
          <cell r="C146" t="str">
            <v>Anchor Bolt (1 1/2")</v>
          </cell>
          <cell r="J146" t="str">
            <v>pc</v>
          </cell>
        </row>
        <row r="147">
          <cell r="B147" t="str">
            <v>M-50</v>
          </cell>
          <cell r="C147" t="str">
            <v>Anchor Bolt (2")</v>
          </cell>
          <cell r="J147" t="str">
            <v>pc</v>
          </cell>
        </row>
        <row r="148">
          <cell r="B148" t="str">
            <v>M-01</v>
          </cell>
          <cell r="C148" t="str">
            <v>Cement</v>
          </cell>
          <cell r="I148">
            <v>5.1017400000000004</v>
          </cell>
          <cell r="J148" t="str">
            <v>bag</v>
          </cell>
        </row>
        <row r="149">
          <cell r="B149" t="str">
            <v>M-02</v>
          </cell>
          <cell r="C149" t="str">
            <v>Sand</v>
          </cell>
          <cell r="I149">
            <v>0.4812785</v>
          </cell>
          <cell r="J149" t="str">
            <v>m3</v>
          </cell>
        </row>
        <row r="150">
          <cell r="B150" t="str">
            <v>M-03</v>
          </cell>
          <cell r="C150" t="str">
            <v>Block Stone</v>
          </cell>
          <cell r="I150">
            <v>0.98359999999999992</v>
          </cell>
          <cell r="J150" t="str">
            <v>m3</v>
          </cell>
        </row>
        <row r="151">
          <cell r="B151" t="str">
            <v>M-04</v>
          </cell>
          <cell r="C151" t="str">
            <v>Bond Stone</v>
          </cell>
          <cell r="I151">
            <v>9.8360000000000003E-2</v>
          </cell>
          <cell r="J151" t="str">
            <v>m3</v>
          </cell>
        </row>
        <row r="152">
          <cell r="B152" t="str">
            <v>M-05</v>
          </cell>
          <cell r="C152" t="str">
            <v>Aggregate (5-10mm)</v>
          </cell>
          <cell r="I152">
            <v>5.4492000000000006E-2</v>
          </cell>
          <cell r="J152" t="str">
            <v>m3</v>
          </cell>
        </row>
        <row r="153">
          <cell r="B153" t="str">
            <v>M-06</v>
          </cell>
          <cell r="C153" t="str">
            <v>Aggregate (10-20mm)</v>
          </cell>
          <cell r="I153">
            <v>0.10898400000000001</v>
          </cell>
          <cell r="J153" t="str">
            <v>m3</v>
          </cell>
        </row>
        <row r="154">
          <cell r="B154" t="str">
            <v>M-07</v>
          </cell>
          <cell r="C154" t="str">
            <v>Aggregate (20-40mm)</v>
          </cell>
          <cell r="I154">
            <v>0.22250900000000001</v>
          </cell>
          <cell r="J154" t="str">
            <v>m3</v>
          </cell>
        </row>
        <row r="155">
          <cell r="B155" t="str">
            <v>M-08</v>
          </cell>
          <cell r="C155" t="str">
            <v>Project Information Board</v>
          </cell>
          <cell r="J155" t="str">
            <v>set</v>
          </cell>
        </row>
        <row r="156">
          <cell r="B156" t="str">
            <v>M-09</v>
          </cell>
          <cell r="C156" t="str">
            <v>Reinforcement ( 6mm)</v>
          </cell>
          <cell r="I156">
            <v>0</v>
          </cell>
          <cell r="J156" t="str">
            <v>kg</v>
          </cell>
        </row>
        <row r="157">
          <cell r="B157" t="str">
            <v>M-10</v>
          </cell>
          <cell r="C157" t="str">
            <v>Reinforcement ( 8mm)</v>
          </cell>
          <cell r="J157" t="str">
            <v>kg</v>
          </cell>
        </row>
        <row r="158">
          <cell r="B158" t="str">
            <v>M-11</v>
          </cell>
          <cell r="C158" t="str">
            <v>Reinforcement (10mm)</v>
          </cell>
          <cell r="I158">
            <v>0</v>
          </cell>
          <cell r="J158" t="str">
            <v>kg</v>
          </cell>
        </row>
        <row r="159">
          <cell r="B159" t="str">
            <v>M-12</v>
          </cell>
          <cell r="C159" t="str">
            <v>Binding wire</v>
          </cell>
          <cell r="I159">
            <v>0</v>
          </cell>
          <cell r="J159" t="str">
            <v>kg</v>
          </cell>
        </row>
        <row r="160">
          <cell r="B160" t="str">
            <v>M-13</v>
          </cell>
          <cell r="C160" t="str">
            <v>Plain wire (3.5 mm dia)</v>
          </cell>
          <cell r="I160">
            <v>0</v>
          </cell>
          <cell r="J160" t="str">
            <v>kg</v>
          </cell>
        </row>
        <row r="161">
          <cell r="B161" t="str">
            <v>M-14</v>
          </cell>
          <cell r="C161" t="str">
            <v>Chicken wire mesh (3 Ft wide)</v>
          </cell>
          <cell r="I161">
            <v>0</v>
          </cell>
          <cell r="J161" t="str">
            <v>m</v>
          </cell>
        </row>
        <row r="162">
          <cell r="B162" t="str">
            <v>M-15</v>
          </cell>
          <cell r="C162" t="str">
            <v>Bamboo</v>
          </cell>
          <cell r="I162">
            <v>0</v>
          </cell>
          <cell r="J162" t="str">
            <v>pc</v>
          </cell>
        </row>
        <row r="163">
          <cell r="B163" t="str">
            <v>M-35</v>
          </cell>
          <cell r="C163" t="str">
            <v>Cement Paint</v>
          </cell>
          <cell r="I163">
            <v>0</v>
          </cell>
          <cell r="J163" t="str">
            <v>kg</v>
          </cell>
        </row>
        <row r="164">
          <cell r="B164" t="str">
            <v>M-37</v>
          </cell>
          <cell r="C164" t="str">
            <v>GI Selwage Wire (8g)</v>
          </cell>
          <cell r="I164">
            <v>0</v>
          </cell>
          <cell r="J164" t="str">
            <v>kg</v>
          </cell>
        </row>
        <row r="165">
          <cell r="B165" t="str">
            <v>M-38</v>
          </cell>
          <cell r="C165" t="str">
            <v>GI Mesh Wire (10g)</v>
          </cell>
          <cell r="I165">
            <v>0</v>
          </cell>
          <cell r="J165" t="str">
            <v>kg</v>
          </cell>
        </row>
        <row r="166">
          <cell r="B166" t="str">
            <v>M-39</v>
          </cell>
          <cell r="C166" t="str">
            <v>Wood for Formwork</v>
          </cell>
          <cell r="I166">
            <v>0.19076200000000001</v>
          </cell>
          <cell r="J166" t="str">
            <v>m3</v>
          </cell>
        </row>
        <row r="167">
          <cell r="B167" t="str">
            <v>M-40</v>
          </cell>
          <cell r="C167" t="str">
            <v>Nails</v>
          </cell>
          <cell r="I167">
            <v>0.1885</v>
          </cell>
          <cell r="J167" t="str">
            <v>kg</v>
          </cell>
        </row>
        <row r="168">
          <cell r="B168" t="str">
            <v>L-1</v>
          </cell>
          <cell r="C168" t="str">
            <v>Skilled Labour</v>
          </cell>
          <cell r="I168">
            <v>2.7563080000000002</v>
          </cell>
          <cell r="J168" t="str">
            <v>md</v>
          </cell>
        </row>
        <row r="169">
          <cell r="B169" t="str">
            <v>L-2</v>
          </cell>
          <cell r="C169" t="str">
            <v>Unskilled Labour</v>
          </cell>
          <cell r="I169">
            <v>8.2814505</v>
          </cell>
          <cell r="J169" t="str">
            <v>md</v>
          </cell>
        </row>
        <row r="170">
          <cell r="C170" t="str">
            <v>FITTINGS</v>
          </cell>
        </row>
        <row r="171">
          <cell r="C171" t="str">
            <v>Outlet Pipe Dia</v>
          </cell>
          <cell r="D171">
            <v>0</v>
          </cell>
        </row>
        <row r="172">
          <cell r="C172" t="str">
            <v>Washout Pipe Dia</v>
          </cell>
          <cell r="D172">
            <v>0</v>
          </cell>
        </row>
        <row r="173">
          <cell r="B173" t="str">
            <v>GPM-20</v>
          </cell>
          <cell r="C173" t="str">
            <v>G.I. Pipe (3/4") - MC</v>
          </cell>
          <cell r="I173">
            <v>0.7</v>
          </cell>
          <cell r="J173" t="str">
            <v>m</v>
          </cell>
        </row>
        <row r="174">
          <cell r="B174" t="str">
            <v>GPM-40</v>
          </cell>
          <cell r="C174" t="str">
            <v>G.I. Pipe (1-1/2") - MC</v>
          </cell>
          <cell r="I174">
            <v>0.55000000000000004</v>
          </cell>
          <cell r="J174" t="str">
            <v>m</v>
          </cell>
        </row>
        <row r="175">
          <cell r="B175" t="str">
            <v>GEC-40</v>
          </cell>
          <cell r="C175" t="str">
            <v>G.I. End Cap (1-1/2")</v>
          </cell>
          <cell r="I175">
            <v>1</v>
          </cell>
          <cell r="J175" t="str">
            <v>pc</v>
          </cell>
        </row>
        <row r="176">
          <cell r="B176" t="str">
            <v>GSO-20</v>
          </cell>
          <cell r="C176" t="str">
            <v>G.I. Socket (3/4")</v>
          </cell>
          <cell r="I176">
            <v>1</v>
          </cell>
          <cell r="J176" t="str">
            <v>pc</v>
          </cell>
        </row>
        <row r="177">
          <cell r="C177">
            <v>1</v>
          </cell>
          <cell r="I177">
            <v>0</v>
          </cell>
          <cell r="J177">
            <v>0</v>
          </cell>
        </row>
        <row r="178">
          <cell r="B178" t="str">
            <v>BU-25</v>
          </cell>
          <cell r="C178" t="str">
            <v>Brass Union  (25mm x 3/4")</v>
          </cell>
          <cell r="I178">
            <v>1</v>
          </cell>
          <cell r="J178" t="str">
            <v>pc</v>
          </cell>
        </row>
        <row r="179">
          <cell r="B179" t="str">
            <v>HP10-25</v>
          </cell>
          <cell r="C179" t="str">
            <v>HDPE Pipe(25mm) - 10 kgf/cm2</v>
          </cell>
          <cell r="I179">
            <v>2</v>
          </cell>
          <cell r="J179" t="str">
            <v>m</v>
          </cell>
        </row>
        <row r="180">
          <cell r="C180">
            <v>2</v>
          </cell>
          <cell r="I180">
            <v>0</v>
          </cell>
          <cell r="J180">
            <v>0</v>
          </cell>
        </row>
        <row r="181">
          <cell r="C181">
            <v>0</v>
          </cell>
          <cell r="I181">
            <v>0</v>
          </cell>
          <cell r="J181">
            <v>0</v>
          </cell>
        </row>
        <row r="182">
          <cell r="C182">
            <v>0</v>
          </cell>
          <cell r="I182">
            <v>0</v>
          </cell>
          <cell r="J182">
            <v>0</v>
          </cell>
        </row>
        <row r="184">
          <cell r="D184">
            <v>0</v>
          </cell>
        </row>
        <row r="185">
          <cell r="B185" t="str">
            <v>I-01</v>
          </cell>
          <cell r="C185" t="str">
            <v>Earth Work in Excavation</v>
          </cell>
          <cell r="I185">
            <v>1.42</v>
          </cell>
          <cell r="J185" t="str">
            <v>m3</v>
          </cell>
        </row>
        <row r="186">
          <cell r="C186" t="str">
            <v>Catchment floor</v>
          </cell>
          <cell r="D186">
            <v>1</v>
          </cell>
          <cell r="E186">
            <v>1.9</v>
          </cell>
          <cell r="F186">
            <v>0.9</v>
          </cell>
          <cell r="G186">
            <v>0.2</v>
          </cell>
          <cell r="H186">
            <v>0.34200000000000003</v>
          </cell>
        </row>
        <row r="187">
          <cell r="C187" t="str">
            <v>Chamber portion</v>
          </cell>
          <cell r="D187">
            <v>1</v>
          </cell>
          <cell r="E187">
            <v>1.4</v>
          </cell>
          <cell r="F187">
            <v>1.4</v>
          </cell>
          <cell r="G187">
            <v>0.55000000000000004</v>
          </cell>
          <cell r="H187">
            <v>1.0779999999999998</v>
          </cell>
        </row>
        <row r="190">
          <cell r="B190" t="str">
            <v>I-02</v>
          </cell>
          <cell r="C190" t="str">
            <v>Earth Work in Backfilling</v>
          </cell>
          <cell r="I190">
            <v>0.35499999999999998</v>
          </cell>
          <cell r="J190" t="str">
            <v>m3</v>
          </cell>
        </row>
        <row r="191">
          <cell r="C191" t="str">
            <v>25% of excavation</v>
          </cell>
          <cell r="H191">
            <v>0.35499999999999998</v>
          </cell>
        </row>
        <row r="194">
          <cell r="B194" t="str">
            <v>I-03</v>
          </cell>
          <cell r="C194" t="str">
            <v>Dry Stone Soling</v>
          </cell>
          <cell r="I194">
            <v>0.6352199999999999</v>
          </cell>
          <cell r="J194" t="str">
            <v>m3</v>
          </cell>
        </row>
        <row r="195">
          <cell r="C195" t="str">
            <v>Base of chamber</v>
          </cell>
          <cell r="D195">
            <v>1</v>
          </cell>
          <cell r="E195">
            <v>1.4</v>
          </cell>
          <cell r="F195">
            <v>1.4</v>
          </cell>
          <cell r="G195">
            <v>0.15</v>
          </cell>
          <cell r="H195">
            <v>0.29399999999999993</v>
          </cell>
        </row>
        <row r="196">
          <cell r="C196" t="str">
            <v>Catchment floor</v>
          </cell>
          <cell r="D196">
            <v>1</v>
          </cell>
          <cell r="E196">
            <v>2.42</v>
          </cell>
          <cell r="F196">
            <v>0.47</v>
          </cell>
          <cell r="G196">
            <v>0.3</v>
          </cell>
          <cell r="H196">
            <v>0.34121999999999997</v>
          </cell>
        </row>
        <row r="198">
          <cell r="B198" t="str">
            <v>I-04</v>
          </cell>
          <cell r="C198" t="str">
            <v>P.C.C. (1:2:4)</v>
          </cell>
          <cell r="I198">
            <v>0.57369999999999999</v>
          </cell>
          <cell r="J198" t="str">
            <v>m3</v>
          </cell>
        </row>
        <row r="199">
          <cell r="C199" t="str">
            <v>Catchment floor</v>
          </cell>
          <cell r="D199">
            <v>1</v>
          </cell>
          <cell r="E199">
            <v>1.9</v>
          </cell>
          <cell r="F199">
            <v>0.87</v>
          </cell>
          <cell r="G199">
            <v>0.1</v>
          </cell>
          <cell r="H199">
            <v>0.1653</v>
          </cell>
        </row>
        <row r="200">
          <cell r="C200" t="str">
            <v>top of wing wall</v>
          </cell>
          <cell r="D200">
            <v>1</v>
          </cell>
          <cell r="E200">
            <v>2.71</v>
          </cell>
          <cell r="F200">
            <v>0.4</v>
          </cell>
          <cell r="G200">
            <v>0.1</v>
          </cell>
          <cell r="H200">
            <v>0.10840000000000001</v>
          </cell>
        </row>
        <row r="201">
          <cell r="C201" t="str">
            <v>Chamber base</v>
          </cell>
          <cell r="D201">
            <v>1</v>
          </cell>
          <cell r="E201">
            <v>1.4</v>
          </cell>
          <cell r="F201">
            <v>1.4</v>
          </cell>
          <cell r="G201">
            <v>0.1</v>
          </cell>
          <cell r="H201">
            <v>0.19599999999999998</v>
          </cell>
        </row>
        <row r="202">
          <cell r="C202" t="str">
            <v>Chamber top</v>
          </cell>
          <cell r="D202">
            <v>1</v>
          </cell>
          <cell r="E202">
            <v>2.5999999999999996</v>
          </cell>
          <cell r="F202">
            <v>0.4</v>
          </cell>
          <cell r="G202">
            <v>0.1</v>
          </cell>
          <cell r="H202">
            <v>0.10399999999999998</v>
          </cell>
        </row>
        <row r="205">
          <cell r="B205" t="str">
            <v>I-05</v>
          </cell>
          <cell r="C205" t="str">
            <v>P.C.C. for Pre-cast Slab (1:2:4)</v>
          </cell>
          <cell r="I205">
            <v>4.2187499999999996E-2</v>
          </cell>
          <cell r="J205" t="str">
            <v>m3</v>
          </cell>
        </row>
        <row r="206">
          <cell r="C206" t="str">
            <v>Slab cover</v>
          </cell>
          <cell r="D206">
            <v>1</v>
          </cell>
          <cell r="E206">
            <v>0.75</v>
          </cell>
          <cell r="F206">
            <v>0.75</v>
          </cell>
          <cell r="G206">
            <v>7.4999999999999997E-2</v>
          </cell>
          <cell r="H206">
            <v>4.2187499999999996E-2</v>
          </cell>
        </row>
        <row r="209">
          <cell r="B209" t="str">
            <v>I-06</v>
          </cell>
          <cell r="C209" t="str">
            <v>P.C.C. for R.C.C. (1:2:4)</v>
          </cell>
          <cell r="I209">
            <v>0</v>
          </cell>
          <cell r="J209" t="str">
            <v>m3</v>
          </cell>
        </row>
        <row r="213">
          <cell r="B213" t="str">
            <v>I-07</v>
          </cell>
          <cell r="C213" t="str">
            <v>Random Rubble Masonry (1:4)</v>
          </cell>
          <cell r="I213">
            <v>0.9927999999999999</v>
          </cell>
          <cell r="J213" t="str">
            <v>m3</v>
          </cell>
        </row>
        <row r="214">
          <cell r="C214" t="str">
            <v>Wing &amp; dam wall</v>
          </cell>
          <cell r="D214">
            <v>1</v>
          </cell>
          <cell r="E214">
            <v>2.71</v>
          </cell>
          <cell r="F214">
            <v>0.4</v>
          </cell>
          <cell r="G214">
            <v>0.2</v>
          </cell>
          <cell r="H214">
            <v>0.21680000000000002</v>
          </cell>
        </row>
        <row r="215">
          <cell r="C215" t="str">
            <v>Chamber wall</v>
          </cell>
          <cell r="D215">
            <v>1</v>
          </cell>
          <cell r="E215">
            <v>2.5999999999999996</v>
          </cell>
          <cell r="F215">
            <v>0.4</v>
          </cell>
          <cell r="G215">
            <v>0.6</v>
          </cell>
          <cell r="H215">
            <v>0.62399999999999989</v>
          </cell>
        </row>
        <row r="216">
          <cell r="C216" t="str">
            <v>Chamber cut off wall</v>
          </cell>
          <cell r="D216">
            <v>1</v>
          </cell>
          <cell r="E216">
            <v>1.4</v>
          </cell>
          <cell r="F216">
            <v>0.4</v>
          </cell>
          <cell r="G216">
            <v>0.3</v>
          </cell>
          <cell r="H216">
            <v>0.16799999999999998</v>
          </cell>
        </row>
        <row r="217">
          <cell r="C217" t="str">
            <v>Deduction inlet opening</v>
          </cell>
          <cell r="D217">
            <v>-1</v>
          </cell>
          <cell r="E217">
            <v>0.2</v>
          </cell>
          <cell r="F217">
            <v>0.4</v>
          </cell>
          <cell r="G217">
            <v>0.2</v>
          </cell>
          <cell r="H217">
            <v>-1.6000000000000004E-2</v>
          </cell>
        </row>
        <row r="220">
          <cell r="B220" t="str">
            <v>I-08</v>
          </cell>
          <cell r="C220" t="str">
            <v>Random Rubble Masonry (1:6)</v>
          </cell>
          <cell r="I220">
            <v>0</v>
          </cell>
          <cell r="J220" t="str">
            <v>m3</v>
          </cell>
        </row>
        <row r="224">
          <cell r="B224" t="str">
            <v>I-09</v>
          </cell>
          <cell r="C224" t="str">
            <v>Dry Stone masonry</v>
          </cell>
          <cell r="I224">
            <v>1.6000000000000004E-2</v>
          </cell>
          <cell r="J224" t="str">
            <v>m3</v>
          </cell>
        </row>
        <row r="225">
          <cell r="C225" t="str">
            <v>inlet opening</v>
          </cell>
          <cell r="D225">
            <v>1</v>
          </cell>
          <cell r="E225">
            <v>0.2</v>
          </cell>
          <cell r="F225">
            <v>0.4</v>
          </cell>
          <cell r="G225">
            <v>0.2</v>
          </cell>
          <cell r="H225">
            <v>1.6000000000000004E-2</v>
          </cell>
        </row>
        <row r="228">
          <cell r="B228" t="str">
            <v>I-10</v>
          </cell>
          <cell r="C228" t="str">
            <v>Form Work for P.C.C.</v>
          </cell>
          <cell r="I228">
            <v>1.0220000000000002</v>
          </cell>
          <cell r="J228" t="str">
            <v>m2</v>
          </cell>
        </row>
        <row r="229">
          <cell r="C229" t="str">
            <v>Top of wing wall</v>
          </cell>
          <cell r="D229">
            <v>2</v>
          </cell>
          <cell r="E229">
            <v>2.71</v>
          </cell>
          <cell r="G229">
            <v>0.1</v>
          </cell>
          <cell r="H229">
            <v>0.54200000000000004</v>
          </cell>
        </row>
        <row r="230">
          <cell r="C230" t="str">
            <v>Chamber top</v>
          </cell>
          <cell r="D230">
            <v>2</v>
          </cell>
          <cell r="E230">
            <v>2.4000000000000004</v>
          </cell>
          <cell r="G230">
            <v>0.1</v>
          </cell>
          <cell r="H230">
            <v>0.48000000000000009</v>
          </cell>
        </row>
        <row r="232">
          <cell r="B232" t="str">
            <v>I-11</v>
          </cell>
          <cell r="C232" t="str">
            <v>12.5mm Cement Plaster (1:2)</v>
          </cell>
          <cell r="I232">
            <v>0</v>
          </cell>
          <cell r="J232" t="str">
            <v>m2</v>
          </cell>
        </row>
        <row r="236">
          <cell r="B236" t="str">
            <v>I-12</v>
          </cell>
          <cell r="C236" t="str">
            <v>12.5mm Cement Plaster (1:3)</v>
          </cell>
          <cell r="I236">
            <v>0</v>
          </cell>
          <cell r="J236" t="str">
            <v>m2</v>
          </cell>
        </row>
        <row r="240">
          <cell r="B240" t="str">
            <v>I-13</v>
          </cell>
          <cell r="C240" t="str">
            <v>12.5mm Cement Plaster (1:4)</v>
          </cell>
          <cell r="I240">
            <v>8.5673999999999992</v>
          </cell>
          <cell r="J240" t="str">
            <v>m2</v>
          </cell>
        </row>
        <row r="241">
          <cell r="C241" t="str">
            <v>Catchment floor</v>
          </cell>
          <cell r="D241">
            <v>1</v>
          </cell>
          <cell r="E241">
            <v>2.42</v>
          </cell>
          <cell r="F241">
            <v>0.47</v>
          </cell>
          <cell r="H241">
            <v>1.1374</v>
          </cell>
        </row>
        <row r="242">
          <cell r="C242" t="str">
            <v>inner face of wing wall</v>
          </cell>
          <cell r="D242">
            <v>1</v>
          </cell>
          <cell r="E242">
            <v>2.02</v>
          </cell>
          <cell r="G242">
            <v>0.3</v>
          </cell>
          <cell r="H242">
            <v>0.60599999999999998</v>
          </cell>
        </row>
        <row r="243">
          <cell r="C243" t="str">
            <v>Outer face of wing wall</v>
          </cell>
          <cell r="D243">
            <v>1</v>
          </cell>
          <cell r="E243">
            <v>2</v>
          </cell>
          <cell r="G243">
            <v>0.3</v>
          </cell>
          <cell r="H243">
            <v>0.6</v>
          </cell>
        </row>
        <row r="244">
          <cell r="C244" t="str">
            <v>Top of wing wall</v>
          </cell>
          <cell r="D244">
            <v>1</v>
          </cell>
          <cell r="E244">
            <v>2.71</v>
          </cell>
          <cell r="F244">
            <v>0.4</v>
          </cell>
          <cell r="H244">
            <v>1.0840000000000001</v>
          </cell>
        </row>
        <row r="245">
          <cell r="C245" t="str">
            <v>Chamber floor</v>
          </cell>
          <cell r="D245">
            <v>1</v>
          </cell>
          <cell r="E245">
            <v>0.6</v>
          </cell>
          <cell r="F245">
            <v>0.6</v>
          </cell>
          <cell r="H245">
            <v>0.36</v>
          </cell>
        </row>
        <row r="246">
          <cell r="C246" t="str">
            <v>Inner face of  wall</v>
          </cell>
          <cell r="D246">
            <v>4</v>
          </cell>
          <cell r="E246">
            <v>0.6</v>
          </cell>
          <cell r="G246">
            <v>0.6</v>
          </cell>
          <cell r="H246">
            <v>1.44</v>
          </cell>
        </row>
        <row r="247">
          <cell r="C247" t="str">
            <v>outer face of chamber wall</v>
          </cell>
          <cell r="D247">
            <v>1</v>
          </cell>
          <cell r="E247">
            <v>3.4</v>
          </cell>
          <cell r="G247">
            <v>0.7</v>
          </cell>
          <cell r="H247">
            <v>2.38</v>
          </cell>
        </row>
        <row r="248">
          <cell r="C248" t="str">
            <v>Top of chamber wall</v>
          </cell>
          <cell r="D248">
            <v>1</v>
          </cell>
          <cell r="E248">
            <v>2.6</v>
          </cell>
          <cell r="F248">
            <v>0.4</v>
          </cell>
          <cell r="H248">
            <v>1.04</v>
          </cell>
        </row>
        <row r="249">
          <cell r="C249" t="str">
            <v>Deduction outlet/inlet portion</v>
          </cell>
          <cell r="D249">
            <v>-2</v>
          </cell>
          <cell r="E249">
            <v>0.2</v>
          </cell>
          <cell r="G249">
            <v>0.2</v>
          </cell>
          <cell r="H249">
            <v>-8.0000000000000016E-2</v>
          </cell>
        </row>
        <row r="251">
          <cell r="B251" t="str">
            <v>I-14</v>
          </cell>
          <cell r="C251" t="str">
            <v>Cement Pointing (1:3)</v>
          </cell>
          <cell r="I251">
            <v>0</v>
          </cell>
          <cell r="J251" t="str">
            <v>m2</v>
          </cell>
        </row>
        <row r="255">
          <cell r="B255" t="str">
            <v>I-15</v>
          </cell>
          <cell r="C255" t="str">
            <v>3mm Cement Punning</v>
          </cell>
          <cell r="I255">
            <v>3.5433999999999997</v>
          </cell>
          <cell r="J255" t="str">
            <v>m2</v>
          </cell>
        </row>
        <row r="256">
          <cell r="C256" t="str">
            <v>Floor &amp; inner face of wall</v>
          </cell>
          <cell r="D256">
            <v>1</v>
          </cell>
          <cell r="H256">
            <v>3.5433999999999997</v>
          </cell>
        </row>
        <row r="259">
          <cell r="B259" t="str">
            <v>I-16A</v>
          </cell>
          <cell r="C259" t="str">
            <v>Bar Binding for R.C.C. (10mm bar)</v>
          </cell>
          <cell r="I259">
            <v>0</v>
          </cell>
          <cell r="J259" t="str">
            <v>Kg</v>
          </cell>
        </row>
        <row r="263">
          <cell r="B263" t="str">
            <v>I-16B</v>
          </cell>
          <cell r="C263" t="str">
            <v>Bar Binding for R.C.C. (6mm bar)</v>
          </cell>
          <cell r="I263">
            <v>0</v>
          </cell>
          <cell r="J263" t="str">
            <v>Kg</v>
          </cell>
        </row>
        <row r="267">
          <cell r="B267" t="str">
            <v>I-17</v>
          </cell>
          <cell r="C267" t="str">
            <v>Bar Binding for Ferro-Cement Works</v>
          </cell>
          <cell r="I267">
            <v>0</v>
          </cell>
          <cell r="J267" t="str">
            <v>m2</v>
          </cell>
        </row>
        <row r="271">
          <cell r="B271" t="str">
            <v>I-18</v>
          </cell>
          <cell r="C271" t="str">
            <v>Formwork for Ferro-Cement Works</v>
          </cell>
          <cell r="I271">
            <v>0</v>
          </cell>
          <cell r="J271" t="str">
            <v>m2</v>
          </cell>
        </row>
        <row r="275">
          <cell r="B275" t="str">
            <v>I-19</v>
          </cell>
          <cell r="C275" t="str">
            <v>Cement Plaster for Ferro-Cement Work (1:3)</v>
          </cell>
          <cell r="I275">
            <v>0</v>
          </cell>
          <cell r="J275" t="str">
            <v>m2</v>
          </cell>
        </row>
        <row r="279">
          <cell r="B279" t="str">
            <v>I-20</v>
          </cell>
          <cell r="C279" t="str">
            <v>Formwork for Precast RCC Work</v>
          </cell>
          <cell r="I279">
            <v>0</v>
          </cell>
          <cell r="J279" t="str">
            <v>m2</v>
          </cell>
        </row>
        <row r="283">
          <cell r="B283" t="str">
            <v>I-21</v>
          </cell>
          <cell r="C283" t="str">
            <v>Cement Painting</v>
          </cell>
          <cell r="I283">
            <v>0</v>
          </cell>
          <cell r="J283" t="str">
            <v>m2</v>
          </cell>
        </row>
        <row r="287">
          <cell r="B287" t="str">
            <v>I-22</v>
          </cell>
          <cell r="C287" t="str">
            <v>Trench digging</v>
          </cell>
          <cell r="I287">
            <v>0</v>
          </cell>
          <cell r="J287" t="str">
            <v>m3</v>
          </cell>
        </row>
        <row r="291">
          <cell r="B291" t="str">
            <v>I-23</v>
          </cell>
          <cell r="C291" t="str">
            <v>Trench backfilling</v>
          </cell>
          <cell r="I291">
            <v>0</v>
          </cell>
          <cell r="J291" t="str">
            <v>m3</v>
          </cell>
        </row>
        <row r="295">
          <cell r="B295" t="str">
            <v>I-24</v>
          </cell>
          <cell r="C295" t="str">
            <v>Gabion Box (2mX1mX1m)</v>
          </cell>
          <cell r="I295">
            <v>0</v>
          </cell>
          <cell r="J295" t="str">
            <v>No</v>
          </cell>
        </row>
        <row r="298">
          <cell r="B298" t="str">
            <v>I-25</v>
          </cell>
          <cell r="C298" t="str">
            <v>Gabion Box (3mX1mX1m)</v>
          </cell>
          <cell r="I298">
            <v>0</v>
          </cell>
          <cell r="J298" t="str">
            <v>No</v>
          </cell>
        </row>
        <row r="302">
          <cell r="B302" t="str">
            <v>M-16</v>
          </cell>
          <cell r="C302" t="str">
            <v>Angle Pole</v>
          </cell>
          <cell r="I302">
            <v>4</v>
          </cell>
          <cell r="J302" t="str">
            <v>pc</v>
          </cell>
        </row>
        <row r="303">
          <cell r="B303" t="str">
            <v>M-17</v>
          </cell>
          <cell r="C303" t="str">
            <v>Angle Pole for Gate</v>
          </cell>
          <cell r="I303">
            <v>2</v>
          </cell>
          <cell r="J303" t="str">
            <v>pc</v>
          </cell>
        </row>
        <row r="304">
          <cell r="B304" t="str">
            <v>M-18</v>
          </cell>
          <cell r="C304" t="str">
            <v>Corner Angle Pole</v>
          </cell>
          <cell r="J304" t="str">
            <v>pc</v>
          </cell>
        </row>
        <row r="305">
          <cell r="B305" t="str">
            <v>M-19</v>
          </cell>
          <cell r="C305" t="str">
            <v>Bracing Angle Pole</v>
          </cell>
          <cell r="J305" t="str">
            <v>pc</v>
          </cell>
        </row>
        <row r="306">
          <cell r="B306" t="str">
            <v>M-20</v>
          </cell>
          <cell r="C306" t="str">
            <v>Polythene Sheet</v>
          </cell>
          <cell r="J306" t="str">
            <v>m</v>
          </cell>
        </row>
        <row r="307">
          <cell r="B307" t="str">
            <v>M-21</v>
          </cell>
          <cell r="C307" t="str">
            <v>Barbed Wire</v>
          </cell>
          <cell r="I307">
            <v>12</v>
          </cell>
          <cell r="J307" t="str">
            <v>kg</v>
          </cell>
        </row>
        <row r="308">
          <cell r="B308" t="str">
            <v>M-22</v>
          </cell>
          <cell r="C308" t="str">
            <v>Fencing Post</v>
          </cell>
          <cell r="J308" t="str">
            <v>pc</v>
          </cell>
        </row>
        <row r="309">
          <cell r="B309" t="str">
            <v>M-23</v>
          </cell>
          <cell r="C309" t="str">
            <v>Angle Gate</v>
          </cell>
          <cell r="I309">
            <v>1</v>
          </cell>
          <cell r="J309" t="str">
            <v>pc</v>
          </cell>
        </row>
        <row r="310">
          <cell r="B310" t="str">
            <v>M-24</v>
          </cell>
          <cell r="C310" t="str">
            <v>4" Hinges</v>
          </cell>
          <cell r="J310" t="str">
            <v>pc</v>
          </cell>
        </row>
        <row r="311">
          <cell r="B311" t="str">
            <v>M-25</v>
          </cell>
          <cell r="C311" t="str">
            <v>10" Aldrop</v>
          </cell>
          <cell r="J311" t="str">
            <v>pc</v>
          </cell>
        </row>
        <row r="312">
          <cell r="B312" t="str">
            <v>M-26</v>
          </cell>
          <cell r="C312" t="str">
            <v>Gate Lock Key</v>
          </cell>
          <cell r="J312" t="str">
            <v>pc</v>
          </cell>
        </row>
        <row r="313">
          <cell r="B313" t="str">
            <v>M-27</v>
          </cell>
          <cell r="C313" t="str">
            <v>Nut with bolt (8mm dia)</v>
          </cell>
          <cell r="J313" t="str">
            <v>pc</v>
          </cell>
        </row>
        <row r="314">
          <cell r="B314" t="str">
            <v>M-28</v>
          </cell>
          <cell r="C314" t="str">
            <v>Screws</v>
          </cell>
          <cell r="J314" t="str">
            <v>pc</v>
          </cell>
        </row>
        <row r="315">
          <cell r="B315" t="str">
            <v>M-29</v>
          </cell>
          <cell r="C315" t="str">
            <v>GI sheet Plain (3'x7')</v>
          </cell>
          <cell r="J315" t="str">
            <v>pc</v>
          </cell>
        </row>
        <row r="316">
          <cell r="B316" t="str">
            <v>M-30</v>
          </cell>
          <cell r="C316" t="str">
            <v>Manhole Cover (Circular)</v>
          </cell>
          <cell r="J316" t="str">
            <v>pc</v>
          </cell>
        </row>
        <row r="317">
          <cell r="B317" t="str">
            <v>M-31</v>
          </cell>
          <cell r="C317" t="str">
            <v>Manhole Cover (Square)</v>
          </cell>
          <cell r="J317" t="str">
            <v>pc</v>
          </cell>
        </row>
        <row r="318">
          <cell r="B318" t="str">
            <v>M-32</v>
          </cell>
          <cell r="C318" t="str">
            <v>Manhole Cover (Rectangle)</v>
          </cell>
          <cell r="J318" t="str">
            <v>pc</v>
          </cell>
        </row>
        <row r="319">
          <cell r="B319" t="str">
            <v>M-33</v>
          </cell>
          <cell r="C319" t="str">
            <v>Small Slab Frame (55x55)</v>
          </cell>
          <cell r="J319" t="str">
            <v>pc</v>
          </cell>
        </row>
        <row r="320">
          <cell r="B320" t="str">
            <v>M-34</v>
          </cell>
          <cell r="C320" t="str">
            <v>Big Slab Frame (75x75)</v>
          </cell>
          <cell r="I320">
            <v>1</v>
          </cell>
          <cell r="J320" t="str">
            <v>pc</v>
          </cell>
        </row>
        <row r="321">
          <cell r="B321" t="str">
            <v>M-36</v>
          </cell>
          <cell r="C321" t="str">
            <v>Lime</v>
          </cell>
          <cell r="J321" t="str">
            <v>kg</v>
          </cell>
        </row>
        <row r="322">
          <cell r="B322" t="str">
            <v>M-41</v>
          </cell>
          <cell r="C322" t="str">
            <v>Suspension Cable (8mm)</v>
          </cell>
          <cell r="J322" t="str">
            <v>m</v>
          </cell>
        </row>
        <row r="323">
          <cell r="B323" t="str">
            <v>M-42</v>
          </cell>
          <cell r="C323" t="str">
            <v>Suspension Cable (13mm)</v>
          </cell>
          <cell r="J323" t="str">
            <v>m</v>
          </cell>
        </row>
        <row r="324">
          <cell r="B324" t="str">
            <v>M-43</v>
          </cell>
          <cell r="C324" t="str">
            <v>Bulldog Grips (8mm)</v>
          </cell>
          <cell r="J324" t="str">
            <v>pc</v>
          </cell>
        </row>
        <row r="325">
          <cell r="B325" t="str">
            <v>M-44</v>
          </cell>
          <cell r="C325" t="str">
            <v>Bulldog Grips (13mm)</v>
          </cell>
          <cell r="J325" t="str">
            <v>pc</v>
          </cell>
        </row>
        <row r="326">
          <cell r="B326" t="str">
            <v>M-45</v>
          </cell>
          <cell r="C326" t="str">
            <v>PE Tank 200 ltrs.</v>
          </cell>
          <cell r="J326" t="str">
            <v>pc</v>
          </cell>
        </row>
        <row r="327">
          <cell r="B327" t="str">
            <v>M-46</v>
          </cell>
          <cell r="C327" t="str">
            <v>Tapstand Grid</v>
          </cell>
          <cell r="J327" t="str">
            <v>pc</v>
          </cell>
        </row>
        <row r="328">
          <cell r="B328" t="str">
            <v>M-47</v>
          </cell>
          <cell r="C328" t="str">
            <v>Anchor Bolt (1/2")</v>
          </cell>
          <cell r="J328" t="str">
            <v>pc</v>
          </cell>
        </row>
        <row r="329">
          <cell r="B329" t="str">
            <v>M-48</v>
          </cell>
          <cell r="C329" t="str">
            <v>Anchor Bolt (1")</v>
          </cell>
          <cell r="J329" t="str">
            <v>pc</v>
          </cell>
        </row>
        <row r="330">
          <cell r="B330" t="str">
            <v>M-49</v>
          </cell>
          <cell r="C330" t="str">
            <v>Anchor Bolt (1 1/2")</v>
          </cell>
          <cell r="J330" t="str">
            <v>pc</v>
          </cell>
        </row>
        <row r="331">
          <cell r="B331" t="str">
            <v>M-50</v>
          </cell>
          <cell r="C331" t="str">
            <v>Anchor Bolt (2")</v>
          </cell>
          <cell r="J331" t="str">
            <v>pc</v>
          </cell>
        </row>
        <row r="332">
          <cell r="B332" t="str">
            <v>M-01</v>
          </cell>
          <cell r="C332" t="str">
            <v>Cement</v>
          </cell>
          <cell r="I332">
            <v>8.2529035999999998</v>
          </cell>
          <cell r="J332" t="str">
            <v>bag</v>
          </cell>
        </row>
        <row r="333">
          <cell r="B333" t="str">
            <v>M-02</v>
          </cell>
          <cell r="C333" t="str">
            <v>Sand</v>
          </cell>
          <cell r="I333">
            <v>0.84077353750000006</v>
          </cell>
          <cell r="J333" t="str">
            <v>m3</v>
          </cell>
        </row>
        <row r="334">
          <cell r="B334" t="str">
            <v>M-03</v>
          </cell>
          <cell r="C334" t="str">
            <v>Block Stone</v>
          </cell>
          <cell r="I334">
            <v>1.6440199999999998</v>
          </cell>
          <cell r="J334" t="str">
            <v>m3</v>
          </cell>
        </row>
        <row r="335">
          <cell r="B335" t="str">
            <v>M-04</v>
          </cell>
          <cell r="C335" t="str">
            <v>Bond Stone</v>
          </cell>
          <cell r="I335">
            <v>0.16440199999999999</v>
          </cell>
          <cell r="J335" t="str">
            <v>m3</v>
          </cell>
        </row>
        <row r="336">
          <cell r="B336" t="str">
            <v>M-05</v>
          </cell>
          <cell r="C336" t="str">
            <v>Aggregate (5-10mm)</v>
          </cell>
          <cell r="I336">
            <v>7.39065E-2</v>
          </cell>
          <cell r="J336" t="str">
            <v>m3</v>
          </cell>
        </row>
        <row r="337">
          <cell r="B337" t="str">
            <v>M-06</v>
          </cell>
          <cell r="C337" t="str">
            <v>Aggregate (10-20mm)</v>
          </cell>
          <cell r="I337">
            <v>0.147813</v>
          </cell>
          <cell r="J337" t="str">
            <v>m3</v>
          </cell>
        </row>
        <row r="338">
          <cell r="B338" t="str">
            <v>M-07</v>
          </cell>
          <cell r="C338" t="str">
            <v>Aggregate (20-40mm)</v>
          </cell>
          <cell r="I338">
            <v>0.30178487500000001</v>
          </cell>
          <cell r="J338" t="str">
            <v>m3</v>
          </cell>
        </row>
        <row r="339">
          <cell r="B339" t="str">
            <v>M-08</v>
          </cell>
          <cell r="C339" t="str">
            <v>Project Information Board</v>
          </cell>
          <cell r="J339" t="str">
            <v>set</v>
          </cell>
        </row>
        <row r="340">
          <cell r="B340" t="str">
            <v>M-09</v>
          </cell>
          <cell r="C340" t="str">
            <v>Reinforcement ( 6mm)</v>
          </cell>
          <cell r="I340">
            <v>0</v>
          </cell>
          <cell r="J340" t="str">
            <v>kg</v>
          </cell>
        </row>
        <row r="341">
          <cell r="B341" t="str">
            <v>M-10</v>
          </cell>
          <cell r="C341" t="str">
            <v>Reinforcement ( 8mm)</v>
          </cell>
          <cell r="J341" t="str">
            <v>kg</v>
          </cell>
        </row>
        <row r="342">
          <cell r="B342" t="str">
            <v>M-11</v>
          </cell>
          <cell r="C342" t="str">
            <v>Reinforcement (10mm)</v>
          </cell>
          <cell r="I342">
            <v>0</v>
          </cell>
          <cell r="J342" t="str">
            <v>kg</v>
          </cell>
        </row>
        <row r="343">
          <cell r="B343" t="str">
            <v>M-12</v>
          </cell>
          <cell r="C343" t="str">
            <v>Binding wire</v>
          </cell>
          <cell r="I343">
            <v>0</v>
          </cell>
          <cell r="J343" t="str">
            <v>kg</v>
          </cell>
        </row>
        <row r="344">
          <cell r="B344" t="str">
            <v>M-13</v>
          </cell>
          <cell r="C344" t="str">
            <v>Plain wire (3.5 mm dia)</v>
          </cell>
          <cell r="I344">
            <v>0</v>
          </cell>
          <cell r="J344" t="str">
            <v>kg</v>
          </cell>
        </row>
        <row r="345">
          <cell r="B345" t="str">
            <v>M-14</v>
          </cell>
          <cell r="C345" t="str">
            <v>Chicken wire mesh (3 Ft wide)</v>
          </cell>
          <cell r="I345">
            <v>0</v>
          </cell>
          <cell r="J345" t="str">
            <v>m</v>
          </cell>
        </row>
        <row r="346">
          <cell r="B346" t="str">
            <v>M-15</v>
          </cell>
          <cell r="C346" t="str">
            <v>Bamboo</v>
          </cell>
          <cell r="I346">
            <v>0</v>
          </cell>
          <cell r="J346" t="str">
            <v>pc</v>
          </cell>
        </row>
        <row r="347">
          <cell r="B347" t="str">
            <v>M-35</v>
          </cell>
          <cell r="C347" t="str">
            <v>Cement Paint</v>
          </cell>
          <cell r="I347">
            <v>0</v>
          </cell>
          <cell r="J347" t="str">
            <v>kg</v>
          </cell>
        </row>
        <row r="348">
          <cell r="B348" t="str">
            <v>M-37</v>
          </cell>
          <cell r="C348" t="str">
            <v>GI Selwage Wire (8g)</v>
          </cell>
          <cell r="I348">
            <v>0</v>
          </cell>
          <cell r="J348" t="str">
            <v>kg</v>
          </cell>
        </row>
        <row r="349">
          <cell r="B349" t="str">
            <v>M-38</v>
          </cell>
          <cell r="C349" t="str">
            <v>GI Mesh Wire (10g)</v>
          </cell>
          <cell r="I349">
            <v>0</v>
          </cell>
          <cell r="J349" t="str">
            <v>kg</v>
          </cell>
        </row>
        <row r="350">
          <cell r="B350" t="str">
            <v>M-39</v>
          </cell>
          <cell r="C350" t="str">
            <v>Wood for Formwork</v>
          </cell>
          <cell r="I350">
            <v>0.25856600000000007</v>
          </cell>
          <cell r="J350" t="str">
            <v>m3</v>
          </cell>
        </row>
        <row r="351">
          <cell r="B351" t="str">
            <v>M-40</v>
          </cell>
          <cell r="C351" t="str">
            <v>Nails</v>
          </cell>
          <cell r="I351">
            <v>0.25550000000000006</v>
          </cell>
          <cell r="J351" t="str">
            <v>kg</v>
          </cell>
        </row>
        <row r="352">
          <cell r="B352" t="str">
            <v>L-1</v>
          </cell>
          <cell r="C352" t="str">
            <v>Skilled Labour</v>
          </cell>
          <cell r="I352">
            <v>4.3033194999999997</v>
          </cell>
          <cell r="J352" t="str">
            <v>md</v>
          </cell>
        </row>
        <row r="353">
          <cell r="B353" t="str">
            <v>L-2</v>
          </cell>
          <cell r="C353" t="str">
            <v>Unskilled Labour</v>
          </cell>
          <cell r="I353">
            <v>14.004348</v>
          </cell>
          <cell r="J353" t="str">
            <v>md</v>
          </cell>
        </row>
        <row r="354">
          <cell r="C354" t="str">
            <v>FITTINGS</v>
          </cell>
        </row>
        <row r="355">
          <cell r="C355" t="str">
            <v>Outlet Pipe Dia</v>
          </cell>
          <cell r="D355">
            <v>0</v>
          </cell>
        </row>
        <row r="356">
          <cell r="C356" t="str">
            <v>Washout Pipe Dia</v>
          </cell>
          <cell r="D356">
            <v>0</v>
          </cell>
        </row>
        <row r="357">
          <cell r="B357" t="str">
            <v>GPM-25</v>
          </cell>
          <cell r="C357" t="str">
            <v>G.I. Pipe (1") - MC</v>
          </cell>
          <cell r="I357">
            <v>0</v>
          </cell>
          <cell r="J357" t="str">
            <v>m</v>
          </cell>
        </row>
        <row r="358">
          <cell r="B358" t="str">
            <v>GPM-40</v>
          </cell>
          <cell r="C358" t="str">
            <v>G.I. Pipe (1-1/2") - MC</v>
          </cell>
          <cell r="I358">
            <v>0</v>
          </cell>
          <cell r="J358" t="str">
            <v>m</v>
          </cell>
        </row>
        <row r="359">
          <cell r="B359" t="str">
            <v>BU-32</v>
          </cell>
          <cell r="C359" t="str">
            <v>Brass Union  (32mm x 1")</v>
          </cell>
          <cell r="I359">
            <v>0</v>
          </cell>
          <cell r="J359" t="str">
            <v>pc</v>
          </cell>
        </row>
        <row r="360">
          <cell r="B360" t="str">
            <v>BU-20</v>
          </cell>
          <cell r="C360" t="str">
            <v>Brass Union  (20mm x 1/2")</v>
          </cell>
          <cell r="I360">
            <v>0</v>
          </cell>
          <cell r="J360" t="str">
            <v>pc</v>
          </cell>
        </row>
        <row r="361">
          <cell r="B361" t="str">
            <v>GPM-40</v>
          </cell>
          <cell r="C361" t="str">
            <v>G.I. Pipe (1-1/2") - MC</v>
          </cell>
          <cell r="I361">
            <v>0</v>
          </cell>
          <cell r="J361" t="str">
            <v>m</v>
          </cell>
        </row>
        <row r="362">
          <cell r="B362" t="str">
            <v>gec-40</v>
          </cell>
          <cell r="C362" t="str">
            <v>G.I. End Cap (1-1/2")</v>
          </cell>
          <cell r="I362">
            <v>0</v>
          </cell>
          <cell r="J362" t="str">
            <v>pc</v>
          </cell>
        </row>
        <row r="363">
          <cell r="B363" t="str">
            <v>HST-32</v>
          </cell>
          <cell r="C363" t="str">
            <v>HDP Strainer (32mm)</v>
          </cell>
          <cell r="I363">
            <v>0</v>
          </cell>
          <cell r="J363" t="str">
            <v>pc</v>
          </cell>
        </row>
        <row r="364">
          <cell r="B364" t="str">
            <v>GSO-25</v>
          </cell>
          <cell r="C364" t="str">
            <v>G.I. Socket (1")</v>
          </cell>
          <cell r="I364">
            <v>0</v>
          </cell>
          <cell r="J364" t="str">
            <v>pc</v>
          </cell>
        </row>
        <row r="365">
          <cell r="B365" t="str">
            <v>GPM-15</v>
          </cell>
          <cell r="C365" t="str">
            <v>G.I. Pipe (1/2") - MC</v>
          </cell>
          <cell r="I365">
            <v>0</v>
          </cell>
          <cell r="J365" t="str">
            <v>m</v>
          </cell>
        </row>
        <row r="366">
          <cell r="B366" t="str">
            <v>GEL-15</v>
          </cell>
          <cell r="C366" t="str">
            <v xml:space="preserve">G.I. Elbow (1/2") </v>
          </cell>
          <cell r="I366">
            <v>0</v>
          </cell>
          <cell r="J366" t="str">
            <v>pc</v>
          </cell>
        </row>
        <row r="368">
          <cell r="C368">
            <v>0</v>
          </cell>
          <cell r="I368">
            <v>0</v>
          </cell>
          <cell r="J368">
            <v>0</v>
          </cell>
        </row>
        <row r="370">
          <cell r="D370">
            <v>0</v>
          </cell>
        </row>
        <row r="371">
          <cell r="B371" t="str">
            <v>I-01</v>
          </cell>
          <cell r="C371" t="str">
            <v>Earth Work in Excavation</v>
          </cell>
          <cell r="I371">
            <v>0.58500000000000008</v>
          </cell>
          <cell r="J371" t="str">
            <v>m3</v>
          </cell>
        </row>
        <row r="372">
          <cell r="C372" t="str">
            <v>Catchment Portion</v>
          </cell>
          <cell r="D372">
            <v>1</v>
          </cell>
          <cell r="E372">
            <v>2.25</v>
          </cell>
          <cell r="F372">
            <v>1.3</v>
          </cell>
          <cell r="G372">
            <v>0.2</v>
          </cell>
          <cell r="H372">
            <v>0.58500000000000008</v>
          </cell>
        </row>
        <row r="375">
          <cell r="B375" t="str">
            <v>I-02</v>
          </cell>
          <cell r="C375" t="str">
            <v>Earth Work in Backfilling</v>
          </cell>
          <cell r="I375">
            <v>0.14625000000000002</v>
          </cell>
          <cell r="J375" t="str">
            <v>m3</v>
          </cell>
        </row>
        <row r="376">
          <cell r="C376" t="str">
            <v>25% of excavation</v>
          </cell>
          <cell r="H376">
            <v>0.14625000000000002</v>
          </cell>
        </row>
        <row r="379">
          <cell r="B379" t="str">
            <v>I-03</v>
          </cell>
          <cell r="C379" t="str">
            <v>Dry Stone Soling</v>
          </cell>
          <cell r="I379">
            <v>0.54720000000000002</v>
          </cell>
          <cell r="J379" t="str">
            <v>m3</v>
          </cell>
        </row>
        <row r="380">
          <cell r="C380" t="str">
            <v>At Catchment portion</v>
          </cell>
          <cell r="D380">
            <v>1</v>
          </cell>
          <cell r="E380">
            <v>1.52</v>
          </cell>
          <cell r="F380">
            <v>0.9</v>
          </cell>
          <cell r="G380">
            <v>0.4</v>
          </cell>
          <cell r="H380">
            <v>0.54720000000000002</v>
          </cell>
        </row>
        <row r="383">
          <cell r="B383" t="str">
            <v>I-04</v>
          </cell>
          <cell r="C383" t="str">
            <v>P.C.C. (1:2:4)</v>
          </cell>
          <cell r="I383">
            <v>0.45410000000000006</v>
          </cell>
          <cell r="J383" t="str">
            <v>m3</v>
          </cell>
        </row>
        <row r="384">
          <cell r="C384" t="str">
            <v>catchment floor</v>
          </cell>
          <cell r="D384">
            <v>1</v>
          </cell>
          <cell r="E384">
            <v>2.21</v>
          </cell>
          <cell r="F384">
            <v>1.3</v>
          </cell>
          <cell r="G384">
            <v>0.1</v>
          </cell>
          <cell r="H384">
            <v>0.28730000000000006</v>
          </cell>
        </row>
        <row r="385">
          <cell r="C385" t="str">
            <v>top of wind &amp; dam wall</v>
          </cell>
          <cell r="D385">
            <v>1</v>
          </cell>
          <cell r="E385">
            <v>3.77</v>
          </cell>
          <cell r="F385">
            <v>0.4</v>
          </cell>
          <cell r="G385">
            <v>0.1</v>
          </cell>
          <cell r="H385">
            <v>0.15080000000000002</v>
          </cell>
        </row>
        <row r="386">
          <cell r="C386" t="str">
            <v>Spillway</v>
          </cell>
          <cell r="D386">
            <v>2</v>
          </cell>
          <cell r="E386">
            <v>0.1</v>
          </cell>
          <cell r="F386">
            <v>0.4</v>
          </cell>
          <cell r="G386">
            <v>0.2</v>
          </cell>
          <cell r="H386">
            <v>1.6000000000000004E-2</v>
          </cell>
        </row>
        <row r="388">
          <cell r="B388" t="str">
            <v>I-05</v>
          </cell>
          <cell r="C388" t="str">
            <v>P.C.C. for Pre-cast Slab (1:2:4)</v>
          </cell>
          <cell r="I388">
            <v>0</v>
          </cell>
          <cell r="J388" t="str">
            <v>m3</v>
          </cell>
        </row>
        <row r="392">
          <cell r="B392" t="str">
            <v>I-06</v>
          </cell>
          <cell r="C392" t="str">
            <v>P.C.C. for R.C.C. (1:2:4)</v>
          </cell>
          <cell r="I392">
            <v>0</v>
          </cell>
          <cell r="J392" t="str">
            <v>m3</v>
          </cell>
        </row>
        <row r="396">
          <cell r="B396" t="str">
            <v>I-07</v>
          </cell>
          <cell r="C396" t="str">
            <v>Random Rubble Masonry (1:4)</v>
          </cell>
          <cell r="I396">
            <v>0.43639999999999995</v>
          </cell>
          <cell r="J396" t="str">
            <v>m3</v>
          </cell>
        </row>
        <row r="397">
          <cell r="C397" t="str">
            <v>Wing &amp; dam wall</v>
          </cell>
          <cell r="D397">
            <v>1</v>
          </cell>
          <cell r="E397">
            <v>3.77</v>
          </cell>
          <cell r="F397">
            <v>0.4</v>
          </cell>
          <cell r="G397">
            <v>0.3</v>
          </cell>
          <cell r="H397">
            <v>0.45239999999999997</v>
          </cell>
        </row>
        <row r="398">
          <cell r="C398" t="str">
            <v>Deduction of spillway opening</v>
          </cell>
          <cell r="D398">
            <v>-1</v>
          </cell>
          <cell r="E398">
            <v>0.4</v>
          </cell>
          <cell r="F398">
            <v>0.4</v>
          </cell>
          <cell r="G398">
            <v>0.1</v>
          </cell>
          <cell r="H398">
            <v>-1.6000000000000004E-2</v>
          </cell>
        </row>
        <row r="400">
          <cell r="B400" t="str">
            <v>I-08</v>
          </cell>
          <cell r="C400" t="str">
            <v>Random Rubble Masonry (1:6)</v>
          </cell>
          <cell r="I400">
            <v>0</v>
          </cell>
          <cell r="J400" t="str">
            <v>m3</v>
          </cell>
        </row>
        <row r="404">
          <cell r="B404" t="str">
            <v>I-09</v>
          </cell>
          <cell r="C404" t="str">
            <v>Dry Stone masonry</v>
          </cell>
          <cell r="I404">
            <v>0</v>
          </cell>
          <cell r="J404" t="str">
            <v>m3</v>
          </cell>
        </row>
        <row r="408">
          <cell r="B408" t="str">
            <v>I-10</v>
          </cell>
          <cell r="C408" t="str">
            <v>Form Work for P.C.C.</v>
          </cell>
          <cell r="I408">
            <v>0.754</v>
          </cell>
          <cell r="J408" t="str">
            <v>m2</v>
          </cell>
        </row>
        <row r="409">
          <cell r="C409" t="str">
            <v>top of wall</v>
          </cell>
          <cell r="D409">
            <v>2</v>
          </cell>
          <cell r="E409">
            <v>3.77</v>
          </cell>
          <cell r="G409">
            <v>0.1</v>
          </cell>
          <cell r="H409">
            <v>0.754</v>
          </cell>
        </row>
        <row r="412">
          <cell r="B412" t="str">
            <v>I-11</v>
          </cell>
          <cell r="C412" t="str">
            <v>12.5mm Cement Plaster (1:2)</v>
          </cell>
          <cell r="I412">
            <v>0</v>
          </cell>
          <cell r="J412" t="str">
            <v>m2</v>
          </cell>
        </row>
        <row r="416">
          <cell r="B416" t="str">
            <v>I-12</v>
          </cell>
          <cell r="C416" t="str">
            <v>12.5mm Cement Plaster (1:3)</v>
          </cell>
          <cell r="I416">
            <v>0</v>
          </cell>
          <cell r="J416" t="str">
            <v>m2</v>
          </cell>
        </row>
        <row r="420">
          <cell r="B420" t="str">
            <v>I-13</v>
          </cell>
          <cell r="C420" t="str">
            <v>12.5mm Cement Plaster (1:4)</v>
          </cell>
          <cell r="I420">
            <v>5.9160000000000004</v>
          </cell>
          <cell r="J420" t="str">
            <v>m2</v>
          </cell>
        </row>
        <row r="421">
          <cell r="C421" t="str">
            <v>catchment Floor</v>
          </cell>
          <cell r="D421">
            <v>1</v>
          </cell>
          <cell r="E421">
            <v>1.52</v>
          </cell>
          <cell r="F421">
            <v>0.9</v>
          </cell>
          <cell r="H421">
            <v>1.3680000000000001</v>
          </cell>
        </row>
        <row r="422">
          <cell r="C422" t="str">
            <v>inner face of catchment wall</v>
          </cell>
          <cell r="D422">
            <v>1</v>
          </cell>
          <cell r="E422">
            <v>3.1</v>
          </cell>
          <cell r="G422">
            <v>0.4</v>
          </cell>
          <cell r="H422">
            <v>1.2400000000000002</v>
          </cell>
        </row>
        <row r="423">
          <cell r="C423" t="str">
            <v>Outerface of wall</v>
          </cell>
          <cell r="D423">
            <v>1</v>
          </cell>
          <cell r="E423">
            <v>4.5</v>
          </cell>
          <cell r="G423">
            <v>0.4</v>
          </cell>
          <cell r="H423">
            <v>1.8</v>
          </cell>
        </row>
        <row r="424">
          <cell r="C424" t="str">
            <v>Top of wall</v>
          </cell>
          <cell r="D424">
            <v>1</v>
          </cell>
          <cell r="E424">
            <v>3.77</v>
          </cell>
          <cell r="F424">
            <v>0.4</v>
          </cell>
          <cell r="H424">
            <v>1.508</v>
          </cell>
        </row>
        <row r="426">
          <cell r="B426" t="str">
            <v>I-14</v>
          </cell>
          <cell r="C426" t="str">
            <v>Cement Pointing (1:3)</v>
          </cell>
          <cell r="I426">
            <v>0</v>
          </cell>
          <cell r="J426" t="str">
            <v>m2</v>
          </cell>
        </row>
        <row r="430">
          <cell r="B430" t="str">
            <v>I-15</v>
          </cell>
          <cell r="C430" t="str">
            <v>3mm Cement Punning</v>
          </cell>
          <cell r="I430">
            <v>2.6080000000000005</v>
          </cell>
          <cell r="J430" t="str">
            <v>m2</v>
          </cell>
        </row>
        <row r="431">
          <cell r="C431" t="str">
            <v>floor &amp; inner face of wall</v>
          </cell>
          <cell r="H431">
            <v>2.6080000000000005</v>
          </cell>
        </row>
        <row r="434">
          <cell r="B434" t="str">
            <v>I-16A</v>
          </cell>
          <cell r="C434" t="str">
            <v>Bar Binding for R.C.C. (10mm bar)</v>
          </cell>
          <cell r="I434">
            <v>0</v>
          </cell>
          <cell r="J434" t="str">
            <v>Kg</v>
          </cell>
        </row>
        <row r="438">
          <cell r="B438" t="str">
            <v>I-16B</v>
          </cell>
          <cell r="C438" t="str">
            <v>Bar Binding for R.C.C. (6mm bar)</v>
          </cell>
          <cell r="I438">
            <v>0</v>
          </cell>
          <cell r="J438" t="str">
            <v>Kg</v>
          </cell>
        </row>
        <row r="442">
          <cell r="B442" t="str">
            <v>I-17</v>
          </cell>
          <cell r="C442" t="str">
            <v>Bar Binding for Ferro-Cement Works</v>
          </cell>
          <cell r="I442">
            <v>0</v>
          </cell>
          <cell r="J442" t="str">
            <v>m2</v>
          </cell>
        </row>
        <row r="446">
          <cell r="B446" t="str">
            <v>I-18</v>
          </cell>
          <cell r="C446" t="str">
            <v>Formwork for Ferro-Cement Works</v>
          </cell>
          <cell r="I446">
            <v>0</v>
          </cell>
          <cell r="J446" t="str">
            <v>m2</v>
          </cell>
        </row>
        <row r="450">
          <cell r="B450" t="str">
            <v>I-19</v>
          </cell>
          <cell r="C450" t="str">
            <v>Cement Plaster for Ferro-Cement Work (1:3)</v>
          </cell>
          <cell r="I450">
            <v>0</v>
          </cell>
          <cell r="J450" t="str">
            <v>m2</v>
          </cell>
        </row>
        <row r="454">
          <cell r="B454" t="str">
            <v>I-20</v>
          </cell>
          <cell r="C454" t="str">
            <v>Formwork for Precast RCC Work</v>
          </cell>
          <cell r="I454">
            <v>0</v>
          </cell>
          <cell r="J454" t="str">
            <v>m2</v>
          </cell>
        </row>
        <row r="458">
          <cell r="B458" t="str">
            <v>I-21</v>
          </cell>
          <cell r="C458" t="str">
            <v>Cement Painting</v>
          </cell>
          <cell r="I458">
            <v>0</v>
          </cell>
          <cell r="J458" t="str">
            <v>m2</v>
          </cell>
        </row>
        <row r="462">
          <cell r="B462" t="str">
            <v>I-22</v>
          </cell>
          <cell r="C462" t="str">
            <v>Trench digging</v>
          </cell>
          <cell r="I462">
            <v>0</v>
          </cell>
          <cell r="J462" t="str">
            <v>m3</v>
          </cell>
        </row>
        <row r="466">
          <cell r="B466" t="str">
            <v>I-23</v>
          </cell>
          <cell r="C466" t="str">
            <v>Trench backfilling</v>
          </cell>
          <cell r="I466">
            <v>0</v>
          </cell>
          <cell r="J466" t="str">
            <v>m3</v>
          </cell>
        </row>
        <row r="470">
          <cell r="B470" t="str">
            <v>I-24</v>
          </cell>
          <cell r="C470" t="str">
            <v>Gabion Box (2mX1mX1m)</v>
          </cell>
          <cell r="I470">
            <v>0</v>
          </cell>
          <cell r="J470" t="str">
            <v>No</v>
          </cell>
        </row>
        <row r="473">
          <cell r="B473" t="str">
            <v>I-25</v>
          </cell>
          <cell r="C473" t="str">
            <v>Gabion Box (3mX1mX1m)</v>
          </cell>
          <cell r="I473">
            <v>0</v>
          </cell>
          <cell r="J473" t="str">
            <v>No</v>
          </cell>
        </row>
        <row r="477">
          <cell r="B477" t="str">
            <v>M-16</v>
          </cell>
          <cell r="C477" t="str">
            <v>Angle Pole</v>
          </cell>
          <cell r="I477">
            <v>3</v>
          </cell>
          <cell r="J477" t="str">
            <v>pc</v>
          </cell>
        </row>
        <row r="478">
          <cell r="B478" t="str">
            <v>M-17</v>
          </cell>
          <cell r="C478" t="str">
            <v>Angle Pole for Gate</v>
          </cell>
          <cell r="I478">
            <v>2</v>
          </cell>
          <cell r="J478" t="str">
            <v>pc</v>
          </cell>
        </row>
        <row r="479">
          <cell r="B479" t="str">
            <v>M-18</v>
          </cell>
          <cell r="C479" t="str">
            <v>Corner Angle Pole</v>
          </cell>
          <cell r="J479" t="str">
            <v>pc</v>
          </cell>
        </row>
        <row r="480">
          <cell r="B480" t="str">
            <v>M-19</v>
          </cell>
          <cell r="C480" t="str">
            <v>Bracing Angle Pole</v>
          </cell>
          <cell r="J480" t="str">
            <v>pc</v>
          </cell>
        </row>
        <row r="481">
          <cell r="B481" t="str">
            <v>M-20</v>
          </cell>
          <cell r="C481" t="str">
            <v>Polythene Sheet</v>
          </cell>
          <cell r="J481" t="str">
            <v>m</v>
          </cell>
        </row>
        <row r="482">
          <cell r="B482" t="str">
            <v>M-21</v>
          </cell>
          <cell r="C482" t="str">
            <v>Barbed Wire</v>
          </cell>
          <cell r="I482">
            <v>11</v>
          </cell>
          <cell r="J482" t="str">
            <v>kg</v>
          </cell>
        </row>
        <row r="483">
          <cell r="B483" t="str">
            <v>M-22</v>
          </cell>
          <cell r="C483" t="str">
            <v>Fencing Post</v>
          </cell>
          <cell r="J483" t="str">
            <v>pc</v>
          </cell>
        </row>
        <row r="484">
          <cell r="B484" t="str">
            <v>M-23</v>
          </cell>
          <cell r="C484" t="str">
            <v>Angle Gate</v>
          </cell>
          <cell r="I484">
            <v>1</v>
          </cell>
          <cell r="J484" t="str">
            <v>pc</v>
          </cell>
        </row>
        <row r="485">
          <cell r="B485" t="str">
            <v>M-24</v>
          </cell>
          <cell r="C485" t="str">
            <v>4" Hinges</v>
          </cell>
          <cell r="J485" t="str">
            <v>pc</v>
          </cell>
        </row>
        <row r="486">
          <cell r="B486" t="str">
            <v>M-25</v>
          </cell>
          <cell r="C486" t="str">
            <v>10" Aldrop</v>
          </cell>
          <cell r="J486" t="str">
            <v>pc</v>
          </cell>
        </row>
        <row r="487">
          <cell r="B487" t="str">
            <v>M-26</v>
          </cell>
          <cell r="C487" t="str">
            <v>Gate Lock Key</v>
          </cell>
          <cell r="J487" t="str">
            <v>pc</v>
          </cell>
        </row>
        <row r="488">
          <cell r="B488" t="str">
            <v>M-27</v>
          </cell>
          <cell r="C488" t="str">
            <v>Nut with bolt (8mm dia)</v>
          </cell>
          <cell r="J488" t="str">
            <v>pc</v>
          </cell>
        </row>
        <row r="489">
          <cell r="B489" t="str">
            <v>M-28</v>
          </cell>
          <cell r="C489" t="str">
            <v>Screws</v>
          </cell>
          <cell r="J489" t="str">
            <v>pc</v>
          </cell>
        </row>
        <row r="490">
          <cell r="B490" t="str">
            <v>M-29</v>
          </cell>
          <cell r="C490" t="str">
            <v>GI sheet Plain (3'x7')</v>
          </cell>
          <cell r="J490" t="str">
            <v>pc</v>
          </cell>
        </row>
        <row r="491">
          <cell r="B491" t="str">
            <v>M-30</v>
          </cell>
          <cell r="C491" t="str">
            <v>Manhole Cover (Circular)</v>
          </cell>
          <cell r="J491" t="str">
            <v>pc</v>
          </cell>
        </row>
        <row r="492">
          <cell r="B492" t="str">
            <v>M-31</v>
          </cell>
          <cell r="C492" t="str">
            <v>Manhole Cover (Square)</v>
          </cell>
          <cell r="J492" t="str">
            <v>pc</v>
          </cell>
        </row>
        <row r="493">
          <cell r="B493" t="str">
            <v>M-32</v>
          </cell>
          <cell r="C493" t="str">
            <v>Manhole Cover (Rectangle)</v>
          </cell>
          <cell r="J493" t="str">
            <v>pc</v>
          </cell>
        </row>
        <row r="494">
          <cell r="B494" t="str">
            <v>M-33</v>
          </cell>
          <cell r="C494" t="str">
            <v>Small Slab Frame (55x55)</v>
          </cell>
          <cell r="J494" t="str">
            <v>pc</v>
          </cell>
        </row>
        <row r="495">
          <cell r="B495" t="str">
            <v>M-34</v>
          </cell>
          <cell r="C495" t="str">
            <v>Big Slab Frame (75x75)</v>
          </cell>
          <cell r="J495" t="str">
            <v>pc</v>
          </cell>
        </row>
        <row r="496">
          <cell r="B496" t="str">
            <v>M-36</v>
          </cell>
          <cell r="C496" t="str">
            <v>Lime</v>
          </cell>
          <cell r="J496" t="str">
            <v>kg</v>
          </cell>
        </row>
        <row r="497">
          <cell r="B497" t="str">
            <v>M-41</v>
          </cell>
          <cell r="C497" t="str">
            <v>Suspension Cable (8mm)</v>
          </cell>
          <cell r="J497" t="str">
            <v>m</v>
          </cell>
        </row>
        <row r="498">
          <cell r="B498" t="str">
            <v>M-42</v>
          </cell>
          <cell r="C498" t="str">
            <v>Suspension Cable (13mm)</v>
          </cell>
          <cell r="J498" t="str">
            <v>m</v>
          </cell>
        </row>
        <row r="499">
          <cell r="B499" t="str">
            <v>M-43</v>
          </cell>
          <cell r="C499" t="str">
            <v>Bulldog Grips (8mm)</v>
          </cell>
          <cell r="J499" t="str">
            <v>pc</v>
          </cell>
        </row>
        <row r="500">
          <cell r="B500" t="str">
            <v>M-44</v>
          </cell>
          <cell r="C500" t="str">
            <v>Bulldog Grips (13mm)</v>
          </cell>
          <cell r="J500" t="str">
            <v>pc</v>
          </cell>
        </row>
        <row r="501">
          <cell r="B501" t="str">
            <v>M-45</v>
          </cell>
          <cell r="C501" t="str">
            <v>PE Tank 200 ltrs.</v>
          </cell>
          <cell r="J501" t="str">
            <v>pc</v>
          </cell>
        </row>
        <row r="502">
          <cell r="B502" t="str">
            <v>M-46</v>
          </cell>
          <cell r="C502" t="str">
            <v>Tapstand Grid</v>
          </cell>
          <cell r="J502" t="str">
            <v>pc</v>
          </cell>
        </row>
        <row r="503">
          <cell r="B503" t="str">
            <v>M-47</v>
          </cell>
          <cell r="C503" t="str">
            <v>Anchor Bolt (1/2")</v>
          </cell>
          <cell r="J503" t="str">
            <v>pc</v>
          </cell>
        </row>
        <row r="504">
          <cell r="B504" t="str">
            <v>M-48</v>
          </cell>
          <cell r="C504" t="str">
            <v>Anchor Bolt (1")</v>
          </cell>
          <cell r="J504" t="str">
            <v>pc</v>
          </cell>
        </row>
        <row r="505">
          <cell r="B505" t="str">
            <v>M-49</v>
          </cell>
          <cell r="C505" t="str">
            <v>Anchor Bolt (1 1/2")</v>
          </cell>
          <cell r="J505" t="str">
            <v>pc</v>
          </cell>
        </row>
        <row r="506">
          <cell r="B506" t="str">
            <v>M-50</v>
          </cell>
          <cell r="C506" t="str">
            <v>Anchor Bolt (2")</v>
          </cell>
          <cell r="J506" t="str">
            <v>pc</v>
          </cell>
        </row>
        <row r="507">
          <cell r="B507" t="str">
            <v>M-01</v>
          </cell>
          <cell r="C507" t="str">
            <v>Cement</v>
          </cell>
          <cell r="I507">
            <v>5.1017400000000004</v>
          </cell>
          <cell r="J507" t="str">
            <v>bag</v>
          </cell>
        </row>
        <row r="508">
          <cell r="B508" t="str">
            <v>M-02</v>
          </cell>
          <cell r="C508" t="str">
            <v>Sand</v>
          </cell>
          <cell r="I508">
            <v>0.4812785</v>
          </cell>
          <cell r="J508" t="str">
            <v>m3</v>
          </cell>
        </row>
        <row r="509">
          <cell r="B509" t="str">
            <v>M-03</v>
          </cell>
          <cell r="C509" t="str">
            <v>Block Stone</v>
          </cell>
          <cell r="I509">
            <v>0.98359999999999992</v>
          </cell>
          <cell r="J509" t="str">
            <v>m3</v>
          </cell>
        </row>
        <row r="510">
          <cell r="B510" t="str">
            <v>M-04</v>
          </cell>
          <cell r="C510" t="str">
            <v>Bond Stone</v>
          </cell>
          <cell r="I510">
            <v>9.8360000000000003E-2</v>
          </cell>
          <cell r="J510" t="str">
            <v>m3</v>
          </cell>
        </row>
        <row r="511">
          <cell r="B511" t="str">
            <v>M-05</v>
          </cell>
          <cell r="C511" t="str">
            <v>Aggregate (5-10mm)</v>
          </cell>
          <cell r="I511">
            <v>5.4492000000000006E-2</v>
          </cell>
          <cell r="J511" t="str">
            <v>m3</v>
          </cell>
        </row>
        <row r="512">
          <cell r="B512" t="str">
            <v>M-06</v>
          </cell>
          <cell r="C512" t="str">
            <v>Aggregate (10-20mm)</v>
          </cell>
          <cell r="I512">
            <v>0.10898400000000001</v>
          </cell>
          <cell r="J512" t="str">
            <v>m3</v>
          </cell>
        </row>
        <row r="513">
          <cell r="B513" t="str">
            <v>M-07</v>
          </cell>
          <cell r="C513" t="str">
            <v>Aggregate (20-40mm)</v>
          </cell>
          <cell r="I513">
            <v>0.22250900000000001</v>
          </cell>
          <cell r="J513" t="str">
            <v>m3</v>
          </cell>
        </row>
        <row r="514">
          <cell r="B514" t="str">
            <v>M-08</v>
          </cell>
          <cell r="C514" t="str">
            <v>Project Information Board</v>
          </cell>
          <cell r="J514" t="str">
            <v>set</v>
          </cell>
        </row>
        <row r="515">
          <cell r="B515" t="str">
            <v>M-09</v>
          </cell>
          <cell r="C515" t="str">
            <v>Reinforcement ( 6mm)</v>
          </cell>
          <cell r="I515">
            <v>0</v>
          </cell>
          <cell r="J515" t="str">
            <v>kg</v>
          </cell>
        </row>
        <row r="516">
          <cell r="B516" t="str">
            <v>M-10</v>
          </cell>
          <cell r="C516" t="str">
            <v>Reinforcement ( 8mm)</v>
          </cell>
          <cell r="J516" t="str">
            <v>kg</v>
          </cell>
        </row>
        <row r="517">
          <cell r="B517" t="str">
            <v>M-11</v>
          </cell>
          <cell r="C517" t="str">
            <v>Reinforcement (10mm)</v>
          </cell>
          <cell r="I517">
            <v>0</v>
          </cell>
          <cell r="J517" t="str">
            <v>kg</v>
          </cell>
        </row>
        <row r="518">
          <cell r="B518" t="str">
            <v>M-12</v>
          </cell>
          <cell r="C518" t="str">
            <v>Binding wire</v>
          </cell>
          <cell r="I518">
            <v>0</v>
          </cell>
          <cell r="J518" t="str">
            <v>kg</v>
          </cell>
        </row>
        <row r="519">
          <cell r="B519" t="str">
            <v>M-13</v>
          </cell>
          <cell r="C519" t="str">
            <v>Plain wire (3.5 mm dia)</v>
          </cell>
          <cell r="I519">
            <v>0</v>
          </cell>
          <cell r="J519" t="str">
            <v>kg</v>
          </cell>
        </row>
        <row r="520">
          <cell r="B520" t="str">
            <v>M-14</v>
          </cell>
          <cell r="C520" t="str">
            <v>Chicken wire mesh (3 Ft wide)</v>
          </cell>
          <cell r="I520">
            <v>0</v>
          </cell>
          <cell r="J520" t="str">
            <v>m</v>
          </cell>
        </row>
        <row r="521">
          <cell r="B521" t="str">
            <v>M-15</v>
          </cell>
          <cell r="C521" t="str">
            <v>Bamboo</v>
          </cell>
          <cell r="I521">
            <v>0</v>
          </cell>
          <cell r="J521" t="str">
            <v>pc</v>
          </cell>
        </row>
        <row r="522">
          <cell r="B522" t="str">
            <v>M-35</v>
          </cell>
          <cell r="C522" t="str">
            <v>Cement Paint</v>
          </cell>
          <cell r="I522">
            <v>0</v>
          </cell>
          <cell r="J522" t="str">
            <v>kg</v>
          </cell>
        </row>
        <row r="523">
          <cell r="B523" t="str">
            <v>M-37</v>
          </cell>
          <cell r="C523" t="str">
            <v>GI Selwage Wire (8g)</v>
          </cell>
          <cell r="I523">
            <v>0</v>
          </cell>
          <cell r="J523" t="str">
            <v>kg</v>
          </cell>
        </row>
        <row r="524">
          <cell r="B524" t="str">
            <v>M-38</v>
          </cell>
          <cell r="C524" t="str">
            <v>GI Mesh Wire (10g)</v>
          </cell>
          <cell r="I524">
            <v>0</v>
          </cell>
          <cell r="J524" t="str">
            <v>kg</v>
          </cell>
        </row>
        <row r="525">
          <cell r="B525" t="str">
            <v>M-39</v>
          </cell>
          <cell r="C525" t="str">
            <v>Wood for Formwork</v>
          </cell>
          <cell r="I525">
            <v>0.19076200000000001</v>
          </cell>
          <cell r="J525" t="str">
            <v>m3</v>
          </cell>
        </row>
        <row r="526">
          <cell r="B526" t="str">
            <v>M-40</v>
          </cell>
          <cell r="C526" t="str">
            <v>Nails</v>
          </cell>
          <cell r="I526">
            <v>0.1885</v>
          </cell>
          <cell r="J526" t="str">
            <v>kg</v>
          </cell>
        </row>
        <row r="527">
          <cell r="B527" t="str">
            <v>L-1</v>
          </cell>
          <cell r="C527" t="str">
            <v>Skilled Labour</v>
          </cell>
          <cell r="I527">
            <v>2.7563080000000002</v>
          </cell>
          <cell r="J527" t="str">
            <v>md</v>
          </cell>
        </row>
        <row r="528">
          <cell r="B528" t="str">
            <v>L-2</v>
          </cell>
          <cell r="C528" t="str">
            <v>Unskilled Labour</v>
          </cell>
          <cell r="I528">
            <v>8.2814505</v>
          </cell>
          <cell r="J528" t="str">
            <v>md</v>
          </cell>
        </row>
        <row r="529">
          <cell r="C529" t="str">
            <v>FITTINGS</v>
          </cell>
        </row>
        <row r="530">
          <cell r="C530" t="str">
            <v>Outlet Pipe Dia</v>
          </cell>
          <cell r="D530">
            <v>0</v>
          </cell>
        </row>
        <row r="531">
          <cell r="C531" t="str">
            <v>Washout Pipe Dia</v>
          </cell>
          <cell r="D531">
            <v>0</v>
          </cell>
        </row>
        <row r="532">
          <cell r="B532" t="str">
            <v>GPM-25</v>
          </cell>
          <cell r="C532" t="str">
            <v>G.I. Pipe (1") - MC</v>
          </cell>
          <cell r="I532">
            <v>0</v>
          </cell>
          <cell r="J532" t="str">
            <v>m</v>
          </cell>
        </row>
        <row r="533">
          <cell r="B533" t="str">
            <v>GPM-40</v>
          </cell>
          <cell r="C533" t="str">
            <v>G.I. Pipe (1-1/2") - MC</v>
          </cell>
          <cell r="I533">
            <v>0</v>
          </cell>
          <cell r="J533" t="str">
            <v>m</v>
          </cell>
        </row>
        <row r="534">
          <cell r="B534" t="str">
            <v>GSO-25</v>
          </cell>
          <cell r="C534" t="str">
            <v>G.I. Socket (1")</v>
          </cell>
          <cell r="I534">
            <v>0</v>
          </cell>
          <cell r="J534" t="str">
            <v>pc</v>
          </cell>
        </row>
        <row r="535">
          <cell r="B535" t="str">
            <v>gec-40</v>
          </cell>
          <cell r="C535" t="str">
            <v>G.I. End Cap (1-1/2")</v>
          </cell>
          <cell r="I535">
            <v>0</v>
          </cell>
          <cell r="J535" t="str">
            <v>pc</v>
          </cell>
        </row>
        <row r="536">
          <cell r="C536">
            <v>0</v>
          </cell>
          <cell r="I536">
            <v>0</v>
          </cell>
          <cell r="J536">
            <v>0</v>
          </cell>
        </row>
        <row r="537">
          <cell r="B537" t="str">
            <v>BU-32</v>
          </cell>
          <cell r="C537" t="str">
            <v>Brass Union  (32mm x 1")</v>
          </cell>
          <cell r="I537">
            <v>0</v>
          </cell>
          <cell r="J537" t="str">
            <v>pc</v>
          </cell>
        </row>
        <row r="538">
          <cell r="B538" t="str">
            <v>HP6-32</v>
          </cell>
          <cell r="C538" t="str">
            <v>HDPE Pipe(32mm) - 6 kgf/cm2</v>
          </cell>
          <cell r="I538">
            <v>0</v>
          </cell>
          <cell r="J538" t="str">
            <v>m</v>
          </cell>
        </row>
        <row r="540">
          <cell r="D540">
            <v>0</v>
          </cell>
        </row>
        <row r="541">
          <cell r="B541" t="str">
            <v>I-01</v>
          </cell>
          <cell r="C541" t="str">
            <v>Earth Work in Excavation</v>
          </cell>
          <cell r="I541">
            <v>1.4731999999999998</v>
          </cell>
          <cell r="J541" t="str">
            <v>m3</v>
          </cell>
        </row>
        <row r="542">
          <cell r="C542" t="str">
            <v>Catchment foundation</v>
          </cell>
          <cell r="D542">
            <v>1</v>
          </cell>
          <cell r="E542">
            <v>1.9</v>
          </cell>
          <cell r="F542">
            <v>1.04</v>
          </cell>
          <cell r="G542">
            <v>0.2</v>
          </cell>
          <cell r="H542">
            <v>0.3952</v>
          </cell>
        </row>
        <row r="543">
          <cell r="C543" t="str">
            <v>Collection portion</v>
          </cell>
          <cell r="D543">
            <v>1</v>
          </cell>
          <cell r="E543">
            <v>1.4</v>
          </cell>
          <cell r="F543">
            <v>1.4</v>
          </cell>
          <cell r="G543">
            <v>0.55000000000000004</v>
          </cell>
          <cell r="H543">
            <v>1.0779999999999998</v>
          </cell>
        </row>
        <row r="545">
          <cell r="B545" t="str">
            <v>I-02</v>
          </cell>
          <cell r="C545" t="str">
            <v>Earth Work in Backfilling</v>
          </cell>
          <cell r="I545">
            <v>0.36829999999999996</v>
          </cell>
          <cell r="J545" t="str">
            <v>m3</v>
          </cell>
        </row>
        <row r="546">
          <cell r="C546" t="str">
            <v>25% of excavation</v>
          </cell>
          <cell r="H546">
            <v>0.36829999999999996</v>
          </cell>
        </row>
        <row r="549">
          <cell r="B549" t="str">
            <v>I-03</v>
          </cell>
          <cell r="C549" t="str">
            <v>Dry Stone Soling</v>
          </cell>
          <cell r="I549">
            <v>0.79703999999999997</v>
          </cell>
          <cell r="J549" t="str">
            <v>m3</v>
          </cell>
        </row>
        <row r="550">
          <cell r="C550" t="str">
            <v>Chamber base</v>
          </cell>
          <cell r="D550">
            <v>1</v>
          </cell>
          <cell r="E550">
            <v>1.4</v>
          </cell>
          <cell r="F550">
            <v>1.4</v>
          </cell>
          <cell r="G550">
            <v>0.15</v>
          </cell>
          <cell r="H550">
            <v>0.29399999999999993</v>
          </cell>
        </row>
        <row r="551">
          <cell r="C551" t="str">
            <v>Catchment</v>
          </cell>
          <cell r="D551">
            <v>1</v>
          </cell>
          <cell r="E551">
            <v>2.62</v>
          </cell>
          <cell r="F551">
            <v>0.64</v>
          </cell>
          <cell r="G551">
            <v>0.3</v>
          </cell>
          <cell r="H551">
            <v>0.50304000000000004</v>
          </cell>
        </row>
        <row r="553">
          <cell r="B553" t="str">
            <v>I-04</v>
          </cell>
          <cell r="C553" t="str">
            <v>P.C.C. (1:2:4)</v>
          </cell>
          <cell r="I553">
            <v>0.65400000000000003</v>
          </cell>
          <cell r="J553" t="str">
            <v>m3</v>
          </cell>
        </row>
        <row r="554">
          <cell r="C554" t="str">
            <v>Catchment floor</v>
          </cell>
          <cell r="D554">
            <v>1</v>
          </cell>
          <cell r="E554">
            <v>1.9</v>
          </cell>
          <cell r="F554">
            <v>1.04</v>
          </cell>
          <cell r="G554">
            <v>0.1</v>
          </cell>
          <cell r="H554">
            <v>0.1976</v>
          </cell>
        </row>
        <row r="555">
          <cell r="C555" t="str">
            <v>top of wing wall</v>
          </cell>
          <cell r="D555">
            <v>1</v>
          </cell>
          <cell r="E555">
            <v>3.11</v>
          </cell>
          <cell r="F555">
            <v>0.4</v>
          </cell>
          <cell r="G555">
            <v>0.1</v>
          </cell>
          <cell r="H555">
            <v>0.12440000000000001</v>
          </cell>
        </row>
        <row r="556">
          <cell r="C556" t="str">
            <v>Chamber floor</v>
          </cell>
          <cell r="D556">
            <v>1</v>
          </cell>
          <cell r="E556">
            <v>1.4</v>
          </cell>
          <cell r="F556">
            <v>1.4</v>
          </cell>
          <cell r="G556">
            <v>0.1</v>
          </cell>
          <cell r="H556">
            <v>0.19599999999999998</v>
          </cell>
        </row>
        <row r="557">
          <cell r="C557" t="str">
            <v>Top of chamber wall</v>
          </cell>
          <cell r="D557">
            <v>1</v>
          </cell>
          <cell r="E557">
            <v>3.4</v>
          </cell>
          <cell r="F557">
            <v>0.4</v>
          </cell>
          <cell r="G557">
            <v>0.1</v>
          </cell>
          <cell r="H557">
            <v>0.13600000000000001</v>
          </cell>
        </row>
        <row r="559">
          <cell r="B559" t="str">
            <v>I-05</v>
          </cell>
          <cell r="C559" t="str">
            <v>P.C.C. for Pre-cast Slab (1:2:4)</v>
          </cell>
          <cell r="I559">
            <v>4.2187499999999996E-2</v>
          </cell>
          <cell r="J559" t="str">
            <v>m3</v>
          </cell>
        </row>
        <row r="560">
          <cell r="C560" t="str">
            <v>Cover</v>
          </cell>
          <cell r="D560">
            <v>1</v>
          </cell>
          <cell r="E560">
            <v>0.75</v>
          </cell>
          <cell r="F560">
            <v>0.75</v>
          </cell>
          <cell r="G560">
            <v>7.4999999999999997E-2</v>
          </cell>
          <cell r="H560">
            <v>4.2187499999999996E-2</v>
          </cell>
        </row>
        <row r="563">
          <cell r="B563" t="str">
            <v>I-06</v>
          </cell>
          <cell r="C563" t="str">
            <v>P.C.C. for R.C.C. (1:2:4)</v>
          </cell>
          <cell r="I563">
            <v>0</v>
          </cell>
          <cell r="J563" t="str">
            <v>m3</v>
          </cell>
        </row>
        <row r="567">
          <cell r="B567" t="str">
            <v>I-07</v>
          </cell>
          <cell r="C567" t="str">
            <v>Random Rubble Masonry (1:4)</v>
          </cell>
          <cell r="I567">
            <v>1.0247999999999999</v>
          </cell>
          <cell r="J567" t="str">
            <v>m3</v>
          </cell>
        </row>
        <row r="568">
          <cell r="C568" t="str">
            <v>Wing &amp; dam wall</v>
          </cell>
          <cell r="D568">
            <v>1</v>
          </cell>
          <cell r="E568">
            <v>3.11</v>
          </cell>
          <cell r="F568">
            <v>0.4</v>
          </cell>
          <cell r="G568">
            <v>0.2</v>
          </cell>
          <cell r="H568">
            <v>0.24880000000000002</v>
          </cell>
        </row>
        <row r="569">
          <cell r="C569" t="str">
            <v>Deduction of outlet  opening</v>
          </cell>
          <cell r="D569">
            <v>-1</v>
          </cell>
          <cell r="E569">
            <v>0.2</v>
          </cell>
          <cell r="F569">
            <v>0.4</v>
          </cell>
          <cell r="G569">
            <v>0.2</v>
          </cell>
          <cell r="H569">
            <v>-1.6000000000000004E-2</v>
          </cell>
        </row>
        <row r="570">
          <cell r="C570" t="str">
            <v>Chamber walL, cutt of wall</v>
          </cell>
          <cell r="D570">
            <v>1</v>
          </cell>
          <cell r="E570">
            <v>1.4</v>
          </cell>
          <cell r="F570">
            <v>0.4</v>
          </cell>
          <cell r="G570">
            <v>0.3</v>
          </cell>
          <cell r="H570">
            <v>0.16799999999999998</v>
          </cell>
        </row>
        <row r="571">
          <cell r="C571" t="str">
            <v>Chamber wal</v>
          </cell>
          <cell r="D571">
            <v>1</v>
          </cell>
          <cell r="E571">
            <v>2.5999999999999996</v>
          </cell>
          <cell r="F571">
            <v>0.4</v>
          </cell>
          <cell r="G571">
            <v>0.6</v>
          </cell>
          <cell r="H571">
            <v>0.62399999999999989</v>
          </cell>
        </row>
        <row r="574">
          <cell r="B574" t="str">
            <v>I-08</v>
          </cell>
          <cell r="C574" t="str">
            <v>Random Rubble Masonry (1:6)</v>
          </cell>
          <cell r="I574">
            <v>0</v>
          </cell>
          <cell r="J574" t="str">
            <v>m3</v>
          </cell>
        </row>
        <row r="578">
          <cell r="B578" t="str">
            <v>I-09</v>
          </cell>
          <cell r="C578" t="str">
            <v>Dry Stone masonry</v>
          </cell>
          <cell r="I578">
            <v>1.6000000000000004E-2</v>
          </cell>
          <cell r="J578" t="str">
            <v>m3</v>
          </cell>
        </row>
        <row r="579">
          <cell r="C579" t="str">
            <v>Outlet portion</v>
          </cell>
          <cell r="D579">
            <v>1</v>
          </cell>
          <cell r="E579">
            <v>0.2</v>
          </cell>
          <cell r="F579">
            <v>0.4</v>
          </cell>
          <cell r="G579">
            <v>0.2</v>
          </cell>
          <cell r="H579">
            <v>1.6000000000000004E-2</v>
          </cell>
        </row>
        <row r="582">
          <cell r="B582" t="str">
            <v>I-10</v>
          </cell>
          <cell r="C582" t="str">
            <v>Form Work for P.C.C.</v>
          </cell>
          <cell r="I582">
            <v>1.1019999999999999</v>
          </cell>
          <cell r="J582" t="str">
            <v>m2</v>
          </cell>
        </row>
        <row r="583">
          <cell r="C583" t="str">
            <v>Top of wing wall</v>
          </cell>
          <cell r="D583">
            <v>2</v>
          </cell>
          <cell r="E583">
            <v>3.11</v>
          </cell>
          <cell r="G583">
            <v>0.1</v>
          </cell>
          <cell r="H583">
            <v>0.622</v>
          </cell>
        </row>
        <row r="584">
          <cell r="C584" t="str">
            <v>chamber wall top</v>
          </cell>
          <cell r="D584">
            <v>2</v>
          </cell>
          <cell r="E584">
            <v>2.4</v>
          </cell>
          <cell r="G584">
            <v>0.1</v>
          </cell>
          <cell r="H584">
            <v>0.48</v>
          </cell>
        </row>
        <row r="586">
          <cell r="B586" t="str">
            <v>I-11</v>
          </cell>
          <cell r="C586" t="str">
            <v>12.5mm Cement Plaster (1:2)</v>
          </cell>
          <cell r="I586">
            <v>0</v>
          </cell>
          <cell r="J586" t="str">
            <v>m2</v>
          </cell>
        </row>
        <row r="590">
          <cell r="B590" t="str">
            <v>I-12</v>
          </cell>
          <cell r="C590" t="str">
            <v>12.5mm Cement Plaster (1:3)</v>
          </cell>
          <cell r="I590">
            <v>0</v>
          </cell>
          <cell r="J590" t="str">
            <v>m2</v>
          </cell>
        </row>
        <row r="594">
          <cell r="B594" t="str">
            <v>I-13</v>
          </cell>
          <cell r="C594" t="str">
            <v>12.5mm Cement Plaster (1:4)</v>
          </cell>
          <cell r="I594">
            <v>9.5067999999999984</v>
          </cell>
          <cell r="J594" t="str">
            <v>m2</v>
          </cell>
        </row>
        <row r="595">
          <cell r="C595" t="str">
            <v>Floor</v>
          </cell>
          <cell r="D595">
            <v>1</v>
          </cell>
          <cell r="E595">
            <v>2.62</v>
          </cell>
          <cell r="F595">
            <v>0.64</v>
          </cell>
          <cell r="H595">
            <v>1.6768000000000001</v>
          </cell>
        </row>
        <row r="596">
          <cell r="C596" t="str">
            <v>inner face of wall</v>
          </cell>
          <cell r="D596">
            <v>1</v>
          </cell>
          <cell r="E596">
            <v>2.42</v>
          </cell>
          <cell r="G596">
            <v>0.3</v>
          </cell>
          <cell r="H596">
            <v>0.72599999999999998</v>
          </cell>
        </row>
        <row r="597">
          <cell r="C597" t="str">
            <v>Outer face of wall</v>
          </cell>
          <cell r="D597">
            <v>1</v>
          </cell>
          <cell r="E597">
            <v>2.4</v>
          </cell>
          <cell r="G597">
            <v>0.3</v>
          </cell>
          <cell r="H597">
            <v>0.72</v>
          </cell>
        </row>
        <row r="598">
          <cell r="C598" t="str">
            <v>Chamber floor</v>
          </cell>
          <cell r="D598">
            <v>1</v>
          </cell>
          <cell r="E598">
            <v>0.6</v>
          </cell>
          <cell r="F598">
            <v>0.6</v>
          </cell>
          <cell r="H598">
            <v>0.36</v>
          </cell>
        </row>
        <row r="599">
          <cell r="C599" t="str">
            <v>inner face of wall</v>
          </cell>
          <cell r="D599">
            <v>4</v>
          </cell>
          <cell r="E599">
            <v>0.6</v>
          </cell>
          <cell r="G599">
            <v>0.6</v>
          </cell>
          <cell r="H599">
            <v>1.44</v>
          </cell>
        </row>
        <row r="600">
          <cell r="C600" t="str">
            <v>Outer face of wall</v>
          </cell>
          <cell r="D600">
            <v>1</v>
          </cell>
          <cell r="E600">
            <v>3.4</v>
          </cell>
          <cell r="G600">
            <v>0.7</v>
          </cell>
          <cell r="H600">
            <v>2.38</v>
          </cell>
        </row>
        <row r="601">
          <cell r="C601" t="str">
            <v>Deduction outlet/inlet portion</v>
          </cell>
          <cell r="D601">
            <v>-2</v>
          </cell>
          <cell r="E601">
            <v>0.2</v>
          </cell>
          <cell r="G601">
            <v>0.2</v>
          </cell>
          <cell r="H601">
            <v>-8.0000000000000016E-2</v>
          </cell>
        </row>
        <row r="602">
          <cell r="C602" t="str">
            <v>Top of chamber wall</v>
          </cell>
          <cell r="D602">
            <v>1</v>
          </cell>
          <cell r="E602">
            <v>2.6</v>
          </cell>
          <cell r="F602">
            <v>0.4</v>
          </cell>
          <cell r="H602">
            <v>1.04</v>
          </cell>
        </row>
        <row r="603">
          <cell r="C603" t="str">
            <v>Top of wing wall</v>
          </cell>
          <cell r="D603">
            <v>1</v>
          </cell>
          <cell r="E603">
            <v>3.11</v>
          </cell>
          <cell r="F603">
            <v>0.4</v>
          </cell>
          <cell r="H603">
            <v>1.244</v>
          </cell>
        </row>
        <row r="605">
          <cell r="B605" t="str">
            <v>I-14</v>
          </cell>
          <cell r="C605" t="str">
            <v>Cement Pointing (1:3)</v>
          </cell>
          <cell r="I605">
            <v>0</v>
          </cell>
          <cell r="J605" t="str">
            <v>m2</v>
          </cell>
        </row>
        <row r="609">
          <cell r="B609" t="str">
            <v>I-15</v>
          </cell>
          <cell r="C609" t="str">
            <v>3mm Cement Punning</v>
          </cell>
          <cell r="I609">
            <v>4.2027999999999999</v>
          </cell>
          <cell r="J609" t="str">
            <v>m2</v>
          </cell>
        </row>
        <row r="610">
          <cell r="C610" t="str">
            <v>Floor &amp; inner face of wall</v>
          </cell>
          <cell r="D610">
            <v>1</v>
          </cell>
          <cell r="H610">
            <v>4.2027999999999999</v>
          </cell>
        </row>
        <row r="613">
          <cell r="B613" t="str">
            <v>I-16A</v>
          </cell>
          <cell r="C613" t="str">
            <v>Bar Binding for R.C.C. (10mm bar)</v>
          </cell>
          <cell r="I613">
            <v>0</v>
          </cell>
          <cell r="J613" t="str">
            <v>Kg</v>
          </cell>
        </row>
        <row r="617">
          <cell r="B617" t="str">
            <v>I-16B</v>
          </cell>
          <cell r="C617" t="str">
            <v>Bar Binding for R.C.C. (6mm bar)</v>
          </cell>
          <cell r="I617">
            <v>0</v>
          </cell>
          <cell r="J617" t="str">
            <v>Kg</v>
          </cell>
        </row>
        <row r="621">
          <cell r="B621" t="str">
            <v>I-17</v>
          </cell>
          <cell r="C621" t="str">
            <v>Bar Binding for Ferro-Cement Works</v>
          </cell>
          <cell r="I621">
            <v>0</v>
          </cell>
          <cell r="J621" t="str">
            <v>m2</v>
          </cell>
        </row>
        <row r="625">
          <cell r="B625" t="str">
            <v>I-18</v>
          </cell>
          <cell r="C625" t="str">
            <v>Formwork for Ferro-Cement Works</v>
          </cell>
          <cell r="I625">
            <v>0</v>
          </cell>
          <cell r="J625" t="str">
            <v>m2</v>
          </cell>
        </row>
        <row r="629">
          <cell r="B629" t="str">
            <v>I-19</v>
          </cell>
          <cell r="C629" t="str">
            <v>Cement Plaster for Ferro-Cement Work (1:3)</v>
          </cell>
          <cell r="I629">
            <v>0</v>
          </cell>
          <cell r="J629" t="str">
            <v>m2</v>
          </cell>
        </row>
        <row r="633">
          <cell r="B633" t="str">
            <v>I-20</v>
          </cell>
          <cell r="C633" t="str">
            <v>Formwork for Precast RCC Work</v>
          </cell>
          <cell r="I633">
            <v>0</v>
          </cell>
          <cell r="J633" t="str">
            <v>m2</v>
          </cell>
        </row>
        <row r="637">
          <cell r="B637" t="str">
            <v>I-21</v>
          </cell>
          <cell r="C637" t="str">
            <v>Cement Painting</v>
          </cell>
          <cell r="I637">
            <v>0</v>
          </cell>
          <cell r="J637" t="str">
            <v>m2</v>
          </cell>
        </row>
        <row r="641">
          <cell r="B641" t="str">
            <v>I-22</v>
          </cell>
          <cell r="C641" t="str">
            <v>Trench digging</v>
          </cell>
          <cell r="I641">
            <v>0</v>
          </cell>
          <cell r="J641" t="str">
            <v>m3</v>
          </cell>
        </row>
        <row r="645">
          <cell r="B645" t="str">
            <v>I-23</v>
          </cell>
          <cell r="C645" t="str">
            <v>Trench backfilling</v>
          </cell>
          <cell r="I645">
            <v>0</v>
          </cell>
          <cell r="J645" t="str">
            <v>m3</v>
          </cell>
        </row>
        <row r="649">
          <cell r="B649" t="str">
            <v>I-24</v>
          </cell>
          <cell r="C649" t="str">
            <v>Gabion Box (2mX1mX1m)</v>
          </cell>
          <cell r="I649">
            <v>0</v>
          </cell>
          <cell r="J649" t="str">
            <v>No</v>
          </cell>
        </row>
        <row r="652">
          <cell r="B652" t="str">
            <v>I-25</v>
          </cell>
          <cell r="C652" t="str">
            <v>Gabion Box (3mX1mX1m)</v>
          </cell>
          <cell r="I652">
            <v>0</v>
          </cell>
          <cell r="J652" t="str">
            <v>No</v>
          </cell>
        </row>
        <row r="656">
          <cell r="B656" t="str">
            <v>M-16</v>
          </cell>
          <cell r="C656" t="str">
            <v>Angle Pole</v>
          </cell>
          <cell r="I656">
            <v>4</v>
          </cell>
          <cell r="J656" t="str">
            <v>pc</v>
          </cell>
        </row>
        <row r="657">
          <cell r="B657" t="str">
            <v>M-17</v>
          </cell>
          <cell r="C657" t="str">
            <v>Angle Pole for Gate</v>
          </cell>
          <cell r="I657">
            <v>2</v>
          </cell>
          <cell r="J657" t="str">
            <v>pc</v>
          </cell>
        </row>
        <row r="658">
          <cell r="B658" t="str">
            <v>M-18</v>
          </cell>
          <cell r="C658" t="str">
            <v>Corner Angle Pole</v>
          </cell>
          <cell r="J658" t="str">
            <v>pc</v>
          </cell>
        </row>
        <row r="659">
          <cell r="B659" t="str">
            <v>M-19</v>
          </cell>
          <cell r="C659" t="str">
            <v>Bracing Angle Pole</v>
          </cell>
          <cell r="J659" t="str">
            <v>pc</v>
          </cell>
        </row>
        <row r="660">
          <cell r="B660" t="str">
            <v>M-20</v>
          </cell>
          <cell r="C660" t="str">
            <v>Polythene Sheet</v>
          </cell>
          <cell r="J660" t="str">
            <v>m</v>
          </cell>
        </row>
        <row r="661">
          <cell r="B661" t="str">
            <v>M-21</v>
          </cell>
          <cell r="C661" t="str">
            <v>Barbed Wire</v>
          </cell>
          <cell r="I661">
            <v>12</v>
          </cell>
          <cell r="J661" t="str">
            <v>kg</v>
          </cell>
        </row>
        <row r="662">
          <cell r="B662" t="str">
            <v>M-22</v>
          </cell>
          <cell r="C662" t="str">
            <v>Fencing Post</v>
          </cell>
          <cell r="J662" t="str">
            <v>pc</v>
          </cell>
        </row>
        <row r="663">
          <cell r="B663" t="str">
            <v>M-23</v>
          </cell>
          <cell r="C663" t="str">
            <v>Angle Gate</v>
          </cell>
          <cell r="I663">
            <v>1</v>
          </cell>
          <cell r="J663" t="str">
            <v>pc</v>
          </cell>
        </row>
        <row r="664">
          <cell r="B664" t="str">
            <v>M-24</v>
          </cell>
          <cell r="C664" t="str">
            <v>4" Hinges</v>
          </cell>
          <cell r="J664" t="str">
            <v>pc</v>
          </cell>
        </row>
        <row r="665">
          <cell r="B665" t="str">
            <v>M-25</v>
          </cell>
          <cell r="C665" t="str">
            <v>10" Aldrop</v>
          </cell>
          <cell r="J665" t="str">
            <v>pc</v>
          </cell>
        </row>
        <row r="666">
          <cell r="B666" t="str">
            <v>M-26</v>
          </cell>
          <cell r="C666" t="str">
            <v>Gate Lock Key</v>
          </cell>
          <cell r="J666" t="str">
            <v>pc</v>
          </cell>
        </row>
        <row r="667">
          <cell r="B667" t="str">
            <v>M-27</v>
          </cell>
          <cell r="C667" t="str">
            <v>Nut with bolt (8mm dia)</v>
          </cell>
          <cell r="J667" t="str">
            <v>pc</v>
          </cell>
        </row>
        <row r="668">
          <cell r="B668" t="str">
            <v>M-28</v>
          </cell>
          <cell r="C668" t="str">
            <v>Screws</v>
          </cell>
          <cell r="J668" t="str">
            <v>pc</v>
          </cell>
        </row>
        <row r="669">
          <cell r="B669" t="str">
            <v>M-29</v>
          </cell>
          <cell r="C669" t="str">
            <v>GI sheet Plain (3'x7')</v>
          </cell>
          <cell r="J669" t="str">
            <v>pc</v>
          </cell>
        </row>
        <row r="670">
          <cell r="B670" t="str">
            <v>M-30</v>
          </cell>
          <cell r="C670" t="str">
            <v>Manhole Cover (Circular)</v>
          </cell>
          <cell r="J670" t="str">
            <v>pc</v>
          </cell>
        </row>
        <row r="671">
          <cell r="B671" t="str">
            <v>M-31</v>
          </cell>
          <cell r="C671" t="str">
            <v>Manhole Cover (Square)</v>
          </cell>
          <cell r="J671" t="str">
            <v>pc</v>
          </cell>
        </row>
        <row r="672">
          <cell r="B672" t="str">
            <v>M-32</v>
          </cell>
          <cell r="C672" t="str">
            <v>Manhole Cover (Rectangle)</v>
          </cell>
          <cell r="J672" t="str">
            <v>pc</v>
          </cell>
        </row>
        <row r="673">
          <cell r="B673" t="str">
            <v>M-33</v>
          </cell>
          <cell r="C673" t="str">
            <v>Small Slab Frame (55x55)</v>
          </cell>
          <cell r="J673" t="str">
            <v>pc</v>
          </cell>
        </row>
        <row r="674">
          <cell r="B674" t="str">
            <v>M-34</v>
          </cell>
          <cell r="C674" t="str">
            <v>Big Slab Frame (75x75)</v>
          </cell>
          <cell r="I674">
            <v>1</v>
          </cell>
          <cell r="J674" t="str">
            <v>pc</v>
          </cell>
        </row>
        <row r="675">
          <cell r="B675" t="str">
            <v>M-36</v>
          </cell>
          <cell r="C675" t="str">
            <v>Lime</v>
          </cell>
          <cell r="J675" t="str">
            <v>kg</v>
          </cell>
        </row>
        <row r="676">
          <cell r="B676" t="str">
            <v>M-41</v>
          </cell>
          <cell r="C676" t="str">
            <v>Suspension Cable (8mm)</v>
          </cell>
          <cell r="J676" t="str">
            <v>m</v>
          </cell>
        </row>
        <row r="677">
          <cell r="B677" t="str">
            <v>M-42</v>
          </cell>
          <cell r="C677" t="str">
            <v>Suspension Cable (13mm)</v>
          </cell>
          <cell r="J677" t="str">
            <v>m</v>
          </cell>
        </row>
        <row r="678">
          <cell r="B678" t="str">
            <v>M-43</v>
          </cell>
          <cell r="C678" t="str">
            <v>Bulldog Grips (8mm)</v>
          </cell>
          <cell r="J678" t="str">
            <v>pc</v>
          </cell>
        </row>
        <row r="679">
          <cell r="B679" t="str">
            <v>M-44</v>
          </cell>
          <cell r="C679" t="str">
            <v>Bulldog Grips (13mm)</v>
          </cell>
          <cell r="J679" t="str">
            <v>pc</v>
          </cell>
        </row>
        <row r="680">
          <cell r="B680" t="str">
            <v>M-45</v>
          </cell>
          <cell r="C680" t="str">
            <v>PE Tank 200 ltrs.</v>
          </cell>
          <cell r="J680" t="str">
            <v>pc</v>
          </cell>
        </row>
        <row r="681">
          <cell r="B681" t="str">
            <v>M-46</v>
          </cell>
          <cell r="C681" t="str">
            <v>Tapstand Grid</v>
          </cell>
          <cell r="J681" t="str">
            <v>pc</v>
          </cell>
        </row>
        <row r="682">
          <cell r="B682" t="str">
            <v>M-47</v>
          </cell>
          <cell r="C682" t="str">
            <v>Anchor Bolt (1/2")</v>
          </cell>
          <cell r="J682" t="str">
            <v>pc</v>
          </cell>
        </row>
        <row r="683">
          <cell r="B683" t="str">
            <v>M-48</v>
          </cell>
          <cell r="C683" t="str">
            <v>Anchor Bolt (1")</v>
          </cell>
          <cell r="J683" t="str">
            <v>pc</v>
          </cell>
        </row>
        <row r="684">
          <cell r="B684" t="str">
            <v>M-49</v>
          </cell>
          <cell r="C684" t="str">
            <v>Anchor Bolt (1 1/2")</v>
          </cell>
          <cell r="J684" t="str">
            <v>pc</v>
          </cell>
        </row>
        <row r="685">
          <cell r="B685" t="str">
            <v>M-50</v>
          </cell>
          <cell r="C685" t="str">
            <v>Anchor Bolt (2")</v>
          </cell>
          <cell r="J685" t="str">
            <v>pc</v>
          </cell>
        </row>
        <row r="686">
          <cell r="B686" t="str">
            <v>M-01</v>
          </cell>
          <cell r="C686" t="str">
            <v>Cement</v>
          </cell>
          <cell r="I686">
            <v>9.0132791999999995</v>
          </cell>
          <cell r="J686" t="str">
            <v>bag</v>
          </cell>
        </row>
        <row r="687">
          <cell r="B687" t="str">
            <v>M-02</v>
          </cell>
          <cell r="C687" t="str">
            <v>Sand</v>
          </cell>
          <cell r="I687">
            <v>0.90405863749999993</v>
          </cell>
          <cell r="J687" t="str">
            <v>m3</v>
          </cell>
        </row>
        <row r="688">
          <cell r="B688" t="str">
            <v>M-03</v>
          </cell>
          <cell r="C688" t="str">
            <v>Block Stone</v>
          </cell>
          <cell r="I688">
            <v>1.8378399999999999</v>
          </cell>
          <cell r="J688" t="str">
            <v>m3</v>
          </cell>
        </row>
        <row r="689">
          <cell r="B689" t="str">
            <v>M-04</v>
          </cell>
          <cell r="C689" t="str">
            <v>Bond Stone</v>
          </cell>
          <cell r="I689">
            <v>0.183784</v>
          </cell>
          <cell r="J689" t="str">
            <v>m3</v>
          </cell>
        </row>
        <row r="690">
          <cell r="B690" t="str">
            <v>M-05</v>
          </cell>
          <cell r="C690" t="str">
            <v>Aggregate (5-10mm)</v>
          </cell>
          <cell r="I690">
            <v>8.3542499999999992E-2</v>
          </cell>
          <cell r="J690" t="str">
            <v>m3</v>
          </cell>
        </row>
        <row r="691">
          <cell r="B691" t="str">
            <v>M-06</v>
          </cell>
          <cell r="C691" t="str">
            <v>Aggregate (10-20mm)</v>
          </cell>
          <cell r="I691">
            <v>0.16708499999999998</v>
          </cell>
          <cell r="J691" t="str">
            <v>m3</v>
          </cell>
        </row>
        <row r="692">
          <cell r="B692" t="str">
            <v>M-07</v>
          </cell>
          <cell r="C692" t="str">
            <v>Aggregate (20-40mm)</v>
          </cell>
          <cell r="I692">
            <v>0.34113187500000003</v>
          </cell>
          <cell r="J692" t="str">
            <v>m3</v>
          </cell>
        </row>
        <row r="693">
          <cell r="B693" t="str">
            <v>M-08</v>
          </cell>
          <cell r="C693" t="str">
            <v>Project Information Board</v>
          </cell>
          <cell r="J693" t="str">
            <v>set</v>
          </cell>
        </row>
        <row r="694">
          <cell r="B694" t="str">
            <v>M-09</v>
          </cell>
          <cell r="C694" t="str">
            <v>Reinforcement ( 6mm)</v>
          </cell>
          <cell r="I694">
            <v>0</v>
          </cell>
          <cell r="J694" t="str">
            <v>kg</v>
          </cell>
        </row>
        <row r="695">
          <cell r="B695" t="str">
            <v>M-10</v>
          </cell>
          <cell r="C695" t="str">
            <v>Reinforcement ( 8mm)</v>
          </cell>
          <cell r="J695" t="str">
            <v>kg</v>
          </cell>
        </row>
        <row r="696">
          <cell r="B696" t="str">
            <v>M-11</v>
          </cell>
          <cell r="C696" t="str">
            <v>Reinforcement (10mm)</v>
          </cell>
          <cell r="I696">
            <v>0</v>
          </cell>
          <cell r="J696" t="str">
            <v>kg</v>
          </cell>
        </row>
        <row r="697">
          <cell r="B697" t="str">
            <v>M-12</v>
          </cell>
          <cell r="C697" t="str">
            <v>Binding wire</v>
          </cell>
          <cell r="I697">
            <v>0</v>
          </cell>
          <cell r="J697" t="str">
            <v>kg</v>
          </cell>
        </row>
        <row r="698">
          <cell r="B698" t="str">
            <v>M-13</v>
          </cell>
          <cell r="C698" t="str">
            <v>Plain wire (3.5 mm dia)</v>
          </cell>
          <cell r="I698">
            <v>0</v>
          </cell>
          <cell r="J698" t="str">
            <v>kg</v>
          </cell>
        </row>
        <row r="699">
          <cell r="B699" t="str">
            <v>M-14</v>
          </cell>
          <cell r="C699" t="str">
            <v>Chicken wire mesh (3 Ft wide)</v>
          </cell>
          <cell r="I699">
            <v>0</v>
          </cell>
          <cell r="J699" t="str">
            <v>m</v>
          </cell>
        </row>
        <row r="700">
          <cell r="B700" t="str">
            <v>M-15</v>
          </cell>
          <cell r="C700" t="str">
            <v>Bamboo</v>
          </cell>
          <cell r="I700">
            <v>0</v>
          </cell>
          <cell r="J700" t="str">
            <v>pc</v>
          </cell>
        </row>
        <row r="701">
          <cell r="B701" t="str">
            <v>M-37</v>
          </cell>
          <cell r="C701" t="str">
            <v>GI Selwage Wire (8g)</v>
          </cell>
          <cell r="J701" t="str">
            <v>kg</v>
          </cell>
        </row>
        <row r="702">
          <cell r="B702" t="str">
            <v>M-38</v>
          </cell>
          <cell r="C702" t="str">
            <v>GI Mesh Wire (10g)</v>
          </cell>
          <cell r="J702" t="str">
            <v>kg</v>
          </cell>
        </row>
        <row r="703">
          <cell r="B703" t="str">
            <v>M-35</v>
          </cell>
          <cell r="C703" t="str">
            <v>Cement Paint</v>
          </cell>
          <cell r="I703">
            <v>0</v>
          </cell>
          <cell r="J703" t="str">
            <v>kg</v>
          </cell>
        </row>
        <row r="704">
          <cell r="B704" t="str">
            <v>M-39</v>
          </cell>
          <cell r="C704" t="str">
            <v>Wood for Formwork</v>
          </cell>
          <cell r="I704">
            <v>0.27880599999999994</v>
          </cell>
          <cell r="J704" t="str">
            <v>m3</v>
          </cell>
        </row>
        <row r="705">
          <cell r="B705" t="str">
            <v>M-40</v>
          </cell>
          <cell r="C705" t="str">
            <v>Nails</v>
          </cell>
          <cell r="I705">
            <v>0.27549999999999997</v>
          </cell>
          <cell r="J705" t="str">
            <v>kg</v>
          </cell>
        </row>
        <row r="706">
          <cell r="B706" t="str">
            <v>L-1</v>
          </cell>
          <cell r="C706" t="str">
            <v>Skilled Labour</v>
          </cell>
          <cell r="I706">
            <v>4.7858675000000002</v>
          </cell>
          <cell r="J706" t="str">
            <v>md</v>
          </cell>
        </row>
        <row r="707">
          <cell r="B707" t="str">
            <v>L-2</v>
          </cell>
          <cell r="C707" t="str">
            <v>Unskilled Labour</v>
          </cell>
          <cell r="I707">
            <v>15.376634999999995</v>
          </cell>
          <cell r="J707" t="str">
            <v>md</v>
          </cell>
        </row>
        <row r="708">
          <cell r="C708" t="str">
            <v>FITTINGS</v>
          </cell>
        </row>
        <row r="709">
          <cell r="C709" t="str">
            <v>Outlet Pipe Dia</v>
          </cell>
          <cell r="D709">
            <v>0</v>
          </cell>
        </row>
        <row r="710">
          <cell r="C710" t="str">
            <v>Washout Pipe Dia</v>
          </cell>
          <cell r="D710">
            <v>0</v>
          </cell>
        </row>
        <row r="711">
          <cell r="B711" t="str">
            <v>GPM-40</v>
          </cell>
          <cell r="C711" t="str">
            <v>G.I. Pipe (1-1/2") - MC</v>
          </cell>
          <cell r="D711" t="str">
            <v>overflow</v>
          </cell>
          <cell r="I711">
            <v>0</v>
          </cell>
          <cell r="J711" t="str">
            <v>m</v>
          </cell>
        </row>
        <row r="712">
          <cell r="B712" t="str">
            <v>GPM-40</v>
          </cell>
          <cell r="C712" t="str">
            <v>G.I. Pipe (1-1/2") - MC</v>
          </cell>
          <cell r="D712" t="str">
            <v>washout</v>
          </cell>
          <cell r="I712">
            <v>0</v>
          </cell>
          <cell r="J712" t="str">
            <v>m</v>
          </cell>
        </row>
        <row r="713">
          <cell r="B713" t="str">
            <v>gec-40</v>
          </cell>
          <cell r="C713" t="str">
            <v>G.I. End Cap (1-1/2")</v>
          </cell>
          <cell r="D713" t="str">
            <v>washout</v>
          </cell>
          <cell r="I713">
            <v>0</v>
          </cell>
          <cell r="J713" t="str">
            <v>pc</v>
          </cell>
        </row>
        <row r="714">
          <cell r="B714" t="str">
            <v>HST-32</v>
          </cell>
          <cell r="C714" t="str">
            <v>HDP Strainer (32mm)</v>
          </cell>
          <cell r="D714" t="str">
            <v>outlet</v>
          </cell>
          <cell r="I714">
            <v>0</v>
          </cell>
          <cell r="J714" t="str">
            <v>pc</v>
          </cell>
        </row>
        <row r="715">
          <cell r="B715" t="str">
            <v>GPM-25</v>
          </cell>
          <cell r="C715" t="str">
            <v>G.I. Pipe (1") - MC</v>
          </cell>
          <cell r="D715" t="str">
            <v>outlet</v>
          </cell>
          <cell r="I715">
            <v>0</v>
          </cell>
          <cell r="J715" t="str">
            <v>m</v>
          </cell>
        </row>
        <row r="716">
          <cell r="B716" t="str">
            <v>BU-32</v>
          </cell>
          <cell r="C716" t="str">
            <v>Brass Union  (32mm x 1")</v>
          </cell>
          <cell r="D716" t="str">
            <v>outlet</v>
          </cell>
          <cell r="I716">
            <v>0</v>
          </cell>
          <cell r="J716" t="str">
            <v>pc</v>
          </cell>
        </row>
        <row r="717">
          <cell r="B717" t="str">
            <v>GSO-25</v>
          </cell>
          <cell r="C717" t="str">
            <v>G.I. Socket (1")</v>
          </cell>
          <cell r="I717">
            <v>0</v>
          </cell>
          <cell r="J717" t="str">
            <v>pc</v>
          </cell>
        </row>
        <row r="719">
          <cell r="D719">
            <v>0</v>
          </cell>
        </row>
        <row r="720">
          <cell r="B720" t="str">
            <v>I-01</v>
          </cell>
          <cell r="C720" t="str">
            <v>Earth Work in Excavation</v>
          </cell>
          <cell r="I720">
            <v>1.7</v>
          </cell>
          <cell r="J720" t="str">
            <v>m3</v>
          </cell>
        </row>
        <row r="721">
          <cell r="C721" t="str">
            <v>catchment portion</v>
          </cell>
          <cell r="D721">
            <v>1</v>
          </cell>
          <cell r="E721">
            <v>1.9</v>
          </cell>
          <cell r="F721">
            <v>0.9</v>
          </cell>
          <cell r="G721">
            <v>0.2</v>
          </cell>
          <cell r="H721">
            <v>0.34200000000000003</v>
          </cell>
        </row>
        <row r="722">
          <cell r="C722" t="str">
            <v>Collection chamber portion</v>
          </cell>
          <cell r="D722">
            <v>1</v>
          </cell>
          <cell r="E722">
            <v>1.4</v>
          </cell>
          <cell r="F722">
            <v>1</v>
          </cell>
          <cell r="G722">
            <v>0.55000000000000004</v>
          </cell>
          <cell r="H722">
            <v>0.77</v>
          </cell>
        </row>
        <row r="723">
          <cell r="C723" t="str">
            <v>platefarm &amp; cut-off wall</v>
          </cell>
          <cell r="D723">
            <v>1</v>
          </cell>
          <cell r="E723">
            <v>1.4</v>
          </cell>
          <cell r="F723">
            <v>1.4</v>
          </cell>
          <cell r="G723">
            <v>0.3</v>
          </cell>
          <cell r="H723">
            <v>0.58799999999999986</v>
          </cell>
        </row>
        <row r="725">
          <cell r="B725" t="str">
            <v>I-02</v>
          </cell>
          <cell r="C725" t="str">
            <v>Earth Work in Backfilling</v>
          </cell>
          <cell r="I725">
            <v>0.42499999999999999</v>
          </cell>
          <cell r="J725" t="str">
            <v>m3</v>
          </cell>
        </row>
        <row r="726">
          <cell r="C726" t="str">
            <v>25% of excavation</v>
          </cell>
          <cell r="H726">
            <v>0.42499999999999999</v>
          </cell>
        </row>
        <row r="729">
          <cell r="B729" t="str">
            <v>I-03</v>
          </cell>
          <cell r="C729" t="str">
            <v>Dry Stone Soling</v>
          </cell>
          <cell r="I729">
            <v>0.50600000000000001</v>
          </cell>
          <cell r="J729" t="str">
            <v>m3</v>
          </cell>
        </row>
        <row r="730">
          <cell r="C730" t="str">
            <v>Catchment</v>
          </cell>
          <cell r="D730">
            <v>1</v>
          </cell>
          <cell r="E730">
            <v>1.21</v>
          </cell>
          <cell r="F730">
            <v>0.5</v>
          </cell>
          <cell r="G730">
            <v>0.4</v>
          </cell>
          <cell r="H730">
            <v>0.24199999999999999</v>
          </cell>
        </row>
        <row r="731">
          <cell r="C731" t="str">
            <v>base of CC</v>
          </cell>
          <cell r="D731">
            <v>1</v>
          </cell>
          <cell r="E731">
            <v>1.4</v>
          </cell>
          <cell r="F731">
            <v>1</v>
          </cell>
          <cell r="G731">
            <v>0.15</v>
          </cell>
          <cell r="H731">
            <v>0.21</v>
          </cell>
        </row>
        <row r="732">
          <cell r="C732" t="str">
            <v>Plateform</v>
          </cell>
          <cell r="D732">
            <v>1</v>
          </cell>
          <cell r="E732">
            <v>1.2</v>
          </cell>
          <cell r="F732">
            <v>0.9</v>
          </cell>
          <cell r="G732">
            <v>0.05</v>
          </cell>
          <cell r="H732">
            <v>5.4000000000000006E-2</v>
          </cell>
        </row>
        <row r="734">
          <cell r="B734" t="str">
            <v>I-04</v>
          </cell>
          <cell r="C734" t="str">
            <v>P.C.C. (1:2:4)</v>
          </cell>
          <cell r="I734">
            <v>0.62740000000000007</v>
          </cell>
          <cell r="J734" t="str">
            <v>m3</v>
          </cell>
        </row>
        <row r="735">
          <cell r="C735" t="str">
            <v>catchment portion floor</v>
          </cell>
          <cell r="D735">
            <v>1</v>
          </cell>
          <cell r="E735">
            <v>1.9</v>
          </cell>
          <cell r="F735">
            <v>0.9</v>
          </cell>
          <cell r="G735">
            <v>0.1</v>
          </cell>
          <cell r="H735">
            <v>0.17100000000000001</v>
          </cell>
        </row>
        <row r="736">
          <cell r="C736" t="str">
            <v>CC floor</v>
          </cell>
          <cell r="D736">
            <v>1</v>
          </cell>
          <cell r="E736">
            <v>1.4</v>
          </cell>
          <cell r="F736">
            <v>1.4</v>
          </cell>
          <cell r="G736">
            <v>0.1</v>
          </cell>
          <cell r="H736">
            <v>0.19599999999999998</v>
          </cell>
        </row>
        <row r="737">
          <cell r="C737" t="str">
            <v>Top of wing wall</v>
          </cell>
          <cell r="D737">
            <v>2</v>
          </cell>
          <cell r="E737">
            <v>0.77</v>
          </cell>
          <cell r="F737">
            <v>0.4</v>
          </cell>
          <cell r="G737">
            <v>0.1</v>
          </cell>
          <cell r="H737">
            <v>6.1600000000000016E-2</v>
          </cell>
        </row>
        <row r="738">
          <cell r="C738" t="str">
            <v>Top of CC wall</v>
          </cell>
          <cell r="D738">
            <v>1</v>
          </cell>
          <cell r="E738">
            <v>3.77</v>
          </cell>
          <cell r="F738">
            <v>0.4</v>
          </cell>
          <cell r="G738">
            <v>0.1</v>
          </cell>
          <cell r="H738">
            <v>0.15080000000000002</v>
          </cell>
        </row>
        <row r="739">
          <cell r="C739" t="str">
            <v>Plate form kerb</v>
          </cell>
          <cell r="D739">
            <v>1</v>
          </cell>
          <cell r="E739">
            <v>3.2</v>
          </cell>
          <cell r="F739">
            <v>0.1</v>
          </cell>
          <cell r="G739">
            <v>0.15</v>
          </cell>
          <cell r="H739">
            <v>4.8000000000000008E-2</v>
          </cell>
        </row>
        <row r="741">
          <cell r="B741" t="str">
            <v>I-05</v>
          </cell>
          <cell r="C741" t="str">
            <v>P.C.C. for Pre-cast Slab (1:2:4)</v>
          </cell>
          <cell r="I741">
            <v>6.2000000000000006E-2</v>
          </cell>
          <cell r="J741" t="str">
            <v>m3</v>
          </cell>
        </row>
        <row r="742">
          <cell r="C742" t="str">
            <v>Slab base</v>
          </cell>
          <cell r="D742">
            <v>1</v>
          </cell>
          <cell r="E742">
            <v>2.8</v>
          </cell>
          <cell r="F742">
            <v>0.1</v>
          </cell>
          <cell r="G742">
            <v>0.05</v>
          </cell>
          <cell r="H742">
            <v>1.3999999999999999E-2</v>
          </cell>
        </row>
        <row r="743">
          <cell r="C743" t="str">
            <v>Slab</v>
          </cell>
          <cell r="D743">
            <v>1</v>
          </cell>
          <cell r="E743">
            <v>0.8</v>
          </cell>
          <cell r="F743">
            <v>0.8</v>
          </cell>
          <cell r="G743">
            <v>7.4999999999999997E-2</v>
          </cell>
          <cell r="H743">
            <v>4.8000000000000008E-2</v>
          </cell>
        </row>
        <row r="745">
          <cell r="B745" t="str">
            <v>I-06</v>
          </cell>
          <cell r="C745" t="str">
            <v>P.C.C. for R.C.C. (1:2:4)</v>
          </cell>
          <cell r="I745">
            <v>0</v>
          </cell>
          <cell r="J745" t="str">
            <v>m3</v>
          </cell>
        </row>
        <row r="749">
          <cell r="B749" t="str">
            <v>I-07</v>
          </cell>
          <cell r="C749" t="str">
            <v>Random Rubble Masonry (1:4)</v>
          </cell>
          <cell r="I749">
            <v>1.3959999999999999</v>
          </cell>
          <cell r="J749" t="str">
            <v>m3</v>
          </cell>
        </row>
        <row r="750">
          <cell r="C750" t="str">
            <v>Catchment wall</v>
          </cell>
          <cell r="D750">
            <v>1</v>
          </cell>
          <cell r="E750">
            <v>2.71</v>
          </cell>
          <cell r="F750">
            <v>0.4</v>
          </cell>
          <cell r="G750">
            <v>0.2</v>
          </cell>
          <cell r="H750">
            <v>0.21680000000000002</v>
          </cell>
        </row>
        <row r="751">
          <cell r="C751" t="str">
            <v>CC wall</v>
          </cell>
          <cell r="D751">
            <v>1</v>
          </cell>
          <cell r="E751">
            <v>2.6</v>
          </cell>
          <cell r="F751">
            <v>0.4</v>
          </cell>
          <cell r="G751">
            <v>0.7</v>
          </cell>
          <cell r="H751">
            <v>0.72799999999999998</v>
          </cell>
        </row>
        <row r="752">
          <cell r="C752" t="str">
            <v>Dam wall below Catchment floor</v>
          </cell>
          <cell r="D752">
            <v>1</v>
          </cell>
          <cell r="E752">
            <v>1.17</v>
          </cell>
          <cell r="F752">
            <v>0.4</v>
          </cell>
          <cell r="G752">
            <v>0.4</v>
          </cell>
          <cell r="H752">
            <v>0.18720000000000001</v>
          </cell>
        </row>
        <row r="753">
          <cell r="C753" t="str">
            <v>Wall below CC floor</v>
          </cell>
          <cell r="D753">
            <v>1</v>
          </cell>
          <cell r="E753">
            <v>1.4</v>
          </cell>
          <cell r="F753">
            <v>0.4</v>
          </cell>
          <cell r="G753">
            <v>0.5</v>
          </cell>
          <cell r="H753">
            <v>0.27999999999999997</v>
          </cell>
        </row>
        <row r="754">
          <cell r="C754" t="str">
            <v>Deduction inlet portion</v>
          </cell>
          <cell r="D754">
            <v>-1</v>
          </cell>
          <cell r="E754">
            <v>0.2</v>
          </cell>
          <cell r="F754">
            <v>0.4</v>
          </cell>
          <cell r="G754">
            <v>0.2</v>
          </cell>
          <cell r="H754">
            <v>-1.6000000000000004E-2</v>
          </cell>
        </row>
        <row r="756">
          <cell r="B756" t="str">
            <v>I-08</v>
          </cell>
          <cell r="C756" t="str">
            <v>Random Rubble Masonry (1:6)</v>
          </cell>
          <cell r="I756">
            <v>0</v>
          </cell>
          <cell r="J756" t="str">
            <v>m3</v>
          </cell>
        </row>
        <row r="760">
          <cell r="B760" t="str">
            <v>I-09</v>
          </cell>
          <cell r="C760" t="str">
            <v>Dry Stone masonry</v>
          </cell>
          <cell r="I760">
            <v>1.6000000000000004E-2</v>
          </cell>
          <cell r="J760" t="str">
            <v>m3</v>
          </cell>
        </row>
        <row r="761">
          <cell r="C761" t="str">
            <v>Inlet portion</v>
          </cell>
          <cell r="D761">
            <v>1</v>
          </cell>
          <cell r="E761">
            <v>0.2</v>
          </cell>
          <cell r="F761">
            <v>0.4</v>
          </cell>
          <cell r="G761">
            <v>0.2</v>
          </cell>
          <cell r="H761">
            <v>1.6000000000000004E-2</v>
          </cell>
        </row>
        <row r="764">
          <cell r="B764" t="str">
            <v>I-10</v>
          </cell>
          <cell r="C764" t="str">
            <v>Form Work for P.C.C.</v>
          </cell>
          <cell r="I764">
            <v>1.722</v>
          </cell>
          <cell r="J764" t="str">
            <v>m2</v>
          </cell>
        </row>
        <row r="765">
          <cell r="C765" t="str">
            <v>Wing wall bottom</v>
          </cell>
          <cell r="D765">
            <v>1</v>
          </cell>
          <cell r="E765">
            <v>3.2</v>
          </cell>
          <cell r="G765">
            <v>0.1</v>
          </cell>
          <cell r="H765">
            <v>0.32000000000000006</v>
          </cell>
        </row>
        <row r="766">
          <cell r="C766" t="str">
            <v>Wing wall top</v>
          </cell>
          <cell r="D766">
            <v>2</v>
          </cell>
          <cell r="E766">
            <v>2.71</v>
          </cell>
          <cell r="G766">
            <v>0.1</v>
          </cell>
          <cell r="H766">
            <v>0.54200000000000004</v>
          </cell>
        </row>
        <row r="767">
          <cell r="C767" t="str">
            <v>CC bottom</v>
          </cell>
          <cell r="D767">
            <v>1</v>
          </cell>
          <cell r="E767">
            <v>3.4</v>
          </cell>
          <cell r="G767">
            <v>0.1</v>
          </cell>
          <cell r="H767">
            <v>0.34</v>
          </cell>
        </row>
        <row r="768">
          <cell r="C768" t="str">
            <v>CC top</v>
          </cell>
          <cell r="D768">
            <v>1</v>
          </cell>
          <cell r="E768">
            <v>5.1999999999999993</v>
          </cell>
          <cell r="G768">
            <v>0.1</v>
          </cell>
          <cell r="H768">
            <v>0.51999999999999991</v>
          </cell>
        </row>
        <row r="770">
          <cell r="B770" t="str">
            <v>I-11</v>
          </cell>
          <cell r="C770" t="str">
            <v>12.5mm Cement Plaster (1:2)</v>
          </cell>
          <cell r="I770">
            <v>0</v>
          </cell>
          <cell r="J770" t="str">
            <v>m2</v>
          </cell>
        </row>
        <row r="774">
          <cell r="B774" t="str">
            <v>I-12</v>
          </cell>
          <cell r="C774" t="str">
            <v>12.5mm Cement Plaster (1:3)</v>
          </cell>
          <cell r="I774">
            <v>0</v>
          </cell>
          <cell r="J774" t="str">
            <v>m2</v>
          </cell>
        </row>
        <row r="778">
          <cell r="B778" t="str">
            <v>I-13</v>
          </cell>
          <cell r="C778" t="str">
            <v>12.5mm Cement Plaster (1:4)</v>
          </cell>
          <cell r="I778">
            <v>7.6309999999999993</v>
          </cell>
          <cell r="J778" t="str">
            <v>m2</v>
          </cell>
        </row>
        <row r="779">
          <cell r="C779" t="str">
            <v>Catchment floor</v>
          </cell>
          <cell r="D779">
            <v>1</v>
          </cell>
          <cell r="E779">
            <v>1.21</v>
          </cell>
          <cell r="F779">
            <v>0.5</v>
          </cell>
          <cell r="H779">
            <v>0.60499999999999998</v>
          </cell>
        </row>
        <row r="780">
          <cell r="C780" t="str">
            <v>Inner face of catchment wall</v>
          </cell>
          <cell r="D780">
            <v>1</v>
          </cell>
          <cell r="E780">
            <v>2.02</v>
          </cell>
          <cell r="G780">
            <v>0.3</v>
          </cell>
          <cell r="H780">
            <v>0.60599999999999998</v>
          </cell>
        </row>
        <row r="781">
          <cell r="C781" t="str">
            <v>Outer face of Catchment wall</v>
          </cell>
          <cell r="D781">
            <v>1</v>
          </cell>
          <cell r="E781">
            <v>2</v>
          </cell>
          <cell r="G781">
            <v>0.3</v>
          </cell>
          <cell r="H781">
            <v>0.6</v>
          </cell>
        </row>
        <row r="782">
          <cell r="C782" t="str">
            <v>CC floor</v>
          </cell>
          <cell r="D782">
            <v>1</v>
          </cell>
          <cell r="E782">
            <v>0.6</v>
          </cell>
          <cell r="F782">
            <v>0.6</v>
          </cell>
          <cell r="H782">
            <v>0.36</v>
          </cell>
        </row>
        <row r="783">
          <cell r="C783" t="str">
            <v>Inner face of CC wall</v>
          </cell>
          <cell r="D783">
            <v>4</v>
          </cell>
          <cell r="E783">
            <v>0.6</v>
          </cell>
          <cell r="G783">
            <v>0.7</v>
          </cell>
          <cell r="H783">
            <v>1.68</v>
          </cell>
        </row>
        <row r="784">
          <cell r="C784" t="str">
            <v>outer side face of CC wall</v>
          </cell>
          <cell r="D784">
            <v>2</v>
          </cell>
          <cell r="E784">
            <v>1</v>
          </cell>
          <cell r="G784">
            <v>0.5</v>
          </cell>
          <cell r="H784">
            <v>1</v>
          </cell>
        </row>
        <row r="785">
          <cell r="C785" t="str">
            <v>face wall of CC</v>
          </cell>
          <cell r="D785">
            <v>1</v>
          </cell>
          <cell r="E785">
            <v>1.4</v>
          </cell>
          <cell r="G785">
            <v>1.3</v>
          </cell>
          <cell r="H785">
            <v>1.8199999999999998</v>
          </cell>
        </row>
        <row r="786">
          <cell r="C786" t="str">
            <v>plateform Kerb</v>
          </cell>
          <cell r="D786">
            <v>1</v>
          </cell>
          <cell r="E786">
            <v>3.2</v>
          </cell>
          <cell r="G786">
            <v>0.3</v>
          </cell>
          <cell r="H786">
            <v>0.96</v>
          </cell>
        </row>
        <row r="788">
          <cell r="B788" t="str">
            <v>I-14</v>
          </cell>
          <cell r="C788" t="str">
            <v>Cement Pointing (1:3)</v>
          </cell>
          <cell r="I788">
            <v>0</v>
          </cell>
          <cell r="J788" t="str">
            <v>m2</v>
          </cell>
        </row>
        <row r="792">
          <cell r="B792" t="str">
            <v>I-15</v>
          </cell>
          <cell r="C792" t="str">
            <v>3mm Cement Punning</v>
          </cell>
          <cell r="I792">
            <v>3.2509999999999994</v>
          </cell>
          <cell r="J792" t="str">
            <v>m2</v>
          </cell>
        </row>
        <row r="793">
          <cell r="C793" t="str">
            <v>Floor &amp; inner face</v>
          </cell>
          <cell r="H793">
            <v>3.2509999999999994</v>
          </cell>
        </row>
        <row r="796">
          <cell r="B796" t="str">
            <v>I-16A</v>
          </cell>
          <cell r="C796" t="str">
            <v>Bar Binding for R.C.C. (10mm bar)</v>
          </cell>
          <cell r="I796">
            <v>0</v>
          </cell>
          <cell r="J796" t="str">
            <v>Kg</v>
          </cell>
        </row>
        <row r="800">
          <cell r="B800" t="str">
            <v>I-16B</v>
          </cell>
          <cell r="C800" t="str">
            <v>Bar Binding for R.C.C. (6mm bar)</v>
          </cell>
          <cell r="I800">
            <v>2.1559999999999997</v>
          </cell>
          <cell r="J800" t="str">
            <v>Kg</v>
          </cell>
        </row>
        <row r="801">
          <cell r="C801" t="str">
            <v>Main bar 100mm C/C</v>
          </cell>
          <cell r="D801">
            <v>8</v>
          </cell>
        </row>
        <row r="802">
          <cell r="C802" t="str">
            <v>dist. bar 150mm C/C</v>
          </cell>
          <cell r="D802">
            <v>6</v>
          </cell>
        </row>
        <row r="803">
          <cell r="C803" t="str">
            <v>Total</v>
          </cell>
          <cell r="D803">
            <v>14</v>
          </cell>
          <cell r="E803">
            <v>0.7</v>
          </cell>
          <cell r="F803" t="str">
            <v>@0.22kg</v>
          </cell>
          <cell r="H803">
            <v>2.1559999999999997</v>
          </cell>
        </row>
        <row r="805">
          <cell r="B805" t="str">
            <v>I-17</v>
          </cell>
          <cell r="C805" t="str">
            <v>Bar Binding for Ferro-Cement Works</v>
          </cell>
          <cell r="I805">
            <v>0</v>
          </cell>
          <cell r="J805" t="str">
            <v>m2</v>
          </cell>
        </row>
        <row r="809">
          <cell r="B809" t="str">
            <v>I-18</v>
          </cell>
          <cell r="C809" t="str">
            <v>Formwork for Ferro-Cement Works</v>
          </cell>
          <cell r="I809">
            <v>0</v>
          </cell>
          <cell r="J809" t="str">
            <v>m2</v>
          </cell>
        </row>
        <row r="813">
          <cell r="B813" t="str">
            <v>I-19</v>
          </cell>
          <cell r="C813" t="str">
            <v>Cement Plaster for Ferro-Cement Work (1:3)</v>
          </cell>
          <cell r="I813">
            <v>0</v>
          </cell>
          <cell r="J813" t="str">
            <v>m2</v>
          </cell>
        </row>
        <row r="817">
          <cell r="B817" t="str">
            <v>I-20</v>
          </cell>
          <cell r="C817" t="str">
            <v>Formwork for Precast RCC Work</v>
          </cell>
          <cell r="I817">
            <v>0</v>
          </cell>
          <cell r="J817" t="str">
            <v>m2</v>
          </cell>
        </row>
        <row r="821">
          <cell r="B821" t="str">
            <v>I-21</v>
          </cell>
          <cell r="C821" t="str">
            <v>Cement Painting</v>
          </cell>
          <cell r="I821">
            <v>0</v>
          </cell>
          <cell r="J821" t="str">
            <v>m2</v>
          </cell>
        </row>
        <row r="825">
          <cell r="B825" t="str">
            <v>I-22</v>
          </cell>
          <cell r="C825" t="str">
            <v>Trench digging</v>
          </cell>
          <cell r="I825">
            <v>0</v>
          </cell>
          <cell r="J825" t="str">
            <v>m3</v>
          </cell>
        </row>
        <row r="829">
          <cell r="B829" t="str">
            <v>I-23</v>
          </cell>
          <cell r="C829" t="str">
            <v>Trench backfilling</v>
          </cell>
          <cell r="I829">
            <v>0</v>
          </cell>
          <cell r="J829" t="str">
            <v>m3</v>
          </cell>
        </row>
        <row r="833">
          <cell r="B833" t="str">
            <v>I-24</v>
          </cell>
          <cell r="C833" t="str">
            <v>Gabion Box (2mX1mX1m)</v>
          </cell>
          <cell r="I833">
            <v>0</v>
          </cell>
          <cell r="J833" t="str">
            <v>No</v>
          </cell>
        </row>
        <row r="836">
          <cell r="B836" t="str">
            <v>I-25</v>
          </cell>
          <cell r="C836" t="str">
            <v>Gabion Box (3mX1mX1m)</v>
          </cell>
          <cell r="I836">
            <v>0</v>
          </cell>
          <cell r="J836" t="str">
            <v>No</v>
          </cell>
        </row>
        <row r="840">
          <cell r="B840" t="str">
            <v>M-16</v>
          </cell>
          <cell r="C840" t="str">
            <v>Angle Pole</v>
          </cell>
          <cell r="J840" t="str">
            <v>pc</v>
          </cell>
        </row>
        <row r="841">
          <cell r="B841" t="str">
            <v>M-17</v>
          </cell>
          <cell r="C841" t="str">
            <v>Angle Pole for Gate</v>
          </cell>
          <cell r="J841" t="str">
            <v>pc</v>
          </cell>
        </row>
        <row r="842">
          <cell r="B842" t="str">
            <v>M-18</v>
          </cell>
          <cell r="C842" t="str">
            <v>Corner Angle Pole</v>
          </cell>
          <cell r="J842" t="str">
            <v>pc</v>
          </cell>
        </row>
        <row r="843">
          <cell r="B843" t="str">
            <v>M-19</v>
          </cell>
          <cell r="C843" t="str">
            <v>Bracing Angle Pole</v>
          </cell>
          <cell r="J843" t="str">
            <v>pc</v>
          </cell>
        </row>
        <row r="844">
          <cell r="B844" t="str">
            <v>M-20</v>
          </cell>
          <cell r="C844" t="str">
            <v>Polythene Sheet</v>
          </cell>
          <cell r="J844" t="str">
            <v>m</v>
          </cell>
        </row>
        <row r="845">
          <cell r="B845" t="str">
            <v>M-21</v>
          </cell>
          <cell r="C845" t="str">
            <v>Barbed Wire</v>
          </cell>
          <cell r="J845" t="str">
            <v>kg</v>
          </cell>
        </row>
        <row r="846">
          <cell r="B846" t="str">
            <v>M-22</v>
          </cell>
          <cell r="C846" t="str">
            <v>Fencing Post</v>
          </cell>
          <cell r="J846" t="str">
            <v>pc</v>
          </cell>
        </row>
        <row r="847">
          <cell r="B847" t="str">
            <v>M-23</v>
          </cell>
          <cell r="C847" t="str">
            <v>Angle Gate</v>
          </cell>
          <cell r="J847" t="str">
            <v>pc</v>
          </cell>
        </row>
        <row r="848">
          <cell r="B848" t="str">
            <v>M-24</v>
          </cell>
          <cell r="C848" t="str">
            <v>4" Hinges</v>
          </cell>
          <cell r="J848" t="str">
            <v>pc</v>
          </cell>
        </row>
        <row r="849">
          <cell r="B849" t="str">
            <v>M-25</v>
          </cell>
          <cell r="C849" t="str">
            <v>10" Aldrop</v>
          </cell>
          <cell r="J849" t="str">
            <v>pc</v>
          </cell>
        </row>
        <row r="850">
          <cell r="B850" t="str">
            <v>M-26</v>
          </cell>
          <cell r="C850" t="str">
            <v>Gate Lock Key</v>
          </cell>
          <cell r="J850" t="str">
            <v>pc</v>
          </cell>
        </row>
        <row r="851">
          <cell r="B851" t="str">
            <v>M-27</v>
          </cell>
          <cell r="C851" t="str">
            <v>Nut with bolt (8mm dia)</v>
          </cell>
          <cell r="J851" t="str">
            <v>pc</v>
          </cell>
        </row>
        <row r="852">
          <cell r="B852" t="str">
            <v>M-28</v>
          </cell>
          <cell r="C852" t="str">
            <v>Screws</v>
          </cell>
          <cell r="J852" t="str">
            <v>pc</v>
          </cell>
        </row>
        <row r="853">
          <cell r="B853" t="str">
            <v>M-29</v>
          </cell>
          <cell r="C853" t="str">
            <v>GI sheet Plain (3'x7')</v>
          </cell>
          <cell r="J853" t="str">
            <v>pc</v>
          </cell>
        </row>
        <row r="854">
          <cell r="B854" t="str">
            <v>M-30</v>
          </cell>
          <cell r="C854" t="str">
            <v>Manhole Cover (Circular)</v>
          </cell>
          <cell r="J854" t="str">
            <v>pc</v>
          </cell>
        </row>
        <row r="855">
          <cell r="B855" t="str">
            <v>M-31</v>
          </cell>
          <cell r="C855" t="str">
            <v>Manhole Cover (Square)</v>
          </cell>
          <cell r="J855" t="str">
            <v>pc</v>
          </cell>
        </row>
        <row r="856">
          <cell r="B856" t="str">
            <v>M-32</v>
          </cell>
          <cell r="C856" t="str">
            <v>Manhole Cover (Rectangle)</v>
          </cell>
          <cell r="J856" t="str">
            <v>pc</v>
          </cell>
        </row>
        <row r="857">
          <cell r="B857" t="str">
            <v>M-33</v>
          </cell>
          <cell r="C857" t="str">
            <v>Small Slab Frame (55x55)</v>
          </cell>
          <cell r="J857" t="str">
            <v>pc</v>
          </cell>
        </row>
        <row r="858">
          <cell r="B858" t="str">
            <v>M-34</v>
          </cell>
          <cell r="C858" t="str">
            <v>Big Slab Frame (75x75)</v>
          </cell>
          <cell r="J858" t="str">
            <v>pc</v>
          </cell>
        </row>
        <row r="859">
          <cell r="B859" t="str">
            <v>M-36</v>
          </cell>
          <cell r="C859" t="str">
            <v>Lime</v>
          </cell>
          <cell r="J859" t="str">
            <v>kg</v>
          </cell>
        </row>
        <row r="860">
          <cell r="B860" t="str">
            <v>M-41</v>
          </cell>
          <cell r="C860" t="str">
            <v>Suspension Cable (8mm)</v>
          </cell>
          <cell r="J860" t="str">
            <v>m</v>
          </cell>
        </row>
        <row r="861">
          <cell r="B861" t="str">
            <v>M-42</v>
          </cell>
          <cell r="C861" t="str">
            <v>Suspension Cable (13mm)</v>
          </cell>
          <cell r="J861" t="str">
            <v>m</v>
          </cell>
        </row>
        <row r="862">
          <cell r="B862" t="str">
            <v>M-43</v>
          </cell>
          <cell r="C862" t="str">
            <v>Bulldog Grips (8mm)</v>
          </cell>
          <cell r="J862" t="str">
            <v>pc</v>
          </cell>
        </row>
        <row r="863">
          <cell r="B863" t="str">
            <v>M-44</v>
          </cell>
          <cell r="C863" t="str">
            <v>Bulldog Grips (13mm)</v>
          </cell>
          <cell r="J863" t="str">
            <v>pc</v>
          </cell>
        </row>
        <row r="864">
          <cell r="B864" t="str">
            <v>M-45</v>
          </cell>
          <cell r="C864" t="str">
            <v>PE Tank 200 ltrs.</v>
          </cell>
          <cell r="J864" t="str">
            <v>pc</v>
          </cell>
        </row>
        <row r="865">
          <cell r="B865" t="str">
            <v>M-46</v>
          </cell>
          <cell r="C865" t="str">
            <v>Tapstand Grid</v>
          </cell>
          <cell r="J865" t="str">
            <v>pc</v>
          </cell>
        </row>
        <row r="866">
          <cell r="B866" t="str">
            <v>M-47</v>
          </cell>
          <cell r="C866" t="str">
            <v>Anchor Bolt (1/2")</v>
          </cell>
          <cell r="J866" t="str">
            <v>pc</v>
          </cell>
        </row>
        <row r="867">
          <cell r="B867" t="str">
            <v>M-48</v>
          </cell>
          <cell r="C867" t="str">
            <v>Anchor Bolt (1")</v>
          </cell>
          <cell r="J867" t="str">
            <v>pc</v>
          </cell>
        </row>
        <row r="868">
          <cell r="B868" t="str">
            <v>M-49</v>
          </cell>
          <cell r="C868" t="str">
            <v>Anchor Bolt (1 1/2")</v>
          </cell>
          <cell r="J868" t="str">
            <v>pc</v>
          </cell>
        </row>
        <row r="869">
          <cell r="B869" t="str">
            <v>M-50</v>
          </cell>
          <cell r="C869" t="str">
            <v>Anchor Bolt (2")</v>
          </cell>
          <cell r="J869" t="str">
            <v>pc</v>
          </cell>
        </row>
        <row r="870">
          <cell r="B870" t="str">
            <v>M-01</v>
          </cell>
          <cell r="C870" t="str">
            <v>Cement</v>
          </cell>
          <cell r="I870">
            <v>9.8857739999999996</v>
          </cell>
          <cell r="J870" t="str">
            <v>bag</v>
          </cell>
        </row>
        <row r="871">
          <cell r="B871" t="str">
            <v>M-02</v>
          </cell>
          <cell r="C871" t="str">
            <v>Sand</v>
          </cell>
          <cell r="I871">
            <v>1.041817</v>
          </cell>
          <cell r="J871" t="str">
            <v>m3</v>
          </cell>
        </row>
        <row r="872">
          <cell r="B872" t="str">
            <v>M-03</v>
          </cell>
          <cell r="C872" t="str">
            <v>Block Stone</v>
          </cell>
          <cell r="I872">
            <v>1.9179999999999997</v>
          </cell>
          <cell r="J872" t="str">
            <v>m3</v>
          </cell>
        </row>
        <row r="873">
          <cell r="B873" t="str">
            <v>M-04</v>
          </cell>
          <cell r="C873" t="str">
            <v>Bond Stone</v>
          </cell>
          <cell r="I873">
            <v>0.1918</v>
          </cell>
          <cell r="J873" t="str">
            <v>m3</v>
          </cell>
        </row>
        <row r="874">
          <cell r="B874" t="str">
            <v>M-05</v>
          </cell>
          <cell r="C874" t="str">
            <v>Aggregate (5-10mm)</v>
          </cell>
          <cell r="I874">
            <v>8.272800000000001E-2</v>
          </cell>
          <cell r="J874" t="str">
            <v>m3</v>
          </cell>
        </row>
        <row r="875">
          <cell r="B875" t="str">
            <v>M-06</v>
          </cell>
          <cell r="C875" t="str">
            <v>Aggregate (10-20mm)</v>
          </cell>
          <cell r="I875">
            <v>0.16545600000000002</v>
          </cell>
          <cell r="J875" t="str">
            <v>m3</v>
          </cell>
        </row>
        <row r="876">
          <cell r="B876" t="str">
            <v>M-07</v>
          </cell>
          <cell r="C876" t="str">
            <v>Aggregate (20-40mm)</v>
          </cell>
          <cell r="I876">
            <v>0.33780600000000005</v>
          </cell>
          <cell r="J876" t="str">
            <v>m3</v>
          </cell>
        </row>
        <row r="877">
          <cell r="B877" t="str">
            <v>M-08</v>
          </cell>
          <cell r="C877" t="str">
            <v>Project Information Board</v>
          </cell>
          <cell r="J877" t="str">
            <v>set</v>
          </cell>
        </row>
        <row r="878">
          <cell r="B878" t="str">
            <v>M-09</v>
          </cell>
          <cell r="C878" t="str">
            <v>Reinforcement ( 6mm)</v>
          </cell>
          <cell r="I878">
            <v>2.2637999999999998</v>
          </cell>
          <cell r="J878" t="str">
            <v>kg</v>
          </cell>
        </row>
        <row r="879">
          <cell r="B879" t="str">
            <v>M-10</v>
          </cell>
          <cell r="C879" t="str">
            <v>Reinforcement ( 8mm)</v>
          </cell>
          <cell r="J879" t="str">
            <v>kg</v>
          </cell>
        </row>
        <row r="880">
          <cell r="B880" t="str">
            <v>M-11</v>
          </cell>
          <cell r="C880" t="str">
            <v>Reinforcement (10mm)</v>
          </cell>
          <cell r="I880">
            <v>0</v>
          </cell>
          <cell r="J880" t="str">
            <v>kg</v>
          </cell>
        </row>
        <row r="881">
          <cell r="B881" t="str">
            <v>M-12</v>
          </cell>
          <cell r="C881" t="str">
            <v>Binding wire</v>
          </cell>
          <cell r="I881">
            <v>2.1559999999999996E-2</v>
          </cell>
          <cell r="J881" t="str">
            <v>kg</v>
          </cell>
        </row>
        <row r="882">
          <cell r="B882" t="str">
            <v>M-13</v>
          </cell>
          <cell r="C882" t="str">
            <v>Plain wire (3.5 mm dia)</v>
          </cell>
          <cell r="I882">
            <v>0</v>
          </cell>
          <cell r="J882" t="str">
            <v>kg</v>
          </cell>
        </row>
        <row r="883">
          <cell r="B883" t="str">
            <v>M-14</v>
          </cell>
          <cell r="C883" t="str">
            <v>Chicken wire mesh (3 Ft wide)</v>
          </cell>
          <cell r="I883">
            <v>0</v>
          </cell>
          <cell r="J883" t="str">
            <v>m</v>
          </cell>
        </row>
        <row r="884">
          <cell r="B884" t="str">
            <v>M-15</v>
          </cell>
          <cell r="C884" t="str">
            <v>Bamboo</v>
          </cell>
          <cell r="I884">
            <v>0</v>
          </cell>
          <cell r="J884" t="str">
            <v>pc</v>
          </cell>
        </row>
        <row r="885">
          <cell r="B885" t="str">
            <v>M-35</v>
          </cell>
          <cell r="C885" t="str">
            <v>Cement Paint</v>
          </cell>
          <cell r="I885">
            <v>0</v>
          </cell>
          <cell r="J885" t="str">
            <v>kg</v>
          </cell>
        </row>
        <row r="886">
          <cell r="B886" t="str">
            <v>M-37</v>
          </cell>
          <cell r="C886" t="str">
            <v>GI Selwage Wire (8g)</v>
          </cell>
          <cell r="J886" t="str">
            <v>kg</v>
          </cell>
        </row>
        <row r="887">
          <cell r="B887" t="str">
            <v>M-38</v>
          </cell>
          <cell r="C887" t="str">
            <v>GI Mesh Wire (10g)</v>
          </cell>
          <cell r="J887" t="str">
            <v>kg</v>
          </cell>
        </row>
        <row r="888">
          <cell r="B888" t="str">
            <v>M-39</v>
          </cell>
          <cell r="C888" t="str">
            <v>Wood for Formwork</v>
          </cell>
          <cell r="I888">
            <v>0.435666</v>
          </cell>
          <cell r="J888" t="str">
            <v>m3</v>
          </cell>
        </row>
        <row r="889">
          <cell r="B889" t="str">
            <v>M-40</v>
          </cell>
          <cell r="C889" t="str">
            <v>Nails</v>
          </cell>
          <cell r="I889">
            <v>0.43049999999999999</v>
          </cell>
          <cell r="J889" t="str">
            <v>kg</v>
          </cell>
        </row>
        <row r="890">
          <cell r="B890" t="str">
            <v>L-1</v>
          </cell>
          <cell r="C890" t="str">
            <v>Skilled Labour</v>
          </cell>
          <cell r="I890">
            <v>4.8570759999999984</v>
          </cell>
          <cell r="J890" t="str">
            <v>md</v>
          </cell>
        </row>
        <row r="891">
          <cell r="B891" t="str">
            <v>L-2</v>
          </cell>
          <cell r="C891" t="str">
            <v>Unskilled Labour</v>
          </cell>
          <cell r="I891">
            <v>16.342911999999995</v>
          </cell>
          <cell r="J891" t="str">
            <v>md</v>
          </cell>
        </row>
        <row r="892">
          <cell r="C892" t="str">
            <v>FITTINGS</v>
          </cell>
        </row>
        <row r="893">
          <cell r="C893" t="str">
            <v>Outlet Pipe Dia</v>
          </cell>
          <cell r="D893">
            <v>0</v>
          </cell>
        </row>
        <row r="894">
          <cell r="C894" t="str">
            <v>Washout Pipe Dia</v>
          </cell>
          <cell r="D894">
            <v>0</v>
          </cell>
        </row>
        <row r="895">
          <cell r="B895" t="str">
            <v>GPM-15</v>
          </cell>
          <cell r="C895" t="str">
            <v>G.I. Pipe (1/2") - MC</v>
          </cell>
          <cell r="I895">
            <v>0</v>
          </cell>
          <cell r="J895" t="str">
            <v>m</v>
          </cell>
        </row>
        <row r="896">
          <cell r="B896" t="str">
            <v>GEL-25</v>
          </cell>
          <cell r="C896" t="str">
            <v xml:space="preserve">G.I. Elbow (1") </v>
          </cell>
          <cell r="I896">
            <v>0</v>
          </cell>
          <cell r="J896" t="str">
            <v>pc</v>
          </cell>
        </row>
        <row r="897">
          <cell r="B897" t="str">
            <v>GPM-25</v>
          </cell>
          <cell r="C897" t="str">
            <v>G.I. Pipe (1") - MC</v>
          </cell>
          <cell r="I897">
            <v>0</v>
          </cell>
          <cell r="J897" t="str">
            <v>m</v>
          </cell>
        </row>
        <row r="898">
          <cell r="B898" t="str">
            <v>GPM-25</v>
          </cell>
          <cell r="C898" t="str">
            <v>G.I. Pipe (1") - MC</v>
          </cell>
          <cell r="I898">
            <v>0</v>
          </cell>
          <cell r="J898" t="str">
            <v>m</v>
          </cell>
        </row>
        <row r="899">
          <cell r="B899" t="str">
            <v>GEC-25</v>
          </cell>
          <cell r="C899" t="str">
            <v>G.I. End Cap (1")</v>
          </cell>
          <cell r="I899">
            <v>0</v>
          </cell>
          <cell r="J899" t="str">
            <v>pc</v>
          </cell>
        </row>
        <row r="900">
          <cell r="B900" t="str">
            <v>BT400-15</v>
          </cell>
          <cell r="C900" t="str">
            <v>Brass Tap ( 400g )</v>
          </cell>
          <cell r="I900">
            <v>0</v>
          </cell>
          <cell r="J900" t="str">
            <v>pc</v>
          </cell>
        </row>
        <row r="901">
          <cell r="C901">
            <v>0</v>
          </cell>
          <cell r="J901">
            <v>0</v>
          </cell>
        </row>
        <row r="904">
          <cell r="B904" t="str">
            <v>I-01</v>
          </cell>
          <cell r="C904" t="str">
            <v>Earth Work in Excavation</v>
          </cell>
          <cell r="I904">
            <v>0</v>
          </cell>
          <cell r="J904" t="str">
            <v>m3</v>
          </cell>
        </row>
        <row r="908">
          <cell r="B908" t="str">
            <v>I-02</v>
          </cell>
          <cell r="C908" t="str">
            <v>Earth Work in Backfilling</v>
          </cell>
          <cell r="I908">
            <v>0</v>
          </cell>
          <cell r="J908" t="str">
            <v>m3</v>
          </cell>
        </row>
        <row r="912">
          <cell r="B912" t="str">
            <v>I-03</v>
          </cell>
          <cell r="C912" t="str">
            <v>Dry Stone Soling</v>
          </cell>
          <cell r="I912">
            <v>0</v>
          </cell>
          <cell r="J912" t="str">
            <v>m3</v>
          </cell>
        </row>
        <row r="916">
          <cell r="B916" t="str">
            <v>I-04</v>
          </cell>
          <cell r="C916" t="str">
            <v>P.C.C. (1:2:4)</v>
          </cell>
          <cell r="I916">
            <v>0</v>
          </cell>
          <cell r="J916" t="str">
            <v>m3</v>
          </cell>
        </row>
        <row r="920">
          <cell r="B920" t="str">
            <v>I-05</v>
          </cell>
          <cell r="C920" t="str">
            <v>P.C.C. for Pre-cast Slab (1:2:4)</v>
          </cell>
          <cell r="I920">
            <v>0</v>
          </cell>
          <cell r="J920" t="str">
            <v>m3</v>
          </cell>
        </row>
        <row r="924">
          <cell r="B924" t="str">
            <v>I-06</v>
          </cell>
          <cell r="C924" t="str">
            <v>P.C.C. for R.C.C. (1:2:4)</v>
          </cell>
          <cell r="I924">
            <v>0</v>
          </cell>
          <cell r="J924" t="str">
            <v>m3</v>
          </cell>
        </row>
        <row r="928">
          <cell r="B928" t="str">
            <v>I-07</v>
          </cell>
          <cell r="C928" t="str">
            <v>Random Rubble Masonry (1:4)</v>
          </cell>
          <cell r="I928">
            <v>0</v>
          </cell>
          <cell r="J928" t="str">
            <v>m3</v>
          </cell>
        </row>
        <row r="932">
          <cell r="B932" t="str">
            <v>I-08</v>
          </cell>
          <cell r="C932" t="str">
            <v>Random Rubble Masonry (1:6)</v>
          </cell>
          <cell r="I932">
            <v>0</v>
          </cell>
          <cell r="J932" t="str">
            <v>m3</v>
          </cell>
        </row>
        <row r="936">
          <cell r="B936" t="str">
            <v>I-09</v>
          </cell>
          <cell r="C936" t="str">
            <v>Dry Stone masonry</v>
          </cell>
          <cell r="I936">
            <v>0</v>
          </cell>
          <cell r="J936" t="str">
            <v>m3</v>
          </cell>
        </row>
        <row r="940">
          <cell r="B940" t="str">
            <v>I-10</v>
          </cell>
          <cell r="C940" t="str">
            <v>Form Work for P.C.C.</v>
          </cell>
          <cell r="I940">
            <v>0</v>
          </cell>
          <cell r="J940" t="str">
            <v>m2</v>
          </cell>
        </row>
        <row r="944">
          <cell r="B944" t="str">
            <v>I-11</v>
          </cell>
          <cell r="C944" t="str">
            <v>12.5mm Cement Plaster (1:2)</v>
          </cell>
          <cell r="I944">
            <v>0</v>
          </cell>
          <cell r="J944" t="str">
            <v>m2</v>
          </cell>
        </row>
        <row r="948">
          <cell r="B948" t="str">
            <v>I-12</v>
          </cell>
          <cell r="C948" t="str">
            <v>12.5mm Cement Plaster (1:3)</v>
          </cell>
          <cell r="I948">
            <v>0</v>
          </cell>
          <cell r="J948" t="str">
            <v>m2</v>
          </cell>
        </row>
        <row r="952">
          <cell r="B952" t="str">
            <v>I-13</v>
          </cell>
          <cell r="C952" t="str">
            <v>12.5mm Cement Plaster (1:4)</v>
          </cell>
          <cell r="I952">
            <v>0</v>
          </cell>
          <cell r="J952" t="str">
            <v>m2</v>
          </cell>
        </row>
        <row r="956">
          <cell r="B956" t="str">
            <v>I-14</v>
          </cell>
          <cell r="C956" t="str">
            <v>Cement Pointing (1:3)</v>
          </cell>
          <cell r="I956">
            <v>0</v>
          </cell>
          <cell r="J956" t="str">
            <v>m2</v>
          </cell>
        </row>
        <row r="960">
          <cell r="B960" t="str">
            <v>I-15</v>
          </cell>
          <cell r="C960" t="str">
            <v>3mm Cement Punning</v>
          </cell>
          <cell r="I960">
            <v>0</v>
          </cell>
          <cell r="J960" t="str">
            <v>m2</v>
          </cell>
        </row>
        <row r="964">
          <cell r="B964" t="str">
            <v>I-16A</v>
          </cell>
          <cell r="C964" t="str">
            <v>Bar Binding for R.C.C. (10mm bar)</v>
          </cell>
          <cell r="I964">
            <v>0</v>
          </cell>
          <cell r="J964" t="str">
            <v>Kg</v>
          </cell>
        </row>
        <row r="968">
          <cell r="B968" t="str">
            <v>I-16B</v>
          </cell>
          <cell r="C968" t="str">
            <v>Bar Binding for R.C.C. (6mm bar)</v>
          </cell>
          <cell r="I968">
            <v>0</v>
          </cell>
          <cell r="J968" t="str">
            <v>Kg</v>
          </cell>
        </row>
        <row r="972">
          <cell r="B972" t="str">
            <v>I-17</v>
          </cell>
          <cell r="C972" t="str">
            <v>Bar Binding for Ferro-Cement Works</v>
          </cell>
          <cell r="I972">
            <v>0</v>
          </cell>
          <cell r="J972" t="str">
            <v>m2</v>
          </cell>
        </row>
        <row r="976">
          <cell r="B976" t="str">
            <v>I-18</v>
          </cell>
          <cell r="C976" t="str">
            <v>Formwork for Ferro-Cement Works</v>
          </cell>
          <cell r="I976">
            <v>0</v>
          </cell>
          <cell r="J976" t="str">
            <v>m2</v>
          </cell>
        </row>
        <row r="980">
          <cell r="B980" t="str">
            <v>I-19</v>
          </cell>
          <cell r="C980" t="str">
            <v>Cement Plaster for Ferro-Cement Work (1:3)</v>
          </cell>
          <cell r="I980">
            <v>0</v>
          </cell>
          <cell r="J980" t="str">
            <v>m2</v>
          </cell>
        </row>
        <row r="984">
          <cell r="B984" t="str">
            <v>I-20</v>
          </cell>
          <cell r="C984" t="str">
            <v>Formwork for Precast RCC Work</v>
          </cell>
          <cell r="I984">
            <v>0</v>
          </cell>
          <cell r="J984" t="str">
            <v>m2</v>
          </cell>
        </row>
        <row r="988">
          <cell r="B988" t="str">
            <v>I-21</v>
          </cell>
          <cell r="C988" t="str">
            <v>Cement Painting</v>
          </cell>
          <cell r="I988">
            <v>0</v>
          </cell>
          <cell r="J988" t="str">
            <v>m2</v>
          </cell>
        </row>
        <row r="992">
          <cell r="B992" t="str">
            <v>I-22</v>
          </cell>
          <cell r="C992" t="str">
            <v>Trench digging</v>
          </cell>
          <cell r="I992">
            <v>0</v>
          </cell>
          <cell r="J992" t="str">
            <v>m3</v>
          </cell>
        </row>
        <row r="996">
          <cell r="B996" t="str">
            <v>I-23</v>
          </cell>
          <cell r="C996" t="str">
            <v>Trench backfilling</v>
          </cell>
          <cell r="I996">
            <v>0</v>
          </cell>
          <cell r="J996" t="str">
            <v>m3</v>
          </cell>
        </row>
        <row r="1000">
          <cell r="B1000" t="str">
            <v>I-24</v>
          </cell>
          <cell r="C1000" t="str">
            <v>Gabion Box (2mX1mX1m)</v>
          </cell>
          <cell r="I1000">
            <v>0</v>
          </cell>
          <cell r="J1000" t="str">
            <v>No</v>
          </cell>
        </row>
        <row r="1003">
          <cell r="B1003" t="str">
            <v>I-25</v>
          </cell>
          <cell r="C1003" t="str">
            <v>Gabion Box (3mX1mX1m)</v>
          </cell>
          <cell r="I1003">
            <v>0</v>
          </cell>
          <cell r="J1003" t="str">
            <v>No</v>
          </cell>
        </row>
        <row r="1007">
          <cell r="B1007" t="str">
            <v>M-16</v>
          </cell>
          <cell r="C1007" t="str">
            <v>Angle Pole</v>
          </cell>
          <cell r="J1007" t="str">
            <v>pc</v>
          </cell>
        </row>
        <row r="1008">
          <cell r="B1008" t="str">
            <v>M-17</v>
          </cell>
          <cell r="C1008" t="str">
            <v>Angle Pole for Gate</v>
          </cell>
          <cell r="J1008" t="str">
            <v>pc</v>
          </cell>
        </row>
        <row r="1009">
          <cell r="B1009" t="str">
            <v>M-18</v>
          </cell>
          <cell r="C1009" t="str">
            <v>Corner Angle Pole</v>
          </cell>
          <cell r="J1009" t="str">
            <v>pc</v>
          </cell>
        </row>
        <row r="1010">
          <cell r="B1010" t="str">
            <v>M-19</v>
          </cell>
          <cell r="C1010" t="str">
            <v>Bracing Angle Pole</v>
          </cell>
          <cell r="J1010" t="str">
            <v>pc</v>
          </cell>
        </row>
        <row r="1011">
          <cell r="B1011" t="str">
            <v>M-20</v>
          </cell>
          <cell r="C1011" t="str">
            <v>Polythene Sheet</v>
          </cell>
          <cell r="J1011" t="str">
            <v>m</v>
          </cell>
        </row>
        <row r="1012">
          <cell r="B1012" t="str">
            <v>M-21</v>
          </cell>
          <cell r="C1012" t="str">
            <v>Barbed Wire</v>
          </cell>
          <cell r="J1012" t="str">
            <v>kg</v>
          </cell>
        </row>
        <row r="1013">
          <cell r="B1013" t="str">
            <v>M-22</v>
          </cell>
          <cell r="C1013" t="str">
            <v>Fencing Post</v>
          </cell>
          <cell r="J1013" t="str">
            <v>pc</v>
          </cell>
        </row>
        <row r="1014">
          <cell r="B1014" t="str">
            <v>M-23</v>
          </cell>
          <cell r="C1014" t="str">
            <v>Angle Gate</v>
          </cell>
          <cell r="J1014" t="str">
            <v>pc</v>
          </cell>
        </row>
        <row r="1015">
          <cell r="B1015" t="str">
            <v>M-24</v>
          </cell>
          <cell r="C1015" t="str">
            <v>4" Hinges</v>
          </cell>
          <cell r="J1015" t="str">
            <v>pc</v>
          </cell>
        </row>
        <row r="1016">
          <cell r="B1016" t="str">
            <v>M-25</v>
          </cell>
          <cell r="C1016" t="str">
            <v>10" Aldrop</v>
          </cell>
          <cell r="J1016" t="str">
            <v>pc</v>
          </cell>
        </row>
        <row r="1017">
          <cell r="B1017" t="str">
            <v>M-26</v>
          </cell>
          <cell r="C1017" t="str">
            <v>Gate Lock Key</v>
          </cell>
          <cell r="J1017" t="str">
            <v>pc</v>
          </cell>
        </row>
        <row r="1018">
          <cell r="B1018" t="str">
            <v>M-27</v>
          </cell>
          <cell r="C1018" t="str">
            <v>Nut with bolt (8mm dia)</v>
          </cell>
          <cell r="J1018" t="str">
            <v>pc</v>
          </cell>
        </row>
        <row r="1019">
          <cell r="B1019" t="str">
            <v>M-28</v>
          </cell>
          <cell r="C1019" t="str">
            <v>Screws</v>
          </cell>
          <cell r="J1019" t="str">
            <v>pc</v>
          </cell>
        </row>
        <row r="1020">
          <cell r="B1020" t="str">
            <v>M-29</v>
          </cell>
          <cell r="C1020" t="str">
            <v>GI sheet Plain (3'x7')</v>
          </cell>
          <cell r="J1020" t="str">
            <v>pc</v>
          </cell>
        </row>
        <row r="1021">
          <cell r="B1021" t="str">
            <v>M-30</v>
          </cell>
          <cell r="C1021" t="str">
            <v>Manhole Cover (Circular)</v>
          </cell>
          <cell r="J1021" t="str">
            <v>pc</v>
          </cell>
        </row>
        <row r="1022">
          <cell r="B1022" t="str">
            <v>M-31</v>
          </cell>
          <cell r="C1022" t="str">
            <v>Manhole Cover (Square)</v>
          </cell>
          <cell r="J1022" t="str">
            <v>pc</v>
          </cell>
        </row>
        <row r="1023">
          <cell r="B1023" t="str">
            <v>M-32</v>
          </cell>
          <cell r="C1023" t="str">
            <v>Manhole Cover (Rectangle)</v>
          </cell>
          <cell r="J1023" t="str">
            <v>pc</v>
          </cell>
        </row>
        <row r="1024">
          <cell r="B1024" t="str">
            <v>M-33</v>
          </cell>
          <cell r="C1024" t="str">
            <v>Small Slab Frame (55x55)</v>
          </cell>
          <cell r="J1024" t="str">
            <v>pc</v>
          </cell>
        </row>
        <row r="1025">
          <cell r="B1025" t="str">
            <v>M-34</v>
          </cell>
          <cell r="C1025" t="str">
            <v>Big Slab Frame (75x75)</v>
          </cell>
          <cell r="J1025" t="str">
            <v>pc</v>
          </cell>
        </row>
        <row r="1026">
          <cell r="B1026" t="str">
            <v>M-36</v>
          </cell>
          <cell r="C1026" t="str">
            <v>Lime</v>
          </cell>
          <cell r="J1026" t="str">
            <v>kg</v>
          </cell>
        </row>
        <row r="1027">
          <cell r="B1027" t="str">
            <v>M-41</v>
          </cell>
          <cell r="C1027" t="str">
            <v>Suspension Cable (8mm)</v>
          </cell>
          <cell r="J1027" t="str">
            <v>m</v>
          </cell>
        </row>
        <row r="1028">
          <cell r="B1028" t="str">
            <v>M-42</v>
          </cell>
          <cell r="C1028" t="str">
            <v>Suspension Cable (13mm)</v>
          </cell>
          <cell r="J1028" t="str">
            <v>m</v>
          </cell>
        </row>
        <row r="1029">
          <cell r="B1029" t="str">
            <v>M-43</v>
          </cell>
          <cell r="C1029" t="str">
            <v>Bulldog Grips (8mm)</v>
          </cell>
          <cell r="J1029" t="str">
            <v>pc</v>
          </cell>
        </row>
        <row r="1030">
          <cell r="B1030" t="str">
            <v>M-44</v>
          </cell>
          <cell r="C1030" t="str">
            <v>Bulldog Grips (13mm)</v>
          </cell>
          <cell r="J1030" t="str">
            <v>pc</v>
          </cell>
        </row>
        <row r="1031">
          <cell r="B1031" t="str">
            <v>M-45</v>
          </cell>
          <cell r="C1031" t="str">
            <v>PE Tank 200 ltrs.</v>
          </cell>
          <cell r="J1031" t="str">
            <v>pc</v>
          </cell>
        </row>
        <row r="1032">
          <cell r="B1032" t="str">
            <v>M-46</v>
          </cell>
          <cell r="C1032" t="str">
            <v>Tapstand Grid</v>
          </cell>
          <cell r="J1032" t="str">
            <v>pc</v>
          </cell>
        </row>
        <row r="1033">
          <cell r="B1033" t="str">
            <v>M-47</v>
          </cell>
          <cell r="C1033" t="str">
            <v>Anchor Bolt (1/2")</v>
          </cell>
          <cell r="J1033" t="str">
            <v>pc</v>
          </cell>
        </row>
        <row r="1034">
          <cell r="B1034" t="str">
            <v>M-48</v>
          </cell>
          <cell r="C1034" t="str">
            <v>Anchor Bolt (1")</v>
          </cell>
          <cell r="J1034" t="str">
            <v>pc</v>
          </cell>
        </row>
        <row r="1035">
          <cell r="B1035" t="str">
            <v>M-49</v>
          </cell>
          <cell r="C1035" t="str">
            <v>Anchor Bolt (1 1/2")</v>
          </cell>
          <cell r="J1035" t="str">
            <v>pc</v>
          </cell>
        </row>
        <row r="1036">
          <cell r="B1036" t="str">
            <v>M-50</v>
          </cell>
          <cell r="C1036" t="str">
            <v>Anchor Bolt (2")</v>
          </cell>
          <cell r="J1036" t="str">
            <v>pc</v>
          </cell>
        </row>
        <row r="1037">
          <cell r="B1037" t="str">
            <v>M-01</v>
          </cell>
          <cell r="C1037" t="str">
            <v>Cement</v>
          </cell>
          <cell r="I1037">
            <v>0</v>
          </cell>
          <cell r="J1037" t="str">
            <v>bag</v>
          </cell>
        </row>
        <row r="1038">
          <cell r="B1038" t="str">
            <v>M-02</v>
          </cell>
          <cell r="C1038" t="str">
            <v>Sand</v>
          </cell>
          <cell r="I1038">
            <v>0</v>
          </cell>
          <cell r="J1038" t="str">
            <v>m3</v>
          </cell>
        </row>
        <row r="1039">
          <cell r="B1039" t="str">
            <v>M-03</v>
          </cell>
          <cell r="C1039" t="str">
            <v>Block Stone</v>
          </cell>
          <cell r="I1039">
            <v>0</v>
          </cell>
          <cell r="J1039" t="str">
            <v>m3</v>
          </cell>
        </row>
        <row r="1040">
          <cell r="B1040" t="str">
            <v>M-04</v>
          </cell>
          <cell r="C1040" t="str">
            <v>Bond Stone</v>
          </cell>
          <cell r="I1040">
            <v>0</v>
          </cell>
          <cell r="J1040" t="str">
            <v>m3</v>
          </cell>
        </row>
        <row r="1041">
          <cell r="B1041" t="str">
            <v>M-05</v>
          </cell>
          <cell r="C1041" t="str">
            <v>Aggregate (5-10mm)</v>
          </cell>
          <cell r="I1041">
            <v>0</v>
          </cell>
          <cell r="J1041" t="str">
            <v>m3</v>
          </cell>
        </row>
        <row r="1042">
          <cell r="B1042" t="str">
            <v>M-06</v>
          </cell>
          <cell r="C1042" t="str">
            <v>Aggregate (10-20mm)</v>
          </cell>
          <cell r="I1042">
            <v>0</v>
          </cell>
          <cell r="J1042" t="str">
            <v>m3</v>
          </cell>
        </row>
        <row r="1043">
          <cell r="B1043" t="str">
            <v>M-07</v>
          </cell>
          <cell r="C1043" t="str">
            <v>Aggregate (20-40mm)</v>
          </cell>
          <cell r="I1043">
            <v>0</v>
          </cell>
          <cell r="J1043" t="str">
            <v>m3</v>
          </cell>
        </row>
        <row r="1044">
          <cell r="B1044" t="str">
            <v>M-08</v>
          </cell>
          <cell r="C1044" t="str">
            <v>Project Information Board</v>
          </cell>
          <cell r="J1044" t="str">
            <v>set</v>
          </cell>
        </row>
        <row r="1045">
          <cell r="B1045" t="str">
            <v>M-09</v>
          </cell>
          <cell r="C1045" t="str">
            <v>Reinforcement ( 6mm)</v>
          </cell>
          <cell r="I1045">
            <v>0</v>
          </cell>
          <cell r="J1045" t="str">
            <v>kg</v>
          </cell>
        </row>
        <row r="1046">
          <cell r="B1046" t="str">
            <v>M-10</v>
          </cell>
          <cell r="C1046" t="str">
            <v>Reinforcement ( 8mm)</v>
          </cell>
          <cell r="J1046" t="str">
            <v>kg</v>
          </cell>
        </row>
        <row r="1047">
          <cell r="B1047" t="str">
            <v>M-11</v>
          </cell>
          <cell r="C1047" t="str">
            <v>Reinforcement (10mm)</v>
          </cell>
          <cell r="I1047">
            <v>0</v>
          </cell>
          <cell r="J1047" t="str">
            <v>kg</v>
          </cell>
        </row>
        <row r="1048">
          <cell r="B1048" t="str">
            <v>M-12</v>
          </cell>
          <cell r="C1048" t="str">
            <v>Binding wire</v>
          </cell>
          <cell r="I1048">
            <v>0</v>
          </cell>
          <cell r="J1048" t="str">
            <v>kg</v>
          </cell>
        </row>
        <row r="1049">
          <cell r="B1049" t="str">
            <v>M-13</v>
          </cell>
          <cell r="C1049" t="str">
            <v>Plain wire (3.5 mm dia)</v>
          </cell>
          <cell r="I1049">
            <v>0</v>
          </cell>
          <cell r="J1049" t="str">
            <v>kg</v>
          </cell>
        </row>
        <row r="1050">
          <cell r="B1050" t="str">
            <v>M-14</v>
          </cell>
          <cell r="C1050" t="str">
            <v>Chicken wire mesh (3 Ft wide)</v>
          </cell>
          <cell r="I1050">
            <v>0</v>
          </cell>
          <cell r="J1050" t="str">
            <v>m</v>
          </cell>
        </row>
        <row r="1051">
          <cell r="B1051" t="str">
            <v>M-15</v>
          </cell>
          <cell r="C1051" t="str">
            <v>Bamboo</v>
          </cell>
          <cell r="I1051">
            <v>0</v>
          </cell>
          <cell r="J1051" t="str">
            <v>pc</v>
          </cell>
        </row>
        <row r="1052">
          <cell r="B1052" t="str">
            <v>M-35</v>
          </cell>
          <cell r="C1052" t="str">
            <v>Cement Paint</v>
          </cell>
          <cell r="I1052">
            <v>0</v>
          </cell>
          <cell r="J1052" t="str">
            <v>kg</v>
          </cell>
        </row>
        <row r="1053">
          <cell r="B1053" t="str">
            <v>M-37</v>
          </cell>
          <cell r="C1053" t="str">
            <v>GI Selwage Wire (8g)</v>
          </cell>
          <cell r="J1053" t="str">
            <v>kg</v>
          </cell>
        </row>
        <row r="1054">
          <cell r="B1054" t="str">
            <v>M-38</v>
          </cell>
          <cell r="C1054" t="str">
            <v>GI Mesh Wire (10g)</v>
          </cell>
          <cell r="J1054" t="str">
            <v>kg</v>
          </cell>
        </row>
        <row r="1055">
          <cell r="B1055" t="str">
            <v>M-39</v>
          </cell>
          <cell r="C1055" t="str">
            <v>Wood for Formwork</v>
          </cell>
          <cell r="I1055">
            <v>0</v>
          </cell>
          <cell r="J1055" t="str">
            <v>m3</v>
          </cell>
        </row>
        <row r="1056">
          <cell r="B1056" t="str">
            <v>M-40</v>
          </cell>
          <cell r="C1056" t="str">
            <v>Nails</v>
          </cell>
          <cell r="I1056">
            <v>0</v>
          </cell>
          <cell r="J1056" t="str">
            <v>kg</v>
          </cell>
        </row>
        <row r="1057">
          <cell r="B1057" t="str">
            <v>L-1</v>
          </cell>
          <cell r="C1057" t="str">
            <v>Skilled Labour</v>
          </cell>
          <cell r="I1057">
            <v>0</v>
          </cell>
          <cell r="J1057" t="str">
            <v>md</v>
          </cell>
        </row>
        <row r="1058">
          <cell r="B1058" t="str">
            <v>L-2</v>
          </cell>
          <cell r="C1058" t="str">
            <v>Unskilled Labour</v>
          </cell>
          <cell r="I1058">
            <v>0</v>
          </cell>
          <cell r="J1058" t="str">
            <v>md</v>
          </cell>
        </row>
        <row r="1059">
          <cell r="C1059" t="str">
            <v>FITTINGS</v>
          </cell>
        </row>
        <row r="1060">
          <cell r="C1060" t="str">
            <v>Outlet Pipe Dia</v>
          </cell>
          <cell r="D1060">
            <v>0</v>
          </cell>
        </row>
        <row r="1061">
          <cell r="C1061" t="str">
            <v>Washout Pipe Dia</v>
          </cell>
          <cell r="D1061">
            <v>0</v>
          </cell>
        </row>
        <row r="1062">
          <cell r="B1062" t="str">
            <v>HP2.5-75</v>
          </cell>
          <cell r="C1062" t="str">
            <v>HDPE Pipe(75mm) - 2.5 kgf/cm2</v>
          </cell>
          <cell r="J1062" t="str">
            <v>m</v>
          </cell>
        </row>
        <row r="1063">
          <cell r="B1063" t="str">
            <v>GPM-15</v>
          </cell>
          <cell r="C1063" t="str">
            <v>G.I. Pipe (1/2") - MC</v>
          </cell>
          <cell r="J1063" t="str">
            <v>m</v>
          </cell>
        </row>
        <row r="1064">
          <cell r="B1064" t="str">
            <v>GEL-15</v>
          </cell>
          <cell r="C1064" t="str">
            <v xml:space="preserve">G.I. Elbow (1/2") </v>
          </cell>
          <cell r="J1064" t="str">
            <v>pc</v>
          </cell>
        </row>
        <row r="1065">
          <cell r="B1065" t="str">
            <v>GSO-15</v>
          </cell>
          <cell r="C1065" t="str">
            <v>G.I. Socket (1/2")</v>
          </cell>
          <cell r="J1065" t="str">
            <v>pc</v>
          </cell>
        </row>
        <row r="1066">
          <cell r="B1066" t="str">
            <v>BT400-15</v>
          </cell>
          <cell r="C1066" t="str">
            <v>Brass Tap ( 400g )</v>
          </cell>
          <cell r="J1066" t="str">
            <v>pc</v>
          </cell>
        </row>
        <row r="1067">
          <cell r="B1067" t="str">
            <v>BU-20</v>
          </cell>
          <cell r="C1067" t="str">
            <v>Brass Union  (20mm x 1/2")</v>
          </cell>
          <cell r="J1067" t="str">
            <v>pc</v>
          </cell>
        </row>
        <row r="1068">
          <cell r="B1068" t="str">
            <v>BRT-15</v>
          </cell>
          <cell r="C1068" t="str">
            <v>Regulating Tee (1/2")</v>
          </cell>
          <cell r="J1068" t="str">
            <v>pc</v>
          </cell>
        </row>
        <row r="1071">
          <cell r="B1071" t="str">
            <v>I-01</v>
          </cell>
          <cell r="C1071" t="str">
            <v>Earth Work in Excavation</v>
          </cell>
          <cell r="I1071">
            <v>0</v>
          </cell>
          <cell r="J1071" t="str">
            <v>m3</v>
          </cell>
        </row>
        <row r="1075">
          <cell r="B1075" t="str">
            <v>I-02</v>
          </cell>
          <cell r="C1075" t="str">
            <v>Earth Work in Backfilling</v>
          </cell>
          <cell r="I1075">
            <v>0</v>
          </cell>
          <cell r="J1075" t="str">
            <v>m3</v>
          </cell>
        </row>
        <row r="1079">
          <cell r="B1079" t="str">
            <v>I-03</v>
          </cell>
          <cell r="C1079" t="str">
            <v>Dry Stone Soling</v>
          </cell>
          <cell r="I1079">
            <v>0</v>
          </cell>
          <cell r="J1079" t="str">
            <v>m3</v>
          </cell>
        </row>
        <row r="1083">
          <cell r="B1083" t="str">
            <v>I-04</v>
          </cell>
          <cell r="C1083" t="str">
            <v>P.C.C. (1:2:4)</v>
          </cell>
          <cell r="I1083">
            <v>0</v>
          </cell>
          <cell r="J1083" t="str">
            <v>m3</v>
          </cell>
        </row>
        <row r="1087">
          <cell r="B1087" t="str">
            <v>I-05</v>
          </cell>
          <cell r="C1087" t="str">
            <v>P.C.C. for Pre-cast Slab (1:2:4)</v>
          </cell>
          <cell r="I1087">
            <v>0</v>
          </cell>
          <cell r="J1087" t="str">
            <v>m3</v>
          </cell>
        </row>
        <row r="1091">
          <cell r="B1091" t="str">
            <v>I-06</v>
          </cell>
          <cell r="C1091" t="str">
            <v>P.C.C. for R.C.C. (1:2:4)</v>
          </cell>
          <cell r="I1091">
            <v>0</v>
          </cell>
          <cell r="J1091" t="str">
            <v>m3</v>
          </cell>
        </row>
        <row r="1095">
          <cell r="B1095" t="str">
            <v>I-07</v>
          </cell>
          <cell r="C1095" t="str">
            <v>Random Rubble Masonry (1:4)</v>
          </cell>
          <cell r="I1095">
            <v>0</v>
          </cell>
          <cell r="J1095" t="str">
            <v>m3</v>
          </cell>
        </row>
        <row r="1099">
          <cell r="B1099" t="str">
            <v>I-08</v>
          </cell>
          <cell r="C1099" t="str">
            <v>Random Rubble Masonry (1:6)</v>
          </cell>
          <cell r="I1099">
            <v>0</v>
          </cell>
          <cell r="J1099" t="str">
            <v>m3</v>
          </cell>
        </row>
        <row r="1103">
          <cell r="B1103" t="str">
            <v>I-09</v>
          </cell>
          <cell r="C1103" t="str">
            <v>Dry Stone masonry</v>
          </cell>
          <cell r="I1103">
            <v>0</v>
          </cell>
          <cell r="J1103" t="str">
            <v>m3</v>
          </cell>
        </row>
        <row r="1107">
          <cell r="B1107" t="str">
            <v>I-10</v>
          </cell>
          <cell r="C1107" t="str">
            <v>Form Work for P.C.C.</v>
          </cell>
          <cell r="I1107">
            <v>0</v>
          </cell>
          <cell r="J1107" t="str">
            <v>m2</v>
          </cell>
        </row>
        <row r="1111">
          <cell r="B1111" t="str">
            <v>I-11</v>
          </cell>
          <cell r="C1111" t="str">
            <v>12.5mm Cement Plaster (1:2)</v>
          </cell>
          <cell r="I1111">
            <v>0</v>
          </cell>
          <cell r="J1111" t="str">
            <v>m2</v>
          </cell>
        </row>
        <row r="1115">
          <cell r="B1115" t="str">
            <v>I-12</v>
          </cell>
          <cell r="C1115" t="str">
            <v>12.5mm Cement Plaster (1:3)</v>
          </cell>
          <cell r="I1115">
            <v>0</v>
          </cell>
          <cell r="J1115" t="str">
            <v>m2</v>
          </cell>
        </row>
        <row r="1119">
          <cell r="B1119" t="str">
            <v>I-13</v>
          </cell>
          <cell r="C1119" t="str">
            <v>12.5mm Cement Plaster (1:4)</v>
          </cell>
          <cell r="I1119">
            <v>0</v>
          </cell>
          <cell r="J1119" t="str">
            <v>m2</v>
          </cell>
        </row>
        <row r="1123">
          <cell r="B1123" t="str">
            <v>I-14</v>
          </cell>
          <cell r="C1123" t="str">
            <v>Cement Pointing (1:3)</v>
          </cell>
          <cell r="I1123">
            <v>0</v>
          </cell>
          <cell r="J1123" t="str">
            <v>m2</v>
          </cell>
        </row>
        <row r="1127">
          <cell r="B1127" t="str">
            <v>I-15</v>
          </cell>
          <cell r="C1127" t="str">
            <v>3mm Cement Punning</v>
          </cell>
          <cell r="I1127">
            <v>0</v>
          </cell>
          <cell r="J1127" t="str">
            <v>m2</v>
          </cell>
        </row>
        <row r="1131">
          <cell r="B1131" t="str">
            <v>I-16A</v>
          </cell>
          <cell r="C1131" t="str">
            <v>Bar Binding for R.C.C. (10mm bar)</v>
          </cell>
          <cell r="I1131">
            <v>0</v>
          </cell>
          <cell r="J1131" t="str">
            <v>Kg</v>
          </cell>
        </row>
        <row r="1135">
          <cell r="B1135" t="str">
            <v>I-16B</v>
          </cell>
          <cell r="C1135" t="str">
            <v>Bar Binding for R.C.C. (6mm bar)</v>
          </cell>
          <cell r="I1135">
            <v>0</v>
          </cell>
          <cell r="J1135" t="str">
            <v>Kg</v>
          </cell>
        </row>
        <row r="1139">
          <cell r="B1139" t="str">
            <v>I-17</v>
          </cell>
          <cell r="C1139" t="str">
            <v>Bar Binding for Ferro-Cement Works</v>
          </cell>
          <cell r="I1139">
            <v>0</v>
          </cell>
          <cell r="J1139" t="str">
            <v>m2</v>
          </cell>
        </row>
        <row r="1143">
          <cell r="B1143" t="str">
            <v>I-18</v>
          </cell>
          <cell r="C1143" t="str">
            <v>Formwork for Ferro-Cement Works</v>
          </cell>
          <cell r="I1143">
            <v>0</v>
          </cell>
          <cell r="J1143" t="str">
            <v>m2</v>
          </cell>
        </row>
        <row r="1147">
          <cell r="B1147" t="str">
            <v>I-19</v>
          </cell>
          <cell r="C1147" t="str">
            <v>Cement Plaster for Ferro-Cement Work (1:3)</v>
          </cell>
          <cell r="I1147">
            <v>0</v>
          </cell>
          <cell r="J1147" t="str">
            <v>m2</v>
          </cell>
        </row>
        <row r="1151">
          <cell r="B1151" t="str">
            <v>I-20</v>
          </cell>
          <cell r="C1151" t="str">
            <v>Formwork for Precast RCC Work</v>
          </cell>
          <cell r="I1151">
            <v>0</v>
          </cell>
          <cell r="J1151" t="str">
            <v>m2</v>
          </cell>
        </row>
        <row r="1155">
          <cell r="B1155" t="str">
            <v>I-21</v>
          </cell>
          <cell r="C1155" t="str">
            <v>Cement Painting</v>
          </cell>
          <cell r="I1155">
            <v>0</v>
          </cell>
          <cell r="J1155" t="str">
            <v>m2</v>
          </cell>
        </row>
        <row r="1159">
          <cell r="B1159" t="str">
            <v>I-22</v>
          </cell>
          <cell r="C1159" t="str">
            <v>Trench digging</v>
          </cell>
          <cell r="I1159">
            <v>0</v>
          </cell>
          <cell r="J1159" t="str">
            <v>m3</v>
          </cell>
        </row>
        <row r="1163">
          <cell r="B1163" t="str">
            <v>I-23</v>
          </cell>
          <cell r="C1163" t="str">
            <v>Trench backfilling</v>
          </cell>
          <cell r="I1163">
            <v>0</v>
          </cell>
          <cell r="J1163" t="str">
            <v>m3</v>
          </cell>
        </row>
        <row r="1167">
          <cell r="B1167" t="str">
            <v>I-24</v>
          </cell>
          <cell r="C1167" t="str">
            <v>Gabion Box (2mX1mX1m)</v>
          </cell>
          <cell r="I1167">
            <v>0</v>
          </cell>
          <cell r="J1167" t="str">
            <v>No</v>
          </cell>
        </row>
        <row r="1170">
          <cell r="B1170" t="str">
            <v>I-25</v>
          </cell>
          <cell r="C1170" t="str">
            <v>Gabion Box (3mX1mX1m)</v>
          </cell>
          <cell r="I1170">
            <v>0</v>
          </cell>
          <cell r="J1170" t="str">
            <v>No</v>
          </cell>
        </row>
        <row r="1174">
          <cell r="B1174" t="str">
            <v>M-16</v>
          </cell>
          <cell r="C1174" t="str">
            <v>Angle Pole</v>
          </cell>
          <cell r="J1174" t="str">
            <v>pc</v>
          </cell>
        </row>
        <row r="1175">
          <cell r="B1175" t="str">
            <v>M-17</v>
          </cell>
          <cell r="C1175" t="str">
            <v>Angle Pole for Gate</v>
          </cell>
          <cell r="J1175" t="str">
            <v>pc</v>
          </cell>
        </row>
        <row r="1176">
          <cell r="B1176" t="str">
            <v>M-18</v>
          </cell>
          <cell r="C1176" t="str">
            <v>Corner Angle Pole</v>
          </cell>
          <cell r="J1176" t="str">
            <v>pc</v>
          </cell>
        </row>
        <row r="1177">
          <cell r="B1177" t="str">
            <v>M-19</v>
          </cell>
          <cell r="C1177" t="str">
            <v>Bracing Angle Pole</v>
          </cell>
          <cell r="J1177" t="str">
            <v>pc</v>
          </cell>
        </row>
        <row r="1178">
          <cell r="B1178" t="str">
            <v>M-20</v>
          </cell>
          <cell r="C1178" t="str">
            <v>Polythene Sheet</v>
          </cell>
          <cell r="J1178" t="str">
            <v>m</v>
          </cell>
        </row>
        <row r="1179">
          <cell r="B1179" t="str">
            <v>M-21</v>
          </cell>
          <cell r="C1179" t="str">
            <v>Barbed Wire</v>
          </cell>
          <cell r="J1179" t="str">
            <v>kg</v>
          </cell>
        </row>
        <row r="1180">
          <cell r="B1180" t="str">
            <v>M-22</v>
          </cell>
          <cell r="C1180" t="str">
            <v>Fencing Post</v>
          </cell>
          <cell r="J1180" t="str">
            <v>pc</v>
          </cell>
        </row>
        <row r="1181">
          <cell r="B1181" t="str">
            <v>M-23</v>
          </cell>
          <cell r="C1181" t="str">
            <v>Angle Gate</v>
          </cell>
          <cell r="J1181" t="str">
            <v>pc</v>
          </cell>
        </row>
        <row r="1182">
          <cell r="B1182" t="str">
            <v>M-24</v>
          </cell>
          <cell r="C1182" t="str">
            <v>4" Hinges</v>
          </cell>
          <cell r="J1182" t="str">
            <v>pc</v>
          </cell>
        </row>
        <row r="1183">
          <cell r="B1183" t="str">
            <v>M-25</v>
          </cell>
          <cell r="C1183" t="str">
            <v>10" Aldrop</v>
          </cell>
          <cell r="J1183" t="str">
            <v>pc</v>
          </cell>
        </row>
        <row r="1184">
          <cell r="B1184" t="str">
            <v>M-26</v>
          </cell>
          <cell r="C1184" t="str">
            <v>Gate Lock Key</v>
          </cell>
          <cell r="J1184" t="str">
            <v>pc</v>
          </cell>
        </row>
        <row r="1185">
          <cell r="B1185" t="str">
            <v>M-27</v>
          </cell>
          <cell r="C1185" t="str">
            <v>Nut with bolt (8mm dia)</v>
          </cell>
          <cell r="J1185" t="str">
            <v>pc</v>
          </cell>
        </row>
        <row r="1186">
          <cell r="B1186" t="str">
            <v>M-28</v>
          </cell>
          <cell r="C1186" t="str">
            <v>Screws</v>
          </cell>
          <cell r="J1186" t="str">
            <v>pc</v>
          </cell>
        </row>
        <row r="1187">
          <cell r="B1187" t="str">
            <v>M-29</v>
          </cell>
          <cell r="C1187" t="str">
            <v>GI sheet Plain (3'x7')</v>
          </cell>
          <cell r="J1187" t="str">
            <v>pc</v>
          </cell>
        </row>
        <row r="1188">
          <cell r="B1188" t="str">
            <v>M-30</v>
          </cell>
          <cell r="C1188" t="str">
            <v>Manhole Cover (Circular)</v>
          </cell>
          <cell r="J1188" t="str">
            <v>pc</v>
          </cell>
        </row>
        <row r="1189">
          <cell r="B1189" t="str">
            <v>M-31</v>
          </cell>
          <cell r="C1189" t="str">
            <v>Manhole Cover (Square)</v>
          </cell>
          <cell r="J1189" t="str">
            <v>pc</v>
          </cell>
        </row>
        <row r="1190">
          <cell r="B1190" t="str">
            <v>M-32</v>
          </cell>
          <cell r="C1190" t="str">
            <v>Manhole Cover (Rectangle)</v>
          </cell>
          <cell r="J1190" t="str">
            <v>pc</v>
          </cell>
        </row>
        <row r="1191">
          <cell r="B1191" t="str">
            <v>M-33</v>
          </cell>
          <cell r="C1191" t="str">
            <v>Small Slab Frame (55x55)</v>
          </cell>
          <cell r="J1191" t="str">
            <v>pc</v>
          </cell>
        </row>
        <row r="1192">
          <cell r="B1192" t="str">
            <v>M-34</v>
          </cell>
          <cell r="C1192" t="str">
            <v>Big Slab Frame (75x75)</v>
          </cell>
          <cell r="J1192" t="str">
            <v>pc</v>
          </cell>
        </row>
        <row r="1193">
          <cell r="B1193" t="str">
            <v>M-36</v>
          </cell>
          <cell r="C1193" t="str">
            <v>Lime</v>
          </cell>
          <cell r="J1193" t="str">
            <v>kg</v>
          </cell>
        </row>
        <row r="1194">
          <cell r="B1194" t="str">
            <v>M-41</v>
          </cell>
          <cell r="C1194" t="str">
            <v>Suspension Cable (8mm)</v>
          </cell>
          <cell r="J1194" t="str">
            <v>m</v>
          </cell>
        </row>
        <row r="1195">
          <cell r="B1195" t="str">
            <v>M-42</v>
          </cell>
          <cell r="C1195" t="str">
            <v>Suspension Cable (13mm)</v>
          </cell>
          <cell r="J1195" t="str">
            <v>m</v>
          </cell>
        </row>
        <row r="1196">
          <cell r="B1196" t="str">
            <v>M-43</v>
          </cell>
          <cell r="C1196" t="str">
            <v>Bulldog Grips (8mm)</v>
          </cell>
          <cell r="J1196" t="str">
            <v>pc</v>
          </cell>
        </row>
        <row r="1197">
          <cell r="B1197" t="str">
            <v>M-44</v>
          </cell>
          <cell r="C1197" t="str">
            <v>Bulldog Grips (13mm)</v>
          </cell>
          <cell r="J1197" t="str">
            <v>pc</v>
          </cell>
        </row>
        <row r="1198">
          <cell r="B1198" t="str">
            <v>M-45</v>
          </cell>
          <cell r="C1198" t="str">
            <v>PE Tank 200 ltrs.</v>
          </cell>
          <cell r="J1198" t="str">
            <v>pc</v>
          </cell>
        </row>
        <row r="1199">
          <cell r="B1199" t="str">
            <v>M-46</v>
          </cell>
          <cell r="C1199" t="str">
            <v>Tapstand Grid</v>
          </cell>
          <cell r="J1199" t="str">
            <v>pc</v>
          </cell>
        </row>
        <row r="1200">
          <cell r="B1200" t="str">
            <v>M-47</v>
          </cell>
          <cell r="C1200" t="str">
            <v>Anchor Bolt (1/2")</v>
          </cell>
          <cell r="J1200" t="str">
            <v>pc</v>
          </cell>
        </row>
        <row r="1201">
          <cell r="B1201" t="str">
            <v>M-48</v>
          </cell>
          <cell r="C1201" t="str">
            <v>Anchor Bolt (1")</v>
          </cell>
          <cell r="J1201" t="str">
            <v>pc</v>
          </cell>
        </row>
        <row r="1202">
          <cell r="B1202" t="str">
            <v>M-49</v>
          </cell>
          <cell r="C1202" t="str">
            <v>Anchor Bolt (1 1/2")</v>
          </cell>
          <cell r="J1202" t="str">
            <v>pc</v>
          </cell>
        </row>
        <row r="1203">
          <cell r="B1203" t="str">
            <v>M-50</v>
          </cell>
          <cell r="C1203" t="str">
            <v>Anchor Bolt (2")</v>
          </cell>
          <cell r="J1203" t="str">
            <v>pc</v>
          </cell>
        </row>
        <row r="1204">
          <cell r="B1204" t="str">
            <v>M-01</v>
          </cell>
          <cell r="C1204" t="str">
            <v>Cement</v>
          </cell>
          <cell r="I1204">
            <v>0</v>
          </cell>
          <cell r="J1204" t="str">
            <v>bag</v>
          </cell>
        </row>
        <row r="1205">
          <cell r="B1205" t="str">
            <v>M-02</v>
          </cell>
          <cell r="C1205" t="str">
            <v>Sand</v>
          </cell>
          <cell r="I1205">
            <v>0</v>
          </cell>
          <cell r="J1205" t="str">
            <v>m3</v>
          </cell>
        </row>
        <row r="1206">
          <cell r="B1206" t="str">
            <v>M-03</v>
          </cell>
          <cell r="C1206" t="str">
            <v>Block Stone</v>
          </cell>
          <cell r="I1206">
            <v>0</v>
          </cell>
          <cell r="J1206" t="str">
            <v>m3</v>
          </cell>
        </row>
        <row r="1207">
          <cell r="B1207" t="str">
            <v>M-04</v>
          </cell>
          <cell r="C1207" t="str">
            <v>Bond Stone</v>
          </cell>
          <cell r="I1207">
            <v>0</v>
          </cell>
          <cell r="J1207" t="str">
            <v>m3</v>
          </cell>
        </row>
        <row r="1208">
          <cell r="B1208" t="str">
            <v>M-05</v>
          </cell>
          <cell r="C1208" t="str">
            <v>Aggregate (5-10mm)</v>
          </cell>
          <cell r="I1208">
            <v>0</v>
          </cell>
          <cell r="J1208" t="str">
            <v>m3</v>
          </cell>
        </row>
        <row r="1209">
          <cell r="B1209" t="str">
            <v>M-06</v>
          </cell>
          <cell r="C1209" t="str">
            <v>Aggregate (10-20mm)</v>
          </cell>
          <cell r="I1209">
            <v>0</v>
          </cell>
          <cell r="J1209" t="str">
            <v>m3</v>
          </cell>
        </row>
        <row r="1210">
          <cell r="B1210" t="str">
            <v>M-07</v>
          </cell>
          <cell r="C1210" t="str">
            <v>Aggregate (20-40mm)</v>
          </cell>
          <cell r="I1210">
            <v>0</v>
          </cell>
          <cell r="J1210" t="str">
            <v>m3</v>
          </cell>
        </row>
        <row r="1211">
          <cell r="B1211" t="str">
            <v>M-08</v>
          </cell>
          <cell r="C1211" t="str">
            <v>Project Information Board</v>
          </cell>
          <cell r="J1211" t="str">
            <v>set</v>
          </cell>
        </row>
        <row r="1212">
          <cell r="B1212" t="str">
            <v>M-09</v>
          </cell>
          <cell r="C1212" t="str">
            <v>Reinforcement ( 6mm)</v>
          </cell>
          <cell r="I1212">
            <v>0</v>
          </cell>
          <cell r="J1212" t="str">
            <v>kg</v>
          </cell>
        </row>
        <row r="1213">
          <cell r="B1213" t="str">
            <v>M-10</v>
          </cell>
          <cell r="C1213" t="str">
            <v>Reinforcement ( 8mm)</v>
          </cell>
          <cell r="J1213" t="str">
            <v>kg</v>
          </cell>
        </row>
        <row r="1214">
          <cell r="B1214" t="str">
            <v>M-11</v>
          </cell>
          <cell r="C1214" t="str">
            <v>Reinforcement (10mm)</v>
          </cell>
          <cell r="I1214">
            <v>0</v>
          </cell>
          <cell r="J1214" t="str">
            <v>kg</v>
          </cell>
        </row>
        <row r="1215">
          <cell r="B1215" t="str">
            <v>M-12</v>
          </cell>
          <cell r="C1215" t="str">
            <v>Binding wire</v>
          </cell>
          <cell r="I1215">
            <v>0</v>
          </cell>
          <cell r="J1215" t="str">
            <v>kg</v>
          </cell>
        </row>
        <row r="1216">
          <cell r="B1216" t="str">
            <v>M-13</v>
          </cell>
          <cell r="C1216" t="str">
            <v>Plain wire (3.5 mm dia)</v>
          </cell>
          <cell r="I1216">
            <v>0</v>
          </cell>
          <cell r="J1216" t="str">
            <v>kg</v>
          </cell>
        </row>
        <row r="1217">
          <cell r="B1217" t="str">
            <v>M-14</v>
          </cell>
          <cell r="C1217" t="str">
            <v>Chicken wire mesh (3 Ft wide)</v>
          </cell>
          <cell r="I1217">
            <v>0</v>
          </cell>
          <cell r="J1217" t="str">
            <v>m</v>
          </cell>
        </row>
        <row r="1218">
          <cell r="B1218" t="str">
            <v>M-15</v>
          </cell>
          <cell r="C1218" t="str">
            <v>Bamboo</v>
          </cell>
          <cell r="I1218">
            <v>0</v>
          </cell>
          <cell r="J1218" t="str">
            <v>pc</v>
          </cell>
        </row>
        <row r="1219">
          <cell r="B1219" t="str">
            <v>M-35</v>
          </cell>
          <cell r="C1219" t="str">
            <v>Cement Paint</v>
          </cell>
          <cell r="I1219">
            <v>0</v>
          </cell>
          <cell r="J1219" t="str">
            <v>kg</v>
          </cell>
        </row>
        <row r="1220">
          <cell r="B1220" t="str">
            <v>M-37</v>
          </cell>
          <cell r="C1220" t="str">
            <v>GI Selwage Wire (8g)</v>
          </cell>
          <cell r="J1220" t="str">
            <v>kg</v>
          </cell>
        </row>
        <row r="1221">
          <cell r="B1221" t="str">
            <v>M-38</v>
          </cell>
          <cell r="C1221" t="str">
            <v>GI Mesh Wire (10g)</v>
          </cell>
          <cell r="J1221" t="str">
            <v>kg</v>
          </cell>
        </row>
        <row r="1222">
          <cell r="B1222" t="str">
            <v>M-39</v>
          </cell>
          <cell r="C1222" t="str">
            <v>Wood for Formwork</v>
          </cell>
          <cell r="I1222">
            <v>0</v>
          </cell>
          <cell r="J1222" t="str">
            <v>m3</v>
          </cell>
        </row>
        <row r="1223">
          <cell r="B1223" t="str">
            <v>M-40</v>
          </cell>
          <cell r="C1223" t="str">
            <v>Nails</v>
          </cell>
          <cell r="I1223">
            <v>0</v>
          </cell>
          <cell r="J1223" t="str">
            <v>kg</v>
          </cell>
        </row>
        <row r="1224">
          <cell r="B1224" t="str">
            <v>L-1</v>
          </cell>
          <cell r="C1224" t="str">
            <v>Skilled Labour</v>
          </cell>
          <cell r="I1224">
            <v>0</v>
          </cell>
          <cell r="J1224" t="str">
            <v>md</v>
          </cell>
        </row>
        <row r="1225">
          <cell r="B1225" t="str">
            <v>L-2</v>
          </cell>
          <cell r="C1225" t="str">
            <v>Unskilled Labour</v>
          </cell>
          <cell r="I1225">
            <v>0</v>
          </cell>
          <cell r="J1225" t="str">
            <v>md</v>
          </cell>
        </row>
        <row r="1226">
          <cell r="C1226" t="str">
            <v>FITTINGS</v>
          </cell>
        </row>
        <row r="1227">
          <cell r="C1227" t="str">
            <v>Outlet Pipe Dia</v>
          </cell>
          <cell r="D1227">
            <v>0</v>
          </cell>
        </row>
        <row r="1228">
          <cell r="C1228" t="str">
            <v>Washout Pipe Dia</v>
          </cell>
          <cell r="D1228">
            <v>0</v>
          </cell>
        </row>
        <row r="1229">
          <cell r="B1229" t="str">
            <v>HP2.5-75</v>
          </cell>
          <cell r="C1229" t="str">
            <v>HDPE Pipe(75mm) - 2.5 kgf/cm2</v>
          </cell>
          <cell r="J1229" t="str">
            <v>m</v>
          </cell>
        </row>
        <row r="1230">
          <cell r="B1230" t="str">
            <v>GPM-15</v>
          </cell>
          <cell r="C1230" t="str">
            <v>G.I. Pipe (1/2") - MC</v>
          </cell>
          <cell r="J1230" t="str">
            <v>m</v>
          </cell>
        </row>
        <row r="1231">
          <cell r="B1231" t="str">
            <v>GEL-15</v>
          </cell>
          <cell r="C1231" t="str">
            <v xml:space="preserve">G.I. Elbow (1/2") </v>
          </cell>
          <cell r="J1231" t="str">
            <v>pc</v>
          </cell>
        </row>
        <row r="1232">
          <cell r="B1232" t="str">
            <v>GSO-15</v>
          </cell>
          <cell r="C1232" t="str">
            <v>G.I. Socket (1/2")</v>
          </cell>
          <cell r="J1232" t="str">
            <v>pc</v>
          </cell>
        </row>
        <row r="1233">
          <cell r="B1233" t="str">
            <v>BT400-15</v>
          </cell>
          <cell r="C1233" t="str">
            <v>Brass Tap ( 400g )</v>
          </cell>
          <cell r="J1233" t="str">
            <v>pc</v>
          </cell>
        </row>
        <row r="1234">
          <cell r="B1234" t="str">
            <v>BU-20</v>
          </cell>
          <cell r="C1234" t="str">
            <v>Brass Union  (20mm x 1/2")</v>
          </cell>
          <cell r="J1234" t="str">
            <v>pc</v>
          </cell>
        </row>
        <row r="1235">
          <cell r="B1235" t="str">
            <v>BRT-15</v>
          </cell>
          <cell r="C1235" t="str">
            <v>Regulating Tee (1/2")</v>
          </cell>
          <cell r="J1235" t="str">
            <v>pc</v>
          </cell>
        </row>
        <row r="1238">
          <cell r="B1238" t="str">
            <v>I-01</v>
          </cell>
          <cell r="C1238" t="str">
            <v>Earth Work in Excavation</v>
          </cell>
          <cell r="I1238">
            <v>0</v>
          </cell>
          <cell r="J1238" t="str">
            <v>m3</v>
          </cell>
        </row>
        <row r="1242">
          <cell r="B1242" t="str">
            <v>I-02</v>
          </cell>
          <cell r="C1242" t="str">
            <v>Earth Work in Backfilling</v>
          </cell>
          <cell r="I1242">
            <v>0</v>
          </cell>
          <cell r="J1242" t="str">
            <v>m3</v>
          </cell>
        </row>
        <row r="1246">
          <cell r="B1246" t="str">
            <v>I-03</v>
          </cell>
          <cell r="C1246" t="str">
            <v>Dry Stone Soling</v>
          </cell>
          <cell r="I1246">
            <v>0</v>
          </cell>
          <cell r="J1246" t="str">
            <v>m3</v>
          </cell>
        </row>
        <row r="1250">
          <cell r="B1250" t="str">
            <v>I-04</v>
          </cell>
          <cell r="C1250" t="str">
            <v>P.C.C. (1:2:4)</v>
          </cell>
          <cell r="I1250">
            <v>0</v>
          </cell>
          <cell r="J1250" t="str">
            <v>m3</v>
          </cell>
        </row>
        <row r="1254">
          <cell r="B1254" t="str">
            <v>I-05</v>
          </cell>
          <cell r="C1254" t="str">
            <v>P.C.C. for Pre-cast Slab (1:2:4)</v>
          </cell>
          <cell r="I1254">
            <v>0</v>
          </cell>
          <cell r="J1254" t="str">
            <v>m3</v>
          </cell>
        </row>
        <row r="1258">
          <cell r="B1258" t="str">
            <v>I-06</v>
          </cell>
          <cell r="C1258" t="str">
            <v>P.C.C. for R.C.C. (1:2:4)</v>
          </cell>
          <cell r="I1258">
            <v>0</v>
          </cell>
          <cell r="J1258" t="str">
            <v>m3</v>
          </cell>
        </row>
        <row r="1262">
          <cell r="B1262" t="str">
            <v>I-07</v>
          </cell>
          <cell r="C1262" t="str">
            <v>Random Rubble Masonry (1:4)</v>
          </cell>
          <cell r="I1262">
            <v>0</v>
          </cell>
          <cell r="J1262" t="str">
            <v>m3</v>
          </cell>
        </row>
        <row r="1266">
          <cell r="B1266" t="str">
            <v>I-08</v>
          </cell>
          <cell r="C1266" t="str">
            <v>Random Rubble Masonry (1:6)</v>
          </cell>
          <cell r="I1266">
            <v>0</v>
          </cell>
          <cell r="J1266" t="str">
            <v>m3</v>
          </cell>
        </row>
        <row r="1270">
          <cell r="B1270" t="str">
            <v>I-09</v>
          </cell>
          <cell r="C1270" t="str">
            <v>Dry Stone masonry</v>
          </cell>
          <cell r="I1270">
            <v>0</v>
          </cell>
          <cell r="J1270" t="str">
            <v>m3</v>
          </cell>
        </row>
        <row r="1274">
          <cell r="B1274" t="str">
            <v>I-10</v>
          </cell>
          <cell r="C1274" t="str">
            <v>Form Work for P.C.C.</v>
          </cell>
          <cell r="I1274">
            <v>0</v>
          </cell>
          <cell r="J1274" t="str">
            <v>m2</v>
          </cell>
        </row>
        <row r="1278">
          <cell r="B1278" t="str">
            <v>I-11</v>
          </cell>
          <cell r="C1278" t="str">
            <v>12.5mm Cement Plaster (1:2)</v>
          </cell>
          <cell r="I1278">
            <v>0</v>
          </cell>
          <cell r="J1278" t="str">
            <v>m2</v>
          </cell>
        </row>
        <row r="1282">
          <cell r="B1282" t="str">
            <v>I-12</v>
          </cell>
          <cell r="C1282" t="str">
            <v>12.5mm Cement Plaster (1:3)</v>
          </cell>
          <cell r="I1282">
            <v>0</v>
          </cell>
          <cell r="J1282" t="str">
            <v>m2</v>
          </cell>
        </row>
        <row r="1286">
          <cell r="B1286" t="str">
            <v>I-13</v>
          </cell>
          <cell r="C1286" t="str">
            <v>12.5mm Cement Plaster (1:4)</v>
          </cell>
          <cell r="I1286">
            <v>0</v>
          </cell>
          <cell r="J1286" t="str">
            <v>m2</v>
          </cell>
        </row>
        <row r="1290">
          <cell r="B1290" t="str">
            <v>I-14</v>
          </cell>
          <cell r="C1290" t="str">
            <v>Cement Pointing (1:3)</v>
          </cell>
          <cell r="I1290">
            <v>0</v>
          </cell>
          <cell r="J1290" t="str">
            <v>m2</v>
          </cell>
        </row>
        <row r="1294">
          <cell r="B1294" t="str">
            <v>I-15</v>
          </cell>
          <cell r="C1294" t="str">
            <v>3mm Cement Punning</v>
          </cell>
          <cell r="I1294">
            <v>0</v>
          </cell>
          <cell r="J1294" t="str">
            <v>m2</v>
          </cell>
        </row>
        <row r="1298">
          <cell r="B1298" t="str">
            <v>I-16A</v>
          </cell>
          <cell r="C1298" t="str">
            <v>Bar Binding for R.C.C. (10mm bar)</v>
          </cell>
          <cell r="I1298">
            <v>0</v>
          </cell>
          <cell r="J1298" t="str">
            <v>Kg</v>
          </cell>
        </row>
        <row r="1302">
          <cell r="B1302" t="str">
            <v>I-16B</v>
          </cell>
          <cell r="C1302" t="str">
            <v>Bar Binding for R.C.C. (6mm bar)</v>
          </cell>
          <cell r="I1302">
            <v>0</v>
          </cell>
          <cell r="J1302" t="str">
            <v>Kg</v>
          </cell>
        </row>
        <row r="1306">
          <cell r="B1306" t="str">
            <v>I-17</v>
          </cell>
          <cell r="C1306" t="str">
            <v>Bar Binding for Ferro-Cement Works</v>
          </cell>
          <cell r="I1306">
            <v>0</v>
          </cell>
          <cell r="J1306" t="str">
            <v>m2</v>
          </cell>
        </row>
        <row r="1310">
          <cell r="B1310" t="str">
            <v>I-18</v>
          </cell>
          <cell r="C1310" t="str">
            <v>Formwork for Ferro-Cement Works</v>
          </cell>
          <cell r="I1310">
            <v>0</v>
          </cell>
          <cell r="J1310" t="str">
            <v>m2</v>
          </cell>
        </row>
        <row r="1314">
          <cell r="B1314" t="str">
            <v>I-19</v>
          </cell>
          <cell r="C1314" t="str">
            <v>Cement Plaster for Ferro-Cement Work (1:3)</v>
          </cell>
          <cell r="I1314">
            <v>0</v>
          </cell>
          <cell r="J1314" t="str">
            <v>m2</v>
          </cell>
        </row>
        <row r="1318">
          <cell r="B1318" t="str">
            <v>I-20</v>
          </cell>
          <cell r="C1318" t="str">
            <v>Formwork for Precast RCC Work</v>
          </cell>
          <cell r="I1318">
            <v>0</v>
          </cell>
          <cell r="J1318" t="str">
            <v>m2</v>
          </cell>
        </row>
        <row r="1322">
          <cell r="B1322" t="str">
            <v>I-21</v>
          </cell>
          <cell r="C1322" t="str">
            <v>Cement Painting</v>
          </cell>
          <cell r="I1322">
            <v>0</v>
          </cell>
          <cell r="J1322" t="str">
            <v>m2</v>
          </cell>
        </row>
        <row r="1326">
          <cell r="B1326" t="str">
            <v>I-22</v>
          </cell>
          <cell r="C1326" t="str">
            <v>Trench digging</v>
          </cell>
          <cell r="I1326">
            <v>0</v>
          </cell>
          <cell r="J1326" t="str">
            <v>m3</v>
          </cell>
        </row>
        <row r="1330">
          <cell r="B1330" t="str">
            <v>I-23</v>
          </cell>
          <cell r="C1330" t="str">
            <v>Trench backfilling</v>
          </cell>
          <cell r="I1330">
            <v>0</v>
          </cell>
          <cell r="J1330" t="str">
            <v>m3</v>
          </cell>
        </row>
        <row r="1334">
          <cell r="B1334" t="str">
            <v>I-24</v>
          </cell>
          <cell r="C1334" t="str">
            <v>Gabion Box (2mX1mX1m)</v>
          </cell>
          <cell r="I1334">
            <v>0</v>
          </cell>
          <cell r="J1334" t="str">
            <v>No</v>
          </cell>
        </row>
        <row r="1337">
          <cell r="B1337" t="str">
            <v>I-25</v>
          </cell>
          <cell r="C1337" t="str">
            <v>Gabion Box (3mX1mX1m)</v>
          </cell>
          <cell r="I1337">
            <v>0</v>
          </cell>
          <cell r="J1337" t="str">
            <v>No</v>
          </cell>
        </row>
        <row r="1341">
          <cell r="B1341" t="str">
            <v>M-16</v>
          </cell>
          <cell r="C1341" t="str">
            <v>Angle Pole</v>
          </cell>
          <cell r="J1341" t="str">
            <v>pc</v>
          </cell>
        </row>
        <row r="1342">
          <cell r="B1342" t="str">
            <v>M-17</v>
          </cell>
          <cell r="C1342" t="str">
            <v>Angle Pole for Gate</v>
          </cell>
          <cell r="J1342" t="str">
            <v>pc</v>
          </cell>
        </row>
        <row r="1343">
          <cell r="B1343" t="str">
            <v>M-18</v>
          </cell>
          <cell r="C1343" t="str">
            <v>Corner Angle Pole</v>
          </cell>
          <cell r="J1343" t="str">
            <v>pc</v>
          </cell>
        </row>
        <row r="1344">
          <cell r="B1344" t="str">
            <v>M-19</v>
          </cell>
          <cell r="C1344" t="str">
            <v>Bracing Angle Pole</v>
          </cell>
          <cell r="J1344" t="str">
            <v>pc</v>
          </cell>
        </row>
        <row r="1345">
          <cell r="B1345" t="str">
            <v>M-20</v>
          </cell>
          <cell r="C1345" t="str">
            <v>Polythene Sheet</v>
          </cell>
          <cell r="J1345" t="str">
            <v>m</v>
          </cell>
        </row>
        <row r="1346">
          <cell r="B1346" t="str">
            <v>M-21</v>
          </cell>
          <cell r="C1346" t="str">
            <v>Barbed Wire</v>
          </cell>
          <cell r="J1346" t="str">
            <v>kg</v>
          </cell>
        </row>
        <row r="1347">
          <cell r="B1347" t="str">
            <v>M-22</v>
          </cell>
          <cell r="C1347" t="str">
            <v>Fencing Post</v>
          </cell>
          <cell r="J1347" t="str">
            <v>pc</v>
          </cell>
        </row>
        <row r="1348">
          <cell r="B1348" t="str">
            <v>M-23</v>
          </cell>
          <cell r="C1348" t="str">
            <v>Angle Gate</v>
          </cell>
          <cell r="J1348" t="str">
            <v>pc</v>
          </cell>
        </row>
        <row r="1349">
          <cell r="B1349" t="str">
            <v>M-24</v>
          </cell>
          <cell r="C1349" t="str">
            <v>4" Hinges</v>
          </cell>
          <cell r="J1349" t="str">
            <v>pc</v>
          </cell>
        </row>
        <row r="1350">
          <cell r="B1350" t="str">
            <v>M-25</v>
          </cell>
          <cell r="C1350" t="str">
            <v>10" Aldrop</v>
          </cell>
          <cell r="J1350" t="str">
            <v>pc</v>
          </cell>
        </row>
        <row r="1351">
          <cell r="B1351" t="str">
            <v>M-26</v>
          </cell>
          <cell r="C1351" t="str">
            <v>Gate Lock Key</v>
          </cell>
          <cell r="J1351" t="str">
            <v>pc</v>
          </cell>
        </row>
        <row r="1352">
          <cell r="B1352" t="str">
            <v>M-27</v>
          </cell>
          <cell r="C1352" t="str">
            <v>Nut with bolt (8mm dia)</v>
          </cell>
          <cell r="J1352" t="str">
            <v>pc</v>
          </cell>
        </row>
        <row r="1353">
          <cell r="B1353" t="str">
            <v>M-28</v>
          </cell>
          <cell r="C1353" t="str">
            <v>Screws</v>
          </cell>
          <cell r="J1353" t="str">
            <v>pc</v>
          </cell>
        </row>
        <row r="1354">
          <cell r="B1354" t="str">
            <v>M-29</v>
          </cell>
          <cell r="C1354" t="str">
            <v>GI sheet Plain (3'x7')</v>
          </cell>
          <cell r="J1354" t="str">
            <v>pc</v>
          </cell>
        </row>
        <row r="1355">
          <cell r="B1355" t="str">
            <v>M-30</v>
          </cell>
          <cell r="C1355" t="str">
            <v>Manhole Cover (Circular)</v>
          </cell>
          <cell r="J1355" t="str">
            <v>pc</v>
          </cell>
        </row>
        <row r="1356">
          <cell r="B1356" t="str">
            <v>M-31</v>
          </cell>
          <cell r="C1356" t="str">
            <v>Manhole Cover (Square)</v>
          </cell>
          <cell r="J1356" t="str">
            <v>pc</v>
          </cell>
        </row>
        <row r="1357">
          <cell r="B1357" t="str">
            <v>M-32</v>
          </cell>
          <cell r="C1357" t="str">
            <v>Manhole Cover (Rectangle)</v>
          </cell>
          <cell r="J1357" t="str">
            <v>pc</v>
          </cell>
        </row>
        <row r="1358">
          <cell r="B1358" t="str">
            <v>M-33</v>
          </cell>
          <cell r="C1358" t="str">
            <v>Small Slab Frame (55x55)</v>
          </cell>
          <cell r="J1358" t="str">
            <v>pc</v>
          </cell>
        </row>
        <row r="1359">
          <cell r="B1359" t="str">
            <v>M-34</v>
          </cell>
          <cell r="C1359" t="str">
            <v>Big Slab Frame (75x75)</v>
          </cell>
          <cell r="J1359" t="str">
            <v>pc</v>
          </cell>
        </row>
        <row r="1360">
          <cell r="B1360" t="str">
            <v>M-36</v>
          </cell>
          <cell r="C1360" t="str">
            <v>Lime</v>
          </cell>
          <cell r="J1360" t="str">
            <v>kg</v>
          </cell>
        </row>
        <row r="1361">
          <cell r="B1361" t="str">
            <v>M-41</v>
          </cell>
          <cell r="C1361" t="str">
            <v>Suspension Cable (8mm)</v>
          </cell>
          <cell r="J1361" t="str">
            <v>m</v>
          </cell>
        </row>
        <row r="1362">
          <cell r="B1362" t="str">
            <v>M-42</v>
          </cell>
          <cell r="C1362" t="str">
            <v>Suspension Cable (13mm)</v>
          </cell>
          <cell r="J1362" t="str">
            <v>m</v>
          </cell>
        </row>
        <row r="1363">
          <cell r="B1363" t="str">
            <v>M-43</v>
          </cell>
          <cell r="C1363" t="str">
            <v>Bulldog Grips (8mm)</v>
          </cell>
          <cell r="J1363" t="str">
            <v>pc</v>
          </cell>
        </row>
        <row r="1364">
          <cell r="B1364" t="str">
            <v>M-44</v>
          </cell>
          <cell r="C1364" t="str">
            <v>Bulldog Grips (13mm)</v>
          </cell>
          <cell r="J1364" t="str">
            <v>pc</v>
          </cell>
        </row>
        <row r="1365">
          <cell r="B1365" t="str">
            <v>M-45</v>
          </cell>
          <cell r="C1365" t="str">
            <v>PE Tank 200 ltrs.</v>
          </cell>
          <cell r="J1365" t="str">
            <v>pc</v>
          </cell>
        </row>
        <row r="1366">
          <cell r="B1366" t="str">
            <v>M-46</v>
          </cell>
          <cell r="C1366" t="str">
            <v>Tapstand Grid</v>
          </cell>
          <cell r="J1366" t="str">
            <v>pc</v>
          </cell>
        </row>
        <row r="1367">
          <cell r="B1367" t="str">
            <v>M-47</v>
          </cell>
          <cell r="C1367" t="str">
            <v>Anchor Bolt (1/2")</v>
          </cell>
          <cell r="J1367" t="str">
            <v>pc</v>
          </cell>
        </row>
        <row r="1368">
          <cell r="B1368" t="str">
            <v>M-48</v>
          </cell>
          <cell r="C1368" t="str">
            <v>Anchor Bolt (1")</v>
          </cell>
          <cell r="J1368" t="str">
            <v>pc</v>
          </cell>
        </row>
        <row r="1369">
          <cell r="B1369" t="str">
            <v>M-49</v>
          </cell>
          <cell r="C1369" t="str">
            <v>Anchor Bolt (1 1/2")</v>
          </cell>
          <cell r="J1369" t="str">
            <v>pc</v>
          </cell>
        </row>
        <row r="1370">
          <cell r="B1370" t="str">
            <v>M-50</v>
          </cell>
          <cell r="C1370" t="str">
            <v>Anchor Bolt (2")</v>
          </cell>
          <cell r="J1370" t="str">
            <v>pc</v>
          </cell>
        </row>
        <row r="1371">
          <cell r="B1371" t="str">
            <v>M-01</v>
          </cell>
          <cell r="C1371" t="str">
            <v>Cement</v>
          </cell>
          <cell r="I1371">
            <v>0</v>
          </cell>
          <cell r="J1371" t="str">
            <v>bag</v>
          </cell>
        </row>
        <row r="1372">
          <cell r="B1372" t="str">
            <v>M-02</v>
          </cell>
          <cell r="C1372" t="str">
            <v>Sand</v>
          </cell>
          <cell r="I1372">
            <v>0</v>
          </cell>
          <cell r="J1372" t="str">
            <v>m3</v>
          </cell>
        </row>
        <row r="1373">
          <cell r="B1373" t="str">
            <v>M-03</v>
          </cell>
          <cell r="C1373" t="str">
            <v>Block Stone</v>
          </cell>
          <cell r="I1373">
            <v>0</v>
          </cell>
          <cell r="J1373" t="str">
            <v>m3</v>
          </cell>
        </row>
        <row r="1374">
          <cell r="B1374" t="str">
            <v>M-04</v>
          </cell>
          <cell r="C1374" t="str">
            <v>Bond Stone</v>
          </cell>
          <cell r="I1374">
            <v>0</v>
          </cell>
          <cell r="J1374" t="str">
            <v>m3</v>
          </cell>
        </row>
        <row r="1375">
          <cell r="B1375" t="str">
            <v>M-05</v>
          </cell>
          <cell r="C1375" t="str">
            <v>Aggregate (5-10mm)</v>
          </cell>
          <cell r="I1375">
            <v>0</v>
          </cell>
          <cell r="J1375" t="str">
            <v>m3</v>
          </cell>
        </row>
        <row r="1376">
          <cell r="B1376" t="str">
            <v>M-06</v>
          </cell>
          <cell r="C1376" t="str">
            <v>Aggregate (10-20mm)</v>
          </cell>
          <cell r="I1376">
            <v>0</v>
          </cell>
          <cell r="J1376" t="str">
            <v>m3</v>
          </cell>
        </row>
        <row r="1377">
          <cell r="B1377" t="str">
            <v>M-07</v>
          </cell>
          <cell r="C1377" t="str">
            <v>Aggregate (20-40mm)</v>
          </cell>
          <cell r="I1377">
            <v>0</v>
          </cell>
          <cell r="J1377" t="str">
            <v>m3</v>
          </cell>
        </row>
        <row r="1378">
          <cell r="B1378" t="str">
            <v>M-08</v>
          </cell>
          <cell r="C1378" t="str">
            <v>Project Information Board</v>
          </cell>
          <cell r="J1378" t="str">
            <v>set</v>
          </cell>
        </row>
        <row r="1379">
          <cell r="B1379" t="str">
            <v>M-09</v>
          </cell>
          <cell r="C1379" t="str">
            <v>Reinforcement ( 6mm)</v>
          </cell>
          <cell r="I1379">
            <v>0</v>
          </cell>
          <cell r="J1379" t="str">
            <v>kg</v>
          </cell>
        </row>
        <row r="1380">
          <cell r="B1380" t="str">
            <v>M-10</v>
          </cell>
          <cell r="C1380" t="str">
            <v>Reinforcement ( 8mm)</v>
          </cell>
          <cell r="J1380" t="str">
            <v>kg</v>
          </cell>
        </row>
        <row r="1381">
          <cell r="B1381" t="str">
            <v>M-11</v>
          </cell>
          <cell r="C1381" t="str">
            <v>Reinforcement (10mm)</v>
          </cell>
          <cell r="I1381">
            <v>0</v>
          </cell>
          <cell r="J1381" t="str">
            <v>kg</v>
          </cell>
        </row>
        <row r="1382">
          <cell r="B1382" t="str">
            <v>M-12</v>
          </cell>
          <cell r="C1382" t="str">
            <v>Binding wire</v>
          </cell>
          <cell r="I1382">
            <v>0</v>
          </cell>
          <cell r="J1382" t="str">
            <v>kg</v>
          </cell>
        </row>
        <row r="1383">
          <cell r="B1383" t="str">
            <v>M-13</v>
          </cell>
          <cell r="C1383" t="str">
            <v>Plain wire (3.5 mm dia)</v>
          </cell>
          <cell r="I1383">
            <v>0</v>
          </cell>
          <cell r="J1383" t="str">
            <v>kg</v>
          </cell>
        </row>
        <row r="1384">
          <cell r="B1384" t="str">
            <v>M-14</v>
          </cell>
          <cell r="C1384" t="str">
            <v>Chicken wire mesh (3 Ft wide)</v>
          </cell>
          <cell r="I1384">
            <v>0</v>
          </cell>
          <cell r="J1384" t="str">
            <v>m</v>
          </cell>
        </row>
        <row r="1385">
          <cell r="B1385" t="str">
            <v>M-15</v>
          </cell>
          <cell r="C1385" t="str">
            <v>Bamboo</v>
          </cell>
          <cell r="I1385">
            <v>0</v>
          </cell>
          <cell r="J1385" t="str">
            <v>pc</v>
          </cell>
        </row>
        <row r="1386">
          <cell r="B1386" t="str">
            <v>M-35</v>
          </cell>
          <cell r="C1386" t="str">
            <v>Cement Paint</v>
          </cell>
          <cell r="I1386">
            <v>0</v>
          </cell>
          <cell r="J1386" t="str">
            <v>kg</v>
          </cell>
        </row>
        <row r="1387">
          <cell r="B1387" t="str">
            <v>M-37</v>
          </cell>
          <cell r="C1387" t="str">
            <v>GI Selwage Wire (8g)</v>
          </cell>
          <cell r="J1387" t="str">
            <v>kg</v>
          </cell>
        </row>
        <row r="1388">
          <cell r="B1388" t="str">
            <v>M-38</v>
          </cell>
          <cell r="C1388" t="str">
            <v>GI Mesh Wire (10g)</v>
          </cell>
          <cell r="J1388" t="str">
            <v>kg</v>
          </cell>
        </row>
        <row r="1389">
          <cell r="B1389" t="str">
            <v>M-39</v>
          </cell>
          <cell r="C1389" t="str">
            <v>Wood for Formwork</v>
          </cell>
          <cell r="I1389">
            <v>0</v>
          </cell>
          <cell r="J1389" t="str">
            <v>m3</v>
          </cell>
        </row>
        <row r="1390">
          <cell r="B1390" t="str">
            <v>M-40</v>
          </cell>
          <cell r="C1390" t="str">
            <v>Nails</v>
          </cell>
          <cell r="I1390">
            <v>0</v>
          </cell>
          <cell r="J1390" t="str">
            <v>kg</v>
          </cell>
        </row>
        <row r="1391">
          <cell r="B1391" t="str">
            <v>L-1</v>
          </cell>
          <cell r="C1391" t="str">
            <v>Skilled Labour</v>
          </cell>
          <cell r="I1391">
            <v>0</v>
          </cell>
          <cell r="J1391" t="str">
            <v>md</v>
          </cell>
        </row>
        <row r="1392">
          <cell r="B1392" t="str">
            <v>L-2</v>
          </cell>
          <cell r="C1392" t="str">
            <v>Unskilled Labour</v>
          </cell>
          <cell r="I1392">
            <v>0</v>
          </cell>
          <cell r="J1392" t="str">
            <v>md</v>
          </cell>
        </row>
        <row r="1393">
          <cell r="C1393" t="str">
            <v>FITTINGS</v>
          </cell>
        </row>
        <row r="1394">
          <cell r="C1394" t="str">
            <v>Outlet Pipe Dia</v>
          </cell>
          <cell r="D1394">
            <v>0</v>
          </cell>
        </row>
        <row r="1395">
          <cell r="C1395" t="str">
            <v>Washout Pipe Dia</v>
          </cell>
          <cell r="D1395">
            <v>0</v>
          </cell>
        </row>
        <row r="1396">
          <cell r="B1396" t="str">
            <v>HP2.5-75</v>
          </cell>
          <cell r="C1396" t="str">
            <v>HDPE Pipe(75mm) - 2.5 kgf/cm2</v>
          </cell>
          <cell r="J1396" t="str">
            <v>m</v>
          </cell>
        </row>
        <row r="1397">
          <cell r="B1397" t="str">
            <v>GPM-15</v>
          </cell>
          <cell r="C1397" t="str">
            <v>G.I. Pipe (1/2") - MC</v>
          </cell>
          <cell r="J1397" t="str">
            <v>m</v>
          </cell>
        </row>
        <row r="1398">
          <cell r="B1398" t="str">
            <v>GEL-15</v>
          </cell>
          <cell r="C1398" t="str">
            <v xml:space="preserve">G.I. Elbow (1/2") </v>
          </cell>
          <cell r="J1398" t="str">
            <v>pc</v>
          </cell>
        </row>
        <row r="1399">
          <cell r="B1399" t="str">
            <v>GSO-15</v>
          </cell>
          <cell r="C1399" t="str">
            <v>G.I. Socket (1/2")</v>
          </cell>
          <cell r="J1399" t="str">
            <v>pc</v>
          </cell>
        </row>
        <row r="1400">
          <cell r="B1400" t="str">
            <v>BT400-15</v>
          </cell>
          <cell r="C1400" t="str">
            <v>Brass Tap ( 400g )</v>
          </cell>
          <cell r="J1400" t="str">
            <v>pc</v>
          </cell>
        </row>
        <row r="1401">
          <cell r="B1401" t="str">
            <v>BU-20</v>
          </cell>
          <cell r="C1401" t="str">
            <v>Brass Union  (20mm x 1/2")</v>
          </cell>
          <cell r="J1401" t="str">
            <v>pc</v>
          </cell>
        </row>
        <row r="1402">
          <cell r="B1402" t="str">
            <v>BRT-15</v>
          </cell>
          <cell r="C1402" t="str">
            <v>Regulating Tee (1/2")</v>
          </cell>
          <cell r="J1402" t="str">
            <v>pc</v>
          </cell>
        </row>
        <row r="1405">
          <cell r="B1405" t="str">
            <v>I-01</v>
          </cell>
          <cell r="C1405" t="str">
            <v>Earth Work in Excavation</v>
          </cell>
          <cell r="I1405">
            <v>0</v>
          </cell>
          <cell r="J1405" t="str">
            <v>m3</v>
          </cell>
        </row>
        <row r="1409">
          <cell r="B1409" t="str">
            <v>I-02</v>
          </cell>
          <cell r="C1409" t="str">
            <v>Earth Work in Backfilling</v>
          </cell>
          <cell r="I1409">
            <v>0</v>
          </cell>
          <cell r="J1409" t="str">
            <v>m3</v>
          </cell>
        </row>
        <row r="1413">
          <cell r="B1413" t="str">
            <v>I-03</v>
          </cell>
          <cell r="C1413" t="str">
            <v>Dry Stone Soling</v>
          </cell>
          <cell r="I1413">
            <v>0</v>
          </cell>
          <cell r="J1413" t="str">
            <v>m3</v>
          </cell>
        </row>
        <row r="1417">
          <cell r="B1417" t="str">
            <v>I-04</v>
          </cell>
          <cell r="C1417" t="str">
            <v>P.C.C. (1:2:4)</v>
          </cell>
          <cell r="I1417">
            <v>0</v>
          </cell>
          <cell r="J1417" t="str">
            <v>m3</v>
          </cell>
        </row>
        <row r="1421">
          <cell r="B1421" t="str">
            <v>I-05</v>
          </cell>
          <cell r="C1421" t="str">
            <v>P.C.C. for Pre-cast Slab (1:2:4)</v>
          </cell>
          <cell r="I1421">
            <v>0</v>
          </cell>
          <cell r="J1421" t="str">
            <v>m3</v>
          </cell>
        </row>
        <row r="1425">
          <cell r="B1425" t="str">
            <v>I-06</v>
          </cell>
          <cell r="C1425" t="str">
            <v>P.C.C. for R.C.C. (1:2:4)</v>
          </cell>
          <cell r="I1425">
            <v>0</v>
          </cell>
          <cell r="J1425" t="str">
            <v>m3</v>
          </cell>
        </row>
        <row r="1429">
          <cell r="B1429" t="str">
            <v>I-07</v>
          </cell>
          <cell r="C1429" t="str">
            <v>Random Rubble Masonry (1:4)</v>
          </cell>
          <cell r="I1429">
            <v>0</v>
          </cell>
          <cell r="J1429" t="str">
            <v>m3</v>
          </cell>
        </row>
        <row r="1433">
          <cell r="B1433" t="str">
            <v>I-08</v>
          </cell>
          <cell r="C1433" t="str">
            <v>Random Rubble Masonry (1:6)</v>
          </cell>
          <cell r="I1433">
            <v>0</v>
          </cell>
          <cell r="J1433" t="str">
            <v>m3</v>
          </cell>
        </row>
        <row r="1437">
          <cell r="B1437" t="str">
            <v>I-09</v>
          </cell>
          <cell r="C1437" t="str">
            <v>Dry Stone masonry</v>
          </cell>
          <cell r="I1437">
            <v>0</v>
          </cell>
          <cell r="J1437" t="str">
            <v>m3</v>
          </cell>
        </row>
        <row r="1441">
          <cell r="B1441" t="str">
            <v>I-10</v>
          </cell>
          <cell r="C1441" t="str">
            <v>Form Work for P.C.C.</v>
          </cell>
          <cell r="I1441">
            <v>0</v>
          </cell>
          <cell r="J1441" t="str">
            <v>m2</v>
          </cell>
        </row>
        <row r="1445">
          <cell r="B1445" t="str">
            <v>I-11</v>
          </cell>
          <cell r="C1445" t="str">
            <v>12.5mm Cement Plaster (1:2)</v>
          </cell>
          <cell r="I1445">
            <v>0</v>
          </cell>
          <cell r="J1445" t="str">
            <v>m2</v>
          </cell>
        </row>
        <row r="1449">
          <cell r="B1449" t="str">
            <v>I-12</v>
          </cell>
          <cell r="C1449" t="str">
            <v>12.5mm Cement Plaster (1:3)</v>
          </cell>
          <cell r="I1449">
            <v>0</v>
          </cell>
          <cell r="J1449" t="str">
            <v>m2</v>
          </cell>
        </row>
        <row r="1453">
          <cell r="B1453" t="str">
            <v>I-13</v>
          </cell>
          <cell r="C1453" t="str">
            <v>12.5mm Cement Plaster (1:4)</v>
          </cell>
          <cell r="I1453">
            <v>0</v>
          </cell>
          <cell r="J1453" t="str">
            <v>m2</v>
          </cell>
        </row>
        <row r="1457">
          <cell r="B1457" t="str">
            <v>I-14</v>
          </cell>
          <cell r="C1457" t="str">
            <v>Cement Pointing (1:3)</v>
          </cell>
          <cell r="I1457">
            <v>0</v>
          </cell>
          <cell r="J1457" t="str">
            <v>m2</v>
          </cell>
        </row>
        <row r="1461">
          <cell r="B1461" t="str">
            <v>I-15</v>
          </cell>
          <cell r="C1461" t="str">
            <v>3mm Cement Punning</v>
          </cell>
          <cell r="I1461">
            <v>0</v>
          </cell>
          <cell r="J1461" t="str">
            <v>m2</v>
          </cell>
        </row>
        <row r="1465">
          <cell r="B1465" t="str">
            <v>I-16A</v>
          </cell>
          <cell r="C1465" t="str">
            <v>Bar Binding for R.C.C. (10mm bar)</v>
          </cell>
          <cell r="I1465">
            <v>0</v>
          </cell>
          <cell r="J1465" t="str">
            <v>Kg</v>
          </cell>
        </row>
        <row r="1469">
          <cell r="B1469" t="str">
            <v>I-16B</v>
          </cell>
          <cell r="C1469" t="str">
            <v>Bar Binding for R.C.C. (6mm bar)</v>
          </cell>
          <cell r="I1469">
            <v>0</v>
          </cell>
          <cell r="J1469" t="str">
            <v>Kg</v>
          </cell>
        </row>
        <row r="1473">
          <cell r="B1473" t="str">
            <v>I-17</v>
          </cell>
          <cell r="C1473" t="str">
            <v>Bar Binding for Ferro-Cement Works</v>
          </cell>
          <cell r="I1473">
            <v>0</v>
          </cell>
          <cell r="J1473" t="str">
            <v>m2</v>
          </cell>
        </row>
        <row r="1477">
          <cell r="B1477" t="str">
            <v>I-18</v>
          </cell>
          <cell r="C1477" t="str">
            <v>Formwork for Ferro-Cement Works</v>
          </cell>
          <cell r="I1477">
            <v>0</v>
          </cell>
          <cell r="J1477" t="str">
            <v>m2</v>
          </cell>
        </row>
        <row r="1481">
          <cell r="B1481" t="str">
            <v>I-19</v>
          </cell>
          <cell r="C1481" t="str">
            <v>Cement Plaster for Ferro-Cement Work (1:3)</v>
          </cell>
          <cell r="I1481">
            <v>0</v>
          </cell>
          <cell r="J1481" t="str">
            <v>m2</v>
          </cell>
        </row>
        <row r="1485">
          <cell r="B1485" t="str">
            <v>I-20</v>
          </cell>
          <cell r="C1485" t="str">
            <v>Formwork for Precast RCC Work</v>
          </cell>
          <cell r="I1485">
            <v>0</v>
          </cell>
          <cell r="J1485" t="str">
            <v>m2</v>
          </cell>
        </row>
        <row r="1489">
          <cell r="B1489" t="str">
            <v>I-21</v>
          </cell>
          <cell r="C1489" t="str">
            <v>Cement Painting</v>
          </cell>
          <cell r="I1489">
            <v>0</v>
          </cell>
          <cell r="J1489" t="str">
            <v>m2</v>
          </cell>
        </row>
        <row r="1493">
          <cell r="B1493" t="str">
            <v>I-22</v>
          </cell>
          <cell r="C1493" t="str">
            <v>Trench digging</v>
          </cell>
          <cell r="I1493">
            <v>0</v>
          </cell>
          <cell r="J1493" t="str">
            <v>m3</v>
          </cell>
        </row>
        <row r="1497">
          <cell r="B1497" t="str">
            <v>I-23</v>
          </cell>
          <cell r="C1497" t="str">
            <v>Trench backfilling</v>
          </cell>
          <cell r="I1497">
            <v>0</v>
          </cell>
          <cell r="J1497" t="str">
            <v>m3</v>
          </cell>
        </row>
        <row r="1501">
          <cell r="B1501" t="str">
            <v>I-24</v>
          </cell>
          <cell r="C1501" t="str">
            <v>Gabion Box (2mX1mX1m)</v>
          </cell>
          <cell r="I1501">
            <v>0</v>
          </cell>
          <cell r="J1501" t="str">
            <v>No</v>
          </cell>
        </row>
        <row r="1504">
          <cell r="B1504" t="str">
            <v>I-25</v>
          </cell>
          <cell r="C1504" t="str">
            <v>Gabion Box (3mX1mX1m)</v>
          </cell>
          <cell r="I1504">
            <v>0</v>
          </cell>
          <cell r="J1504" t="str">
            <v>No</v>
          </cell>
        </row>
        <row r="1508">
          <cell r="B1508" t="str">
            <v>M-16</v>
          </cell>
          <cell r="C1508" t="str">
            <v>Angle Pole</v>
          </cell>
          <cell r="J1508" t="str">
            <v>pc</v>
          </cell>
        </row>
        <row r="1509">
          <cell r="B1509" t="str">
            <v>M-17</v>
          </cell>
          <cell r="C1509" t="str">
            <v>Angle Pole for Gate</v>
          </cell>
          <cell r="J1509" t="str">
            <v>pc</v>
          </cell>
        </row>
        <row r="1510">
          <cell r="B1510" t="str">
            <v>M-18</v>
          </cell>
          <cell r="C1510" t="str">
            <v>Corner Angle Pole</v>
          </cell>
          <cell r="J1510" t="str">
            <v>pc</v>
          </cell>
        </row>
        <row r="1511">
          <cell r="B1511" t="str">
            <v>M-19</v>
          </cell>
          <cell r="C1511" t="str">
            <v>Bracing Angle Pole</v>
          </cell>
          <cell r="J1511" t="str">
            <v>pc</v>
          </cell>
        </row>
        <row r="1512">
          <cell r="B1512" t="str">
            <v>M-20</v>
          </cell>
          <cell r="C1512" t="str">
            <v>Polythene Sheet</v>
          </cell>
          <cell r="J1512" t="str">
            <v>m</v>
          </cell>
        </row>
        <row r="1513">
          <cell r="B1513" t="str">
            <v>M-21</v>
          </cell>
          <cell r="C1513" t="str">
            <v>Barbed Wire</v>
          </cell>
          <cell r="J1513" t="str">
            <v>kg</v>
          </cell>
        </row>
        <row r="1514">
          <cell r="B1514" t="str">
            <v>M-22</v>
          </cell>
          <cell r="C1514" t="str">
            <v>Fencing Post</v>
          </cell>
          <cell r="J1514" t="str">
            <v>pc</v>
          </cell>
        </row>
        <row r="1515">
          <cell r="B1515" t="str">
            <v>M-23</v>
          </cell>
          <cell r="C1515" t="str">
            <v>Angle Gate</v>
          </cell>
          <cell r="J1515" t="str">
            <v>pc</v>
          </cell>
        </row>
        <row r="1516">
          <cell r="B1516" t="str">
            <v>M-24</v>
          </cell>
          <cell r="C1516" t="str">
            <v>4" Hinges</v>
          </cell>
          <cell r="J1516" t="str">
            <v>pc</v>
          </cell>
        </row>
        <row r="1517">
          <cell r="B1517" t="str">
            <v>M-25</v>
          </cell>
          <cell r="C1517" t="str">
            <v>10" Aldrop</v>
          </cell>
          <cell r="J1517" t="str">
            <v>pc</v>
          </cell>
        </row>
        <row r="1518">
          <cell r="B1518" t="str">
            <v>M-26</v>
          </cell>
          <cell r="C1518" t="str">
            <v>Gate Lock Key</v>
          </cell>
          <cell r="J1518" t="str">
            <v>pc</v>
          </cell>
        </row>
        <row r="1519">
          <cell r="B1519" t="str">
            <v>M-27</v>
          </cell>
          <cell r="C1519" t="str">
            <v>Nut with bolt (8mm dia)</v>
          </cell>
          <cell r="J1519" t="str">
            <v>pc</v>
          </cell>
        </row>
        <row r="1520">
          <cell r="B1520" t="str">
            <v>M-28</v>
          </cell>
          <cell r="C1520" t="str">
            <v>Screws</v>
          </cell>
          <cell r="J1520" t="str">
            <v>pc</v>
          </cell>
        </row>
        <row r="1521">
          <cell r="B1521" t="str">
            <v>M-29</v>
          </cell>
          <cell r="C1521" t="str">
            <v>GI sheet Plain (3'x7')</v>
          </cell>
          <cell r="J1521" t="str">
            <v>pc</v>
          </cell>
        </row>
        <row r="1522">
          <cell r="B1522" t="str">
            <v>M-30</v>
          </cell>
          <cell r="C1522" t="str">
            <v>Manhole Cover (Circular)</v>
          </cell>
          <cell r="J1522" t="str">
            <v>pc</v>
          </cell>
        </row>
        <row r="1523">
          <cell r="B1523" t="str">
            <v>M-31</v>
          </cell>
          <cell r="C1523" t="str">
            <v>Manhole Cover (Square)</v>
          </cell>
          <cell r="J1523" t="str">
            <v>pc</v>
          </cell>
        </row>
        <row r="1524">
          <cell r="B1524" t="str">
            <v>M-32</v>
          </cell>
          <cell r="C1524" t="str">
            <v>Manhole Cover (Rectangle)</v>
          </cell>
          <cell r="J1524" t="str">
            <v>pc</v>
          </cell>
        </row>
        <row r="1525">
          <cell r="B1525" t="str">
            <v>M-33</v>
          </cell>
          <cell r="C1525" t="str">
            <v>Small Slab Frame (55x55)</v>
          </cell>
          <cell r="J1525" t="str">
            <v>pc</v>
          </cell>
        </row>
        <row r="1526">
          <cell r="B1526" t="str">
            <v>M-34</v>
          </cell>
          <cell r="C1526" t="str">
            <v>Big Slab Frame (75x75)</v>
          </cell>
          <cell r="J1526" t="str">
            <v>pc</v>
          </cell>
        </row>
        <row r="1527">
          <cell r="B1527" t="str">
            <v>M-36</v>
          </cell>
          <cell r="C1527" t="str">
            <v>Lime</v>
          </cell>
          <cell r="J1527" t="str">
            <v>kg</v>
          </cell>
        </row>
        <row r="1528">
          <cell r="B1528" t="str">
            <v>M-41</v>
          </cell>
          <cell r="C1528" t="str">
            <v>Suspension Cable (8mm)</v>
          </cell>
          <cell r="J1528" t="str">
            <v>m</v>
          </cell>
        </row>
        <row r="1529">
          <cell r="B1529" t="str">
            <v>M-42</v>
          </cell>
          <cell r="C1529" t="str">
            <v>Suspension Cable (13mm)</v>
          </cell>
          <cell r="J1529" t="str">
            <v>m</v>
          </cell>
        </row>
        <row r="1530">
          <cell r="B1530" t="str">
            <v>M-43</v>
          </cell>
          <cell r="C1530" t="str">
            <v>Bulldog Grips (8mm)</v>
          </cell>
          <cell r="J1530" t="str">
            <v>pc</v>
          </cell>
        </row>
        <row r="1531">
          <cell r="B1531" t="str">
            <v>M-44</v>
          </cell>
          <cell r="C1531" t="str">
            <v>Bulldog Grips (13mm)</v>
          </cell>
          <cell r="J1531" t="str">
            <v>pc</v>
          </cell>
        </row>
        <row r="1532">
          <cell r="B1532" t="str">
            <v>M-45</v>
          </cell>
          <cell r="C1532" t="str">
            <v>PE Tank 200 ltrs.</v>
          </cell>
          <cell r="J1532" t="str">
            <v>pc</v>
          </cell>
        </row>
        <row r="1533">
          <cell r="B1533" t="str">
            <v>M-46</v>
          </cell>
          <cell r="C1533" t="str">
            <v>Tapstand Grid</v>
          </cell>
          <cell r="J1533" t="str">
            <v>pc</v>
          </cell>
        </row>
        <row r="1534">
          <cell r="B1534" t="str">
            <v>M-47</v>
          </cell>
          <cell r="C1534" t="str">
            <v>Anchor Bolt (1/2")</v>
          </cell>
          <cell r="J1534" t="str">
            <v>pc</v>
          </cell>
        </row>
        <row r="1535">
          <cell r="B1535" t="str">
            <v>M-48</v>
          </cell>
          <cell r="C1535" t="str">
            <v>Anchor Bolt (1")</v>
          </cell>
          <cell r="J1535" t="str">
            <v>pc</v>
          </cell>
        </row>
        <row r="1536">
          <cell r="B1536" t="str">
            <v>M-49</v>
          </cell>
          <cell r="C1536" t="str">
            <v>Anchor Bolt (1 1/2")</v>
          </cell>
          <cell r="J1536" t="str">
            <v>pc</v>
          </cell>
        </row>
        <row r="1537">
          <cell r="B1537" t="str">
            <v>M-50</v>
          </cell>
          <cell r="C1537" t="str">
            <v>Anchor Bolt (2")</v>
          </cell>
          <cell r="J1537" t="str">
            <v>pc</v>
          </cell>
        </row>
        <row r="1538">
          <cell r="B1538" t="str">
            <v>M-01</v>
          </cell>
          <cell r="C1538" t="str">
            <v>Cement</v>
          </cell>
          <cell r="I1538">
            <v>0</v>
          </cell>
          <cell r="J1538" t="str">
            <v>bag</v>
          </cell>
        </row>
        <row r="1539">
          <cell r="B1539" t="str">
            <v>M-02</v>
          </cell>
          <cell r="C1539" t="str">
            <v>Sand</v>
          </cell>
          <cell r="I1539">
            <v>0</v>
          </cell>
          <cell r="J1539" t="str">
            <v>m3</v>
          </cell>
        </row>
        <row r="1540">
          <cell r="B1540" t="str">
            <v>M-03</v>
          </cell>
          <cell r="C1540" t="str">
            <v>Block Stone</v>
          </cell>
          <cell r="I1540">
            <v>0</v>
          </cell>
          <cell r="J1540" t="str">
            <v>m3</v>
          </cell>
        </row>
        <row r="1541">
          <cell r="B1541" t="str">
            <v>M-04</v>
          </cell>
          <cell r="C1541" t="str">
            <v>Bond Stone</v>
          </cell>
          <cell r="I1541">
            <v>0</v>
          </cell>
          <cell r="J1541" t="str">
            <v>m3</v>
          </cell>
        </row>
        <row r="1542">
          <cell r="B1542" t="str">
            <v>M-05</v>
          </cell>
          <cell r="C1542" t="str">
            <v>Aggregate (5-10mm)</v>
          </cell>
          <cell r="I1542">
            <v>0</v>
          </cell>
          <cell r="J1542" t="str">
            <v>m3</v>
          </cell>
        </row>
        <row r="1543">
          <cell r="B1543" t="str">
            <v>M-06</v>
          </cell>
          <cell r="C1543" t="str">
            <v>Aggregate (10-20mm)</v>
          </cell>
          <cell r="I1543">
            <v>0</v>
          </cell>
          <cell r="J1543" t="str">
            <v>m3</v>
          </cell>
        </row>
        <row r="1544">
          <cell r="B1544" t="str">
            <v>M-07</v>
          </cell>
          <cell r="C1544" t="str">
            <v>Aggregate (20-40mm)</v>
          </cell>
          <cell r="I1544">
            <v>0</v>
          </cell>
          <cell r="J1544" t="str">
            <v>m3</v>
          </cell>
        </row>
        <row r="1545">
          <cell r="B1545" t="str">
            <v>M-08</v>
          </cell>
          <cell r="C1545" t="str">
            <v>Project Information Board</v>
          </cell>
          <cell r="J1545" t="str">
            <v>set</v>
          </cell>
        </row>
        <row r="1546">
          <cell r="B1546" t="str">
            <v>M-09</v>
          </cell>
          <cell r="C1546" t="str">
            <v>Reinforcement ( 6mm)</v>
          </cell>
          <cell r="I1546">
            <v>0</v>
          </cell>
          <cell r="J1546" t="str">
            <v>kg</v>
          </cell>
        </row>
        <row r="1547">
          <cell r="B1547" t="str">
            <v>M-10</v>
          </cell>
          <cell r="C1547" t="str">
            <v>Reinforcement ( 8mm)</v>
          </cell>
          <cell r="J1547" t="str">
            <v>kg</v>
          </cell>
        </row>
        <row r="1548">
          <cell r="B1548" t="str">
            <v>M-11</v>
          </cell>
          <cell r="C1548" t="str">
            <v>Reinforcement (10mm)</v>
          </cell>
          <cell r="I1548">
            <v>0</v>
          </cell>
          <cell r="J1548" t="str">
            <v>kg</v>
          </cell>
        </row>
        <row r="1549">
          <cell r="B1549" t="str">
            <v>M-12</v>
          </cell>
          <cell r="C1549" t="str">
            <v>Binding wire</v>
          </cell>
          <cell r="I1549">
            <v>0</v>
          </cell>
          <cell r="J1549" t="str">
            <v>kg</v>
          </cell>
        </row>
        <row r="1550">
          <cell r="B1550" t="str">
            <v>M-13</v>
          </cell>
          <cell r="C1550" t="str">
            <v>Plain wire (3.5 mm dia)</v>
          </cell>
          <cell r="I1550">
            <v>0</v>
          </cell>
          <cell r="J1550" t="str">
            <v>kg</v>
          </cell>
        </row>
        <row r="1551">
          <cell r="B1551" t="str">
            <v>M-14</v>
          </cell>
          <cell r="C1551" t="str">
            <v>Chicken wire mesh (3 Ft wide)</v>
          </cell>
          <cell r="I1551">
            <v>0</v>
          </cell>
          <cell r="J1551" t="str">
            <v>m</v>
          </cell>
        </row>
        <row r="1552">
          <cell r="B1552" t="str">
            <v>M-15</v>
          </cell>
          <cell r="C1552" t="str">
            <v>Bamboo</v>
          </cell>
          <cell r="I1552">
            <v>0</v>
          </cell>
          <cell r="J1552" t="str">
            <v>pc</v>
          </cell>
        </row>
        <row r="1553">
          <cell r="B1553" t="str">
            <v>M-35</v>
          </cell>
          <cell r="C1553" t="str">
            <v>Cement Paint</v>
          </cell>
          <cell r="I1553">
            <v>0</v>
          </cell>
          <cell r="J1553" t="str">
            <v>kg</v>
          </cell>
        </row>
        <row r="1554">
          <cell r="B1554" t="str">
            <v>M-37</v>
          </cell>
          <cell r="C1554" t="str">
            <v>GI Selwage Wire (8g)</v>
          </cell>
          <cell r="J1554" t="str">
            <v>kg</v>
          </cell>
        </row>
        <row r="1555">
          <cell r="B1555" t="str">
            <v>M-38</v>
          </cell>
          <cell r="C1555" t="str">
            <v>GI Mesh Wire (10g)</v>
          </cell>
          <cell r="J1555" t="str">
            <v>kg</v>
          </cell>
        </row>
        <row r="1556">
          <cell r="B1556" t="str">
            <v>M-39</v>
          </cell>
          <cell r="C1556" t="str">
            <v>Wood for Formwork</v>
          </cell>
          <cell r="I1556">
            <v>0</v>
          </cell>
          <cell r="J1556" t="str">
            <v>m3</v>
          </cell>
        </row>
        <row r="1557">
          <cell r="B1557" t="str">
            <v>M-40</v>
          </cell>
          <cell r="C1557" t="str">
            <v>Nails</v>
          </cell>
          <cell r="I1557">
            <v>0</v>
          </cell>
          <cell r="J1557" t="str">
            <v>kg</v>
          </cell>
        </row>
        <row r="1558">
          <cell r="B1558" t="str">
            <v>L-1</v>
          </cell>
          <cell r="C1558" t="str">
            <v>Skilled Labour</v>
          </cell>
          <cell r="I1558">
            <v>0</v>
          </cell>
          <cell r="J1558" t="str">
            <v>md</v>
          </cell>
        </row>
        <row r="1559">
          <cell r="B1559" t="str">
            <v>L-2</v>
          </cell>
          <cell r="C1559" t="str">
            <v>Unskilled Labour</v>
          </cell>
          <cell r="I1559">
            <v>0</v>
          </cell>
          <cell r="J1559" t="str">
            <v>md</v>
          </cell>
        </row>
        <row r="1560">
          <cell r="C1560" t="str">
            <v>FITTINGS</v>
          </cell>
        </row>
        <row r="1561">
          <cell r="C1561" t="str">
            <v>Outlet Pipe Dia</v>
          </cell>
          <cell r="D1561">
            <v>0</v>
          </cell>
        </row>
        <row r="1562">
          <cell r="C1562" t="str">
            <v>Washout Pipe Dia</v>
          </cell>
          <cell r="D1562">
            <v>0</v>
          </cell>
        </row>
        <row r="1563">
          <cell r="B1563" t="str">
            <v>HP2.5-75</v>
          </cell>
          <cell r="C1563" t="str">
            <v>HDPE Pipe(75mm) - 2.5 kgf/cm2</v>
          </cell>
          <cell r="J1563" t="str">
            <v>m</v>
          </cell>
        </row>
        <row r="1564">
          <cell r="B1564" t="str">
            <v>GPM-15</v>
          </cell>
          <cell r="C1564" t="str">
            <v>G.I. Pipe (1/2") - MC</v>
          </cell>
          <cell r="J1564" t="str">
            <v>m</v>
          </cell>
        </row>
        <row r="1565">
          <cell r="B1565" t="str">
            <v>GEL-15</v>
          </cell>
          <cell r="C1565" t="str">
            <v xml:space="preserve">G.I. Elbow (1/2") </v>
          </cell>
          <cell r="J1565" t="str">
            <v>pc</v>
          </cell>
        </row>
        <row r="1566">
          <cell r="B1566" t="str">
            <v>GSO-15</v>
          </cell>
          <cell r="C1566" t="str">
            <v>G.I. Socket (1/2")</v>
          </cell>
          <cell r="J1566" t="str">
            <v>pc</v>
          </cell>
        </row>
        <row r="1567">
          <cell r="B1567" t="str">
            <v>BT400-15</v>
          </cell>
          <cell r="C1567" t="str">
            <v>Brass Tap ( 400g )</v>
          </cell>
          <cell r="J1567" t="str">
            <v>pc</v>
          </cell>
        </row>
        <row r="1568">
          <cell r="B1568" t="str">
            <v>BU-20</v>
          </cell>
          <cell r="C1568" t="str">
            <v>Brass Union  (20mm x 1/2")</v>
          </cell>
          <cell r="J1568" t="str">
            <v>pc</v>
          </cell>
        </row>
        <row r="1569">
          <cell r="B1569" t="str">
            <v>BRT-15</v>
          </cell>
          <cell r="C1569" t="str">
            <v>Regulating Tee (1/2")</v>
          </cell>
          <cell r="J1569" t="str">
            <v>pc</v>
          </cell>
        </row>
        <row r="1572">
          <cell r="B1572" t="str">
            <v>I-01</v>
          </cell>
          <cell r="C1572" t="str">
            <v>Earth Work in Excavation</v>
          </cell>
          <cell r="I1572">
            <v>0</v>
          </cell>
          <cell r="J1572" t="str">
            <v>m3</v>
          </cell>
        </row>
        <row r="1576">
          <cell r="B1576" t="str">
            <v>I-02</v>
          </cell>
          <cell r="C1576" t="str">
            <v>Earth Work in Backfilling</v>
          </cell>
          <cell r="I1576">
            <v>0</v>
          </cell>
          <cell r="J1576" t="str">
            <v>m3</v>
          </cell>
        </row>
        <row r="1580">
          <cell r="B1580" t="str">
            <v>I-03</v>
          </cell>
          <cell r="C1580" t="str">
            <v>Dry Stone Soling</v>
          </cell>
          <cell r="I1580">
            <v>0</v>
          </cell>
          <cell r="J1580" t="str">
            <v>m3</v>
          </cell>
        </row>
        <row r="1584">
          <cell r="B1584" t="str">
            <v>I-04</v>
          </cell>
          <cell r="C1584" t="str">
            <v>P.C.C. (1:2:4)</v>
          </cell>
          <cell r="I1584">
            <v>0</v>
          </cell>
          <cell r="J1584" t="str">
            <v>m3</v>
          </cell>
        </row>
        <row r="1585">
          <cell r="C1585" t="str">
            <v>dfd</v>
          </cell>
        </row>
        <row r="1586">
          <cell r="C1586" t="str">
            <v>fdf</v>
          </cell>
        </row>
        <row r="1588">
          <cell r="B1588" t="str">
            <v>I-05</v>
          </cell>
          <cell r="C1588" t="str">
            <v>P.C.C. for Pre-cast Slab (1:2:4)</v>
          </cell>
          <cell r="I1588">
            <v>0</v>
          </cell>
          <cell r="J1588" t="str">
            <v>m3</v>
          </cell>
        </row>
        <row r="1592">
          <cell r="B1592" t="str">
            <v>I-06</v>
          </cell>
          <cell r="C1592" t="str">
            <v>P.C.C. for R.C.C. (1:2:4)</v>
          </cell>
          <cell r="I1592">
            <v>0</v>
          </cell>
          <cell r="J1592" t="str">
            <v>m3</v>
          </cell>
        </row>
        <row r="1594">
          <cell r="C1594" t="str">
            <v>fdf</v>
          </cell>
        </row>
        <row r="1596">
          <cell r="B1596" t="str">
            <v>I-07</v>
          </cell>
          <cell r="C1596" t="str">
            <v>Random Rubble Masonry (1:4)</v>
          </cell>
          <cell r="I1596">
            <v>0</v>
          </cell>
          <cell r="J1596" t="str">
            <v>m3</v>
          </cell>
        </row>
        <row r="1598">
          <cell r="C1598" t="str">
            <v>fdf</v>
          </cell>
        </row>
        <row r="1600">
          <cell r="B1600" t="str">
            <v>I-08</v>
          </cell>
          <cell r="C1600" t="str">
            <v>Random Rubble Masonry (1:6)</v>
          </cell>
          <cell r="I1600">
            <v>0</v>
          </cell>
          <cell r="J1600" t="str">
            <v>m3</v>
          </cell>
        </row>
        <row r="1604">
          <cell r="B1604" t="str">
            <v>I-09</v>
          </cell>
          <cell r="C1604" t="str">
            <v>Dry Stone masonry</v>
          </cell>
          <cell r="I1604">
            <v>0</v>
          </cell>
          <cell r="J1604" t="str">
            <v>m3</v>
          </cell>
        </row>
        <row r="1608">
          <cell r="B1608" t="str">
            <v>I-10</v>
          </cell>
          <cell r="C1608" t="str">
            <v>Form Work for P.C.C.</v>
          </cell>
          <cell r="I1608">
            <v>0</v>
          </cell>
          <cell r="J1608" t="str">
            <v>m2</v>
          </cell>
        </row>
        <row r="1612">
          <cell r="B1612" t="str">
            <v>I-11</v>
          </cell>
          <cell r="C1612" t="str">
            <v>12.5mm Cement Plaster (1:2)</v>
          </cell>
          <cell r="I1612">
            <v>0</v>
          </cell>
          <cell r="J1612" t="str">
            <v>m2</v>
          </cell>
        </row>
        <row r="1616">
          <cell r="B1616" t="str">
            <v>I-12</v>
          </cell>
          <cell r="C1616" t="str">
            <v>12.5mm Cement Plaster (1:3)</v>
          </cell>
          <cell r="I1616">
            <v>0</v>
          </cell>
          <cell r="J1616" t="str">
            <v>m2</v>
          </cell>
        </row>
        <row r="1620">
          <cell r="B1620" t="str">
            <v>I-13</v>
          </cell>
          <cell r="C1620" t="str">
            <v>12.5mm Cement Plaster (1:4)</v>
          </cell>
          <cell r="I1620">
            <v>0</v>
          </cell>
          <cell r="J1620" t="str">
            <v>m2</v>
          </cell>
        </row>
        <row r="1624">
          <cell r="B1624" t="str">
            <v>I-14</v>
          </cell>
          <cell r="C1624" t="str">
            <v>Cement Pointing (1:3)</v>
          </cell>
          <cell r="I1624">
            <v>0</v>
          </cell>
          <cell r="J1624" t="str">
            <v>m2</v>
          </cell>
        </row>
        <row r="1628">
          <cell r="B1628" t="str">
            <v>I-15</v>
          </cell>
          <cell r="C1628" t="str">
            <v>3mm Cement Punning</v>
          </cell>
          <cell r="I1628">
            <v>0</v>
          </cell>
          <cell r="J1628" t="str">
            <v>m2</v>
          </cell>
        </row>
        <row r="1632">
          <cell r="B1632" t="str">
            <v>I-16A</v>
          </cell>
          <cell r="C1632" t="str">
            <v>Bar Binding for R.C.C. (10mm bar)</v>
          </cell>
          <cell r="I1632">
            <v>0</v>
          </cell>
          <cell r="J1632" t="str">
            <v>Kg</v>
          </cell>
        </row>
        <row r="1636">
          <cell r="B1636" t="str">
            <v>I-16B</v>
          </cell>
          <cell r="C1636" t="str">
            <v>Bar Binding for R.C.C. (6mm bar)</v>
          </cell>
          <cell r="I1636">
            <v>0</v>
          </cell>
          <cell r="J1636" t="str">
            <v>Kg</v>
          </cell>
        </row>
        <row r="1640">
          <cell r="B1640" t="str">
            <v>I-17</v>
          </cell>
          <cell r="C1640" t="str">
            <v>Bar Binding for Ferro-Cement Works</v>
          </cell>
          <cell r="I1640">
            <v>0</v>
          </cell>
          <cell r="J1640" t="str">
            <v>m2</v>
          </cell>
        </row>
        <row r="1644">
          <cell r="B1644" t="str">
            <v>I-18</v>
          </cell>
          <cell r="C1644" t="str">
            <v>Formwork for Ferro-Cement Works</v>
          </cell>
          <cell r="I1644">
            <v>0</v>
          </cell>
          <cell r="J1644" t="str">
            <v>m2</v>
          </cell>
        </row>
        <row r="1648">
          <cell r="B1648" t="str">
            <v>I-19</v>
          </cell>
          <cell r="C1648" t="str">
            <v>Cement Plaster for Ferro-Cement Work (1:3)</v>
          </cell>
          <cell r="I1648">
            <v>0</v>
          </cell>
          <cell r="J1648" t="str">
            <v>m2</v>
          </cell>
        </row>
        <row r="1652">
          <cell r="B1652" t="str">
            <v>I-20</v>
          </cell>
          <cell r="C1652" t="str">
            <v>Formwork for Precast RCC Work</v>
          </cell>
          <cell r="I1652">
            <v>0</v>
          </cell>
          <cell r="J1652" t="str">
            <v>m2</v>
          </cell>
        </row>
        <row r="1656">
          <cell r="B1656" t="str">
            <v>I-21</v>
          </cell>
          <cell r="C1656" t="str">
            <v>Cement Painting</v>
          </cell>
          <cell r="I1656">
            <v>0</v>
          </cell>
          <cell r="J1656" t="str">
            <v>m2</v>
          </cell>
        </row>
        <row r="1660">
          <cell r="B1660" t="str">
            <v>I-22</v>
          </cell>
          <cell r="C1660" t="str">
            <v>Trench digging</v>
          </cell>
          <cell r="I1660">
            <v>0</v>
          </cell>
          <cell r="J1660" t="str">
            <v>m3</v>
          </cell>
        </row>
        <row r="1664">
          <cell r="B1664" t="str">
            <v>I-23</v>
          </cell>
          <cell r="C1664" t="str">
            <v>Trench backfilling</v>
          </cell>
          <cell r="I1664">
            <v>0</v>
          </cell>
          <cell r="J1664" t="str">
            <v>m3</v>
          </cell>
        </row>
        <row r="1668">
          <cell r="B1668" t="str">
            <v>I-24</v>
          </cell>
          <cell r="C1668" t="str">
            <v>Gabion Box (2mX1mX1m)</v>
          </cell>
          <cell r="I1668">
            <v>0</v>
          </cell>
          <cell r="J1668" t="str">
            <v>No</v>
          </cell>
        </row>
        <row r="1671">
          <cell r="B1671" t="str">
            <v>I-25</v>
          </cell>
          <cell r="C1671" t="str">
            <v>Gabion Box (3mX1mX1m)</v>
          </cell>
          <cell r="I1671">
            <v>0</v>
          </cell>
          <cell r="J1671" t="str">
            <v>No</v>
          </cell>
        </row>
        <row r="1675">
          <cell r="B1675" t="str">
            <v>M-16</v>
          </cell>
          <cell r="C1675" t="str">
            <v>Angle Pole</v>
          </cell>
          <cell r="J1675" t="str">
            <v>pc</v>
          </cell>
        </row>
        <row r="1676">
          <cell r="B1676" t="str">
            <v>M-17</v>
          </cell>
          <cell r="C1676" t="str">
            <v>Angle Pole for Gate</v>
          </cell>
          <cell r="J1676" t="str">
            <v>pc</v>
          </cell>
        </row>
        <row r="1677">
          <cell r="B1677" t="str">
            <v>M-18</v>
          </cell>
          <cell r="C1677" t="str">
            <v>Corner Angle Pole</v>
          </cell>
          <cell r="J1677" t="str">
            <v>pc</v>
          </cell>
        </row>
        <row r="1678">
          <cell r="B1678" t="str">
            <v>M-19</v>
          </cell>
          <cell r="C1678" t="str">
            <v>Bracing Angle Pole</v>
          </cell>
          <cell r="J1678" t="str">
            <v>pc</v>
          </cell>
        </row>
        <row r="1679">
          <cell r="B1679" t="str">
            <v>M-20</v>
          </cell>
          <cell r="C1679" t="str">
            <v>Polythene Sheet</v>
          </cell>
          <cell r="J1679" t="str">
            <v>m</v>
          </cell>
        </row>
        <row r="1680">
          <cell r="B1680" t="str">
            <v>M-21</v>
          </cell>
          <cell r="C1680" t="str">
            <v>Barbed Wire</v>
          </cell>
          <cell r="J1680" t="str">
            <v>kg</v>
          </cell>
        </row>
        <row r="1681">
          <cell r="B1681" t="str">
            <v>M-22</v>
          </cell>
          <cell r="C1681" t="str">
            <v>Fencing Post</v>
          </cell>
          <cell r="J1681" t="str">
            <v>pc</v>
          </cell>
        </row>
        <row r="1682">
          <cell r="B1682" t="str">
            <v>M-23</v>
          </cell>
          <cell r="C1682" t="str">
            <v>Angle Gate</v>
          </cell>
          <cell r="J1682" t="str">
            <v>pc</v>
          </cell>
        </row>
        <row r="1683">
          <cell r="B1683" t="str">
            <v>M-24</v>
          </cell>
          <cell r="C1683" t="str">
            <v>4" Hinges</v>
          </cell>
          <cell r="J1683" t="str">
            <v>pc</v>
          </cell>
        </row>
        <row r="1684">
          <cell r="B1684" t="str">
            <v>M-25</v>
          </cell>
          <cell r="C1684" t="str">
            <v>10" Aldrop</v>
          </cell>
          <cell r="J1684" t="str">
            <v>pc</v>
          </cell>
        </row>
        <row r="1685">
          <cell r="B1685" t="str">
            <v>M-26</v>
          </cell>
          <cell r="C1685" t="str">
            <v>Gate Lock Key</v>
          </cell>
          <cell r="J1685" t="str">
            <v>pc</v>
          </cell>
        </row>
        <row r="1686">
          <cell r="B1686" t="str">
            <v>M-27</v>
          </cell>
          <cell r="C1686" t="str">
            <v>Nut with bolt (8mm dia)</v>
          </cell>
          <cell r="J1686" t="str">
            <v>pc</v>
          </cell>
        </row>
        <row r="1687">
          <cell r="B1687" t="str">
            <v>M-28</v>
          </cell>
          <cell r="C1687" t="str">
            <v>Screws</v>
          </cell>
          <cell r="J1687" t="str">
            <v>pc</v>
          </cell>
        </row>
        <row r="1688">
          <cell r="B1688" t="str">
            <v>M-29</v>
          </cell>
          <cell r="C1688" t="str">
            <v>GI sheet Plain (3'x7')</v>
          </cell>
          <cell r="J1688" t="str">
            <v>pc</v>
          </cell>
        </row>
        <row r="1689">
          <cell r="B1689" t="str">
            <v>M-30</v>
          </cell>
          <cell r="C1689" t="str">
            <v>Manhole Cover (Circular)</v>
          </cell>
          <cell r="J1689" t="str">
            <v>pc</v>
          </cell>
        </row>
        <row r="1690">
          <cell r="B1690" t="str">
            <v>M-31</v>
          </cell>
          <cell r="C1690" t="str">
            <v>Manhole Cover (Square)</v>
          </cell>
          <cell r="J1690" t="str">
            <v>pc</v>
          </cell>
        </row>
        <row r="1691">
          <cell r="B1691" t="str">
            <v>M-32</v>
          </cell>
          <cell r="C1691" t="str">
            <v>Manhole Cover (Rectangle)</v>
          </cell>
          <cell r="J1691" t="str">
            <v>pc</v>
          </cell>
        </row>
        <row r="1692">
          <cell r="B1692" t="str">
            <v>M-33</v>
          </cell>
          <cell r="C1692" t="str">
            <v>Small Slab Frame (55x55)</v>
          </cell>
          <cell r="J1692" t="str">
            <v>pc</v>
          </cell>
        </row>
        <row r="1693">
          <cell r="B1693" t="str">
            <v>M-34</v>
          </cell>
          <cell r="C1693" t="str">
            <v>Big Slab Frame (75x75)</v>
          </cell>
          <cell r="J1693" t="str">
            <v>pc</v>
          </cell>
        </row>
        <row r="1694">
          <cell r="B1694" t="str">
            <v>M-36</v>
          </cell>
          <cell r="C1694" t="str">
            <v>Lime</v>
          </cell>
          <cell r="J1694" t="str">
            <v>kg</v>
          </cell>
        </row>
        <row r="1695">
          <cell r="B1695" t="str">
            <v>M-41</v>
          </cell>
          <cell r="C1695" t="str">
            <v>Suspension Cable (8mm)</v>
          </cell>
          <cell r="J1695" t="str">
            <v>m</v>
          </cell>
        </row>
        <row r="1696">
          <cell r="B1696" t="str">
            <v>M-42</v>
          </cell>
          <cell r="C1696" t="str">
            <v>Suspension Cable (13mm)</v>
          </cell>
          <cell r="J1696" t="str">
            <v>m</v>
          </cell>
        </row>
        <row r="1697">
          <cell r="B1697" t="str">
            <v>M-43</v>
          </cell>
          <cell r="C1697" t="str">
            <v>Bulldog Grips (8mm)</v>
          </cell>
          <cell r="J1697" t="str">
            <v>pc</v>
          </cell>
        </row>
        <row r="1698">
          <cell r="B1698" t="str">
            <v>M-44</v>
          </cell>
          <cell r="C1698" t="str">
            <v>Bulldog Grips (13mm)</v>
          </cell>
          <cell r="J1698" t="str">
            <v>pc</v>
          </cell>
        </row>
        <row r="1699">
          <cell r="B1699" t="str">
            <v>M-45</v>
          </cell>
          <cell r="C1699" t="str">
            <v>PE Tank 200 ltrs.</v>
          </cell>
          <cell r="J1699" t="str">
            <v>pc</v>
          </cell>
        </row>
        <row r="1700">
          <cell r="B1700" t="str">
            <v>M-46</v>
          </cell>
          <cell r="C1700" t="str">
            <v>Tapstand Grid</v>
          </cell>
          <cell r="J1700" t="str">
            <v>pc</v>
          </cell>
        </row>
        <row r="1701">
          <cell r="B1701" t="str">
            <v>M-47</v>
          </cell>
          <cell r="C1701" t="str">
            <v>Anchor Bolt (1/2")</v>
          </cell>
          <cell r="J1701" t="str">
            <v>pc</v>
          </cell>
        </row>
        <row r="1702">
          <cell r="B1702" t="str">
            <v>M-48</v>
          </cell>
          <cell r="C1702" t="str">
            <v>Anchor Bolt (1")</v>
          </cell>
          <cell r="J1702" t="str">
            <v>pc</v>
          </cell>
        </row>
        <row r="1703">
          <cell r="B1703" t="str">
            <v>M-49</v>
          </cell>
          <cell r="C1703" t="str">
            <v>Anchor Bolt (1 1/2")</v>
          </cell>
          <cell r="J1703" t="str">
            <v>pc</v>
          </cell>
        </row>
        <row r="1704">
          <cell r="B1704" t="str">
            <v>M-50</v>
          </cell>
          <cell r="C1704" t="str">
            <v>Anchor Bolt (2")</v>
          </cell>
          <cell r="J1704" t="str">
            <v>pc</v>
          </cell>
        </row>
        <row r="1705">
          <cell r="B1705" t="str">
            <v>M-01</v>
          </cell>
          <cell r="C1705" t="str">
            <v>Cement</v>
          </cell>
          <cell r="I1705">
            <v>0</v>
          </cell>
          <cell r="J1705" t="str">
            <v>bag</v>
          </cell>
        </row>
        <row r="1706">
          <cell r="B1706" t="str">
            <v>M-02</v>
          </cell>
          <cell r="C1706" t="str">
            <v>Sand</v>
          </cell>
          <cell r="I1706">
            <v>0</v>
          </cell>
          <cell r="J1706" t="str">
            <v>m3</v>
          </cell>
        </row>
        <row r="1707">
          <cell r="B1707" t="str">
            <v>M-03</v>
          </cell>
          <cell r="C1707" t="str">
            <v>Block Stone</v>
          </cell>
          <cell r="I1707">
            <v>0</v>
          </cell>
          <cell r="J1707" t="str">
            <v>m3</v>
          </cell>
        </row>
        <row r="1708">
          <cell r="B1708" t="str">
            <v>M-04</v>
          </cell>
          <cell r="C1708" t="str">
            <v>Bond Stone</v>
          </cell>
          <cell r="I1708">
            <v>0</v>
          </cell>
          <cell r="J1708" t="str">
            <v>m3</v>
          </cell>
        </row>
        <row r="1709">
          <cell r="B1709" t="str">
            <v>M-05</v>
          </cell>
          <cell r="C1709" t="str">
            <v>Aggregate (5-10mm)</v>
          </cell>
          <cell r="I1709">
            <v>0</v>
          </cell>
          <cell r="J1709" t="str">
            <v>m3</v>
          </cell>
        </row>
        <row r="1710">
          <cell r="B1710" t="str">
            <v>M-06</v>
          </cell>
          <cell r="C1710" t="str">
            <v>Aggregate (10-20mm)</v>
          </cell>
          <cell r="I1710">
            <v>0</v>
          </cell>
          <cell r="J1710" t="str">
            <v>m3</v>
          </cell>
        </row>
        <row r="1711">
          <cell r="B1711" t="str">
            <v>M-07</v>
          </cell>
          <cell r="C1711" t="str">
            <v>Aggregate (20-40mm)</v>
          </cell>
          <cell r="I1711">
            <v>0</v>
          </cell>
          <cell r="J1711" t="str">
            <v>m3</v>
          </cell>
        </row>
        <row r="1712">
          <cell r="B1712" t="str">
            <v>M-08</v>
          </cell>
          <cell r="C1712" t="str">
            <v>Project Information Board</v>
          </cell>
          <cell r="J1712" t="str">
            <v>set</v>
          </cell>
        </row>
        <row r="1713">
          <cell r="B1713" t="str">
            <v>M-09</v>
          </cell>
          <cell r="C1713" t="str">
            <v>Reinforcement ( 6mm)</v>
          </cell>
          <cell r="I1713">
            <v>0</v>
          </cell>
          <cell r="J1713" t="str">
            <v>kg</v>
          </cell>
        </row>
        <row r="1714">
          <cell r="B1714" t="str">
            <v>M-10</v>
          </cell>
          <cell r="C1714" t="str">
            <v>Reinforcement ( 8mm)</v>
          </cell>
          <cell r="J1714" t="str">
            <v>kg</v>
          </cell>
        </row>
        <row r="1715">
          <cell r="B1715" t="str">
            <v>M-11</v>
          </cell>
          <cell r="C1715" t="str">
            <v>Reinforcement (10mm)</v>
          </cell>
          <cell r="I1715">
            <v>0</v>
          </cell>
          <cell r="J1715" t="str">
            <v>kg</v>
          </cell>
        </row>
        <row r="1716">
          <cell r="B1716" t="str">
            <v>M-12</v>
          </cell>
          <cell r="C1716" t="str">
            <v>Binding wire</v>
          </cell>
          <cell r="I1716">
            <v>0</v>
          </cell>
          <cell r="J1716" t="str">
            <v>kg</v>
          </cell>
        </row>
        <row r="1717">
          <cell r="B1717" t="str">
            <v>M-13</v>
          </cell>
          <cell r="C1717" t="str">
            <v>Plain wire (3.5 mm dia)</v>
          </cell>
          <cell r="I1717">
            <v>0</v>
          </cell>
          <cell r="J1717" t="str">
            <v>kg</v>
          </cell>
        </row>
        <row r="1718">
          <cell r="B1718" t="str">
            <v>M-14</v>
          </cell>
          <cell r="C1718" t="str">
            <v>Chicken wire mesh (3 Ft wide)</v>
          </cell>
          <cell r="I1718">
            <v>0</v>
          </cell>
          <cell r="J1718" t="str">
            <v>m</v>
          </cell>
        </row>
        <row r="1719">
          <cell r="B1719" t="str">
            <v>M-15</v>
          </cell>
          <cell r="C1719" t="str">
            <v>Bamboo</v>
          </cell>
          <cell r="I1719">
            <v>0</v>
          </cell>
          <cell r="J1719" t="str">
            <v>pc</v>
          </cell>
        </row>
        <row r="1720">
          <cell r="B1720" t="str">
            <v>M-35</v>
          </cell>
          <cell r="C1720" t="str">
            <v>Cement Paint</v>
          </cell>
          <cell r="I1720">
            <v>0</v>
          </cell>
          <cell r="J1720" t="str">
            <v>kg</v>
          </cell>
        </row>
        <row r="1721">
          <cell r="B1721" t="str">
            <v>M-37</v>
          </cell>
          <cell r="C1721" t="str">
            <v>GI Selwage Wire (8g)</v>
          </cell>
          <cell r="J1721" t="str">
            <v>kg</v>
          </cell>
        </row>
        <row r="1722">
          <cell r="B1722" t="str">
            <v>M-38</v>
          </cell>
          <cell r="C1722" t="str">
            <v>GI Mesh Wire (10g)</v>
          </cell>
          <cell r="J1722" t="str">
            <v>kg</v>
          </cell>
        </row>
        <row r="1723">
          <cell r="B1723" t="str">
            <v>M-39</v>
          </cell>
          <cell r="C1723" t="str">
            <v>Wood for Formwork</v>
          </cell>
          <cell r="I1723">
            <v>0</v>
          </cell>
          <cell r="J1723" t="str">
            <v>m3</v>
          </cell>
        </row>
        <row r="1724">
          <cell r="B1724" t="str">
            <v>M-40</v>
          </cell>
          <cell r="C1724" t="str">
            <v>Nails</v>
          </cell>
          <cell r="I1724">
            <v>0</v>
          </cell>
          <cell r="J1724" t="str">
            <v>kg</v>
          </cell>
        </row>
        <row r="1725">
          <cell r="B1725" t="str">
            <v>L-1</v>
          </cell>
          <cell r="C1725" t="str">
            <v>Skilled Labour</v>
          </cell>
          <cell r="I1725">
            <v>0</v>
          </cell>
          <cell r="J1725" t="str">
            <v>md</v>
          </cell>
        </row>
        <row r="1726">
          <cell r="B1726" t="str">
            <v>L-2</v>
          </cell>
          <cell r="C1726" t="str">
            <v>Unskilled Labour</v>
          </cell>
          <cell r="I1726">
            <v>0</v>
          </cell>
          <cell r="J1726" t="str">
            <v>md</v>
          </cell>
        </row>
        <row r="1727">
          <cell r="C1727" t="str">
            <v>FITTINGS</v>
          </cell>
        </row>
        <row r="1728">
          <cell r="C1728" t="str">
            <v>Outlet Pipe Dia</v>
          </cell>
          <cell r="D1728">
            <v>0</v>
          </cell>
        </row>
        <row r="1729">
          <cell r="C1729" t="str">
            <v>Washout Pipe Dia</v>
          </cell>
          <cell r="D1729">
            <v>0</v>
          </cell>
        </row>
        <row r="1730">
          <cell r="B1730" t="str">
            <v>HP2.5-75</v>
          </cell>
          <cell r="C1730" t="str">
            <v>HDPE Pipe(75mm) - 2.5 kgf/cm2</v>
          </cell>
          <cell r="J1730" t="str">
            <v>m</v>
          </cell>
        </row>
        <row r="1731">
          <cell r="B1731" t="str">
            <v>GPM-15</v>
          </cell>
          <cell r="C1731" t="str">
            <v>G.I. Pipe (1/2") - MC</v>
          </cell>
          <cell r="J1731" t="str">
            <v>m</v>
          </cell>
        </row>
        <row r="1732">
          <cell r="B1732" t="str">
            <v>GEL-15</v>
          </cell>
          <cell r="C1732" t="str">
            <v xml:space="preserve">G.I. Elbow (1/2") </v>
          </cell>
          <cell r="J1732" t="str">
            <v>pc</v>
          </cell>
        </row>
        <row r="1733">
          <cell r="B1733" t="str">
            <v>GSO-15</v>
          </cell>
          <cell r="C1733" t="str">
            <v>G.I. Socket (1/2")</v>
          </cell>
          <cell r="J1733" t="str">
            <v>pc</v>
          </cell>
        </row>
        <row r="1734">
          <cell r="B1734" t="str">
            <v>BT400-15</v>
          </cell>
          <cell r="C1734" t="str">
            <v>Brass Tap ( 400g )</v>
          </cell>
          <cell r="J1734" t="str">
            <v>pc</v>
          </cell>
        </row>
        <row r="1735">
          <cell r="B1735" t="str">
            <v>BU-20</v>
          </cell>
          <cell r="C1735" t="str">
            <v>Brass Union  (20mm x 1/2")</v>
          </cell>
          <cell r="J1735" t="str">
            <v>pc</v>
          </cell>
        </row>
        <row r="1736">
          <cell r="B1736" t="str">
            <v>BRT-15</v>
          </cell>
          <cell r="C1736" t="str">
            <v>Regulating Tee (1/2")</v>
          </cell>
          <cell r="J1736" t="str">
            <v>pc</v>
          </cell>
        </row>
      </sheetData>
      <sheetData sheetId="26" refreshError="1">
        <row r="4">
          <cell r="H4">
            <v>2</v>
          </cell>
        </row>
        <row r="5">
          <cell r="B5" t="str">
            <v>I-01</v>
          </cell>
          <cell r="C5" t="str">
            <v>Earth Work in Excavation</v>
          </cell>
          <cell r="I5">
            <v>0</v>
          </cell>
          <cell r="J5" t="str">
            <v>m3</v>
          </cell>
        </row>
        <row r="6">
          <cell r="C6" t="str">
            <v>Achore block</v>
          </cell>
          <cell r="D6">
            <v>2</v>
          </cell>
          <cell r="H6">
            <v>0</v>
          </cell>
        </row>
        <row r="9">
          <cell r="B9" t="str">
            <v>I-02</v>
          </cell>
          <cell r="C9" t="str">
            <v>Earth Work in Backfilling</v>
          </cell>
          <cell r="I9">
            <v>0</v>
          </cell>
          <cell r="J9" t="str">
            <v>m3</v>
          </cell>
        </row>
        <row r="13">
          <cell r="B13" t="str">
            <v>I-03</v>
          </cell>
          <cell r="C13" t="str">
            <v>Dry Stone Soling</v>
          </cell>
          <cell r="I13">
            <v>0</v>
          </cell>
          <cell r="J13" t="str">
            <v>m3</v>
          </cell>
        </row>
        <row r="17">
          <cell r="B17" t="str">
            <v>I-04</v>
          </cell>
          <cell r="C17" t="str">
            <v>P.C.C. (1:2:4)</v>
          </cell>
          <cell r="I17">
            <v>0</v>
          </cell>
          <cell r="J17" t="str">
            <v>m3</v>
          </cell>
        </row>
        <row r="21">
          <cell r="B21" t="str">
            <v>I-05</v>
          </cell>
          <cell r="C21" t="str">
            <v>P.C.C. for Pre-cast Slab (1:2:4)</v>
          </cell>
          <cell r="I21">
            <v>0</v>
          </cell>
          <cell r="J21" t="str">
            <v>m3</v>
          </cell>
        </row>
        <row r="25">
          <cell r="B25" t="str">
            <v>I-06</v>
          </cell>
          <cell r="C25" t="str">
            <v>P.C.C. for R.C.C. (1:2:4)</v>
          </cell>
          <cell r="I25">
            <v>0</v>
          </cell>
          <cell r="J25" t="str">
            <v>m3</v>
          </cell>
        </row>
        <row r="29">
          <cell r="B29" t="str">
            <v>I-07</v>
          </cell>
          <cell r="C29" t="str">
            <v>Random Rubble Masonry (1:4)</v>
          </cell>
          <cell r="I29">
            <v>0</v>
          </cell>
          <cell r="J29" t="str">
            <v>m3</v>
          </cell>
        </row>
        <row r="30">
          <cell r="C30" t="str">
            <v>Anchore block</v>
          </cell>
          <cell r="D30">
            <v>2</v>
          </cell>
          <cell r="H30">
            <v>0</v>
          </cell>
        </row>
        <row r="33">
          <cell r="B33" t="str">
            <v>I-08</v>
          </cell>
          <cell r="C33" t="str">
            <v>Random Rubble Masonry (1:6)</v>
          </cell>
          <cell r="I33">
            <v>0</v>
          </cell>
          <cell r="J33" t="str">
            <v>m3</v>
          </cell>
        </row>
        <row r="37">
          <cell r="B37" t="str">
            <v>I-09</v>
          </cell>
          <cell r="C37" t="str">
            <v>Dry Stone masonry</v>
          </cell>
          <cell r="I37">
            <v>0</v>
          </cell>
          <cell r="J37" t="str">
            <v>m3</v>
          </cell>
        </row>
        <row r="41">
          <cell r="B41" t="str">
            <v>I-10</v>
          </cell>
          <cell r="C41" t="str">
            <v>Form Work for P.C.C.</v>
          </cell>
          <cell r="I41">
            <v>0</v>
          </cell>
          <cell r="J41" t="str">
            <v>m2</v>
          </cell>
        </row>
        <row r="45">
          <cell r="B45" t="str">
            <v>I-11</v>
          </cell>
          <cell r="C45" t="str">
            <v>12.5mm Cement Plaster (1:2)</v>
          </cell>
          <cell r="I45">
            <v>0</v>
          </cell>
          <cell r="J45" t="str">
            <v>m2</v>
          </cell>
        </row>
        <row r="49">
          <cell r="B49" t="str">
            <v>I-12</v>
          </cell>
          <cell r="C49" t="str">
            <v>12.5mm Cement Plaster (1:3)</v>
          </cell>
          <cell r="I49">
            <v>0</v>
          </cell>
          <cell r="J49" t="str">
            <v>m2</v>
          </cell>
        </row>
        <row r="53">
          <cell r="B53" t="str">
            <v>I-13</v>
          </cell>
          <cell r="C53" t="str">
            <v>12.5mm Cement Plaster (1:4)</v>
          </cell>
          <cell r="I53">
            <v>0</v>
          </cell>
          <cell r="J53" t="str">
            <v>m2</v>
          </cell>
        </row>
        <row r="57">
          <cell r="B57" t="str">
            <v>I-14</v>
          </cell>
          <cell r="C57" t="str">
            <v>Cement Pointing (1:3)</v>
          </cell>
          <cell r="I57">
            <v>0</v>
          </cell>
          <cell r="J57" t="str">
            <v>m2</v>
          </cell>
        </row>
        <row r="61">
          <cell r="B61" t="str">
            <v>I-15</v>
          </cell>
          <cell r="C61" t="str">
            <v>3mm Cement Punning</v>
          </cell>
          <cell r="I61">
            <v>0</v>
          </cell>
          <cell r="J61" t="str">
            <v>m2</v>
          </cell>
        </row>
        <row r="65">
          <cell r="B65" t="str">
            <v>I-16A</v>
          </cell>
          <cell r="C65" t="str">
            <v>Bar Binding for R.C.C. (10mm bar)</v>
          </cell>
          <cell r="I65">
            <v>0</v>
          </cell>
          <cell r="J65" t="str">
            <v>Kg</v>
          </cell>
        </row>
        <row r="69">
          <cell r="B69" t="str">
            <v>I-16B</v>
          </cell>
          <cell r="C69" t="str">
            <v>Bar Binding for R.C.C. (6mm bar)</v>
          </cell>
          <cell r="I69">
            <v>0</v>
          </cell>
          <cell r="J69" t="str">
            <v>Kg</v>
          </cell>
        </row>
        <row r="73">
          <cell r="B73" t="str">
            <v>I-17</v>
          </cell>
          <cell r="C73" t="str">
            <v>Bar Binding for Ferro-Cement Works</v>
          </cell>
          <cell r="I73">
            <v>0</v>
          </cell>
          <cell r="J73" t="str">
            <v>m2</v>
          </cell>
        </row>
        <row r="77">
          <cell r="B77" t="str">
            <v>I-18</v>
          </cell>
          <cell r="C77" t="str">
            <v>Formwork for Ferro-Cement Works</v>
          </cell>
          <cell r="I77">
            <v>0</v>
          </cell>
          <cell r="J77" t="str">
            <v>m2</v>
          </cell>
        </row>
        <row r="81">
          <cell r="B81" t="str">
            <v>I-19</v>
          </cell>
          <cell r="C81" t="str">
            <v>Cement Plaster for Ferro-Cement Work (1:3)</v>
          </cell>
          <cell r="I81">
            <v>0</v>
          </cell>
          <cell r="J81" t="str">
            <v>m2</v>
          </cell>
        </row>
        <row r="85">
          <cell r="B85" t="str">
            <v>I-20</v>
          </cell>
          <cell r="C85" t="str">
            <v>Formwork for Precast RCC Work</v>
          </cell>
          <cell r="I85">
            <v>0</v>
          </cell>
          <cell r="J85" t="str">
            <v>m2</v>
          </cell>
        </row>
        <row r="89">
          <cell r="B89" t="str">
            <v>I-21</v>
          </cell>
          <cell r="C89" t="str">
            <v>Cement Painting</v>
          </cell>
          <cell r="I89">
            <v>0</v>
          </cell>
          <cell r="J89" t="str">
            <v>m2</v>
          </cell>
        </row>
        <row r="93">
          <cell r="B93" t="str">
            <v>I-22</v>
          </cell>
          <cell r="C93" t="str">
            <v>Trench digging</v>
          </cell>
          <cell r="I93">
            <v>0</v>
          </cell>
          <cell r="J93" t="str">
            <v>m3</v>
          </cell>
        </row>
        <row r="97">
          <cell r="B97" t="str">
            <v>I-23</v>
          </cell>
          <cell r="C97" t="str">
            <v>Trench backfilling</v>
          </cell>
          <cell r="I97">
            <v>0</v>
          </cell>
          <cell r="J97" t="str">
            <v>m3</v>
          </cell>
        </row>
        <row r="101">
          <cell r="B101" t="str">
            <v>I-24</v>
          </cell>
          <cell r="C101" t="str">
            <v>Gabion Box (2mX1mX1m)</v>
          </cell>
          <cell r="I101">
            <v>0</v>
          </cell>
          <cell r="J101" t="str">
            <v>No</v>
          </cell>
        </row>
        <row r="104">
          <cell r="B104" t="str">
            <v>I-25</v>
          </cell>
          <cell r="C104" t="str">
            <v>Gabion Box (3mX1mX1m)</v>
          </cell>
          <cell r="I104">
            <v>0</v>
          </cell>
          <cell r="J104" t="str">
            <v>No</v>
          </cell>
        </row>
        <row r="108">
          <cell r="B108" t="str">
            <v>M-16</v>
          </cell>
          <cell r="C108" t="str">
            <v>Angle Pole</v>
          </cell>
          <cell r="J108" t="str">
            <v>pc</v>
          </cell>
        </row>
        <row r="109">
          <cell r="B109" t="str">
            <v>M-17</v>
          </cell>
          <cell r="C109" t="str">
            <v>Angle Pole for Gate</v>
          </cell>
          <cell r="J109" t="str">
            <v>pc</v>
          </cell>
        </row>
        <row r="110">
          <cell r="B110" t="str">
            <v>M-18</v>
          </cell>
          <cell r="C110" t="str">
            <v>Corner Angle Pole</v>
          </cell>
          <cell r="J110" t="str">
            <v>pc</v>
          </cell>
        </row>
        <row r="111">
          <cell r="B111" t="str">
            <v>M-19</v>
          </cell>
          <cell r="C111" t="str">
            <v>Bracing Angle Pole</v>
          </cell>
          <cell r="J111" t="str">
            <v>pc</v>
          </cell>
        </row>
        <row r="112">
          <cell r="B112" t="str">
            <v>M-20</v>
          </cell>
          <cell r="C112" t="str">
            <v>Polythene Sheet</v>
          </cell>
          <cell r="J112" t="str">
            <v>m</v>
          </cell>
        </row>
        <row r="113">
          <cell r="B113" t="str">
            <v>M-21</v>
          </cell>
          <cell r="C113" t="str">
            <v>Barbed Wire</v>
          </cell>
          <cell r="J113" t="str">
            <v>kg</v>
          </cell>
        </row>
        <row r="114">
          <cell r="B114" t="str">
            <v>M-22</v>
          </cell>
          <cell r="C114" t="str">
            <v>Fencing Post</v>
          </cell>
          <cell r="J114" t="str">
            <v>pc</v>
          </cell>
        </row>
        <row r="115">
          <cell r="B115" t="str">
            <v>M-23</v>
          </cell>
          <cell r="C115" t="str">
            <v>Angle Gate</v>
          </cell>
          <cell r="J115" t="str">
            <v>pc</v>
          </cell>
        </row>
        <row r="116">
          <cell r="B116" t="str">
            <v>M-24</v>
          </cell>
          <cell r="C116" t="str">
            <v>4" Hinges</v>
          </cell>
          <cell r="J116" t="str">
            <v>pc</v>
          </cell>
        </row>
        <row r="117">
          <cell r="B117" t="str">
            <v>M-25</v>
          </cell>
          <cell r="C117" t="str">
            <v>10" Aldrop</v>
          </cell>
          <cell r="J117" t="str">
            <v>pc</v>
          </cell>
        </row>
        <row r="118">
          <cell r="B118" t="str">
            <v>M-26</v>
          </cell>
          <cell r="C118" t="str">
            <v>Gate Lock Key</v>
          </cell>
          <cell r="J118" t="str">
            <v>pc</v>
          </cell>
        </row>
        <row r="119">
          <cell r="B119" t="str">
            <v>M-27</v>
          </cell>
          <cell r="C119" t="str">
            <v>Nut with bolt (8mm dia)</v>
          </cell>
          <cell r="J119" t="str">
            <v>pc</v>
          </cell>
        </row>
        <row r="120">
          <cell r="B120" t="str">
            <v>M-28</v>
          </cell>
          <cell r="C120" t="str">
            <v>Screws</v>
          </cell>
          <cell r="J120" t="str">
            <v>pc</v>
          </cell>
        </row>
        <row r="121">
          <cell r="B121" t="str">
            <v>M-29</v>
          </cell>
          <cell r="C121" t="str">
            <v>GI sheet Plain (3'x7')</v>
          </cell>
          <cell r="J121" t="str">
            <v>pc</v>
          </cell>
        </row>
        <row r="122">
          <cell r="B122" t="str">
            <v>M-30</v>
          </cell>
          <cell r="C122" t="str">
            <v>Manhole Cover (Circular)</v>
          </cell>
          <cell r="J122" t="str">
            <v>pc</v>
          </cell>
        </row>
        <row r="123">
          <cell r="B123" t="str">
            <v>M-31</v>
          </cell>
          <cell r="C123" t="str">
            <v>Manhole Cover (Square)</v>
          </cell>
          <cell r="J123" t="str">
            <v>pc</v>
          </cell>
        </row>
        <row r="124">
          <cell r="B124" t="str">
            <v>M-32</v>
          </cell>
          <cell r="C124" t="str">
            <v>Manhole Cover (Rectangle)</v>
          </cell>
          <cell r="J124" t="str">
            <v>pc</v>
          </cell>
        </row>
        <row r="125">
          <cell r="B125" t="str">
            <v>M-33</v>
          </cell>
          <cell r="C125" t="str">
            <v>Small Slab Frame (55x55)</v>
          </cell>
          <cell r="J125" t="str">
            <v>pc</v>
          </cell>
        </row>
        <row r="126">
          <cell r="B126" t="str">
            <v>M-34</v>
          </cell>
          <cell r="C126" t="str">
            <v>Big Slab Frame (75x75)</v>
          </cell>
          <cell r="J126" t="str">
            <v>pc</v>
          </cell>
        </row>
        <row r="127">
          <cell r="B127" t="str">
            <v>M-36</v>
          </cell>
          <cell r="C127" t="str">
            <v>Lime</v>
          </cell>
          <cell r="J127" t="str">
            <v>kg</v>
          </cell>
        </row>
        <row r="128">
          <cell r="B128" t="str">
            <v>M-41</v>
          </cell>
          <cell r="C128" t="str">
            <v>Suspension Cable (8mm)</v>
          </cell>
          <cell r="J128" t="str">
            <v>m</v>
          </cell>
        </row>
        <row r="129">
          <cell r="B129" t="str">
            <v>M-42</v>
          </cell>
          <cell r="C129" t="str">
            <v>Suspension Cable (13mm)</v>
          </cell>
          <cell r="J129" t="str">
            <v>m</v>
          </cell>
        </row>
        <row r="130">
          <cell r="B130" t="str">
            <v>M-43</v>
          </cell>
          <cell r="C130" t="str">
            <v>Bulldog Grips (8mm)</v>
          </cell>
          <cell r="J130" t="str">
            <v>pc</v>
          </cell>
        </row>
        <row r="131">
          <cell r="B131" t="str">
            <v>M-44</v>
          </cell>
          <cell r="C131" t="str">
            <v>Bulldog Grips (13mm)</v>
          </cell>
          <cell r="J131" t="str">
            <v>pc</v>
          </cell>
        </row>
        <row r="132">
          <cell r="B132" t="str">
            <v>M-45</v>
          </cell>
          <cell r="C132" t="str">
            <v>PE Tank 200 ltrs.</v>
          </cell>
          <cell r="J132" t="str">
            <v>pc</v>
          </cell>
        </row>
        <row r="133">
          <cell r="B133" t="str">
            <v>M-46</v>
          </cell>
          <cell r="C133" t="str">
            <v>Tapstand Grid</v>
          </cell>
          <cell r="J133" t="str">
            <v>pc</v>
          </cell>
        </row>
        <row r="134">
          <cell r="B134" t="str">
            <v>M-47</v>
          </cell>
          <cell r="C134" t="str">
            <v>Anchor Bolt (1/2")</v>
          </cell>
          <cell r="J134" t="str">
            <v>pc</v>
          </cell>
        </row>
        <row r="135">
          <cell r="B135" t="str">
            <v>M-48</v>
          </cell>
          <cell r="C135" t="str">
            <v>Anchor Bolt (1")</v>
          </cell>
          <cell r="J135" t="str">
            <v>pc</v>
          </cell>
        </row>
        <row r="136">
          <cell r="B136" t="str">
            <v>M-49</v>
          </cell>
          <cell r="C136" t="str">
            <v>Anchor Bolt (1 1/2")</v>
          </cell>
          <cell r="J136" t="str">
            <v>pc</v>
          </cell>
        </row>
        <row r="137">
          <cell r="B137" t="str">
            <v>M-50</v>
          </cell>
          <cell r="C137" t="str">
            <v>Anchor Bolt (2")</v>
          </cell>
          <cell r="J137" t="str">
            <v>pc</v>
          </cell>
        </row>
        <row r="138">
          <cell r="B138" t="str">
            <v>M-01</v>
          </cell>
          <cell r="C138" t="str">
            <v>Cement</v>
          </cell>
          <cell r="I138">
            <v>0</v>
          </cell>
          <cell r="J138" t="str">
            <v>bag</v>
          </cell>
        </row>
        <row r="139">
          <cell r="B139" t="str">
            <v>M-02</v>
          </cell>
          <cell r="C139" t="str">
            <v>Sand</v>
          </cell>
          <cell r="I139">
            <v>0</v>
          </cell>
          <cell r="J139" t="str">
            <v>m3</v>
          </cell>
        </row>
        <row r="140">
          <cell r="B140" t="str">
            <v>M-03</v>
          </cell>
          <cell r="C140" t="str">
            <v>Block Stone</v>
          </cell>
          <cell r="I140">
            <v>0</v>
          </cell>
          <cell r="J140" t="str">
            <v>m3</v>
          </cell>
        </row>
        <row r="141">
          <cell r="B141" t="str">
            <v>M-04</v>
          </cell>
          <cell r="C141" t="str">
            <v>Bond Stone</v>
          </cell>
          <cell r="I141">
            <v>0</v>
          </cell>
          <cell r="J141" t="str">
            <v>m3</v>
          </cell>
        </row>
        <row r="142">
          <cell r="B142" t="str">
            <v>M-05</v>
          </cell>
          <cell r="C142" t="str">
            <v>Aggregate (5-10mm)</v>
          </cell>
          <cell r="I142">
            <v>0</v>
          </cell>
          <cell r="J142" t="str">
            <v>m3</v>
          </cell>
        </row>
        <row r="143">
          <cell r="B143" t="str">
            <v>M-06</v>
          </cell>
          <cell r="C143" t="str">
            <v>Aggregate (10-20mm)</v>
          </cell>
          <cell r="I143">
            <v>0</v>
          </cell>
          <cell r="J143" t="str">
            <v>m3</v>
          </cell>
        </row>
        <row r="144">
          <cell r="B144" t="str">
            <v>M-07</v>
          </cell>
          <cell r="C144" t="str">
            <v>Aggregate (20-40mm)</v>
          </cell>
          <cell r="I144">
            <v>0</v>
          </cell>
          <cell r="J144" t="str">
            <v>m3</v>
          </cell>
        </row>
        <row r="145">
          <cell r="B145" t="str">
            <v>M-08</v>
          </cell>
          <cell r="C145" t="str">
            <v>Project Information Board</v>
          </cell>
          <cell r="J145" t="str">
            <v>set</v>
          </cell>
        </row>
        <row r="146">
          <cell r="B146" t="str">
            <v>M-09</v>
          </cell>
          <cell r="C146" t="str">
            <v>Reinforcement ( 6mm)</v>
          </cell>
          <cell r="I146">
            <v>0</v>
          </cell>
          <cell r="J146" t="str">
            <v>kg</v>
          </cell>
        </row>
        <row r="147">
          <cell r="B147" t="str">
            <v>M-10</v>
          </cell>
          <cell r="C147" t="str">
            <v>Reinforcement ( 8mm)</v>
          </cell>
          <cell r="J147" t="str">
            <v>kg</v>
          </cell>
        </row>
        <row r="148">
          <cell r="B148" t="str">
            <v>M-11</v>
          </cell>
          <cell r="C148" t="str">
            <v>Reinforcement (10mm)</v>
          </cell>
          <cell r="I148">
            <v>0</v>
          </cell>
          <cell r="J148" t="str">
            <v>kg</v>
          </cell>
        </row>
        <row r="149">
          <cell r="B149" t="str">
            <v>M-12</v>
          </cell>
          <cell r="C149" t="str">
            <v>Binding wire</v>
          </cell>
          <cell r="I149">
            <v>0</v>
          </cell>
          <cell r="J149" t="str">
            <v>kg</v>
          </cell>
        </row>
        <row r="150">
          <cell r="B150" t="str">
            <v>M-13</v>
          </cell>
          <cell r="C150" t="str">
            <v>Plain wire (3.5 mm dia)</v>
          </cell>
          <cell r="I150">
            <v>0</v>
          </cell>
          <cell r="J150" t="str">
            <v>kg</v>
          </cell>
        </row>
        <row r="151">
          <cell r="B151" t="str">
            <v>M-14</v>
          </cell>
          <cell r="C151" t="str">
            <v>Chicken wire mesh (3 Ft wide)</v>
          </cell>
          <cell r="I151">
            <v>0</v>
          </cell>
          <cell r="J151" t="str">
            <v>m</v>
          </cell>
        </row>
        <row r="152">
          <cell r="B152" t="str">
            <v>M-15</v>
          </cell>
          <cell r="C152" t="str">
            <v>Bamboo</v>
          </cell>
          <cell r="I152">
            <v>0</v>
          </cell>
          <cell r="J152" t="str">
            <v>pc</v>
          </cell>
        </row>
        <row r="153">
          <cell r="B153" t="str">
            <v>M-35</v>
          </cell>
          <cell r="C153" t="str">
            <v>Cement Paint</v>
          </cell>
          <cell r="I153">
            <v>0</v>
          </cell>
          <cell r="J153" t="str">
            <v>kg</v>
          </cell>
        </row>
        <row r="154">
          <cell r="B154" t="str">
            <v>M-37</v>
          </cell>
          <cell r="C154" t="str">
            <v>GI Selwage Wire (8g)</v>
          </cell>
          <cell r="J154" t="str">
            <v>kg</v>
          </cell>
        </row>
        <row r="155">
          <cell r="B155" t="str">
            <v>M-38</v>
          </cell>
          <cell r="C155" t="str">
            <v>GI Mesh Wire (10g)</v>
          </cell>
          <cell r="J155" t="str">
            <v>kg</v>
          </cell>
        </row>
        <row r="156">
          <cell r="B156" t="str">
            <v>M-39</v>
          </cell>
          <cell r="C156" t="str">
            <v>Wood for Formwork</v>
          </cell>
          <cell r="I156">
            <v>0</v>
          </cell>
          <cell r="J156" t="str">
            <v>m3</v>
          </cell>
        </row>
        <row r="157">
          <cell r="B157" t="str">
            <v>M-40</v>
          </cell>
          <cell r="C157" t="str">
            <v>Nails</v>
          </cell>
          <cell r="I157">
            <v>0</v>
          </cell>
          <cell r="J157" t="str">
            <v>kg</v>
          </cell>
        </row>
        <row r="158">
          <cell r="B158" t="str">
            <v>L-1</v>
          </cell>
          <cell r="C158" t="str">
            <v>Skilled Labour</v>
          </cell>
          <cell r="I158">
            <v>0</v>
          </cell>
          <cell r="J158" t="str">
            <v>md</v>
          </cell>
        </row>
        <row r="159">
          <cell r="B159" t="str">
            <v>L-2</v>
          </cell>
          <cell r="C159" t="str">
            <v>Unskilled Labour</v>
          </cell>
          <cell r="I159">
            <v>0</v>
          </cell>
          <cell r="J159" t="str">
            <v>md</v>
          </cell>
        </row>
        <row r="160">
          <cell r="C160" t="str">
            <v>FITTINGS/EXTRA MATERIALS</v>
          </cell>
        </row>
        <row r="161">
          <cell r="C161" t="str">
            <v>Inlet Pipe Dia</v>
          </cell>
          <cell r="D161">
            <v>0</v>
          </cell>
        </row>
        <row r="162">
          <cell r="C162" t="str">
            <v>Outlet Pipe Dia</v>
          </cell>
          <cell r="D162">
            <v>0</v>
          </cell>
        </row>
        <row r="163">
          <cell r="C163" t="str">
            <v>Overflow Pipe Dia</v>
          </cell>
          <cell r="D163">
            <v>0</v>
          </cell>
        </row>
        <row r="164">
          <cell r="C164" t="str">
            <v>Washout Pipe Dia</v>
          </cell>
          <cell r="D164">
            <v>0</v>
          </cell>
        </row>
        <row r="165">
          <cell r="B165" t="str">
            <v>GPM-20</v>
          </cell>
          <cell r="C165" t="str">
            <v>G.I. Pipe (3/4") - MC</v>
          </cell>
          <cell r="I165">
            <v>2.4</v>
          </cell>
          <cell r="J165" t="str">
            <v>m</v>
          </cell>
        </row>
        <row r="166">
          <cell r="B166" t="str">
            <v>GPM-20</v>
          </cell>
          <cell r="C166" t="str">
            <v>G.I. Pipe (3/4") - MC</v>
          </cell>
          <cell r="I166">
            <v>1.2</v>
          </cell>
          <cell r="J166" t="str">
            <v>m</v>
          </cell>
        </row>
        <row r="167">
          <cell r="B167" t="str">
            <v>GEL-20</v>
          </cell>
          <cell r="C167" t="str">
            <v xml:space="preserve">G.I. Elbow (3/4") </v>
          </cell>
          <cell r="I167">
            <v>8</v>
          </cell>
          <cell r="J167" t="str">
            <v>pc</v>
          </cell>
        </row>
        <row r="168">
          <cell r="C168">
            <v>8</v>
          </cell>
          <cell r="I168">
            <v>0</v>
          </cell>
          <cell r="J168">
            <v>0</v>
          </cell>
        </row>
        <row r="169">
          <cell r="B169" t="str">
            <v>BU-25</v>
          </cell>
          <cell r="C169" t="str">
            <v>Brass Union  (25mm x 3/4")</v>
          </cell>
          <cell r="I169">
            <v>4</v>
          </cell>
          <cell r="J169" t="str">
            <v>pc</v>
          </cell>
        </row>
        <row r="170">
          <cell r="C170">
            <v>4</v>
          </cell>
          <cell r="I170">
            <v>0</v>
          </cell>
          <cell r="J170">
            <v>0</v>
          </cell>
        </row>
        <row r="171">
          <cell r="C171">
            <v>0</v>
          </cell>
          <cell r="I171">
            <v>0</v>
          </cell>
          <cell r="J171">
            <v>0</v>
          </cell>
        </row>
        <row r="172">
          <cell r="C172">
            <v>0</v>
          </cell>
          <cell r="I172">
            <v>0</v>
          </cell>
          <cell r="J172">
            <v>0</v>
          </cell>
        </row>
        <row r="174">
          <cell r="H174">
            <v>0</v>
          </cell>
        </row>
        <row r="175">
          <cell r="B175" t="str">
            <v>I-01</v>
          </cell>
          <cell r="C175" t="str">
            <v>Earth Work in Excavation</v>
          </cell>
          <cell r="I175">
            <v>0</v>
          </cell>
          <cell r="J175" t="str">
            <v>m3</v>
          </cell>
        </row>
        <row r="179">
          <cell r="B179" t="str">
            <v>I-02</v>
          </cell>
          <cell r="C179" t="str">
            <v>Earth Work in Backfilling</v>
          </cell>
          <cell r="I179">
            <v>0</v>
          </cell>
          <cell r="J179" t="str">
            <v>m3</v>
          </cell>
        </row>
        <row r="183">
          <cell r="B183" t="str">
            <v>I-03</v>
          </cell>
          <cell r="C183" t="str">
            <v>Dry Stone Soling</v>
          </cell>
          <cell r="I183">
            <v>0</v>
          </cell>
          <cell r="J183" t="str">
            <v>m3</v>
          </cell>
        </row>
        <row r="187">
          <cell r="B187" t="str">
            <v>I-04</v>
          </cell>
          <cell r="C187" t="str">
            <v>P.C.C. (1:2:4)</v>
          </cell>
          <cell r="I187">
            <v>0</v>
          </cell>
          <cell r="J187" t="str">
            <v>m3</v>
          </cell>
        </row>
        <row r="191">
          <cell r="B191" t="str">
            <v>I-05</v>
          </cell>
          <cell r="C191" t="str">
            <v>P.C.C. for Pre-cast Slab (1:2:4)</v>
          </cell>
          <cell r="I191">
            <v>0</v>
          </cell>
          <cell r="J191" t="str">
            <v>m3</v>
          </cell>
        </row>
        <row r="195">
          <cell r="B195" t="str">
            <v>I-06</v>
          </cell>
          <cell r="C195" t="str">
            <v>P.C.C. for R.C.C. (1:2:4)</v>
          </cell>
          <cell r="I195">
            <v>0</v>
          </cell>
          <cell r="J195" t="str">
            <v>m3</v>
          </cell>
        </row>
        <row r="199">
          <cell r="B199" t="str">
            <v>I-07</v>
          </cell>
          <cell r="C199" t="str">
            <v>Random Rubble Masonry (1:4)</v>
          </cell>
          <cell r="I199">
            <v>0</v>
          </cell>
          <cell r="J199" t="str">
            <v>m3</v>
          </cell>
        </row>
        <row r="203">
          <cell r="B203" t="str">
            <v>I-08</v>
          </cell>
          <cell r="C203" t="str">
            <v>Random Rubble Masonry (1:6)</v>
          </cell>
          <cell r="I203">
            <v>0</v>
          </cell>
          <cell r="J203" t="str">
            <v>m3</v>
          </cell>
        </row>
        <row r="207">
          <cell r="B207" t="str">
            <v>I-09</v>
          </cell>
          <cell r="C207" t="str">
            <v>Dry Stone masonry</v>
          </cell>
          <cell r="I207">
            <v>0</v>
          </cell>
          <cell r="J207" t="str">
            <v>m3</v>
          </cell>
        </row>
        <row r="211">
          <cell r="B211" t="str">
            <v>I-10</v>
          </cell>
          <cell r="C211" t="str">
            <v>Form Work for P.C.C.</v>
          </cell>
          <cell r="I211">
            <v>0</v>
          </cell>
          <cell r="J211" t="str">
            <v>m2</v>
          </cell>
        </row>
        <row r="215">
          <cell r="B215" t="str">
            <v>I-11</v>
          </cell>
          <cell r="C215" t="str">
            <v>12.5mm Cement Plaster (1:2)</v>
          </cell>
          <cell r="I215">
            <v>0</v>
          </cell>
          <cell r="J215" t="str">
            <v>m2</v>
          </cell>
        </row>
        <row r="219">
          <cell r="B219" t="str">
            <v>I-12</v>
          </cell>
          <cell r="C219" t="str">
            <v>12.5mm Cement Plaster (1:3)</v>
          </cell>
          <cell r="I219">
            <v>0</v>
          </cell>
          <cell r="J219" t="str">
            <v>m2</v>
          </cell>
        </row>
        <row r="223">
          <cell r="B223" t="str">
            <v>I-13</v>
          </cell>
          <cell r="C223" t="str">
            <v>12.5mm Cement Plaster (1:4)</v>
          </cell>
          <cell r="I223">
            <v>0</v>
          </cell>
          <cell r="J223" t="str">
            <v>m2</v>
          </cell>
        </row>
        <row r="227">
          <cell r="B227" t="str">
            <v>I-14</v>
          </cell>
          <cell r="C227" t="str">
            <v>Cement Pointing (1:3)</v>
          </cell>
          <cell r="I227">
            <v>0</v>
          </cell>
          <cell r="J227" t="str">
            <v>m2</v>
          </cell>
        </row>
        <row r="231">
          <cell r="B231" t="str">
            <v>I-15</v>
          </cell>
          <cell r="C231" t="str">
            <v>3mm Cement Punning</v>
          </cell>
          <cell r="I231">
            <v>0</v>
          </cell>
          <cell r="J231" t="str">
            <v>m2</v>
          </cell>
        </row>
        <row r="235">
          <cell r="B235" t="str">
            <v>I-16A</v>
          </cell>
          <cell r="C235" t="str">
            <v>Bar Binding for R.C.C. (10mm bar)</v>
          </cell>
          <cell r="I235">
            <v>0</v>
          </cell>
          <cell r="J235" t="str">
            <v>Kg</v>
          </cell>
        </row>
        <row r="239">
          <cell r="B239" t="str">
            <v>I-16B</v>
          </cell>
          <cell r="C239" t="str">
            <v>Bar Binding for R.C.C. (6mm bar)</v>
          </cell>
          <cell r="I239">
            <v>0</v>
          </cell>
          <cell r="J239" t="str">
            <v>Kg</v>
          </cell>
        </row>
        <row r="243">
          <cell r="B243" t="str">
            <v>I-17</v>
          </cell>
          <cell r="C243" t="str">
            <v>Bar Binding for Ferro-Cement Works</v>
          </cell>
          <cell r="I243">
            <v>0</v>
          </cell>
          <cell r="J243" t="str">
            <v>m2</v>
          </cell>
        </row>
        <row r="247">
          <cell r="B247" t="str">
            <v>I-18</v>
          </cell>
          <cell r="C247" t="str">
            <v>Formwork for Ferro-Cement Works</v>
          </cell>
          <cell r="I247">
            <v>0</v>
          </cell>
          <cell r="J247" t="str">
            <v>m2</v>
          </cell>
        </row>
        <row r="251">
          <cell r="B251" t="str">
            <v>I-19</v>
          </cell>
          <cell r="C251" t="str">
            <v>Cement Plaster for Ferro-Cement Work (1:3)</v>
          </cell>
          <cell r="I251">
            <v>0</v>
          </cell>
          <cell r="J251" t="str">
            <v>m2</v>
          </cell>
        </row>
        <row r="255">
          <cell r="B255" t="str">
            <v>I-20</v>
          </cell>
          <cell r="C255" t="str">
            <v>Formwork for Precast RCC Work</v>
          </cell>
          <cell r="I255">
            <v>0</v>
          </cell>
          <cell r="J255" t="str">
            <v>m2</v>
          </cell>
        </row>
        <row r="259">
          <cell r="B259" t="str">
            <v>I-21</v>
          </cell>
          <cell r="C259" t="str">
            <v>Cement Painting</v>
          </cell>
          <cell r="I259">
            <v>0</v>
          </cell>
          <cell r="J259" t="str">
            <v>m2</v>
          </cell>
        </row>
        <row r="263">
          <cell r="B263" t="str">
            <v>I-22</v>
          </cell>
          <cell r="C263" t="str">
            <v>Trench digging</v>
          </cell>
          <cell r="I263">
            <v>0</v>
          </cell>
          <cell r="J263" t="str">
            <v>m3</v>
          </cell>
        </row>
        <row r="267">
          <cell r="B267" t="str">
            <v>I-23</v>
          </cell>
          <cell r="C267" t="str">
            <v>Trench backfilling</v>
          </cell>
          <cell r="I267">
            <v>0</v>
          </cell>
          <cell r="J267" t="str">
            <v>m3</v>
          </cell>
        </row>
        <row r="271">
          <cell r="B271" t="str">
            <v>I-24</v>
          </cell>
          <cell r="C271" t="str">
            <v>Gabion Box (2mX1mX1m)</v>
          </cell>
          <cell r="I271">
            <v>0</v>
          </cell>
          <cell r="J271" t="str">
            <v>No</v>
          </cell>
        </row>
        <row r="274">
          <cell r="B274" t="str">
            <v>I-25</v>
          </cell>
          <cell r="C274" t="str">
            <v>Gabion Box (3mX1mX1m)</v>
          </cell>
          <cell r="I274">
            <v>0</v>
          </cell>
          <cell r="J274" t="str">
            <v>No</v>
          </cell>
        </row>
        <row r="278">
          <cell r="B278" t="str">
            <v>M-16</v>
          </cell>
          <cell r="C278" t="str">
            <v>Angle Pole</v>
          </cell>
          <cell r="J278" t="str">
            <v>pc</v>
          </cell>
        </row>
        <row r="279">
          <cell r="B279" t="str">
            <v>M-17</v>
          </cell>
          <cell r="C279" t="str">
            <v>Angle Pole for Gate</v>
          </cell>
          <cell r="J279" t="str">
            <v>pc</v>
          </cell>
        </row>
        <row r="280">
          <cell r="B280" t="str">
            <v>M-18</v>
          </cell>
          <cell r="C280" t="str">
            <v>Corner Angle Pole</v>
          </cell>
          <cell r="J280" t="str">
            <v>pc</v>
          </cell>
        </row>
        <row r="281">
          <cell r="B281" t="str">
            <v>M-19</v>
          </cell>
          <cell r="C281" t="str">
            <v>Bracing Angle Pole</v>
          </cell>
          <cell r="J281" t="str">
            <v>pc</v>
          </cell>
        </row>
        <row r="282">
          <cell r="B282" t="str">
            <v>M-20</v>
          </cell>
          <cell r="C282" t="str">
            <v>Polythene Sheet</v>
          </cell>
          <cell r="J282" t="str">
            <v>m</v>
          </cell>
        </row>
        <row r="283">
          <cell r="B283" t="str">
            <v>M-21</v>
          </cell>
          <cell r="C283" t="str">
            <v>Barbed Wire</v>
          </cell>
          <cell r="J283" t="str">
            <v>kg</v>
          </cell>
        </row>
        <row r="284">
          <cell r="B284" t="str">
            <v>M-22</v>
          </cell>
          <cell r="C284" t="str">
            <v>Fencing Post</v>
          </cell>
          <cell r="J284" t="str">
            <v>pc</v>
          </cell>
        </row>
        <row r="285">
          <cell r="B285" t="str">
            <v>M-23</v>
          </cell>
          <cell r="C285" t="str">
            <v>Angle Gate</v>
          </cell>
          <cell r="J285" t="str">
            <v>pc</v>
          </cell>
        </row>
        <row r="286">
          <cell r="B286" t="str">
            <v>M-24</v>
          </cell>
          <cell r="C286" t="str">
            <v>4" Hinges</v>
          </cell>
          <cell r="J286" t="str">
            <v>pc</v>
          </cell>
        </row>
        <row r="287">
          <cell r="B287" t="str">
            <v>M-25</v>
          </cell>
          <cell r="C287" t="str">
            <v>10" Aldrop</v>
          </cell>
          <cell r="J287" t="str">
            <v>pc</v>
          </cell>
        </row>
        <row r="288">
          <cell r="B288" t="str">
            <v>M-26</v>
          </cell>
          <cell r="C288" t="str">
            <v>Gate Lock Key</v>
          </cell>
          <cell r="J288" t="str">
            <v>pc</v>
          </cell>
        </row>
        <row r="289">
          <cell r="B289" t="str">
            <v>M-27</v>
          </cell>
          <cell r="C289" t="str">
            <v>Nut with bolt (8mm dia)</v>
          </cell>
          <cell r="J289" t="str">
            <v>pc</v>
          </cell>
        </row>
        <row r="290">
          <cell r="B290" t="str">
            <v>M-28</v>
          </cell>
          <cell r="C290" t="str">
            <v>Screws</v>
          </cell>
          <cell r="J290" t="str">
            <v>pc</v>
          </cell>
        </row>
        <row r="291">
          <cell r="B291" t="str">
            <v>M-29</v>
          </cell>
          <cell r="C291" t="str">
            <v>GI sheet Plain (3'x7')</v>
          </cell>
          <cell r="J291" t="str">
            <v>pc</v>
          </cell>
        </row>
        <row r="292">
          <cell r="B292" t="str">
            <v>M-30</v>
          </cell>
          <cell r="C292" t="str">
            <v>Manhole Cover (Circular)</v>
          </cell>
          <cell r="J292" t="str">
            <v>pc</v>
          </cell>
        </row>
        <row r="293">
          <cell r="B293" t="str">
            <v>M-31</v>
          </cell>
          <cell r="C293" t="str">
            <v>Manhole Cover (Square)</v>
          </cell>
          <cell r="J293" t="str">
            <v>pc</v>
          </cell>
        </row>
        <row r="294">
          <cell r="B294" t="str">
            <v>M-32</v>
          </cell>
          <cell r="C294" t="str">
            <v>Manhole Cover (Rectangle)</v>
          </cell>
          <cell r="J294" t="str">
            <v>pc</v>
          </cell>
        </row>
        <row r="295">
          <cell r="B295" t="str">
            <v>M-33</v>
          </cell>
          <cell r="C295" t="str">
            <v>Small Slab Frame (55x55)</v>
          </cell>
          <cell r="J295" t="str">
            <v>pc</v>
          </cell>
        </row>
        <row r="296">
          <cell r="B296" t="str">
            <v>M-34</v>
          </cell>
          <cell r="C296" t="str">
            <v>Big Slab Frame (75x75)</v>
          </cell>
          <cell r="J296" t="str">
            <v>pc</v>
          </cell>
        </row>
        <row r="297">
          <cell r="B297" t="str">
            <v>M-36</v>
          </cell>
          <cell r="C297" t="str">
            <v>Lime</v>
          </cell>
          <cell r="J297" t="str">
            <v>kg</v>
          </cell>
        </row>
        <row r="298">
          <cell r="B298" t="str">
            <v>M-41</v>
          </cell>
          <cell r="C298" t="str">
            <v>Suspension Cable (8mm)</v>
          </cell>
          <cell r="J298" t="str">
            <v>m</v>
          </cell>
        </row>
        <row r="299">
          <cell r="B299" t="str">
            <v>M-42</v>
          </cell>
          <cell r="C299" t="str">
            <v>Suspension Cable (13mm)</v>
          </cell>
          <cell r="J299" t="str">
            <v>m</v>
          </cell>
        </row>
        <row r="300">
          <cell r="B300" t="str">
            <v>M-43</v>
          </cell>
          <cell r="C300" t="str">
            <v>Bulldog Grips (8mm)</v>
          </cell>
          <cell r="J300" t="str">
            <v>pc</v>
          </cell>
        </row>
        <row r="301">
          <cell r="B301" t="str">
            <v>M-44</v>
          </cell>
          <cell r="C301" t="str">
            <v>Bulldog Grips (13mm)</v>
          </cell>
          <cell r="J301" t="str">
            <v>pc</v>
          </cell>
        </row>
        <row r="302">
          <cell r="B302" t="str">
            <v>M-45</v>
          </cell>
          <cell r="C302" t="str">
            <v>PE Tank 200 ltrs.</v>
          </cell>
          <cell r="J302" t="str">
            <v>pc</v>
          </cell>
        </row>
        <row r="303">
          <cell r="B303" t="str">
            <v>M-46</v>
          </cell>
          <cell r="C303" t="str">
            <v>Tapstand Grid</v>
          </cell>
          <cell r="J303" t="str">
            <v>pc</v>
          </cell>
        </row>
        <row r="304">
          <cell r="B304" t="str">
            <v>M-47</v>
          </cell>
          <cell r="C304" t="str">
            <v>Anchor Bolt (1/2")</v>
          </cell>
          <cell r="J304" t="str">
            <v>pc</v>
          </cell>
        </row>
        <row r="305">
          <cell r="B305" t="str">
            <v>M-48</v>
          </cell>
          <cell r="C305" t="str">
            <v>Anchor Bolt (1")</v>
          </cell>
          <cell r="J305" t="str">
            <v>pc</v>
          </cell>
        </row>
        <row r="306">
          <cell r="B306" t="str">
            <v>M-49</v>
          </cell>
          <cell r="C306" t="str">
            <v>Anchor Bolt (1 1/2")</v>
          </cell>
          <cell r="J306" t="str">
            <v>pc</v>
          </cell>
        </row>
        <row r="307">
          <cell r="B307" t="str">
            <v>M-50</v>
          </cell>
          <cell r="C307" t="str">
            <v>Anchor Bolt (2")</v>
          </cell>
          <cell r="J307" t="str">
            <v>pc</v>
          </cell>
        </row>
        <row r="308">
          <cell r="B308" t="str">
            <v>M-01</v>
          </cell>
          <cell r="C308" t="str">
            <v>Cement</v>
          </cell>
          <cell r="I308">
            <v>0</v>
          </cell>
          <cell r="J308" t="str">
            <v>bag</v>
          </cell>
        </row>
        <row r="309">
          <cell r="B309" t="str">
            <v>M-02</v>
          </cell>
          <cell r="C309" t="str">
            <v>Sand</v>
          </cell>
          <cell r="I309">
            <v>0</v>
          </cell>
          <cell r="J309" t="str">
            <v>m3</v>
          </cell>
        </row>
        <row r="310">
          <cell r="B310" t="str">
            <v>M-03</v>
          </cell>
          <cell r="C310" t="str">
            <v>Block Stone</v>
          </cell>
          <cell r="I310">
            <v>0</v>
          </cell>
          <cell r="J310" t="str">
            <v>m3</v>
          </cell>
        </row>
        <row r="311">
          <cell r="B311" t="str">
            <v>M-04</v>
          </cell>
          <cell r="C311" t="str">
            <v>Bond Stone</v>
          </cell>
          <cell r="I311">
            <v>0</v>
          </cell>
          <cell r="J311" t="str">
            <v>m3</v>
          </cell>
        </row>
        <row r="312">
          <cell r="B312" t="str">
            <v>M-05</v>
          </cell>
          <cell r="C312" t="str">
            <v>Aggregate (5-10mm)</v>
          </cell>
          <cell r="I312">
            <v>0</v>
          </cell>
          <cell r="J312" t="str">
            <v>m3</v>
          </cell>
        </row>
        <row r="313">
          <cell r="B313" t="str">
            <v>M-06</v>
          </cell>
          <cell r="C313" t="str">
            <v>Aggregate (10-20mm)</v>
          </cell>
          <cell r="I313">
            <v>0</v>
          </cell>
          <cell r="J313" t="str">
            <v>m3</v>
          </cell>
        </row>
        <row r="314">
          <cell r="B314" t="str">
            <v>M-07</v>
          </cell>
          <cell r="C314" t="str">
            <v>Aggregate (20-40mm)</v>
          </cell>
          <cell r="I314">
            <v>0</v>
          </cell>
          <cell r="J314" t="str">
            <v>m3</v>
          </cell>
        </row>
        <row r="315">
          <cell r="B315" t="str">
            <v>M-08</v>
          </cell>
          <cell r="C315" t="str">
            <v>Project Information Board</v>
          </cell>
          <cell r="J315" t="str">
            <v>set</v>
          </cell>
        </row>
        <row r="316">
          <cell r="B316" t="str">
            <v>M-09</v>
          </cell>
          <cell r="C316" t="str">
            <v>Reinforcement ( 6mm)</v>
          </cell>
          <cell r="I316">
            <v>0</v>
          </cell>
          <cell r="J316" t="str">
            <v>kg</v>
          </cell>
        </row>
        <row r="317">
          <cell r="B317" t="str">
            <v>M-10</v>
          </cell>
          <cell r="C317" t="str">
            <v>Reinforcement ( 8mm)</v>
          </cell>
          <cell r="J317" t="str">
            <v>kg</v>
          </cell>
        </row>
        <row r="318">
          <cell r="B318" t="str">
            <v>M-11</v>
          </cell>
          <cell r="C318" t="str">
            <v>Reinforcement (10mm)</v>
          </cell>
          <cell r="I318">
            <v>0</v>
          </cell>
          <cell r="J318" t="str">
            <v>kg</v>
          </cell>
        </row>
        <row r="319">
          <cell r="B319" t="str">
            <v>M-12</v>
          </cell>
          <cell r="C319" t="str">
            <v>Binding wire</v>
          </cell>
          <cell r="I319">
            <v>0</v>
          </cell>
          <cell r="J319" t="str">
            <v>kg</v>
          </cell>
        </row>
        <row r="320">
          <cell r="B320" t="str">
            <v>M-13</v>
          </cell>
          <cell r="C320" t="str">
            <v>Plain wire (3.5 mm dia)</v>
          </cell>
          <cell r="I320">
            <v>0</v>
          </cell>
          <cell r="J320" t="str">
            <v>kg</v>
          </cell>
        </row>
        <row r="321">
          <cell r="B321" t="str">
            <v>M-14</v>
          </cell>
          <cell r="C321" t="str">
            <v>Chicken wire mesh (3 Ft wide)</v>
          </cell>
          <cell r="I321">
            <v>0</v>
          </cell>
          <cell r="J321" t="str">
            <v>m</v>
          </cell>
        </row>
        <row r="322">
          <cell r="B322" t="str">
            <v>M-15</v>
          </cell>
          <cell r="C322" t="str">
            <v>Bamboo</v>
          </cell>
          <cell r="I322">
            <v>0</v>
          </cell>
          <cell r="J322" t="str">
            <v>pc</v>
          </cell>
        </row>
        <row r="323">
          <cell r="B323" t="str">
            <v>M-35</v>
          </cell>
          <cell r="C323" t="str">
            <v>Cement Paint</v>
          </cell>
          <cell r="I323">
            <v>0</v>
          </cell>
          <cell r="J323" t="str">
            <v>kg</v>
          </cell>
        </row>
        <row r="324">
          <cell r="B324" t="str">
            <v>M-37</v>
          </cell>
          <cell r="C324" t="str">
            <v>GI Selwage Wire (8g)</v>
          </cell>
          <cell r="J324" t="str">
            <v>kg</v>
          </cell>
        </row>
        <row r="325">
          <cell r="B325" t="str">
            <v>M-38</v>
          </cell>
          <cell r="C325" t="str">
            <v>GI Mesh Wire (10g)</v>
          </cell>
          <cell r="J325" t="str">
            <v>kg</v>
          </cell>
        </row>
        <row r="326">
          <cell r="B326" t="str">
            <v>M-39</v>
          </cell>
          <cell r="C326" t="str">
            <v>Wood for Formwork</v>
          </cell>
          <cell r="I326">
            <v>0</v>
          </cell>
          <cell r="J326" t="str">
            <v>m3</v>
          </cell>
        </row>
        <row r="327">
          <cell r="B327" t="str">
            <v>M-40</v>
          </cell>
          <cell r="C327" t="str">
            <v>Nails</v>
          </cell>
          <cell r="I327">
            <v>0</v>
          </cell>
          <cell r="J327" t="str">
            <v>kg</v>
          </cell>
        </row>
        <row r="328">
          <cell r="B328" t="str">
            <v>L-1</v>
          </cell>
          <cell r="C328" t="str">
            <v>Skilled Labour</v>
          </cell>
          <cell r="I328">
            <v>0</v>
          </cell>
          <cell r="J328" t="str">
            <v>md</v>
          </cell>
        </row>
        <row r="329">
          <cell r="B329" t="str">
            <v>L-2</v>
          </cell>
          <cell r="C329" t="str">
            <v>Unskilled Labour</v>
          </cell>
          <cell r="I329">
            <v>0</v>
          </cell>
          <cell r="J329" t="str">
            <v>md</v>
          </cell>
        </row>
        <row r="330">
          <cell r="C330" t="str">
            <v>FITTINGS/EXTRA MATERIALS</v>
          </cell>
        </row>
        <row r="331">
          <cell r="C331" t="str">
            <v>Inlet Pipe Dia</v>
          </cell>
          <cell r="D331">
            <v>0</v>
          </cell>
        </row>
        <row r="332">
          <cell r="C332" t="str">
            <v>Outlet Pipe Dia</v>
          </cell>
          <cell r="D332">
            <v>0</v>
          </cell>
        </row>
        <row r="333">
          <cell r="C333" t="str">
            <v>Overflow Pipe Dia</v>
          </cell>
          <cell r="D333">
            <v>0</v>
          </cell>
        </row>
        <row r="334">
          <cell r="C334" t="str">
            <v>Washout Pipe Dia</v>
          </cell>
          <cell r="D334">
            <v>0</v>
          </cell>
        </row>
        <row r="335">
          <cell r="B335" t="str">
            <v>hp6-50</v>
          </cell>
          <cell r="C335" t="str">
            <v>HDPE Pipe(50mm) - 6 kgf/cm2</v>
          </cell>
          <cell r="I335">
            <v>0</v>
          </cell>
          <cell r="J335" t="str">
            <v>m</v>
          </cell>
        </row>
        <row r="336">
          <cell r="B336" t="str">
            <v>GPM-15</v>
          </cell>
          <cell r="C336" t="str">
            <v>G.I. Pipe (1/2") - MC</v>
          </cell>
          <cell r="J336" t="str">
            <v>m</v>
          </cell>
        </row>
        <row r="337">
          <cell r="B337" t="str">
            <v>GEL-15</v>
          </cell>
          <cell r="C337" t="str">
            <v xml:space="preserve">G.I. Elbow (1/2") </v>
          </cell>
          <cell r="J337" t="str">
            <v>pc</v>
          </cell>
        </row>
        <row r="338">
          <cell r="B338" t="str">
            <v>GSO-15</v>
          </cell>
          <cell r="C338" t="str">
            <v>G.I. Socket (1/2")</v>
          </cell>
          <cell r="J338" t="str">
            <v>pc</v>
          </cell>
        </row>
        <row r="339">
          <cell r="B339" t="str">
            <v>BT400-15</v>
          </cell>
          <cell r="C339" t="str">
            <v>Brass Tap ( 400g )</v>
          </cell>
          <cell r="J339" t="str">
            <v>pc</v>
          </cell>
        </row>
        <row r="340">
          <cell r="B340" t="str">
            <v>BU-20</v>
          </cell>
          <cell r="C340" t="str">
            <v>Brass Union  (20mm x 1/2")</v>
          </cell>
          <cell r="J340" t="str">
            <v>pc</v>
          </cell>
        </row>
        <row r="341">
          <cell r="B341" t="str">
            <v>BRT-15</v>
          </cell>
          <cell r="C341" t="str">
            <v>Regulating Tee (1/2")</v>
          </cell>
          <cell r="J341" t="str">
            <v>pc</v>
          </cell>
        </row>
        <row r="343">
          <cell r="H343">
            <v>0</v>
          </cell>
        </row>
        <row r="344">
          <cell r="B344" t="str">
            <v>I-01</v>
          </cell>
          <cell r="C344" t="str">
            <v>Earth Work in Excavation</v>
          </cell>
          <cell r="I344">
            <v>1</v>
          </cell>
          <cell r="J344" t="str">
            <v>m3</v>
          </cell>
        </row>
        <row r="345">
          <cell r="H345">
            <v>1</v>
          </cell>
        </row>
        <row r="348">
          <cell r="B348" t="str">
            <v>I-02</v>
          </cell>
          <cell r="C348" t="str">
            <v>Earth Work in Backfilling</v>
          </cell>
          <cell r="I348">
            <v>0</v>
          </cell>
          <cell r="J348" t="str">
            <v>m3</v>
          </cell>
        </row>
        <row r="352">
          <cell r="B352" t="str">
            <v>I-03</v>
          </cell>
          <cell r="C352" t="str">
            <v>Dry Stone Soling</v>
          </cell>
          <cell r="I352">
            <v>0</v>
          </cell>
          <cell r="J352" t="str">
            <v>m3</v>
          </cell>
        </row>
        <row r="356">
          <cell r="B356" t="str">
            <v>I-04</v>
          </cell>
          <cell r="C356" t="str">
            <v>P.C.C. (1:2:4)</v>
          </cell>
          <cell r="I356">
            <v>0.6</v>
          </cell>
          <cell r="J356" t="str">
            <v>m3</v>
          </cell>
        </row>
        <row r="357">
          <cell r="H357">
            <v>0.6</v>
          </cell>
        </row>
        <row r="360">
          <cell r="B360" t="str">
            <v>I-05</v>
          </cell>
          <cell r="C360" t="str">
            <v>P.C.C. for Pre-cast Slab (1:2:4)</v>
          </cell>
          <cell r="I360">
            <v>0</v>
          </cell>
          <cell r="J360" t="str">
            <v>m3</v>
          </cell>
        </row>
        <row r="364">
          <cell r="B364" t="str">
            <v>I-06</v>
          </cell>
          <cell r="C364" t="str">
            <v>P.C.C. for R.C.C. (1:2:4)</v>
          </cell>
          <cell r="I364">
            <v>0</v>
          </cell>
          <cell r="J364" t="str">
            <v>m3</v>
          </cell>
        </row>
        <row r="368">
          <cell r="B368" t="str">
            <v>I-07</v>
          </cell>
          <cell r="C368" t="str">
            <v>Random Rubble Masonry (1:4)</v>
          </cell>
          <cell r="I368">
            <v>0.16</v>
          </cell>
          <cell r="J368" t="str">
            <v>m3</v>
          </cell>
        </row>
        <row r="369">
          <cell r="H369">
            <v>0.16</v>
          </cell>
        </row>
        <row r="372">
          <cell r="B372" t="str">
            <v>I-08</v>
          </cell>
          <cell r="C372" t="str">
            <v>Random Rubble Masonry (1:6)</v>
          </cell>
          <cell r="I372">
            <v>0</v>
          </cell>
          <cell r="J372" t="str">
            <v>m3</v>
          </cell>
        </row>
        <row r="376">
          <cell r="B376" t="str">
            <v>I-09</v>
          </cell>
          <cell r="C376" t="str">
            <v>Dry Stone masonry</v>
          </cell>
          <cell r="I376">
            <v>2.7</v>
          </cell>
          <cell r="J376" t="str">
            <v>m3</v>
          </cell>
        </row>
        <row r="377">
          <cell r="H377">
            <v>2.7</v>
          </cell>
        </row>
        <row r="380">
          <cell r="B380" t="str">
            <v>I-10</v>
          </cell>
          <cell r="C380" t="str">
            <v>Form Work for P.C.C.</v>
          </cell>
          <cell r="I380">
            <v>0</v>
          </cell>
          <cell r="J380" t="str">
            <v>m2</v>
          </cell>
        </row>
        <row r="384">
          <cell r="B384" t="str">
            <v>I-11</v>
          </cell>
          <cell r="C384" t="str">
            <v>12.5mm Cement Plaster (1:2)</v>
          </cell>
          <cell r="I384">
            <v>0</v>
          </cell>
          <cell r="J384" t="str">
            <v>m2</v>
          </cell>
        </row>
        <row r="388">
          <cell r="B388" t="str">
            <v>I-12</v>
          </cell>
          <cell r="C388" t="str">
            <v>12.5mm Cement Plaster (1:3)</v>
          </cell>
          <cell r="I388">
            <v>0</v>
          </cell>
          <cell r="J388" t="str">
            <v>m2</v>
          </cell>
        </row>
        <row r="392">
          <cell r="B392" t="str">
            <v>I-13</v>
          </cell>
          <cell r="C392" t="str">
            <v>12.5mm Cement Plaster (1:4)</v>
          </cell>
          <cell r="I392">
            <v>0</v>
          </cell>
          <cell r="J392" t="str">
            <v>m2</v>
          </cell>
        </row>
        <row r="396">
          <cell r="B396" t="str">
            <v>I-14</v>
          </cell>
          <cell r="C396" t="str">
            <v>Cement Pointing (1:3)</v>
          </cell>
          <cell r="I396">
            <v>0</v>
          </cell>
          <cell r="J396" t="str">
            <v>m2</v>
          </cell>
        </row>
        <row r="400">
          <cell r="B400" t="str">
            <v>I-15</v>
          </cell>
          <cell r="C400" t="str">
            <v>3mm Cement Punning</v>
          </cell>
          <cell r="I400">
            <v>0</v>
          </cell>
          <cell r="J400" t="str">
            <v>m2</v>
          </cell>
        </row>
        <row r="404">
          <cell r="B404" t="str">
            <v>I-16A</v>
          </cell>
          <cell r="C404" t="str">
            <v>Bar Binding for R.C.C. (10mm bar)</v>
          </cell>
          <cell r="I404">
            <v>0</v>
          </cell>
          <cell r="J404" t="str">
            <v>Kg</v>
          </cell>
        </row>
        <row r="408">
          <cell r="B408" t="str">
            <v>I-16B</v>
          </cell>
          <cell r="C408" t="str">
            <v>Bar Binding for R.C.C. (6mm bar)</v>
          </cell>
          <cell r="I408">
            <v>0</v>
          </cell>
          <cell r="J408" t="str">
            <v>Kg</v>
          </cell>
        </row>
        <row r="412">
          <cell r="B412" t="str">
            <v>I-17</v>
          </cell>
          <cell r="C412" t="str">
            <v>Bar Binding for Ferro-Cement Works</v>
          </cell>
          <cell r="I412">
            <v>0</v>
          </cell>
          <cell r="J412" t="str">
            <v>m2</v>
          </cell>
        </row>
        <row r="416">
          <cell r="B416" t="str">
            <v>I-18</v>
          </cell>
          <cell r="C416" t="str">
            <v>Formwork for Ferro-Cement Works</v>
          </cell>
          <cell r="I416">
            <v>0</v>
          </cell>
          <cell r="J416" t="str">
            <v>m2</v>
          </cell>
        </row>
        <row r="420">
          <cell r="B420" t="str">
            <v>I-19</v>
          </cell>
          <cell r="C420" t="str">
            <v>Cement Plaster for Ferro-Cement Work (1:3)</v>
          </cell>
          <cell r="I420">
            <v>0</v>
          </cell>
          <cell r="J420" t="str">
            <v>m2</v>
          </cell>
        </row>
        <row r="424">
          <cell r="B424" t="str">
            <v>I-20</v>
          </cell>
          <cell r="C424" t="str">
            <v>Formwork for Precast RCC Work</v>
          </cell>
          <cell r="I424">
            <v>0</v>
          </cell>
          <cell r="J424" t="str">
            <v>m2</v>
          </cell>
        </row>
        <row r="428">
          <cell r="B428" t="str">
            <v>I-21</v>
          </cell>
          <cell r="C428" t="str">
            <v>Cement Painting</v>
          </cell>
          <cell r="I428">
            <v>0</v>
          </cell>
          <cell r="J428" t="str">
            <v>m2</v>
          </cell>
        </row>
        <row r="432">
          <cell r="B432" t="str">
            <v>I-22</v>
          </cell>
          <cell r="C432" t="str">
            <v>Trench digging</v>
          </cell>
          <cell r="I432">
            <v>0</v>
          </cell>
          <cell r="J432" t="str">
            <v>m3</v>
          </cell>
        </row>
        <row r="436">
          <cell r="B436" t="str">
            <v>I-23</v>
          </cell>
          <cell r="C436" t="str">
            <v>Trench backfilling</v>
          </cell>
          <cell r="I436">
            <v>0</v>
          </cell>
          <cell r="J436" t="str">
            <v>m3</v>
          </cell>
        </row>
        <row r="440">
          <cell r="B440" t="str">
            <v>I-24</v>
          </cell>
          <cell r="C440" t="str">
            <v>Gabion Box (2mX1mX1m)</v>
          </cell>
          <cell r="I440">
            <v>0</v>
          </cell>
          <cell r="J440" t="str">
            <v>No</v>
          </cell>
        </row>
        <row r="443">
          <cell r="B443" t="str">
            <v>I-25</v>
          </cell>
          <cell r="C443" t="str">
            <v>Gabion Box (3mX1mX1m)</v>
          </cell>
          <cell r="I443">
            <v>0</v>
          </cell>
          <cell r="J443" t="str">
            <v>No</v>
          </cell>
        </row>
        <row r="447">
          <cell r="B447" t="str">
            <v>M-16</v>
          </cell>
          <cell r="C447" t="str">
            <v>Angle Pole</v>
          </cell>
          <cell r="J447" t="str">
            <v>pc</v>
          </cell>
        </row>
        <row r="448">
          <cell r="B448" t="str">
            <v>M-17</v>
          </cell>
          <cell r="C448" t="str">
            <v>Angle Pole for Gate</v>
          </cell>
          <cell r="J448" t="str">
            <v>pc</v>
          </cell>
        </row>
        <row r="449">
          <cell r="B449" t="str">
            <v>M-18</v>
          </cell>
          <cell r="C449" t="str">
            <v>Corner Angle Pole</v>
          </cell>
          <cell r="J449" t="str">
            <v>pc</v>
          </cell>
        </row>
        <row r="450">
          <cell r="B450" t="str">
            <v>M-19</v>
          </cell>
          <cell r="C450" t="str">
            <v>Bracing Angle Pole</v>
          </cell>
          <cell r="J450" t="str">
            <v>pc</v>
          </cell>
        </row>
        <row r="451">
          <cell r="B451" t="str">
            <v>M-20</v>
          </cell>
          <cell r="C451" t="str">
            <v>Polythene Sheet</v>
          </cell>
          <cell r="J451" t="str">
            <v>m</v>
          </cell>
        </row>
        <row r="452">
          <cell r="B452" t="str">
            <v>M-21</v>
          </cell>
          <cell r="C452" t="str">
            <v>Barbed Wire</v>
          </cell>
          <cell r="J452" t="str">
            <v>kg</v>
          </cell>
        </row>
        <row r="453">
          <cell r="B453" t="str">
            <v>M-22</v>
          </cell>
          <cell r="C453" t="str">
            <v>Fencing Post</v>
          </cell>
          <cell r="J453" t="str">
            <v>pc</v>
          </cell>
        </row>
        <row r="454">
          <cell r="B454" t="str">
            <v>M-23</v>
          </cell>
          <cell r="C454" t="str">
            <v>Angle Gate</v>
          </cell>
          <cell r="J454" t="str">
            <v>pc</v>
          </cell>
        </row>
        <row r="455">
          <cell r="B455" t="str">
            <v>M-24</v>
          </cell>
          <cell r="C455" t="str">
            <v>4" Hinges</v>
          </cell>
          <cell r="J455" t="str">
            <v>pc</v>
          </cell>
        </row>
        <row r="456">
          <cell r="B456" t="str">
            <v>M-25</v>
          </cell>
          <cell r="C456" t="str">
            <v>10" Aldrop</v>
          </cell>
          <cell r="J456" t="str">
            <v>pc</v>
          </cell>
        </row>
        <row r="457">
          <cell r="B457" t="str">
            <v>M-26</v>
          </cell>
          <cell r="C457" t="str">
            <v>Gate Lock Key</v>
          </cell>
          <cell r="J457" t="str">
            <v>pc</v>
          </cell>
        </row>
        <row r="458">
          <cell r="B458" t="str">
            <v>M-27</v>
          </cell>
          <cell r="C458" t="str">
            <v>Nut with bolt (8mm dia)</v>
          </cell>
          <cell r="J458" t="str">
            <v>pc</v>
          </cell>
        </row>
        <row r="459">
          <cell r="B459" t="str">
            <v>M-28</v>
          </cell>
          <cell r="C459" t="str">
            <v>Screws</v>
          </cell>
          <cell r="J459" t="str">
            <v>pc</v>
          </cell>
        </row>
        <row r="460">
          <cell r="B460" t="str">
            <v>M-29</v>
          </cell>
          <cell r="C460" t="str">
            <v>GI sheet Plain (3'x7')</v>
          </cell>
          <cell r="J460" t="str">
            <v>pc</v>
          </cell>
        </row>
        <row r="461">
          <cell r="B461" t="str">
            <v>M-30</v>
          </cell>
          <cell r="C461" t="str">
            <v>Manhole Cover (Circular)</v>
          </cell>
          <cell r="J461" t="str">
            <v>pc</v>
          </cell>
        </row>
        <row r="462">
          <cell r="B462" t="str">
            <v>M-31</v>
          </cell>
          <cell r="C462" t="str">
            <v>Manhole Cover (Square)</v>
          </cell>
          <cell r="J462" t="str">
            <v>pc</v>
          </cell>
        </row>
        <row r="463">
          <cell r="B463" t="str">
            <v>M-32</v>
          </cell>
          <cell r="C463" t="str">
            <v>Manhole Cover (Rectangle)</v>
          </cell>
          <cell r="J463" t="str">
            <v>pc</v>
          </cell>
        </row>
        <row r="464">
          <cell r="B464" t="str">
            <v>M-33</v>
          </cell>
          <cell r="C464" t="str">
            <v>Small Slab Frame (55x55)</v>
          </cell>
          <cell r="J464" t="str">
            <v>pc</v>
          </cell>
        </row>
        <row r="465">
          <cell r="B465" t="str">
            <v>M-34</v>
          </cell>
          <cell r="C465" t="str">
            <v>Big Slab Frame (75x75)</v>
          </cell>
          <cell r="J465" t="str">
            <v>pc</v>
          </cell>
        </row>
        <row r="466">
          <cell r="B466" t="str">
            <v>M-36</v>
          </cell>
          <cell r="C466" t="str">
            <v>Lime</v>
          </cell>
          <cell r="J466" t="str">
            <v>kg</v>
          </cell>
        </row>
        <row r="467">
          <cell r="B467" t="str">
            <v>M-41</v>
          </cell>
          <cell r="C467" t="str">
            <v>Suspension Cable (8mm)</v>
          </cell>
          <cell r="I467">
            <v>37</v>
          </cell>
          <cell r="J467" t="str">
            <v>m</v>
          </cell>
        </row>
        <row r="468">
          <cell r="B468" t="str">
            <v>M-42</v>
          </cell>
          <cell r="C468" t="str">
            <v>Suspension Cable (13mm)</v>
          </cell>
          <cell r="J468" t="str">
            <v>m</v>
          </cell>
        </row>
        <row r="469">
          <cell r="B469" t="str">
            <v>M-43</v>
          </cell>
          <cell r="C469" t="str">
            <v>Bulldog Grips (8mm)</v>
          </cell>
          <cell r="I469">
            <v>6</v>
          </cell>
          <cell r="J469" t="str">
            <v>pc</v>
          </cell>
        </row>
        <row r="470">
          <cell r="B470" t="str">
            <v>M-44</v>
          </cell>
          <cell r="C470" t="str">
            <v>Bulldog Grips (13mm)</v>
          </cell>
          <cell r="J470" t="str">
            <v>pc</v>
          </cell>
        </row>
        <row r="471">
          <cell r="B471" t="str">
            <v>M-45</v>
          </cell>
          <cell r="C471" t="str">
            <v>PE Tank 200 ltrs.</v>
          </cell>
          <cell r="J471" t="str">
            <v>pc</v>
          </cell>
        </row>
        <row r="472">
          <cell r="B472" t="str">
            <v>M-46</v>
          </cell>
          <cell r="C472" t="str">
            <v>Tapstand Grid</v>
          </cell>
          <cell r="J472" t="str">
            <v>pc</v>
          </cell>
        </row>
        <row r="473">
          <cell r="B473" t="str">
            <v>M-47</v>
          </cell>
          <cell r="C473" t="str">
            <v>Anchor Bolt (1/2")</v>
          </cell>
          <cell r="J473" t="str">
            <v>pc</v>
          </cell>
        </row>
        <row r="474">
          <cell r="B474" t="str">
            <v>M-48</v>
          </cell>
          <cell r="C474" t="str">
            <v>Anchor Bolt (1")</v>
          </cell>
          <cell r="J474" t="str">
            <v>pc</v>
          </cell>
        </row>
        <row r="475">
          <cell r="B475" t="str">
            <v>M-49</v>
          </cell>
          <cell r="C475" t="str">
            <v>Anchor Bolt (1 1/2")</v>
          </cell>
          <cell r="J475" t="str">
            <v>pc</v>
          </cell>
        </row>
        <row r="476">
          <cell r="B476" t="str">
            <v>M-50</v>
          </cell>
          <cell r="C476" t="str">
            <v>Anchor Bolt (2")</v>
          </cell>
          <cell r="J476" t="str">
            <v>pc</v>
          </cell>
        </row>
        <row r="477">
          <cell r="B477" t="str">
            <v>M-01</v>
          </cell>
          <cell r="C477" t="str">
            <v>Cement</v>
          </cell>
          <cell r="I477">
            <v>4.3487999999999998</v>
          </cell>
          <cell r="J477" t="str">
            <v>bag</v>
          </cell>
        </row>
        <row r="478">
          <cell r="B478" t="str">
            <v>M-02</v>
          </cell>
          <cell r="C478" t="str">
            <v>Sand</v>
          </cell>
          <cell r="I478">
            <v>0.33900000000000002</v>
          </cell>
          <cell r="J478" t="str">
            <v>m3</v>
          </cell>
        </row>
        <row r="479">
          <cell r="B479" t="str">
            <v>M-03</v>
          </cell>
          <cell r="C479" t="str">
            <v>Block Stone</v>
          </cell>
          <cell r="I479">
            <v>2.8600000000000003</v>
          </cell>
          <cell r="J479" t="str">
            <v>m3</v>
          </cell>
        </row>
        <row r="480">
          <cell r="B480" t="str">
            <v>M-04</v>
          </cell>
          <cell r="C480" t="str">
            <v>Bond Stone</v>
          </cell>
          <cell r="I480">
            <v>0.28600000000000009</v>
          </cell>
          <cell r="J480" t="str">
            <v>m3</v>
          </cell>
        </row>
        <row r="481">
          <cell r="B481" t="str">
            <v>M-05</v>
          </cell>
          <cell r="C481" t="str">
            <v>Aggregate (5-10mm)</v>
          </cell>
          <cell r="I481">
            <v>7.1999999999999995E-2</v>
          </cell>
          <cell r="J481" t="str">
            <v>m3</v>
          </cell>
        </row>
        <row r="482">
          <cell r="B482" t="str">
            <v>M-06</v>
          </cell>
          <cell r="C482" t="str">
            <v>Aggregate (10-20mm)</v>
          </cell>
          <cell r="I482">
            <v>0.14399999999999999</v>
          </cell>
          <cell r="J482" t="str">
            <v>m3</v>
          </cell>
        </row>
        <row r="483">
          <cell r="B483" t="str">
            <v>M-07</v>
          </cell>
          <cell r="C483" t="str">
            <v>Aggregate (20-40mm)</v>
          </cell>
          <cell r="I483">
            <v>0.29399999999999998</v>
          </cell>
          <cell r="J483" t="str">
            <v>m3</v>
          </cell>
        </row>
        <row r="484">
          <cell r="B484" t="str">
            <v>M-08</v>
          </cell>
          <cell r="C484" t="str">
            <v>Project Information Board</v>
          </cell>
          <cell r="J484" t="str">
            <v>set</v>
          </cell>
        </row>
        <row r="485">
          <cell r="B485" t="str">
            <v>M-09</v>
          </cell>
          <cell r="C485" t="str">
            <v>Reinforcement ( 6mm)</v>
          </cell>
          <cell r="I485">
            <v>0</v>
          </cell>
          <cell r="J485" t="str">
            <v>kg</v>
          </cell>
        </row>
        <row r="486">
          <cell r="B486" t="str">
            <v>M-10</v>
          </cell>
          <cell r="C486" t="str">
            <v>Reinforcement ( 8mm)</v>
          </cell>
          <cell r="J486" t="str">
            <v>kg</v>
          </cell>
        </row>
        <row r="487">
          <cell r="B487" t="str">
            <v>M-11</v>
          </cell>
          <cell r="C487" t="str">
            <v>Reinforcement (10mm)</v>
          </cell>
          <cell r="I487">
            <v>0</v>
          </cell>
          <cell r="J487" t="str">
            <v>kg</v>
          </cell>
        </row>
        <row r="488">
          <cell r="B488" t="str">
            <v>M-12</v>
          </cell>
          <cell r="C488" t="str">
            <v>Binding wire</v>
          </cell>
          <cell r="I488">
            <v>0</v>
          </cell>
          <cell r="J488" t="str">
            <v>kg</v>
          </cell>
        </row>
        <row r="489">
          <cell r="B489" t="str">
            <v>M-13</v>
          </cell>
          <cell r="C489" t="str">
            <v>Plain wire (3.5 mm dia)</v>
          </cell>
          <cell r="I489">
            <v>0</v>
          </cell>
          <cell r="J489" t="str">
            <v>kg</v>
          </cell>
        </row>
        <row r="490">
          <cell r="B490" t="str">
            <v>M-14</v>
          </cell>
          <cell r="C490" t="str">
            <v>Chicken wire mesh (3 Ft wide)</v>
          </cell>
          <cell r="I490">
            <v>0</v>
          </cell>
          <cell r="J490" t="str">
            <v>m</v>
          </cell>
        </row>
        <row r="491">
          <cell r="B491" t="str">
            <v>M-15</v>
          </cell>
          <cell r="C491" t="str">
            <v>Bamboo</v>
          </cell>
          <cell r="I491">
            <v>0</v>
          </cell>
          <cell r="J491" t="str">
            <v>pc</v>
          </cell>
        </row>
        <row r="492">
          <cell r="B492" t="str">
            <v>M-35</v>
          </cell>
          <cell r="C492" t="str">
            <v>Cement Paint</v>
          </cell>
          <cell r="I492">
            <v>0</v>
          </cell>
          <cell r="J492" t="str">
            <v>kg</v>
          </cell>
        </row>
        <row r="493">
          <cell r="B493" t="str">
            <v>M-37</v>
          </cell>
          <cell r="C493" t="str">
            <v>GI Selwage Wire (8g)</v>
          </cell>
          <cell r="J493" t="str">
            <v>kg</v>
          </cell>
        </row>
        <row r="494">
          <cell r="B494" t="str">
            <v>M-38</v>
          </cell>
          <cell r="C494" t="str">
            <v>GI Mesh Wire (10g)</v>
          </cell>
          <cell r="J494" t="str">
            <v>kg</v>
          </cell>
        </row>
        <row r="495">
          <cell r="B495" t="str">
            <v>M-39</v>
          </cell>
          <cell r="C495" t="str">
            <v>Wood for Formwork</v>
          </cell>
          <cell r="I495">
            <v>0</v>
          </cell>
          <cell r="J495" t="str">
            <v>m3</v>
          </cell>
        </row>
        <row r="496">
          <cell r="B496" t="str">
            <v>M-40</v>
          </cell>
          <cell r="C496" t="str">
            <v>Nails</v>
          </cell>
          <cell r="I496">
            <v>0</v>
          </cell>
          <cell r="J496" t="str">
            <v>kg</v>
          </cell>
        </row>
        <row r="497">
          <cell r="B497" t="str">
            <v>L-1</v>
          </cell>
          <cell r="C497" t="str">
            <v>Skilled Labour</v>
          </cell>
          <cell r="I497">
            <v>1.65</v>
          </cell>
          <cell r="J497" t="str">
            <v>md</v>
          </cell>
        </row>
        <row r="498">
          <cell r="B498" t="str">
            <v>L-2</v>
          </cell>
          <cell r="C498" t="str">
            <v>Unskilled Labour</v>
          </cell>
          <cell r="I498">
            <v>8.0300000000000011</v>
          </cell>
          <cell r="J498" t="str">
            <v>md</v>
          </cell>
        </row>
        <row r="499">
          <cell r="C499" t="str">
            <v>FITTINGS/EXTRA MATERIALS</v>
          </cell>
        </row>
        <row r="500">
          <cell r="C500" t="str">
            <v>Inlet Pipe Dia</v>
          </cell>
          <cell r="D500">
            <v>0</v>
          </cell>
        </row>
        <row r="501">
          <cell r="C501" t="str">
            <v>Outlet Pipe Dia</v>
          </cell>
          <cell r="D501">
            <v>0</v>
          </cell>
        </row>
        <row r="502">
          <cell r="C502" t="str">
            <v>Overflow Pipe Dia</v>
          </cell>
          <cell r="D502">
            <v>0</v>
          </cell>
        </row>
        <row r="503">
          <cell r="C503" t="str">
            <v>Washout Pipe Dia</v>
          </cell>
          <cell r="D503">
            <v>0</v>
          </cell>
        </row>
        <row r="504">
          <cell r="B504" t="str">
            <v>HP6-63</v>
          </cell>
          <cell r="C504" t="str">
            <v>HDPE Pipe(63mm) - 6 kgf/cm2</v>
          </cell>
          <cell r="I504">
            <v>0</v>
          </cell>
          <cell r="J504" t="str">
            <v>m</v>
          </cell>
        </row>
        <row r="505">
          <cell r="B505" t="str">
            <v>GPM-15</v>
          </cell>
          <cell r="C505" t="str">
            <v>G.I. Pipe (1/2") - MC</v>
          </cell>
          <cell r="J505" t="str">
            <v>m</v>
          </cell>
        </row>
        <row r="506">
          <cell r="B506" t="str">
            <v>GEL-15</v>
          </cell>
          <cell r="C506" t="str">
            <v xml:space="preserve">G.I. Elbow (1/2") </v>
          </cell>
          <cell r="J506" t="str">
            <v>pc</v>
          </cell>
        </row>
        <row r="507">
          <cell r="B507" t="str">
            <v>GSO-15</v>
          </cell>
          <cell r="C507" t="str">
            <v>G.I. Socket (1/2")</v>
          </cell>
          <cell r="J507" t="str">
            <v>pc</v>
          </cell>
        </row>
        <row r="508">
          <cell r="B508" t="str">
            <v>BT400-15</v>
          </cell>
          <cell r="C508" t="str">
            <v>Brass Tap ( 400g )</v>
          </cell>
          <cell r="J508" t="str">
            <v>pc</v>
          </cell>
        </row>
        <row r="509">
          <cell r="B509" t="str">
            <v>BU-20</v>
          </cell>
          <cell r="C509" t="str">
            <v>Brass Union  (20mm x 1/2")</v>
          </cell>
          <cell r="J509" t="str">
            <v>pc</v>
          </cell>
        </row>
        <row r="510">
          <cell r="B510" t="str">
            <v>BRT-15</v>
          </cell>
          <cell r="C510" t="str">
            <v>Regulating Tee (1/2")</v>
          </cell>
          <cell r="J510" t="str">
            <v>pc</v>
          </cell>
        </row>
        <row r="513">
          <cell r="B513" t="str">
            <v>I-01</v>
          </cell>
          <cell r="C513" t="str">
            <v>Earth Work in Excavation</v>
          </cell>
          <cell r="I513">
            <v>0</v>
          </cell>
          <cell r="J513" t="str">
            <v>m3</v>
          </cell>
        </row>
        <row r="517">
          <cell r="B517" t="str">
            <v>I-02</v>
          </cell>
          <cell r="C517" t="str">
            <v>Earth Work in Backfilling</v>
          </cell>
          <cell r="I517">
            <v>0</v>
          </cell>
          <cell r="J517" t="str">
            <v>m3</v>
          </cell>
        </row>
        <row r="521">
          <cell r="B521" t="str">
            <v>I-03</v>
          </cell>
          <cell r="C521" t="str">
            <v>Dry Stone Soling</v>
          </cell>
          <cell r="I521">
            <v>0</v>
          </cell>
          <cell r="J521" t="str">
            <v>m3</v>
          </cell>
        </row>
        <row r="525">
          <cell r="B525" t="str">
            <v>I-04</v>
          </cell>
          <cell r="C525" t="str">
            <v>P.C.C. (1:2:4)</v>
          </cell>
          <cell r="I525">
            <v>0</v>
          </cell>
          <cell r="J525" t="str">
            <v>m3</v>
          </cell>
        </row>
        <row r="529">
          <cell r="B529" t="str">
            <v>I-05</v>
          </cell>
          <cell r="C529" t="str">
            <v>P.C.C. for Pre-cast Slab (1:2:4)</v>
          </cell>
          <cell r="I529">
            <v>0</v>
          </cell>
          <cell r="J529" t="str">
            <v>m3</v>
          </cell>
        </row>
        <row r="533">
          <cell r="B533" t="str">
            <v>I-06</v>
          </cell>
          <cell r="C533" t="str">
            <v>P.C.C. for R.C.C. (1:2:4)</v>
          </cell>
          <cell r="I533">
            <v>0</v>
          </cell>
          <cell r="J533" t="str">
            <v>m3</v>
          </cell>
        </row>
        <row r="537">
          <cell r="B537" t="str">
            <v>I-07</v>
          </cell>
          <cell r="C537" t="str">
            <v>Random Rubble Masonry (1:4)</v>
          </cell>
          <cell r="I537">
            <v>0</v>
          </cell>
          <cell r="J537" t="str">
            <v>m3</v>
          </cell>
        </row>
        <row r="541">
          <cell r="B541" t="str">
            <v>I-08</v>
          </cell>
          <cell r="C541" t="str">
            <v>Random Rubble Masonry (1:6)</v>
          </cell>
          <cell r="I541">
            <v>0</v>
          </cell>
          <cell r="J541" t="str">
            <v>m3</v>
          </cell>
        </row>
        <row r="545">
          <cell r="B545" t="str">
            <v>I-09</v>
          </cell>
          <cell r="C545" t="str">
            <v>Dry Stone masonry</v>
          </cell>
          <cell r="I545">
            <v>0</v>
          </cell>
          <cell r="J545" t="str">
            <v>m3</v>
          </cell>
        </row>
        <row r="549">
          <cell r="B549" t="str">
            <v>I-10</v>
          </cell>
          <cell r="C549" t="str">
            <v>Form Work for P.C.C.</v>
          </cell>
          <cell r="I549">
            <v>0</v>
          </cell>
          <cell r="J549" t="str">
            <v>m2</v>
          </cell>
        </row>
        <row r="553">
          <cell r="B553" t="str">
            <v>I-11</v>
          </cell>
          <cell r="C553" t="str">
            <v>12.5mm Cement Plaster (1:2)</v>
          </cell>
          <cell r="I553">
            <v>0</v>
          </cell>
          <cell r="J553" t="str">
            <v>m2</v>
          </cell>
        </row>
        <row r="557">
          <cell r="B557" t="str">
            <v>I-12</v>
          </cell>
          <cell r="C557" t="str">
            <v>12.5mm Cement Plaster (1:3)</v>
          </cell>
          <cell r="I557">
            <v>0</v>
          </cell>
          <cell r="J557" t="str">
            <v>m2</v>
          </cell>
        </row>
        <row r="561">
          <cell r="B561" t="str">
            <v>I-13</v>
          </cell>
          <cell r="C561" t="str">
            <v>12.5mm Cement Plaster (1:4)</v>
          </cell>
          <cell r="I561">
            <v>0</v>
          </cell>
          <cell r="J561" t="str">
            <v>m2</v>
          </cell>
        </row>
        <row r="565">
          <cell r="B565" t="str">
            <v>I-14</v>
          </cell>
          <cell r="C565" t="str">
            <v>Cement Pointing (1:3)</v>
          </cell>
          <cell r="I565">
            <v>0</v>
          </cell>
          <cell r="J565" t="str">
            <v>m2</v>
          </cell>
        </row>
        <row r="569">
          <cell r="B569" t="str">
            <v>I-15</v>
          </cell>
          <cell r="C569" t="str">
            <v>3mm Cement Punning</v>
          </cell>
          <cell r="I569">
            <v>0</v>
          </cell>
          <cell r="J569" t="str">
            <v>m2</v>
          </cell>
        </row>
        <row r="573">
          <cell r="B573" t="str">
            <v>I-16A</v>
          </cell>
          <cell r="C573" t="str">
            <v>Bar Binding for R.C.C. (10mm bar)</v>
          </cell>
          <cell r="I573">
            <v>0</v>
          </cell>
          <cell r="J573" t="str">
            <v>Kg</v>
          </cell>
        </row>
        <row r="577">
          <cell r="B577" t="str">
            <v>I-16B</v>
          </cell>
          <cell r="C577" t="str">
            <v>Bar Binding for R.C.C. (6mm bar)</v>
          </cell>
          <cell r="I577">
            <v>0</v>
          </cell>
          <cell r="J577" t="str">
            <v>Kg</v>
          </cell>
        </row>
        <row r="581">
          <cell r="B581" t="str">
            <v>I-17</v>
          </cell>
          <cell r="C581" t="str">
            <v>Bar Binding for Ferro-Cement Works</v>
          </cell>
          <cell r="I581">
            <v>0</v>
          </cell>
          <cell r="J581" t="str">
            <v>m2</v>
          </cell>
        </row>
        <row r="585">
          <cell r="B585" t="str">
            <v>I-18</v>
          </cell>
          <cell r="C585" t="str">
            <v>Formwork for Ferro-Cement Works</v>
          </cell>
          <cell r="I585">
            <v>0</v>
          </cell>
          <cell r="J585" t="str">
            <v>m2</v>
          </cell>
        </row>
        <row r="589">
          <cell r="B589" t="str">
            <v>I-19</v>
          </cell>
          <cell r="C589" t="str">
            <v>Cement Plaster for Ferro-Cement Work (1:3)</v>
          </cell>
          <cell r="I589">
            <v>0</v>
          </cell>
          <cell r="J589" t="str">
            <v>m2</v>
          </cell>
        </row>
        <row r="593">
          <cell r="B593" t="str">
            <v>I-20</v>
          </cell>
          <cell r="C593" t="str">
            <v>Formwork for Precast RCC Work</v>
          </cell>
          <cell r="I593">
            <v>0</v>
          </cell>
          <cell r="J593" t="str">
            <v>m2</v>
          </cell>
        </row>
        <row r="597">
          <cell r="B597" t="str">
            <v>I-21</v>
          </cell>
          <cell r="C597" t="str">
            <v>Cement Painting</v>
          </cell>
          <cell r="I597">
            <v>0</v>
          </cell>
          <cell r="J597" t="str">
            <v>m2</v>
          </cell>
        </row>
        <row r="601">
          <cell r="B601" t="str">
            <v>I-22</v>
          </cell>
          <cell r="C601" t="str">
            <v>Trench digging</v>
          </cell>
          <cell r="I601">
            <v>0</v>
          </cell>
          <cell r="J601" t="str">
            <v>m3</v>
          </cell>
        </row>
        <row r="605">
          <cell r="B605" t="str">
            <v>I-23</v>
          </cell>
          <cell r="C605" t="str">
            <v>Trench backfilling</v>
          </cell>
          <cell r="I605">
            <v>0</v>
          </cell>
          <cell r="J605" t="str">
            <v>m3</v>
          </cell>
        </row>
        <row r="609">
          <cell r="B609" t="str">
            <v>I-24</v>
          </cell>
          <cell r="C609" t="str">
            <v>Gabion Box (2mX1mX1m)</v>
          </cell>
          <cell r="I609">
            <v>0</v>
          </cell>
          <cell r="J609" t="str">
            <v>No</v>
          </cell>
        </row>
        <row r="612">
          <cell r="B612" t="str">
            <v>I-25</v>
          </cell>
          <cell r="C612" t="str">
            <v>Gabion Box (3mX1mX1m)</v>
          </cell>
          <cell r="I612">
            <v>0</v>
          </cell>
          <cell r="J612" t="str">
            <v>No</v>
          </cell>
        </row>
        <row r="616">
          <cell r="B616" t="str">
            <v>M-16</v>
          </cell>
          <cell r="C616" t="str">
            <v>Angle Pole</v>
          </cell>
          <cell r="J616" t="str">
            <v>pc</v>
          </cell>
        </row>
        <row r="617">
          <cell r="B617" t="str">
            <v>M-17</v>
          </cell>
          <cell r="C617" t="str">
            <v>Angle Pole for Gate</v>
          </cell>
          <cell r="J617" t="str">
            <v>pc</v>
          </cell>
        </row>
        <row r="618">
          <cell r="B618" t="str">
            <v>M-18</v>
          </cell>
          <cell r="C618" t="str">
            <v>Corner Angle Pole</v>
          </cell>
          <cell r="J618" t="str">
            <v>pc</v>
          </cell>
        </row>
        <row r="619">
          <cell r="B619" t="str">
            <v>M-19</v>
          </cell>
          <cell r="C619" t="str">
            <v>Bracing Angle Pole</v>
          </cell>
          <cell r="J619" t="str">
            <v>pc</v>
          </cell>
        </row>
        <row r="620">
          <cell r="B620" t="str">
            <v>M-20</v>
          </cell>
          <cell r="C620" t="str">
            <v>Polythene Sheet</v>
          </cell>
          <cell r="J620" t="str">
            <v>m</v>
          </cell>
        </row>
        <row r="621">
          <cell r="B621" t="str">
            <v>M-21</v>
          </cell>
          <cell r="C621" t="str">
            <v>Barbed Wire</v>
          </cell>
          <cell r="J621" t="str">
            <v>kg</v>
          </cell>
        </row>
        <row r="622">
          <cell r="B622" t="str">
            <v>M-22</v>
          </cell>
          <cell r="C622" t="str">
            <v>Fencing Post</v>
          </cell>
          <cell r="J622" t="str">
            <v>pc</v>
          </cell>
        </row>
        <row r="623">
          <cell r="B623" t="str">
            <v>M-23</v>
          </cell>
          <cell r="C623" t="str">
            <v>Angle Gate</v>
          </cell>
          <cell r="J623" t="str">
            <v>pc</v>
          </cell>
        </row>
        <row r="624">
          <cell r="B624" t="str">
            <v>M-24</v>
          </cell>
          <cell r="C624" t="str">
            <v>4" Hinges</v>
          </cell>
          <cell r="J624" t="str">
            <v>pc</v>
          </cell>
        </row>
        <row r="625">
          <cell r="B625" t="str">
            <v>M-25</v>
          </cell>
          <cell r="C625" t="str">
            <v>10" Aldrop</v>
          </cell>
          <cell r="J625" t="str">
            <v>pc</v>
          </cell>
        </row>
        <row r="626">
          <cell r="B626" t="str">
            <v>M-26</v>
          </cell>
          <cell r="C626" t="str">
            <v>Gate Lock Key</v>
          </cell>
          <cell r="J626" t="str">
            <v>pc</v>
          </cell>
        </row>
        <row r="627">
          <cell r="B627" t="str">
            <v>M-27</v>
          </cell>
          <cell r="C627" t="str">
            <v>Nut with bolt (8mm dia)</v>
          </cell>
          <cell r="J627" t="str">
            <v>pc</v>
          </cell>
        </row>
        <row r="628">
          <cell r="B628" t="str">
            <v>M-28</v>
          </cell>
          <cell r="C628" t="str">
            <v>Screws</v>
          </cell>
          <cell r="J628" t="str">
            <v>pc</v>
          </cell>
        </row>
        <row r="629">
          <cell r="B629" t="str">
            <v>M-29</v>
          </cell>
          <cell r="C629" t="str">
            <v>GI sheet Plain (3'x7')</v>
          </cell>
          <cell r="J629" t="str">
            <v>pc</v>
          </cell>
        </row>
        <row r="630">
          <cell r="B630" t="str">
            <v>M-30</v>
          </cell>
          <cell r="C630" t="str">
            <v>Manhole Cover (Circular)</v>
          </cell>
          <cell r="J630" t="str">
            <v>pc</v>
          </cell>
        </row>
        <row r="631">
          <cell r="B631" t="str">
            <v>M-31</v>
          </cell>
          <cell r="C631" t="str">
            <v>Manhole Cover (Square)</v>
          </cell>
          <cell r="J631" t="str">
            <v>pc</v>
          </cell>
        </row>
        <row r="632">
          <cell r="B632" t="str">
            <v>M-32</v>
          </cell>
          <cell r="C632" t="str">
            <v>Manhole Cover (Rectangle)</v>
          </cell>
          <cell r="J632" t="str">
            <v>pc</v>
          </cell>
        </row>
        <row r="633">
          <cell r="B633" t="str">
            <v>M-33</v>
          </cell>
          <cell r="C633" t="str">
            <v>Small Slab Frame (55x55)</v>
          </cell>
          <cell r="J633" t="str">
            <v>pc</v>
          </cell>
        </row>
        <row r="634">
          <cell r="B634" t="str">
            <v>M-34</v>
          </cell>
          <cell r="C634" t="str">
            <v>Big Slab Frame (75x75)</v>
          </cell>
          <cell r="J634" t="str">
            <v>pc</v>
          </cell>
        </row>
        <row r="635">
          <cell r="B635" t="str">
            <v>M-36</v>
          </cell>
          <cell r="C635" t="str">
            <v>Lime</v>
          </cell>
          <cell r="J635" t="str">
            <v>kg</v>
          </cell>
        </row>
        <row r="636">
          <cell r="B636" t="str">
            <v>M-41</v>
          </cell>
          <cell r="C636" t="str">
            <v>Suspension Cable (8mm)</v>
          </cell>
          <cell r="J636" t="str">
            <v>m</v>
          </cell>
        </row>
        <row r="637">
          <cell r="B637" t="str">
            <v>M-42</v>
          </cell>
          <cell r="C637" t="str">
            <v>Suspension Cable (13mm)</v>
          </cell>
          <cell r="J637" t="str">
            <v>m</v>
          </cell>
        </row>
        <row r="638">
          <cell r="B638" t="str">
            <v>M-43</v>
          </cell>
          <cell r="C638" t="str">
            <v>Bulldog Grips (8mm)</v>
          </cell>
          <cell r="J638" t="str">
            <v>pc</v>
          </cell>
        </row>
        <row r="639">
          <cell r="B639" t="str">
            <v>M-44</v>
          </cell>
          <cell r="C639" t="str">
            <v>Bulldog Grips (13mm)</v>
          </cell>
          <cell r="J639" t="str">
            <v>pc</v>
          </cell>
        </row>
        <row r="640">
          <cell r="B640" t="str">
            <v>M-45</v>
          </cell>
          <cell r="C640" t="str">
            <v>PE Tank 200 ltrs.</v>
          </cell>
          <cell r="J640" t="str">
            <v>pc</v>
          </cell>
        </row>
        <row r="641">
          <cell r="B641" t="str">
            <v>M-46</v>
          </cell>
          <cell r="C641" t="str">
            <v>Tapstand Grid</v>
          </cell>
          <cell r="J641" t="str">
            <v>pc</v>
          </cell>
        </row>
        <row r="642">
          <cell r="B642" t="str">
            <v>M-47</v>
          </cell>
          <cell r="C642" t="str">
            <v>Anchor Bolt (1/2")</v>
          </cell>
          <cell r="J642" t="str">
            <v>pc</v>
          </cell>
        </row>
        <row r="643">
          <cell r="B643" t="str">
            <v>M-48</v>
          </cell>
          <cell r="C643" t="str">
            <v>Anchor Bolt (1")</v>
          </cell>
          <cell r="J643" t="str">
            <v>pc</v>
          </cell>
        </row>
        <row r="644">
          <cell r="B644" t="str">
            <v>M-49</v>
          </cell>
          <cell r="C644" t="str">
            <v>Anchor Bolt (1 1/2")</v>
          </cell>
          <cell r="J644" t="str">
            <v>pc</v>
          </cell>
        </row>
        <row r="645">
          <cell r="B645" t="str">
            <v>M-50</v>
          </cell>
          <cell r="C645" t="str">
            <v>Anchor Bolt (2")</v>
          </cell>
          <cell r="J645" t="str">
            <v>pc</v>
          </cell>
        </row>
        <row r="646">
          <cell r="B646" t="str">
            <v>M-01</v>
          </cell>
          <cell r="C646" t="str">
            <v>Cement</v>
          </cell>
          <cell r="I646">
            <v>0</v>
          </cell>
          <cell r="J646" t="str">
            <v>bag</v>
          </cell>
        </row>
        <row r="647">
          <cell r="B647" t="str">
            <v>M-02</v>
          </cell>
          <cell r="C647" t="str">
            <v>Sand</v>
          </cell>
          <cell r="I647">
            <v>0</v>
          </cell>
          <cell r="J647" t="str">
            <v>m3</v>
          </cell>
        </row>
        <row r="648">
          <cell r="B648" t="str">
            <v>M-03</v>
          </cell>
          <cell r="C648" t="str">
            <v>Block Stone</v>
          </cell>
          <cell r="I648">
            <v>0</v>
          </cell>
          <cell r="J648" t="str">
            <v>m3</v>
          </cell>
        </row>
        <row r="649">
          <cell r="B649" t="str">
            <v>M-04</v>
          </cell>
          <cell r="C649" t="str">
            <v>Bond Stone</v>
          </cell>
          <cell r="I649">
            <v>0</v>
          </cell>
          <cell r="J649" t="str">
            <v>m3</v>
          </cell>
        </row>
        <row r="650">
          <cell r="B650" t="str">
            <v>M-05</v>
          </cell>
          <cell r="C650" t="str">
            <v>Aggregate (5-10mm)</v>
          </cell>
          <cell r="I650">
            <v>0</v>
          </cell>
          <cell r="J650" t="str">
            <v>m3</v>
          </cell>
        </row>
        <row r="651">
          <cell r="B651" t="str">
            <v>M-06</v>
          </cell>
          <cell r="C651" t="str">
            <v>Aggregate (10-20mm)</v>
          </cell>
          <cell r="I651">
            <v>0</v>
          </cell>
          <cell r="J651" t="str">
            <v>m3</v>
          </cell>
        </row>
        <row r="652">
          <cell r="B652" t="str">
            <v>M-07</v>
          </cell>
          <cell r="C652" t="str">
            <v>Aggregate (20-40mm)</v>
          </cell>
          <cell r="I652">
            <v>0</v>
          </cell>
          <cell r="J652" t="str">
            <v>m3</v>
          </cell>
        </row>
        <row r="653">
          <cell r="B653" t="str">
            <v>M-08</v>
          </cell>
          <cell r="C653" t="str">
            <v>Project Information Board</v>
          </cell>
          <cell r="J653" t="str">
            <v>set</v>
          </cell>
        </row>
        <row r="654">
          <cell r="B654" t="str">
            <v>M-09</v>
          </cell>
          <cell r="C654" t="str">
            <v>Reinforcement ( 6mm)</v>
          </cell>
          <cell r="I654">
            <v>0</v>
          </cell>
          <cell r="J654" t="str">
            <v>kg</v>
          </cell>
        </row>
        <row r="655">
          <cell r="B655" t="str">
            <v>M-10</v>
          </cell>
          <cell r="C655" t="str">
            <v>Reinforcement ( 8mm)</v>
          </cell>
          <cell r="J655" t="str">
            <v>kg</v>
          </cell>
        </row>
        <row r="656">
          <cell r="B656" t="str">
            <v>M-11</v>
          </cell>
          <cell r="C656" t="str">
            <v>Reinforcement (10mm)</v>
          </cell>
          <cell r="I656">
            <v>0</v>
          </cell>
          <cell r="J656" t="str">
            <v>kg</v>
          </cell>
        </row>
        <row r="657">
          <cell r="B657" t="str">
            <v>M-12</v>
          </cell>
          <cell r="C657" t="str">
            <v>Binding wire</v>
          </cell>
          <cell r="I657">
            <v>0</v>
          </cell>
          <cell r="J657" t="str">
            <v>kg</v>
          </cell>
        </row>
        <row r="658">
          <cell r="B658" t="str">
            <v>M-13</v>
          </cell>
          <cell r="C658" t="str">
            <v>Plain wire (3.5 mm dia)</v>
          </cell>
          <cell r="I658">
            <v>0</v>
          </cell>
          <cell r="J658" t="str">
            <v>kg</v>
          </cell>
        </row>
        <row r="659">
          <cell r="B659" t="str">
            <v>M-14</v>
          </cell>
          <cell r="C659" t="str">
            <v>Chicken wire mesh (3 Ft wide)</v>
          </cell>
          <cell r="I659">
            <v>0</v>
          </cell>
          <cell r="J659" t="str">
            <v>m</v>
          </cell>
        </row>
        <row r="660">
          <cell r="B660" t="str">
            <v>M-15</v>
          </cell>
          <cell r="C660" t="str">
            <v>Bamboo</v>
          </cell>
          <cell r="I660">
            <v>0</v>
          </cell>
          <cell r="J660" t="str">
            <v>pc</v>
          </cell>
        </row>
        <row r="661">
          <cell r="B661" t="str">
            <v>M-37</v>
          </cell>
          <cell r="C661" t="str">
            <v>GI Selwage Wire (8g)</v>
          </cell>
          <cell r="J661" t="str">
            <v>kg</v>
          </cell>
        </row>
        <row r="662">
          <cell r="B662" t="str">
            <v>M-38</v>
          </cell>
          <cell r="C662" t="str">
            <v>GI Mesh Wire (10g)</v>
          </cell>
          <cell r="J662" t="str">
            <v>kg</v>
          </cell>
        </row>
        <row r="663">
          <cell r="B663" t="str">
            <v>M-35</v>
          </cell>
          <cell r="C663" t="str">
            <v>Cement Paint</v>
          </cell>
          <cell r="I663">
            <v>0</v>
          </cell>
          <cell r="J663" t="str">
            <v>kg</v>
          </cell>
        </row>
        <row r="664">
          <cell r="B664" t="str">
            <v>M-39</v>
          </cell>
          <cell r="C664" t="str">
            <v>Wood for Formwork</v>
          </cell>
          <cell r="I664">
            <v>0</v>
          </cell>
          <cell r="J664" t="str">
            <v>m3</v>
          </cell>
        </row>
        <row r="665">
          <cell r="B665" t="str">
            <v>M-40</v>
          </cell>
          <cell r="C665" t="str">
            <v>Nails</v>
          </cell>
          <cell r="I665">
            <v>0</v>
          </cell>
          <cell r="J665" t="str">
            <v>kg</v>
          </cell>
        </row>
        <row r="666">
          <cell r="B666" t="str">
            <v>L-1</v>
          </cell>
          <cell r="C666" t="str">
            <v>Skilled Labour</v>
          </cell>
          <cell r="I666">
            <v>0</v>
          </cell>
          <cell r="J666" t="str">
            <v>md</v>
          </cell>
        </row>
        <row r="667">
          <cell r="B667" t="str">
            <v>L-2</v>
          </cell>
          <cell r="C667" t="str">
            <v>Unskilled Labour</v>
          </cell>
          <cell r="I667">
            <v>0</v>
          </cell>
          <cell r="J667" t="str">
            <v>md</v>
          </cell>
        </row>
        <row r="668">
          <cell r="C668" t="str">
            <v>FITTINGS/EXTRA MATERIALS</v>
          </cell>
        </row>
        <row r="669">
          <cell r="C669" t="str">
            <v>Inlet Pipe Dia</v>
          </cell>
          <cell r="D669">
            <v>0</v>
          </cell>
        </row>
        <row r="670">
          <cell r="C670" t="str">
            <v>Outlet Pipe Dia</v>
          </cell>
          <cell r="D670">
            <v>0</v>
          </cell>
        </row>
        <row r="671">
          <cell r="C671" t="str">
            <v>Overflow Pipe Dia</v>
          </cell>
          <cell r="D671">
            <v>0</v>
          </cell>
        </row>
        <row r="672">
          <cell r="C672" t="str">
            <v>Washout Pipe Dia</v>
          </cell>
          <cell r="D672">
            <v>0</v>
          </cell>
        </row>
        <row r="673">
          <cell r="B673" t="str">
            <v>HP2.5-75</v>
          </cell>
          <cell r="C673" t="str">
            <v>HDPE Pipe(75mm) - 2.5 kgf/cm2</v>
          </cell>
          <cell r="J673" t="str">
            <v>m</v>
          </cell>
        </row>
        <row r="674">
          <cell r="B674" t="str">
            <v>GPM-15</v>
          </cell>
          <cell r="C674" t="str">
            <v>G.I. Pipe (1/2") - MC</v>
          </cell>
          <cell r="J674" t="str">
            <v>m</v>
          </cell>
        </row>
        <row r="675">
          <cell r="B675" t="str">
            <v>GEL-15</v>
          </cell>
          <cell r="C675" t="str">
            <v xml:space="preserve">G.I. Elbow (1/2") </v>
          </cell>
          <cell r="J675" t="str">
            <v>pc</v>
          </cell>
        </row>
        <row r="676">
          <cell r="B676" t="str">
            <v>GSO-15</v>
          </cell>
          <cell r="C676" t="str">
            <v>G.I. Socket (1/2")</v>
          </cell>
          <cell r="J676" t="str">
            <v>pc</v>
          </cell>
        </row>
        <row r="677">
          <cell r="B677" t="str">
            <v>BT400-15</v>
          </cell>
          <cell r="C677" t="str">
            <v>Brass Tap ( 400g )</v>
          </cell>
          <cell r="J677" t="str">
            <v>pc</v>
          </cell>
        </row>
        <row r="678">
          <cell r="B678" t="str">
            <v>BU-20</v>
          </cell>
          <cell r="C678" t="str">
            <v>Brass Union  (20mm x 1/2")</v>
          </cell>
          <cell r="J678" t="str">
            <v>pc</v>
          </cell>
        </row>
        <row r="679">
          <cell r="B679" t="str">
            <v>BRT-15</v>
          </cell>
          <cell r="C679" t="str">
            <v>Regulating Tee (1/2")</v>
          </cell>
          <cell r="J679" t="str">
            <v>pc</v>
          </cell>
        </row>
        <row r="682">
          <cell r="B682" t="str">
            <v>I-01</v>
          </cell>
          <cell r="C682" t="str">
            <v>Earth Work in Excavation</v>
          </cell>
          <cell r="I682">
            <v>0</v>
          </cell>
          <cell r="J682" t="str">
            <v>m3</v>
          </cell>
        </row>
        <row r="686">
          <cell r="B686" t="str">
            <v>I-02</v>
          </cell>
          <cell r="C686" t="str">
            <v>Earth Work in Backfilling</v>
          </cell>
          <cell r="I686">
            <v>0</v>
          </cell>
          <cell r="J686" t="str">
            <v>m3</v>
          </cell>
        </row>
        <row r="690">
          <cell r="B690" t="str">
            <v>I-03</v>
          </cell>
          <cell r="C690" t="str">
            <v>Dry Stone Soling</v>
          </cell>
          <cell r="I690">
            <v>0</v>
          </cell>
          <cell r="J690" t="str">
            <v>m3</v>
          </cell>
        </row>
        <row r="694">
          <cell r="B694" t="str">
            <v>I-04</v>
          </cell>
          <cell r="C694" t="str">
            <v>P.C.C. (1:2:4)</v>
          </cell>
          <cell r="I694">
            <v>0</v>
          </cell>
          <cell r="J694" t="str">
            <v>m3</v>
          </cell>
        </row>
        <row r="698">
          <cell r="B698" t="str">
            <v>I-05</v>
          </cell>
          <cell r="C698" t="str">
            <v>P.C.C. for Pre-cast Slab (1:2:4)</v>
          </cell>
          <cell r="I698">
            <v>0</v>
          </cell>
          <cell r="J698" t="str">
            <v>m3</v>
          </cell>
        </row>
        <row r="702">
          <cell r="B702" t="str">
            <v>I-06</v>
          </cell>
          <cell r="C702" t="str">
            <v>P.C.C. for R.C.C. (1:2:4)</v>
          </cell>
          <cell r="I702">
            <v>0</v>
          </cell>
          <cell r="J702" t="str">
            <v>m3</v>
          </cell>
        </row>
        <row r="706">
          <cell r="B706" t="str">
            <v>I-07</v>
          </cell>
          <cell r="C706" t="str">
            <v>Random Rubble Masonry (1:4)</v>
          </cell>
          <cell r="I706">
            <v>0</v>
          </cell>
          <cell r="J706" t="str">
            <v>m3</v>
          </cell>
        </row>
        <row r="710">
          <cell r="B710" t="str">
            <v>I-08</v>
          </cell>
          <cell r="C710" t="str">
            <v>Random Rubble Masonry (1:6)</v>
          </cell>
          <cell r="I710">
            <v>0</v>
          </cell>
          <cell r="J710" t="str">
            <v>m3</v>
          </cell>
        </row>
        <row r="714">
          <cell r="B714" t="str">
            <v>I-09</v>
          </cell>
          <cell r="C714" t="str">
            <v>Dry Stone masonry</v>
          </cell>
          <cell r="I714">
            <v>0</v>
          </cell>
          <cell r="J714" t="str">
            <v>m3</v>
          </cell>
        </row>
        <row r="718">
          <cell r="B718" t="str">
            <v>I-10</v>
          </cell>
          <cell r="C718" t="str">
            <v>Form Work for P.C.C.</v>
          </cell>
          <cell r="I718">
            <v>0</v>
          </cell>
          <cell r="J718" t="str">
            <v>m2</v>
          </cell>
        </row>
        <row r="722">
          <cell r="B722" t="str">
            <v>I-11</v>
          </cell>
          <cell r="C722" t="str">
            <v>12.5mm Cement Plaster (1:2)</v>
          </cell>
          <cell r="I722">
            <v>0</v>
          </cell>
          <cell r="J722" t="str">
            <v>m2</v>
          </cell>
        </row>
        <row r="726">
          <cell r="B726" t="str">
            <v>I-12</v>
          </cell>
          <cell r="C726" t="str">
            <v>12.5mm Cement Plaster (1:3)</v>
          </cell>
          <cell r="I726">
            <v>0</v>
          </cell>
          <cell r="J726" t="str">
            <v>m2</v>
          </cell>
        </row>
        <row r="730">
          <cell r="B730" t="str">
            <v>I-13</v>
          </cell>
          <cell r="C730" t="str">
            <v>12.5mm Cement Plaster (1:4)</v>
          </cell>
          <cell r="I730">
            <v>0</v>
          </cell>
          <cell r="J730" t="str">
            <v>m2</v>
          </cell>
        </row>
        <row r="734">
          <cell r="B734" t="str">
            <v>I-14</v>
          </cell>
          <cell r="C734" t="str">
            <v>Cement Pointing (1:3)</v>
          </cell>
          <cell r="I734">
            <v>0</v>
          </cell>
          <cell r="J734" t="str">
            <v>m2</v>
          </cell>
        </row>
        <row r="738">
          <cell r="B738" t="str">
            <v>I-15</v>
          </cell>
          <cell r="C738" t="str">
            <v>3mm Cement Punning</v>
          </cell>
          <cell r="I738">
            <v>0</v>
          </cell>
          <cell r="J738" t="str">
            <v>m2</v>
          </cell>
        </row>
        <row r="742">
          <cell r="B742" t="str">
            <v>I-16A</v>
          </cell>
          <cell r="C742" t="str">
            <v>Bar Binding for R.C.C. (10mm bar)</v>
          </cell>
          <cell r="I742">
            <v>0</v>
          </cell>
          <cell r="J742" t="str">
            <v>Kg</v>
          </cell>
        </row>
        <row r="746">
          <cell r="B746" t="str">
            <v>I-16B</v>
          </cell>
          <cell r="C746" t="str">
            <v>Bar Binding for R.C.C. (6mm bar)</v>
          </cell>
          <cell r="I746">
            <v>0</v>
          </cell>
          <cell r="J746" t="str">
            <v>Kg</v>
          </cell>
        </row>
        <row r="750">
          <cell r="B750" t="str">
            <v>I-17</v>
          </cell>
          <cell r="C750" t="str">
            <v>Bar Binding for Ferro-Cement Works</v>
          </cell>
          <cell r="I750">
            <v>0</v>
          </cell>
          <cell r="J750" t="str">
            <v>m2</v>
          </cell>
        </row>
        <row r="754">
          <cell r="B754" t="str">
            <v>I-18</v>
          </cell>
          <cell r="C754" t="str">
            <v>Formwork for Ferro-Cement Works</v>
          </cell>
          <cell r="I754">
            <v>0</v>
          </cell>
          <cell r="J754" t="str">
            <v>m2</v>
          </cell>
        </row>
        <row r="758">
          <cell r="B758" t="str">
            <v>I-19</v>
          </cell>
          <cell r="C758" t="str">
            <v>Cement Plaster for Ferro-Cement Work (1:3)</v>
          </cell>
          <cell r="I758">
            <v>0</v>
          </cell>
          <cell r="J758" t="str">
            <v>m2</v>
          </cell>
        </row>
        <row r="762">
          <cell r="B762" t="str">
            <v>I-20</v>
          </cell>
          <cell r="C762" t="str">
            <v>Formwork for Precast RCC Work</v>
          </cell>
          <cell r="I762">
            <v>0</v>
          </cell>
          <cell r="J762" t="str">
            <v>m2</v>
          </cell>
        </row>
        <row r="766">
          <cell r="B766" t="str">
            <v>I-21</v>
          </cell>
          <cell r="C766" t="str">
            <v>Cement Painting</v>
          </cell>
          <cell r="I766">
            <v>0</v>
          </cell>
          <cell r="J766" t="str">
            <v>m2</v>
          </cell>
        </row>
        <row r="770">
          <cell r="B770" t="str">
            <v>I-22</v>
          </cell>
          <cell r="C770" t="str">
            <v>Trench digging</v>
          </cell>
          <cell r="I770">
            <v>0</v>
          </cell>
          <cell r="J770" t="str">
            <v>m3</v>
          </cell>
        </row>
        <row r="774">
          <cell r="B774" t="str">
            <v>I-23</v>
          </cell>
          <cell r="C774" t="str">
            <v>Trench backfilling</v>
          </cell>
          <cell r="I774">
            <v>0</v>
          </cell>
          <cell r="J774" t="str">
            <v>m3</v>
          </cell>
        </row>
        <row r="778">
          <cell r="B778" t="str">
            <v>I-24</v>
          </cell>
          <cell r="C778" t="str">
            <v>Gabion Box (2mX1mX1m)</v>
          </cell>
          <cell r="I778">
            <v>0</v>
          </cell>
          <cell r="J778" t="str">
            <v>No</v>
          </cell>
        </row>
        <row r="781">
          <cell r="B781" t="str">
            <v>I-25</v>
          </cell>
          <cell r="C781" t="str">
            <v>Gabion Box (3mX1mX1m)</v>
          </cell>
          <cell r="I781">
            <v>0</v>
          </cell>
          <cell r="J781" t="str">
            <v>No</v>
          </cell>
        </row>
        <row r="785">
          <cell r="B785" t="str">
            <v>M-16</v>
          </cell>
          <cell r="C785" t="str">
            <v>Angle Pole</v>
          </cell>
          <cell r="J785" t="str">
            <v>pc</v>
          </cell>
        </row>
        <row r="786">
          <cell r="B786" t="str">
            <v>M-17</v>
          </cell>
          <cell r="C786" t="str">
            <v>Angle Pole for Gate</v>
          </cell>
          <cell r="J786" t="str">
            <v>pc</v>
          </cell>
        </row>
        <row r="787">
          <cell r="B787" t="str">
            <v>M-18</v>
          </cell>
          <cell r="C787" t="str">
            <v>Corner Angle Pole</v>
          </cell>
          <cell r="J787" t="str">
            <v>pc</v>
          </cell>
        </row>
        <row r="788">
          <cell r="B788" t="str">
            <v>M-19</v>
          </cell>
          <cell r="C788" t="str">
            <v>Bracing Angle Pole</v>
          </cell>
          <cell r="J788" t="str">
            <v>pc</v>
          </cell>
        </row>
        <row r="789">
          <cell r="B789" t="str">
            <v>M-20</v>
          </cell>
          <cell r="C789" t="str">
            <v>Polythene Sheet</v>
          </cell>
          <cell r="J789" t="str">
            <v>m</v>
          </cell>
        </row>
        <row r="790">
          <cell r="B790" t="str">
            <v>M-21</v>
          </cell>
          <cell r="C790" t="str">
            <v>Barbed Wire</v>
          </cell>
          <cell r="J790" t="str">
            <v>kg</v>
          </cell>
        </row>
        <row r="791">
          <cell r="B791" t="str">
            <v>M-22</v>
          </cell>
          <cell r="C791" t="str">
            <v>Fencing Post</v>
          </cell>
          <cell r="J791" t="str">
            <v>pc</v>
          </cell>
        </row>
        <row r="792">
          <cell r="B792" t="str">
            <v>M-23</v>
          </cell>
          <cell r="C792" t="str">
            <v>Angle Gate</v>
          </cell>
          <cell r="J792" t="str">
            <v>pc</v>
          </cell>
        </row>
        <row r="793">
          <cell r="B793" t="str">
            <v>M-24</v>
          </cell>
          <cell r="C793" t="str">
            <v>4" Hinges</v>
          </cell>
          <cell r="J793" t="str">
            <v>pc</v>
          </cell>
        </row>
        <row r="794">
          <cell r="B794" t="str">
            <v>M-25</v>
          </cell>
          <cell r="C794" t="str">
            <v>10" Aldrop</v>
          </cell>
          <cell r="J794" t="str">
            <v>pc</v>
          </cell>
        </row>
        <row r="795">
          <cell r="B795" t="str">
            <v>M-26</v>
          </cell>
          <cell r="C795" t="str">
            <v>Gate Lock Key</v>
          </cell>
          <cell r="J795" t="str">
            <v>pc</v>
          </cell>
        </row>
        <row r="796">
          <cell r="B796" t="str">
            <v>M-27</v>
          </cell>
          <cell r="C796" t="str">
            <v>Nut with bolt (8mm dia)</v>
          </cell>
          <cell r="J796" t="str">
            <v>pc</v>
          </cell>
        </row>
        <row r="797">
          <cell r="B797" t="str">
            <v>M-28</v>
          </cell>
          <cell r="C797" t="str">
            <v>Screws</v>
          </cell>
          <cell r="J797" t="str">
            <v>pc</v>
          </cell>
        </row>
        <row r="798">
          <cell r="B798" t="str">
            <v>M-29</v>
          </cell>
          <cell r="C798" t="str">
            <v>GI sheet Plain (3'x7')</v>
          </cell>
          <cell r="J798" t="str">
            <v>pc</v>
          </cell>
        </row>
        <row r="799">
          <cell r="B799" t="str">
            <v>M-30</v>
          </cell>
          <cell r="C799" t="str">
            <v>Manhole Cover (Circular)</v>
          </cell>
          <cell r="J799" t="str">
            <v>pc</v>
          </cell>
        </row>
        <row r="800">
          <cell r="B800" t="str">
            <v>M-31</v>
          </cell>
          <cell r="C800" t="str">
            <v>Manhole Cover (Square)</v>
          </cell>
          <cell r="J800" t="str">
            <v>pc</v>
          </cell>
        </row>
        <row r="801">
          <cell r="B801" t="str">
            <v>M-32</v>
          </cell>
          <cell r="C801" t="str">
            <v>Manhole Cover (Rectangle)</v>
          </cell>
          <cell r="J801" t="str">
            <v>pc</v>
          </cell>
        </row>
        <row r="802">
          <cell r="B802" t="str">
            <v>M-33</v>
          </cell>
          <cell r="C802" t="str">
            <v>Small Slab Frame (55x55)</v>
          </cell>
          <cell r="J802" t="str">
            <v>pc</v>
          </cell>
        </row>
        <row r="803">
          <cell r="B803" t="str">
            <v>M-34</v>
          </cell>
          <cell r="C803" t="str">
            <v>Big Slab Frame (75x75)</v>
          </cell>
          <cell r="J803" t="str">
            <v>pc</v>
          </cell>
        </row>
        <row r="804">
          <cell r="B804" t="str">
            <v>M-36</v>
          </cell>
          <cell r="C804" t="str">
            <v>Lime</v>
          </cell>
          <cell r="J804" t="str">
            <v>kg</v>
          </cell>
        </row>
        <row r="805">
          <cell r="B805" t="str">
            <v>M-41</v>
          </cell>
          <cell r="C805" t="str">
            <v>Suspension Cable (8mm)</v>
          </cell>
          <cell r="J805" t="str">
            <v>m</v>
          </cell>
        </row>
        <row r="806">
          <cell r="B806" t="str">
            <v>M-42</v>
          </cell>
          <cell r="C806" t="str">
            <v>Suspension Cable (13mm)</v>
          </cell>
          <cell r="J806" t="str">
            <v>m</v>
          </cell>
        </row>
        <row r="807">
          <cell r="B807" t="str">
            <v>M-43</v>
          </cell>
          <cell r="C807" t="str">
            <v>Bulldog Grips (8mm)</v>
          </cell>
          <cell r="J807" t="str">
            <v>pc</v>
          </cell>
        </row>
        <row r="808">
          <cell r="B808" t="str">
            <v>M-44</v>
          </cell>
          <cell r="C808" t="str">
            <v>Bulldog Grips (13mm)</v>
          </cell>
          <cell r="J808" t="str">
            <v>pc</v>
          </cell>
        </row>
        <row r="809">
          <cell r="B809" t="str">
            <v>M-45</v>
          </cell>
          <cell r="C809" t="str">
            <v>PE Tank 200 ltrs.</v>
          </cell>
          <cell r="J809" t="str">
            <v>pc</v>
          </cell>
        </row>
        <row r="810">
          <cell r="B810" t="str">
            <v>M-46</v>
          </cell>
          <cell r="C810" t="str">
            <v>Tapstand Grid</v>
          </cell>
          <cell r="J810" t="str">
            <v>pc</v>
          </cell>
        </row>
        <row r="811">
          <cell r="B811" t="str">
            <v>M-47</v>
          </cell>
          <cell r="C811" t="str">
            <v>Anchor Bolt (1/2")</v>
          </cell>
          <cell r="J811" t="str">
            <v>pc</v>
          </cell>
        </row>
        <row r="812">
          <cell r="B812" t="str">
            <v>M-48</v>
          </cell>
          <cell r="C812" t="str">
            <v>Anchor Bolt (1")</v>
          </cell>
          <cell r="J812" t="str">
            <v>pc</v>
          </cell>
        </row>
        <row r="813">
          <cell r="B813" t="str">
            <v>M-49</v>
          </cell>
          <cell r="C813" t="str">
            <v>Anchor Bolt (1 1/2")</v>
          </cell>
          <cell r="J813" t="str">
            <v>pc</v>
          </cell>
        </row>
        <row r="814">
          <cell r="B814" t="str">
            <v>M-50</v>
          </cell>
          <cell r="C814" t="str">
            <v>Anchor Bolt (2")</v>
          </cell>
          <cell r="J814" t="str">
            <v>pc</v>
          </cell>
        </row>
        <row r="815">
          <cell r="B815" t="str">
            <v>M-01</v>
          </cell>
          <cell r="C815" t="str">
            <v>Cement</v>
          </cell>
          <cell r="I815">
            <v>0</v>
          </cell>
          <cell r="J815" t="str">
            <v>bag</v>
          </cell>
        </row>
        <row r="816">
          <cell r="B816" t="str">
            <v>M-02</v>
          </cell>
          <cell r="C816" t="str">
            <v>Sand</v>
          </cell>
          <cell r="I816">
            <v>0</v>
          </cell>
          <cell r="J816" t="str">
            <v>m3</v>
          </cell>
        </row>
        <row r="817">
          <cell r="B817" t="str">
            <v>M-03</v>
          </cell>
          <cell r="C817" t="str">
            <v>Block Stone</v>
          </cell>
          <cell r="I817">
            <v>0</v>
          </cell>
          <cell r="J817" t="str">
            <v>m3</v>
          </cell>
        </row>
        <row r="818">
          <cell r="B818" t="str">
            <v>M-04</v>
          </cell>
          <cell r="C818" t="str">
            <v>Bond Stone</v>
          </cell>
          <cell r="I818">
            <v>0</v>
          </cell>
          <cell r="J818" t="str">
            <v>m3</v>
          </cell>
        </row>
        <row r="819">
          <cell r="B819" t="str">
            <v>M-05</v>
          </cell>
          <cell r="C819" t="str">
            <v>Aggregate (5-10mm)</v>
          </cell>
          <cell r="I819">
            <v>0</v>
          </cell>
          <cell r="J819" t="str">
            <v>m3</v>
          </cell>
        </row>
        <row r="820">
          <cell r="B820" t="str">
            <v>M-06</v>
          </cell>
          <cell r="C820" t="str">
            <v>Aggregate (10-20mm)</v>
          </cell>
          <cell r="I820">
            <v>0</v>
          </cell>
          <cell r="J820" t="str">
            <v>m3</v>
          </cell>
        </row>
        <row r="821">
          <cell r="B821" t="str">
            <v>M-07</v>
          </cell>
          <cell r="C821" t="str">
            <v>Aggregate (20-40mm)</v>
          </cell>
          <cell r="I821">
            <v>0</v>
          </cell>
          <cell r="J821" t="str">
            <v>m3</v>
          </cell>
        </row>
        <row r="822">
          <cell r="B822" t="str">
            <v>M-08</v>
          </cell>
          <cell r="C822" t="str">
            <v>Project Information Board</v>
          </cell>
          <cell r="J822" t="str">
            <v>set</v>
          </cell>
        </row>
        <row r="823">
          <cell r="B823" t="str">
            <v>M-09</v>
          </cell>
          <cell r="C823" t="str">
            <v>Reinforcement ( 6mm)</v>
          </cell>
          <cell r="I823">
            <v>0</v>
          </cell>
          <cell r="J823" t="str">
            <v>kg</v>
          </cell>
        </row>
        <row r="824">
          <cell r="B824" t="str">
            <v>M-10</v>
          </cell>
          <cell r="C824" t="str">
            <v>Reinforcement ( 8mm)</v>
          </cell>
          <cell r="J824" t="str">
            <v>kg</v>
          </cell>
        </row>
        <row r="825">
          <cell r="B825" t="str">
            <v>M-11</v>
          </cell>
          <cell r="C825" t="str">
            <v>Reinforcement (10mm)</v>
          </cell>
          <cell r="I825">
            <v>0</v>
          </cell>
          <cell r="J825" t="str">
            <v>kg</v>
          </cell>
        </row>
        <row r="826">
          <cell r="B826" t="str">
            <v>M-12</v>
          </cell>
          <cell r="C826" t="str">
            <v>Binding wire</v>
          </cell>
          <cell r="I826">
            <v>0</v>
          </cell>
          <cell r="J826" t="str">
            <v>kg</v>
          </cell>
        </row>
        <row r="827">
          <cell r="B827" t="str">
            <v>M-13</v>
          </cell>
          <cell r="C827" t="str">
            <v>Plain wire (3.5 mm dia)</v>
          </cell>
          <cell r="I827">
            <v>0</v>
          </cell>
          <cell r="J827" t="str">
            <v>kg</v>
          </cell>
        </row>
        <row r="828">
          <cell r="B828" t="str">
            <v>M-14</v>
          </cell>
          <cell r="C828" t="str">
            <v>Chicken wire mesh (3 Ft wide)</v>
          </cell>
          <cell r="I828">
            <v>0</v>
          </cell>
          <cell r="J828" t="str">
            <v>m</v>
          </cell>
        </row>
        <row r="829">
          <cell r="B829" t="str">
            <v>M-15</v>
          </cell>
          <cell r="C829" t="str">
            <v>Bamboo</v>
          </cell>
          <cell r="I829">
            <v>0</v>
          </cell>
          <cell r="J829" t="str">
            <v>pc</v>
          </cell>
        </row>
        <row r="830">
          <cell r="B830" t="str">
            <v>M-35</v>
          </cell>
          <cell r="C830" t="str">
            <v>Cement Paint</v>
          </cell>
          <cell r="I830">
            <v>0</v>
          </cell>
          <cell r="J830" t="str">
            <v>kg</v>
          </cell>
        </row>
        <row r="831">
          <cell r="B831" t="str">
            <v>M-37</v>
          </cell>
          <cell r="C831" t="str">
            <v>GI Selwage Wire (8g)</v>
          </cell>
          <cell r="J831" t="str">
            <v>kg</v>
          </cell>
        </row>
        <row r="832">
          <cell r="B832" t="str">
            <v>M-38</v>
          </cell>
          <cell r="C832" t="str">
            <v>GI Mesh Wire (10g)</v>
          </cell>
          <cell r="J832" t="str">
            <v>kg</v>
          </cell>
        </row>
        <row r="833">
          <cell r="B833" t="str">
            <v>M-39</v>
          </cell>
          <cell r="C833" t="str">
            <v>Wood for Formwork</v>
          </cell>
          <cell r="I833">
            <v>0</v>
          </cell>
          <cell r="J833" t="str">
            <v>m3</v>
          </cell>
        </row>
        <row r="834">
          <cell r="B834" t="str">
            <v>M-40</v>
          </cell>
          <cell r="C834" t="str">
            <v>Nails</v>
          </cell>
          <cell r="I834">
            <v>0</v>
          </cell>
          <cell r="J834" t="str">
            <v>kg</v>
          </cell>
        </row>
        <row r="835">
          <cell r="B835" t="str">
            <v>L-1</v>
          </cell>
          <cell r="C835" t="str">
            <v>Skilled Labour</v>
          </cell>
          <cell r="I835">
            <v>0</v>
          </cell>
          <cell r="J835" t="str">
            <v>md</v>
          </cell>
        </row>
        <row r="836">
          <cell r="B836" t="str">
            <v>L-2</v>
          </cell>
          <cell r="C836" t="str">
            <v>Unskilled Labour</v>
          </cell>
          <cell r="I836">
            <v>0</v>
          </cell>
          <cell r="J836" t="str">
            <v>md</v>
          </cell>
        </row>
        <row r="837">
          <cell r="C837" t="str">
            <v>FITTINGS/EXTRA MATERIALS</v>
          </cell>
        </row>
        <row r="838">
          <cell r="C838" t="str">
            <v>Inlet Pipe Dia</v>
          </cell>
          <cell r="D838">
            <v>0</v>
          </cell>
        </row>
        <row r="839">
          <cell r="C839" t="str">
            <v>Outlet Pipe Dia</v>
          </cell>
          <cell r="D839">
            <v>0</v>
          </cell>
        </row>
        <row r="840">
          <cell r="C840" t="str">
            <v>Overflow Pipe Dia</v>
          </cell>
          <cell r="D840">
            <v>0</v>
          </cell>
        </row>
        <row r="841">
          <cell r="C841" t="str">
            <v>Washout Pipe Dia</v>
          </cell>
          <cell r="D841">
            <v>0</v>
          </cell>
        </row>
        <row r="842">
          <cell r="B842" t="str">
            <v>HP2.5-75</v>
          </cell>
          <cell r="C842" t="str">
            <v>HDPE Pipe(75mm) - 2.5 kgf/cm2</v>
          </cell>
          <cell r="J842" t="str">
            <v>m</v>
          </cell>
        </row>
        <row r="843">
          <cell r="B843" t="str">
            <v>GPM-15</v>
          </cell>
          <cell r="C843" t="str">
            <v>G.I. Pipe (1/2") - MC</v>
          </cell>
          <cell r="J843" t="str">
            <v>m</v>
          </cell>
        </row>
        <row r="844">
          <cell r="B844" t="str">
            <v>GEL-15</v>
          </cell>
          <cell r="C844" t="str">
            <v xml:space="preserve">G.I. Elbow (1/2") </v>
          </cell>
          <cell r="J844" t="str">
            <v>pc</v>
          </cell>
        </row>
        <row r="845">
          <cell r="B845" t="str">
            <v>GSO-15</v>
          </cell>
          <cell r="C845" t="str">
            <v>G.I. Socket (1/2")</v>
          </cell>
          <cell r="J845" t="str">
            <v>pc</v>
          </cell>
        </row>
        <row r="846">
          <cell r="B846" t="str">
            <v>BT400-15</v>
          </cell>
          <cell r="C846" t="str">
            <v>Brass Tap ( 400g )</v>
          </cell>
          <cell r="J846" t="str">
            <v>pc</v>
          </cell>
        </row>
        <row r="847">
          <cell r="B847" t="str">
            <v>BU-20</v>
          </cell>
          <cell r="C847" t="str">
            <v>Brass Union  (20mm x 1/2")</v>
          </cell>
          <cell r="J847" t="str">
            <v>pc</v>
          </cell>
        </row>
        <row r="848">
          <cell r="B848" t="str">
            <v>BRT-15</v>
          </cell>
          <cell r="C848" t="str">
            <v>Regulating Tee (1/2")</v>
          </cell>
          <cell r="J848" t="str">
            <v>pc</v>
          </cell>
        </row>
        <row r="851">
          <cell r="B851" t="str">
            <v>I-01</v>
          </cell>
          <cell r="C851" t="str">
            <v>Earth Work in Excavation</v>
          </cell>
          <cell r="I851">
            <v>0</v>
          </cell>
          <cell r="J851" t="str">
            <v>m3</v>
          </cell>
        </row>
        <row r="855">
          <cell r="B855" t="str">
            <v>I-02</v>
          </cell>
          <cell r="C855" t="str">
            <v>Earth Work in Backfilling</v>
          </cell>
          <cell r="I855">
            <v>0</v>
          </cell>
          <cell r="J855" t="str">
            <v>m3</v>
          </cell>
        </row>
        <row r="859">
          <cell r="B859" t="str">
            <v>I-03</v>
          </cell>
          <cell r="C859" t="str">
            <v>Dry Stone Soling</v>
          </cell>
          <cell r="I859">
            <v>0</v>
          </cell>
          <cell r="J859" t="str">
            <v>m3</v>
          </cell>
        </row>
        <row r="863">
          <cell r="B863" t="str">
            <v>I-04</v>
          </cell>
          <cell r="C863" t="str">
            <v>P.C.C. (1:2:4)</v>
          </cell>
          <cell r="I863">
            <v>0</v>
          </cell>
          <cell r="J863" t="str">
            <v>m3</v>
          </cell>
        </row>
        <row r="867">
          <cell r="B867" t="str">
            <v>I-05</v>
          </cell>
          <cell r="C867" t="str">
            <v>P.C.C. for Pre-cast Slab (1:2:4)</v>
          </cell>
          <cell r="I867">
            <v>0</v>
          </cell>
          <cell r="J867" t="str">
            <v>m3</v>
          </cell>
        </row>
        <row r="871">
          <cell r="B871" t="str">
            <v>I-06</v>
          </cell>
          <cell r="C871" t="str">
            <v>P.C.C. for R.C.C. (1:2:4)</v>
          </cell>
          <cell r="I871">
            <v>0</v>
          </cell>
          <cell r="J871" t="str">
            <v>m3</v>
          </cell>
        </row>
        <row r="875">
          <cell r="B875" t="str">
            <v>I-07</v>
          </cell>
          <cell r="C875" t="str">
            <v>Random Rubble Masonry (1:4)</v>
          </cell>
          <cell r="I875">
            <v>0</v>
          </cell>
          <cell r="J875" t="str">
            <v>m3</v>
          </cell>
        </row>
        <row r="879">
          <cell r="B879" t="str">
            <v>I-08</v>
          </cell>
          <cell r="C879" t="str">
            <v>Random Rubble Masonry (1:6)</v>
          </cell>
          <cell r="I879">
            <v>0</v>
          </cell>
          <cell r="J879" t="str">
            <v>m3</v>
          </cell>
        </row>
        <row r="883">
          <cell r="B883" t="str">
            <v>I-09</v>
          </cell>
          <cell r="C883" t="str">
            <v>Dry Stone masonry</v>
          </cell>
          <cell r="I883">
            <v>0</v>
          </cell>
          <cell r="J883" t="str">
            <v>m3</v>
          </cell>
        </row>
        <row r="887">
          <cell r="B887" t="str">
            <v>I-10</v>
          </cell>
          <cell r="C887" t="str">
            <v>Form Work for P.C.C.</v>
          </cell>
          <cell r="I887">
            <v>0</v>
          </cell>
          <cell r="J887" t="str">
            <v>m2</v>
          </cell>
        </row>
        <row r="891">
          <cell r="B891" t="str">
            <v>I-11</v>
          </cell>
          <cell r="C891" t="str">
            <v>12.5mm Cement Plaster (1:2)</v>
          </cell>
          <cell r="I891">
            <v>0</v>
          </cell>
          <cell r="J891" t="str">
            <v>m2</v>
          </cell>
        </row>
        <row r="895">
          <cell r="B895" t="str">
            <v>I-12</v>
          </cell>
          <cell r="C895" t="str">
            <v>12.5mm Cement Plaster (1:3)</v>
          </cell>
          <cell r="I895">
            <v>0</v>
          </cell>
          <cell r="J895" t="str">
            <v>m2</v>
          </cell>
        </row>
        <row r="899">
          <cell r="B899" t="str">
            <v>I-13</v>
          </cell>
          <cell r="C899" t="str">
            <v>12.5mm Cement Plaster (1:4)</v>
          </cell>
          <cell r="I899">
            <v>0</v>
          </cell>
          <cell r="J899" t="str">
            <v>m2</v>
          </cell>
        </row>
        <row r="903">
          <cell r="B903" t="str">
            <v>I-14</v>
          </cell>
          <cell r="C903" t="str">
            <v>Cement Pointing (1:3)</v>
          </cell>
          <cell r="I903">
            <v>0</v>
          </cell>
          <cell r="J903" t="str">
            <v>m2</v>
          </cell>
        </row>
        <row r="907">
          <cell r="B907" t="str">
            <v>I-15</v>
          </cell>
          <cell r="C907" t="str">
            <v>3mm Cement Punning</v>
          </cell>
          <cell r="I907">
            <v>0</v>
          </cell>
          <cell r="J907" t="str">
            <v>m2</v>
          </cell>
        </row>
        <row r="911">
          <cell r="B911" t="str">
            <v>I-16A</v>
          </cell>
          <cell r="C911" t="str">
            <v>Bar Binding for R.C.C. (10mm bar)</v>
          </cell>
          <cell r="I911">
            <v>0</v>
          </cell>
          <cell r="J911" t="str">
            <v>Kg</v>
          </cell>
        </row>
        <row r="915">
          <cell r="B915" t="str">
            <v>I-16B</v>
          </cell>
          <cell r="C915" t="str">
            <v>Bar Binding for R.C.C. (6mm bar)</v>
          </cell>
          <cell r="I915">
            <v>0</v>
          </cell>
          <cell r="J915" t="str">
            <v>Kg</v>
          </cell>
        </row>
        <row r="919">
          <cell r="B919" t="str">
            <v>I-17</v>
          </cell>
          <cell r="C919" t="str">
            <v>Bar Binding for Ferro-Cement Works</v>
          </cell>
          <cell r="I919">
            <v>0</v>
          </cell>
          <cell r="J919" t="str">
            <v>m2</v>
          </cell>
        </row>
        <row r="923">
          <cell r="B923" t="str">
            <v>I-18</v>
          </cell>
          <cell r="C923" t="str">
            <v>Formwork for Ferro-Cement Works</v>
          </cell>
          <cell r="I923">
            <v>0</v>
          </cell>
          <cell r="J923" t="str">
            <v>m2</v>
          </cell>
        </row>
        <row r="927">
          <cell r="B927" t="str">
            <v>I-19</v>
          </cell>
          <cell r="C927" t="str">
            <v>Cement Plaster for Ferro-Cement Work (1:3)</v>
          </cell>
          <cell r="I927">
            <v>0</v>
          </cell>
          <cell r="J927" t="str">
            <v>m2</v>
          </cell>
        </row>
        <row r="931">
          <cell r="B931" t="str">
            <v>I-20</v>
          </cell>
          <cell r="C931" t="str">
            <v>Formwork for Precast RCC Work</v>
          </cell>
          <cell r="I931">
            <v>0</v>
          </cell>
          <cell r="J931" t="str">
            <v>m2</v>
          </cell>
        </row>
        <row r="935">
          <cell r="B935" t="str">
            <v>I-21</v>
          </cell>
          <cell r="C935" t="str">
            <v>Cement Painting</v>
          </cell>
          <cell r="I935">
            <v>0</v>
          </cell>
          <cell r="J935" t="str">
            <v>m2</v>
          </cell>
        </row>
        <row r="939">
          <cell r="B939" t="str">
            <v>I-22</v>
          </cell>
          <cell r="C939" t="str">
            <v>Trench digging</v>
          </cell>
          <cell r="I939">
            <v>0</v>
          </cell>
          <cell r="J939" t="str">
            <v>m3</v>
          </cell>
        </row>
        <row r="943">
          <cell r="B943" t="str">
            <v>I-23</v>
          </cell>
          <cell r="C943" t="str">
            <v>Trench backfilling</v>
          </cell>
          <cell r="I943">
            <v>0</v>
          </cell>
          <cell r="J943" t="str">
            <v>m3</v>
          </cell>
        </row>
        <row r="947">
          <cell r="B947" t="str">
            <v>I-24</v>
          </cell>
          <cell r="C947" t="str">
            <v>Gabion Box (2mX1mX1m)</v>
          </cell>
          <cell r="I947">
            <v>0</v>
          </cell>
          <cell r="J947" t="str">
            <v>No</v>
          </cell>
        </row>
        <row r="950">
          <cell r="B950" t="str">
            <v>I-25</v>
          </cell>
          <cell r="C950" t="str">
            <v>Gabion Box (3mX1mX1m)</v>
          </cell>
          <cell r="I950">
            <v>0</v>
          </cell>
          <cell r="J950" t="str">
            <v>No</v>
          </cell>
        </row>
        <row r="954">
          <cell r="B954" t="str">
            <v>M-16</v>
          </cell>
          <cell r="C954" t="str">
            <v>Angle Pole</v>
          </cell>
          <cell r="J954" t="str">
            <v>pc</v>
          </cell>
        </row>
        <row r="955">
          <cell r="B955" t="str">
            <v>M-17</v>
          </cell>
          <cell r="C955" t="str">
            <v>Angle Pole for Gate</v>
          </cell>
          <cell r="J955" t="str">
            <v>pc</v>
          </cell>
        </row>
        <row r="956">
          <cell r="B956" t="str">
            <v>M-18</v>
          </cell>
          <cell r="C956" t="str">
            <v>Corner Angle Pole</v>
          </cell>
          <cell r="J956" t="str">
            <v>pc</v>
          </cell>
        </row>
        <row r="957">
          <cell r="B957" t="str">
            <v>M-19</v>
          </cell>
          <cell r="C957" t="str">
            <v>Bracing Angle Pole</v>
          </cell>
          <cell r="J957" t="str">
            <v>pc</v>
          </cell>
        </row>
        <row r="958">
          <cell r="B958" t="str">
            <v>M-20</v>
          </cell>
          <cell r="C958" t="str">
            <v>Polythene Sheet</v>
          </cell>
          <cell r="J958" t="str">
            <v>m</v>
          </cell>
        </row>
        <row r="959">
          <cell r="B959" t="str">
            <v>M-21</v>
          </cell>
          <cell r="C959" t="str">
            <v>Barbed Wire</v>
          </cell>
          <cell r="J959" t="str">
            <v>kg</v>
          </cell>
        </row>
        <row r="960">
          <cell r="B960" t="str">
            <v>M-22</v>
          </cell>
          <cell r="C960" t="str">
            <v>Fencing Post</v>
          </cell>
          <cell r="J960" t="str">
            <v>pc</v>
          </cell>
        </row>
        <row r="961">
          <cell r="B961" t="str">
            <v>M-23</v>
          </cell>
          <cell r="C961" t="str">
            <v>Angle Gate</v>
          </cell>
          <cell r="J961" t="str">
            <v>pc</v>
          </cell>
        </row>
        <row r="962">
          <cell r="B962" t="str">
            <v>M-24</v>
          </cell>
          <cell r="C962" t="str">
            <v>4" Hinges</v>
          </cell>
          <cell r="J962" t="str">
            <v>pc</v>
          </cell>
        </row>
        <row r="963">
          <cell r="B963" t="str">
            <v>M-25</v>
          </cell>
          <cell r="C963" t="str">
            <v>10" Aldrop</v>
          </cell>
          <cell r="J963" t="str">
            <v>pc</v>
          </cell>
        </row>
        <row r="964">
          <cell r="B964" t="str">
            <v>M-26</v>
          </cell>
          <cell r="C964" t="str">
            <v>Gate Lock Key</v>
          </cell>
          <cell r="J964" t="str">
            <v>pc</v>
          </cell>
        </row>
        <row r="965">
          <cell r="B965" t="str">
            <v>M-27</v>
          </cell>
          <cell r="C965" t="str">
            <v>Nut with bolt (8mm dia)</v>
          </cell>
          <cell r="J965" t="str">
            <v>pc</v>
          </cell>
        </row>
        <row r="966">
          <cell r="B966" t="str">
            <v>M-28</v>
          </cell>
          <cell r="C966" t="str">
            <v>Screws</v>
          </cell>
          <cell r="J966" t="str">
            <v>pc</v>
          </cell>
        </row>
        <row r="967">
          <cell r="B967" t="str">
            <v>M-29</v>
          </cell>
          <cell r="C967" t="str">
            <v>GI sheet Plain (3'x7')</v>
          </cell>
          <cell r="J967" t="str">
            <v>pc</v>
          </cell>
        </row>
        <row r="968">
          <cell r="B968" t="str">
            <v>M-30</v>
          </cell>
          <cell r="C968" t="str">
            <v>Manhole Cover (Circular)</v>
          </cell>
          <cell r="J968" t="str">
            <v>pc</v>
          </cell>
        </row>
        <row r="969">
          <cell r="B969" t="str">
            <v>M-31</v>
          </cell>
          <cell r="C969" t="str">
            <v>Manhole Cover (Square)</v>
          </cell>
          <cell r="J969" t="str">
            <v>pc</v>
          </cell>
        </row>
        <row r="970">
          <cell r="B970" t="str">
            <v>M-32</v>
          </cell>
          <cell r="C970" t="str">
            <v>Manhole Cover (Rectangle)</v>
          </cell>
          <cell r="J970" t="str">
            <v>pc</v>
          </cell>
        </row>
        <row r="971">
          <cell r="B971" t="str">
            <v>M-33</v>
          </cell>
          <cell r="C971" t="str">
            <v>Small Slab Frame (55x55)</v>
          </cell>
          <cell r="J971" t="str">
            <v>pc</v>
          </cell>
        </row>
        <row r="972">
          <cell r="B972" t="str">
            <v>M-34</v>
          </cell>
          <cell r="C972" t="str">
            <v>Big Slab Frame (75x75)</v>
          </cell>
          <cell r="J972" t="str">
            <v>pc</v>
          </cell>
        </row>
        <row r="973">
          <cell r="B973" t="str">
            <v>M-36</v>
          </cell>
          <cell r="C973" t="str">
            <v>Lime</v>
          </cell>
          <cell r="J973" t="str">
            <v>kg</v>
          </cell>
        </row>
        <row r="974">
          <cell r="B974" t="str">
            <v>M-41</v>
          </cell>
          <cell r="C974" t="str">
            <v>Suspension Cable (8mm)</v>
          </cell>
          <cell r="J974" t="str">
            <v>m</v>
          </cell>
        </row>
        <row r="975">
          <cell r="B975" t="str">
            <v>M-42</v>
          </cell>
          <cell r="C975" t="str">
            <v>Suspension Cable (13mm)</v>
          </cell>
          <cell r="J975" t="str">
            <v>m</v>
          </cell>
        </row>
        <row r="976">
          <cell r="B976" t="str">
            <v>M-43</v>
          </cell>
          <cell r="C976" t="str">
            <v>Bulldog Grips (8mm)</v>
          </cell>
          <cell r="J976" t="str">
            <v>pc</v>
          </cell>
        </row>
        <row r="977">
          <cell r="B977" t="str">
            <v>M-44</v>
          </cell>
          <cell r="C977" t="str">
            <v>Bulldog Grips (13mm)</v>
          </cell>
          <cell r="J977" t="str">
            <v>pc</v>
          </cell>
        </row>
        <row r="978">
          <cell r="B978" t="str">
            <v>M-45</v>
          </cell>
          <cell r="C978" t="str">
            <v>PE Tank 200 ltrs.</v>
          </cell>
          <cell r="J978" t="str">
            <v>pc</v>
          </cell>
        </row>
        <row r="979">
          <cell r="B979" t="str">
            <v>M-46</v>
          </cell>
          <cell r="C979" t="str">
            <v>Tapstand Grid</v>
          </cell>
          <cell r="J979" t="str">
            <v>pc</v>
          </cell>
        </row>
        <row r="980">
          <cell r="B980" t="str">
            <v>M-47</v>
          </cell>
          <cell r="C980" t="str">
            <v>Anchor Bolt (1/2")</v>
          </cell>
          <cell r="J980" t="str">
            <v>pc</v>
          </cell>
        </row>
        <row r="981">
          <cell r="B981" t="str">
            <v>M-48</v>
          </cell>
          <cell r="C981" t="str">
            <v>Anchor Bolt (1")</v>
          </cell>
          <cell r="J981" t="str">
            <v>pc</v>
          </cell>
        </row>
        <row r="982">
          <cell r="B982" t="str">
            <v>M-49</v>
          </cell>
          <cell r="C982" t="str">
            <v>Anchor Bolt (1 1/2")</v>
          </cell>
          <cell r="J982" t="str">
            <v>pc</v>
          </cell>
        </row>
        <row r="983">
          <cell r="B983" t="str">
            <v>M-50</v>
          </cell>
          <cell r="C983" t="str">
            <v>Anchor Bolt (2")</v>
          </cell>
          <cell r="J983" t="str">
            <v>pc</v>
          </cell>
        </row>
        <row r="984">
          <cell r="B984" t="str">
            <v>M-01</v>
          </cell>
          <cell r="C984" t="str">
            <v>Cement</v>
          </cell>
          <cell r="I984">
            <v>0</v>
          </cell>
          <cell r="J984" t="str">
            <v>bag</v>
          </cell>
        </row>
        <row r="985">
          <cell r="B985" t="str">
            <v>M-02</v>
          </cell>
          <cell r="C985" t="str">
            <v>Sand</v>
          </cell>
          <cell r="I985">
            <v>0</v>
          </cell>
          <cell r="J985" t="str">
            <v>m3</v>
          </cell>
        </row>
        <row r="986">
          <cell r="B986" t="str">
            <v>M-03</v>
          </cell>
          <cell r="C986" t="str">
            <v>Block Stone</v>
          </cell>
          <cell r="I986">
            <v>0</v>
          </cell>
          <cell r="J986" t="str">
            <v>m3</v>
          </cell>
        </row>
        <row r="987">
          <cell r="B987" t="str">
            <v>M-04</v>
          </cell>
          <cell r="C987" t="str">
            <v>Bond Stone</v>
          </cell>
          <cell r="I987">
            <v>0</v>
          </cell>
          <cell r="J987" t="str">
            <v>m3</v>
          </cell>
        </row>
        <row r="988">
          <cell r="B988" t="str">
            <v>M-05</v>
          </cell>
          <cell r="C988" t="str">
            <v>Aggregate (5-10mm)</v>
          </cell>
          <cell r="I988">
            <v>0</v>
          </cell>
          <cell r="J988" t="str">
            <v>m3</v>
          </cell>
        </row>
        <row r="989">
          <cell r="B989" t="str">
            <v>M-06</v>
          </cell>
          <cell r="C989" t="str">
            <v>Aggregate (10-20mm)</v>
          </cell>
          <cell r="I989">
            <v>0</v>
          </cell>
          <cell r="J989" t="str">
            <v>m3</v>
          </cell>
        </row>
        <row r="990">
          <cell r="B990" t="str">
            <v>M-07</v>
          </cell>
          <cell r="C990" t="str">
            <v>Aggregate (20-40mm)</v>
          </cell>
          <cell r="I990">
            <v>0</v>
          </cell>
          <cell r="J990" t="str">
            <v>m3</v>
          </cell>
        </row>
        <row r="991">
          <cell r="B991" t="str">
            <v>M-08</v>
          </cell>
          <cell r="C991" t="str">
            <v>Project Information Board</v>
          </cell>
          <cell r="J991" t="str">
            <v>set</v>
          </cell>
        </row>
        <row r="992">
          <cell r="B992" t="str">
            <v>M-09</v>
          </cell>
          <cell r="C992" t="str">
            <v>Reinforcement ( 6mm)</v>
          </cell>
          <cell r="I992">
            <v>0</v>
          </cell>
          <cell r="J992" t="str">
            <v>kg</v>
          </cell>
        </row>
        <row r="993">
          <cell r="B993" t="str">
            <v>M-10</v>
          </cell>
          <cell r="C993" t="str">
            <v>Reinforcement ( 8mm)</v>
          </cell>
          <cell r="J993" t="str">
            <v>kg</v>
          </cell>
        </row>
        <row r="994">
          <cell r="B994" t="str">
            <v>M-11</v>
          </cell>
          <cell r="C994" t="str">
            <v>Reinforcement (10mm)</v>
          </cell>
          <cell r="I994">
            <v>0</v>
          </cell>
          <cell r="J994" t="str">
            <v>kg</v>
          </cell>
        </row>
        <row r="995">
          <cell r="B995" t="str">
            <v>M-12</v>
          </cell>
          <cell r="C995" t="str">
            <v>Binding wire</v>
          </cell>
          <cell r="I995">
            <v>0</v>
          </cell>
          <cell r="J995" t="str">
            <v>kg</v>
          </cell>
        </row>
        <row r="996">
          <cell r="B996" t="str">
            <v>M-13</v>
          </cell>
          <cell r="C996" t="str">
            <v>Plain wire (3.5 mm dia)</v>
          </cell>
          <cell r="I996">
            <v>0</v>
          </cell>
          <cell r="J996" t="str">
            <v>kg</v>
          </cell>
        </row>
        <row r="997">
          <cell r="B997" t="str">
            <v>M-14</v>
          </cell>
          <cell r="C997" t="str">
            <v>Chicken wire mesh (3 Ft wide)</v>
          </cell>
          <cell r="I997">
            <v>0</v>
          </cell>
          <cell r="J997" t="str">
            <v>m</v>
          </cell>
        </row>
        <row r="998">
          <cell r="B998" t="str">
            <v>M-15</v>
          </cell>
          <cell r="C998" t="str">
            <v>Bamboo</v>
          </cell>
          <cell r="I998">
            <v>0</v>
          </cell>
          <cell r="J998" t="str">
            <v>pc</v>
          </cell>
        </row>
        <row r="999">
          <cell r="B999" t="str">
            <v>M-35</v>
          </cell>
          <cell r="C999" t="str">
            <v>Cement Paint</v>
          </cell>
          <cell r="I999">
            <v>0</v>
          </cell>
          <cell r="J999" t="str">
            <v>kg</v>
          </cell>
        </row>
        <row r="1000">
          <cell r="B1000" t="str">
            <v>M-37</v>
          </cell>
          <cell r="C1000" t="str">
            <v>GI Selwage Wire (8g)</v>
          </cell>
          <cell r="J1000" t="str">
            <v>kg</v>
          </cell>
        </row>
        <row r="1001">
          <cell r="B1001" t="str">
            <v>M-38</v>
          </cell>
          <cell r="C1001" t="str">
            <v>GI Mesh Wire (10g)</v>
          </cell>
          <cell r="J1001" t="str">
            <v>kg</v>
          </cell>
        </row>
        <row r="1002">
          <cell r="B1002" t="str">
            <v>M-39</v>
          </cell>
          <cell r="C1002" t="str">
            <v>Wood for Formwork</v>
          </cell>
          <cell r="I1002">
            <v>0</v>
          </cell>
          <cell r="J1002" t="str">
            <v>m3</v>
          </cell>
        </row>
        <row r="1003">
          <cell r="B1003" t="str">
            <v>M-40</v>
          </cell>
          <cell r="C1003" t="str">
            <v>Nails</v>
          </cell>
          <cell r="I1003">
            <v>0</v>
          </cell>
          <cell r="J1003" t="str">
            <v>kg</v>
          </cell>
        </row>
        <row r="1004">
          <cell r="B1004" t="str">
            <v>L-1</v>
          </cell>
          <cell r="C1004" t="str">
            <v>Skilled Labour</v>
          </cell>
          <cell r="I1004">
            <v>0</v>
          </cell>
          <cell r="J1004" t="str">
            <v>md</v>
          </cell>
        </row>
        <row r="1005">
          <cell r="B1005" t="str">
            <v>L-2</v>
          </cell>
          <cell r="C1005" t="str">
            <v>Unskilled Labour</v>
          </cell>
          <cell r="I1005">
            <v>0</v>
          </cell>
          <cell r="J1005" t="str">
            <v>md</v>
          </cell>
        </row>
        <row r="1006">
          <cell r="C1006" t="str">
            <v>FITTINGS/EXTRA MATERIALS</v>
          </cell>
        </row>
        <row r="1007">
          <cell r="C1007" t="str">
            <v>Inlet Pipe Dia</v>
          </cell>
          <cell r="D1007">
            <v>0</v>
          </cell>
        </row>
        <row r="1008">
          <cell r="C1008" t="str">
            <v>Outlet Pipe Dia</v>
          </cell>
          <cell r="D1008">
            <v>0</v>
          </cell>
        </row>
        <row r="1009">
          <cell r="C1009" t="str">
            <v>Overflow Pipe Dia</v>
          </cell>
          <cell r="D1009">
            <v>0</v>
          </cell>
        </row>
        <row r="1010">
          <cell r="C1010" t="str">
            <v>Washout Pipe Dia</v>
          </cell>
          <cell r="D1010">
            <v>0</v>
          </cell>
        </row>
        <row r="1011">
          <cell r="B1011" t="str">
            <v>HP2.5-75</v>
          </cell>
          <cell r="C1011" t="str">
            <v>HDPE Pipe(75mm) - 2.5 kgf/cm2</v>
          </cell>
          <cell r="J1011" t="str">
            <v>m</v>
          </cell>
        </row>
        <row r="1012">
          <cell r="B1012" t="str">
            <v>GPM-15</v>
          </cell>
          <cell r="C1012" t="str">
            <v>G.I. Pipe (1/2") - MC</v>
          </cell>
          <cell r="J1012" t="str">
            <v>m</v>
          </cell>
        </row>
        <row r="1013">
          <cell r="B1013" t="str">
            <v>GEL-15</v>
          </cell>
          <cell r="C1013" t="str">
            <v xml:space="preserve">G.I. Elbow (1/2") </v>
          </cell>
          <cell r="J1013" t="str">
            <v>pc</v>
          </cell>
        </row>
        <row r="1014">
          <cell r="B1014" t="str">
            <v>GSO-15</v>
          </cell>
          <cell r="C1014" t="str">
            <v>G.I. Socket (1/2")</v>
          </cell>
          <cell r="J1014" t="str">
            <v>pc</v>
          </cell>
        </row>
        <row r="1015">
          <cell r="B1015" t="str">
            <v>BT400-15</v>
          </cell>
          <cell r="C1015" t="str">
            <v>Brass Tap ( 400g )</v>
          </cell>
          <cell r="J1015" t="str">
            <v>pc</v>
          </cell>
        </row>
        <row r="1016">
          <cell r="B1016" t="str">
            <v>BU-20</v>
          </cell>
          <cell r="C1016" t="str">
            <v>Brass Union  (20mm x 1/2")</v>
          </cell>
          <cell r="J1016" t="str">
            <v>pc</v>
          </cell>
        </row>
        <row r="1017">
          <cell r="B1017" t="str">
            <v>BRT-15</v>
          </cell>
          <cell r="C1017" t="str">
            <v>Regulating Tee (1/2")</v>
          </cell>
          <cell r="J1017" t="str">
            <v>pc</v>
          </cell>
        </row>
        <row r="1020">
          <cell r="B1020" t="str">
            <v>I-01</v>
          </cell>
          <cell r="C1020" t="str">
            <v>Earth Work in Excavation</v>
          </cell>
          <cell r="I1020">
            <v>0</v>
          </cell>
          <cell r="J1020" t="str">
            <v>m3</v>
          </cell>
        </row>
        <row r="1024">
          <cell r="B1024" t="str">
            <v>I-02</v>
          </cell>
          <cell r="C1024" t="str">
            <v>Earth Work in Backfilling</v>
          </cell>
          <cell r="I1024">
            <v>0</v>
          </cell>
          <cell r="J1024" t="str">
            <v>m3</v>
          </cell>
        </row>
        <row r="1028">
          <cell r="B1028" t="str">
            <v>I-03</v>
          </cell>
          <cell r="C1028" t="str">
            <v>Dry Stone Soling</v>
          </cell>
          <cell r="I1028">
            <v>0</v>
          </cell>
          <cell r="J1028" t="str">
            <v>m3</v>
          </cell>
        </row>
        <row r="1032">
          <cell r="B1032" t="str">
            <v>I-04</v>
          </cell>
          <cell r="C1032" t="str">
            <v>P.C.C. (1:2:4)</v>
          </cell>
          <cell r="I1032">
            <v>0</v>
          </cell>
          <cell r="J1032" t="str">
            <v>m3</v>
          </cell>
        </row>
        <row r="1036">
          <cell r="B1036" t="str">
            <v>I-05</v>
          </cell>
          <cell r="C1036" t="str">
            <v>P.C.C. for Pre-cast Slab (1:2:4)</v>
          </cell>
          <cell r="I1036">
            <v>0</v>
          </cell>
          <cell r="J1036" t="str">
            <v>m3</v>
          </cell>
        </row>
        <row r="1040">
          <cell r="B1040" t="str">
            <v>I-06</v>
          </cell>
          <cell r="C1040" t="str">
            <v>P.C.C. for R.C.C. (1:2:4)</v>
          </cell>
          <cell r="I1040">
            <v>0</v>
          </cell>
          <cell r="J1040" t="str">
            <v>m3</v>
          </cell>
        </row>
        <row r="1044">
          <cell r="B1044" t="str">
            <v>I-07</v>
          </cell>
          <cell r="C1044" t="str">
            <v>Random Rubble Masonry (1:4)</v>
          </cell>
          <cell r="I1044">
            <v>0</v>
          </cell>
          <cell r="J1044" t="str">
            <v>m3</v>
          </cell>
        </row>
        <row r="1048">
          <cell r="B1048" t="str">
            <v>I-08</v>
          </cell>
          <cell r="C1048" t="str">
            <v>Random Rubble Masonry (1:6)</v>
          </cell>
          <cell r="I1048">
            <v>0</v>
          </cell>
          <cell r="J1048" t="str">
            <v>m3</v>
          </cell>
        </row>
        <row r="1052">
          <cell r="B1052" t="str">
            <v>I-09</v>
          </cell>
          <cell r="C1052" t="str">
            <v>Dry Stone masonry</v>
          </cell>
          <cell r="I1052">
            <v>0</v>
          </cell>
          <cell r="J1052" t="str">
            <v>m3</v>
          </cell>
        </row>
        <row r="1056">
          <cell r="B1056" t="str">
            <v>I-10</v>
          </cell>
          <cell r="C1056" t="str">
            <v>Form Work for P.C.C.</v>
          </cell>
          <cell r="I1056">
            <v>0</v>
          </cell>
          <cell r="J1056" t="str">
            <v>m2</v>
          </cell>
        </row>
        <row r="1060">
          <cell r="B1060" t="str">
            <v>I-11</v>
          </cell>
          <cell r="C1060" t="str">
            <v>12.5mm Cement Plaster (1:2)</v>
          </cell>
          <cell r="I1060">
            <v>0</v>
          </cell>
          <cell r="J1060" t="str">
            <v>m2</v>
          </cell>
        </row>
        <row r="1064">
          <cell r="B1064" t="str">
            <v>I-12</v>
          </cell>
          <cell r="C1064" t="str">
            <v>12.5mm Cement Plaster (1:3)</v>
          </cell>
          <cell r="I1064">
            <v>0</v>
          </cell>
          <cell r="J1064" t="str">
            <v>m2</v>
          </cell>
        </row>
        <row r="1068">
          <cell r="B1068" t="str">
            <v>I-13</v>
          </cell>
          <cell r="C1068" t="str">
            <v>12.5mm Cement Plaster (1:4)</v>
          </cell>
          <cell r="I1068">
            <v>0</v>
          </cell>
          <cell r="J1068" t="str">
            <v>m2</v>
          </cell>
        </row>
        <row r="1072">
          <cell r="B1072" t="str">
            <v>I-14</v>
          </cell>
          <cell r="C1072" t="str">
            <v>Cement Pointing (1:3)</v>
          </cell>
          <cell r="I1072">
            <v>0</v>
          </cell>
          <cell r="J1072" t="str">
            <v>m2</v>
          </cell>
        </row>
        <row r="1076">
          <cell r="B1076" t="str">
            <v>I-15</v>
          </cell>
          <cell r="C1076" t="str">
            <v>3mm Cement Punning</v>
          </cell>
          <cell r="I1076">
            <v>0</v>
          </cell>
          <cell r="J1076" t="str">
            <v>m2</v>
          </cell>
        </row>
        <row r="1080">
          <cell r="B1080" t="str">
            <v>I-16A</v>
          </cell>
          <cell r="C1080" t="str">
            <v>Bar Binding for R.C.C. (10mm bar)</v>
          </cell>
          <cell r="I1080">
            <v>0</v>
          </cell>
          <cell r="J1080" t="str">
            <v>Kg</v>
          </cell>
        </row>
        <row r="1084">
          <cell r="B1084" t="str">
            <v>I-16B</v>
          </cell>
          <cell r="C1084" t="str">
            <v>Bar Binding for R.C.C. (6mm bar)</v>
          </cell>
          <cell r="I1084">
            <v>0</v>
          </cell>
          <cell r="J1084" t="str">
            <v>Kg</v>
          </cell>
        </row>
        <row r="1088">
          <cell r="B1088" t="str">
            <v>I-17</v>
          </cell>
          <cell r="C1088" t="str">
            <v>Bar Binding for Ferro-Cement Works</v>
          </cell>
          <cell r="I1088">
            <v>0</v>
          </cell>
          <cell r="J1088" t="str">
            <v>m2</v>
          </cell>
        </row>
        <row r="1092">
          <cell r="B1092" t="str">
            <v>I-18</v>
          </cell>
          <cell r="C1092" t="str">
            <v>Formwork for Ferro-Cement Works</v>
          </cell>
          <cell r="I1092">
            <v>0</v>
          </cell>
          <cell r="J1092" t="str">
            <v>m2</v>
          </cell>
        </row>
        <row r="1096">
          <cell r="B1096" t="str">
            <v>I-19</v>
          </cell>
          <cell r="C1096" t="str">
            <v>Cement Plaster for Ferro-Cement Work (1:3)</v>
          </cell>
          <cell r="I1096">
            <v>0</v>
          </cell>
          <cell r="J1096" t="str">
            <v>m2</v>
          </cell>
        </row>
        <row r="1100">
          <cell r="B1100" t="str">
            <v>I-20</v>
          </cell>
          <cell r="C1100" t="str">
            <v>Formwork for Precast RCC Work</v>
          </cell>
          <cell r="I1100">
            <v>0</v>
          </cell>
          <cell r="J1100" t="str">
            <v>m2</v>
          </cell>
        </row>
        <row r="1104">
          <cell r="B1104" t="str">
            <v>I-21</v>
          </cell>
          <cell r="C1104" t="str">
            <v>Cement Painting</v>
          </cell>
          <cell r="I1104">
            <v>0</v>
          </cell>
          <cell r="J1104" t="str">
            <v>m2</v>
          </cell>
        </row>
        <row r="1108">
          <cell r="B1108" t="str">
            <v>I-22</v>
          </cell>
          <cell r="C1108" t="str">
            <v>Trench digging</v>
          </cell>
          <cell r="I1108">
            <v>0</v>
          </cell>
          <cell r="J1108" t="str">
            <v>m3</v>
          </cell>
        </row>
        <row r="1112">
          <cell r="B1112" t="str">
            <v>I-23</v>
          </cell>
          <cell r="C1112" t="str">
            <v>Trench backfilling</v>
          </cell>
          <cell r="I1112">
            <v>0</v>
          </cell>
          <cell r="J1112" t="str">
            <v>m3</v>
          </cell>
        </row>
        <row r="1116">
          <cell r="B1116" t="str">
            <v>I-24</v>
          </cell>
          <cell r="C1116" t="str">
            <v>Gabion Box (2mX1mX1m)</v>
          </cell>
          <cell r="I1116">
            <v>0</v>
          </cell>
          <cell r="J1116" t="str">
            <v>No</v>
          </cell>
        </row>
        <row r="1119">
          <cell r="B1119" t="str">
            <v>I-25</v>
          </cell>
          <cell r="C1119" t="str">
            <v>Gabion Box (3mX1mX1m)</v>
          </cell>
          <cell r="I1119">
            <v>0</v>
          </cell>
          <cell r="J1119" t="str">
            <v>No</v>
          </cell>
        </row>
        <row r="1123">
          <cell r="B1123" t="str">
            <v>M-16</v>
          </cell>
          <cell r="C1123" t="str">
            <v>Angle Pole</v>
          </cell>
          <cell r="J1123" t="str">
            <v>pc</v>
          </cell>
        </row>
        <row r="1124">
          <cell r="B1124" t="str">
            <v>M-17</v>
          </cell>
          <cell r="C1124" t="str">
            <v>Angle Pole for Gate</v>
          </cell>
          <cell r="J1124" t="str">
            <v>pc</v>
          </cell>
        </row>
        <row r="1125">
          <cell r="B1125" t="str">
            <v>M-18</v>
          </cell>
          <cell r="C1125" t="str">
            <v>Corner Angle Pole</v>
          </cell>
          <cell r="J1125" t="str">
            <v>pc</v>
          </cell>
        </row>
        <row r="1126">
          <cell r="B1126" t="str">
            <v>M-19</v>
          </cell>
          <cell r="C1126" t="str">
            <v>Bracing Angle Pole</v>
          </cell>
          <cell r="J1126" t="str">
            <v>pc</v>
          </cell>
        </row>
        <row r="1127">
          <cell r="B1127" t="str">
            <v>M-20</v>
          </cell>
          <cell r="C1127" t="str">
            <v>Polythene Sheet</v>
          </cell>
          <cell r="J1127" t="str">
            <v>m</v>
          </cell>
        </row>
        <row r="1128">
          <cell r="B1128" t="str">
            <v>M-21</v>
          </cell>
          <cell r="C1128" t="str">
            <v>Barbed Wire</v>
          </cell>
          <cell r="J1128" t="str">
            <v>kg</v>
          </cell>
        </row>
        <row r="1129">
          <cell r="B1129" t="str">
            <v>M-22</v>
          </cell>
          <cell r="C1129" t="str">
            <v>Fencing Post</v>
          </cell>
          <cell r="J1129" t="str">
            <v>pc</v>
          </cell>
        </row>
        <row r="1130">
          <cell r="B1130" t="str">
            <v>M-23</v>
          </cell>
          <cell r="C1130" t="str">
            <v>Angle Gate</v>
          </cell>
          <cell r="J1130" t="str">
            <v>pc</v>
          </cell>
        </row>
        <row r="1131">
          <cell r="B1131" t="str">
            <v>M-24</v>
          </cell>
          <cell r="C1131" t="str">
            <v>4" Hinges</v>
          </cell>
          <cell r="J1131" t="str">
            <v>pc</v>
          </cell>
        </row>
        <row r="1132">
          <cell r="B1132" t="str">
            <v>M-25</v>
          </cell>
          <cell r="C1132" t="str">
            <v>10" Aldrop</v>
          </cell>
          <cell r="J1132" t="str">
            <v>pc</v>
          </cell>
        </row>
        <row r="1133">
          <cell r="B1133" t="str">
            <v>M-26</v>
          </cell>
          <cell r="C1133" t="str">
            <v>Gate Lock Key</v>
          </cell>
          <cell r="J1133" t="str">
            <v>pc</v>
          </cell>
        </row>
        <row r="1134">
          <cell r="B1134" t="str">
            <v>M-27</v>
          </cell>
          <cell r="C1134" t="str">
            <v>Nut with bolt (8mm dia)</v>
          </cell>
          <cell r="J1134" t="str">
            <v>pc</v>
          </cell>
        </row>
        <row r="1135">
          <cell r="B1135" t="str">
            <v>M-28</v>
          </cell>
          <cell r="C1135" t="str">
            <v>Screws</v>
          </cell>
          <cell r="J1135" t="str">
            <v>pc</v>
          </cell>
        </row>
        <row r="1136">
          <cell r="B1136" t="str">
            <v>M-29</v>
          </cell>
          <cell r="C1136" t="str">
            <v>GI sheet Plain (3'x7')</v>
          </cell>
          <cell r="J1136" t="str">
            <v>pc</v>
          </cell>
        </row>
        <row r="1137">
          <cell r="B1137" t="str">
            <v>M-30</v>
          </cell>
          <cell r="C1137" t="str">
            <v>Manhole Cover (Circular)</v>
          </cell>
          <cell r="J1137" t="str">
            <v>pc</v>
          </cell>
        </row>
        <row r="1138">
          <cell r="B1138" t="str">
            <v>M-31</v>
          </cell>
          <cell r="C1138" t="str">
            <v>Manhole Cover (Square)</v>
          </cell>
          <cell r="J1138" t="str">
            <v>pc</v>
          </cell>
        </row>
        <row r="1139">
          <cell r="B1139" t="str">
            <v>M-32</v>
          </cell>
          <cell r="C1139" t="str">
            <v>Manhole Cover (Rectangle)</v>
          </cell>
          <cell r="J1139" t="str">
            <v>pc</v>
          </cell>
        </row>
        <row r="1140">
          <cell r="B1140" t="str">
            <v>M-33</v>
          </cell>
          <cell r="C1140" t="str">
            <v>Small Slab Frame (55x55)</v>
          </cell>
          <cell r="J1140" t="str">
            <v>pc</v>
          </cell>
        </row>
        <row r="1141">
          <cell r="B1141" t="str">
            <v>M-34</v>
          </cell>
          <cell r="C1141" t="str">
            <v>Big Slab Frame (75x75)</v>
          </cell>
          <cell r="J1141" t="str">
            <v>pc</v>
          </cell>
        </row>
        <row r="1142">
          <cell r="B1142" t="str">
            <v>M-36</v>
          </cell>
          <cell r="C1142" t="str">
            <v>Lime</v>
          </cell>
          <cell r="J1142" t="str">
            <v>kg</v>
          </cell>
        </row>
        <row r="1143">
          <cell r="B1143" t="str">
            <v>M-41</v>
          </cell>
          <cell r="C1143" t="str">
            <v>Suspension Cable (8mm)</v>
          </cell>
          <cell r="J1143" t="str">
            <v>m</v>
          </cell>
        </row>
        <row r="1144">
          <cell r="B1144" t="str">
            <v>M-42</v>
          </cell>
          <cell r="C1144" t="str">
            <v>Suspension Cable (13mm)</v>
          </cell>
          <cell r="J1144" t="str">
            <v>m</v>
          </cell>
        </row>
        <row r="1145">
          <cell r="B1145" t="str">
            <v>M-43</v>
          </cell>
          <cell r="C1145" t="str">
            <v>Bulldog Grips (8mm)</v>
          </cell>
          <cell r="J1145" t="str">
            <v>pc</v>
          </cell>
        </row>
        <row r="1146">
          <cell r="B1146" t="str">
            <v>M-44</v>
          </cell>
          <cell r="C1146" t="str">
            <v>Bulldog Grips (13mm)</v>
          </cell>
          <cell r="J1146" t="str">
            <v>pc</v>
          </cell>
        </row>
        <row r="1147">
          <cell r="B1147" t="str">
            <v>M-45</v>
          </cell>
          <cell r="C1147" t="str">
            <v>PE Tank 200 ltrs.</v>
          </cell>
          <cell r="J1147" t="str">
            <v>pc</v>
          </cell>
        </row>
        <row r="1148">
          <cell r="B1148" t="str">
            <v>M-46</v>
          </cell>
          <cell r="C1148" t="str">
            <v>Tapstand Grid</v>
          </cell>
          <cell r="J1148" t="str">
            <v>pc</v>
          </cell>
        </row>
        <row r="1149">
          <cell r="B1149" t="str">
            <v>M-47</v>
          </cell>
          <cell r="C1149" t="str">
            <v>Anchor Bolt (1/2")</v>
          </cell>
          <cell r="J1149" t="str">
            <v>pc</v>
          </cell>
        </row>
        <row r="1150">
          <cell r="B1150" t="str">
            <v>M-48</v>
          </cell>
          <cell r="C1150" t="str">
            <v>Anchor Bolt (1")</v>
          </cell>
          <cell r="J1150" t="str">
            <v>pc</v>
          </cell>
        </row>
        <row r="1151">
          <cell r="B1151" t="str">
            <v>M-49</v>
          </cell>
          <cell r="C1151" t="str">
            <v>Anchor Bolt (1 1/2")</v>
          </cell>
          <cell r="J1151" t="str">
            <v>pc</v>
          </cell>
        </row>
        <row r="1152">
          <cell r="B1152" t="str">
            <v>M-50</v>
          </cell>
          <cell r="C1152" t="str">
            <v>Anchor Bolt (2")</v>
          </cell>
          <cell r="J1152" t="str">
            <v>pc</v>
          </cell>
        </row>
        <row r="1153">
          <cell r="B1153" t="str">
            <v>M-01</v>
          </cell>
          <cell r="C1153" t="str">
            <v>Cement</v>
          </cell>
          <cell r="I1153">
            <v>0</v>
          </cell>
          <cell r="J1153" t="str">
            <v>bag</v>
          </cell>
        </row>
        <row r="1154">
          <cell r="B1154" t="str">
            <v>M-02</v>
          </cell>
          <cell r="C1154" t="str">
            <v>Sand</v>
          </cell>
          <cell r="I1154">
            <v>0</v>
          </cell>
          <cell r="J1154" t="str">
            <v>m3</v>
          </cell>
        </row>
        <row r="1155">
          <cell r="B1155" t="str">
            <v>M-03</v>
          </cell>
          <cell r="C1155" t="str">
            <v>Block Stone</v>
          </cell>
          <cell r="I1155">
            <v>0</v>
          </cell>
          <cell r="J1155" t="str">
            <v>m3</v>
          </cell>
        </row>
        <row r="1156">
          <cell r="B1156" t="str">
            <v>M-04</v>
          </cell>
          <cell r="C1156" t="str">
            <v>Bond Stone</v>
          </cell>
          <cell r="I1156">
            <v>0</v>
          </cell>
          <cell r="J1156" t="str">
            <v>m3</v>
          </cell>
        </row>
        <row r="1157">
          <cell r="B1157" t="str">
            <v>M-05</v>
          </cell>
          <cell r="C1157" t="str">
            <v>Aggregate (5-10mm)</v>
          </cell>
          <cell r="I1157">
            <v>0</v>
          </cell>
          <cell r="J1157" t="str">
            <v>m3</v>
          </cell>
        </row>
        <row r="1158">
          <cell r="B1158" t="str">
            <v>M-06</v>
          </cell>
          <cell r="C1158" t="str">
            <v>Aggregate (10-20mm)</v>
          </cell>
          <cell r="I1158">
            <v>0</v>
          </cell>
          <cell r="J1158" t="str">
            <v>m3</v>
          </cell>
        </row>
        <row r="1159">
          <cell r="B1159" t="str">
            <v>M-07</v>
          </cell>
          <cell r="C1159" t="str">
            <v>Aggregate (20-40mm)</v>
          </cell>
          <cell r="I1159">
            <v>0</v>
          </cell>
          <cell r="J1159" t="str">
            <v>m3</v>
          </cell>
        </row>
        <row r="1160">
          <cell r="B1160" t="str">
            <v>M-08</v>
          </cell>
          <cell r="C1160" t="str">
            <v>Project Information Board</v>
          </cell>
          <cell r="J1160" t="str">
            <v>set</v>
          </cell>
        </row>
        <row r="1161">
          <cell r="B1161" t="str">
            <v>M-09</v>
          </cell>
          <cell r="C1161" t="str">
            <v>Reinforcement ( 6mm)</v>
          </cell>
          <cell r="I1161">
            <v>0</v>
          </cell>
          <cell r="J1161" t="str">
            <v>kg</v>
          </cell>
        </row>
        <row r="1162">
          <cell r="B1162" t="str">
            <v>M-10</v>
          </cell>
          <cell r="C1162" t="str">
            <v>Reinforcement ( 8mm)</v>
          </cell>
          <cell r="J1162" t="str">
            <v>kg</v>
          </cell>
        </row>
        <row r="1163">
          <cell r="B1163" t="str">
            <v>M-11</v>
          </cell>
          <cell r="C1163" t="str">
            <v>Reinforcement (10mm)</v>
          </cell>
          <cell r="I1163">
            <v>0</v>
          </cell>
          <cell r="J1163" t="str">
            <v>kg</v>
          </cell>
        </row>
        <row r="1164">
          <cell r="B1164" t="str">
            <v>M-12</v>
          </cell>
          <cell r="C1164" t="str">
            <v>Binding wire</v>
          </cell>
          <cell r="I1164">
            <v>0</v>
          </cell>
          <cell r="J1164" t="str">
            <v>kg</v>
          </cell>
        </row>
        <row r="1165">
          <cell r="B1165" t="str">
            <v>M-13</v>
          </cell>
          <cell r="C1165" t="str">
            <v>Plain wire (3.5 mm dia)</v>
          </cell>
          <cell r="I1165">
            <v>0</v>
          </cell>
          <cell r="J1165" t="str">
            <v>kg</v>
          </cell>
        </row>
        <row r="1166">
          <cell r="B1166" t="str">
            <v>M-14</v>
          </cell>
          <cell r="C1166" t="str">
            <v>Chicken wire mesh (3 Ft wide)</v>
          </cell>
          <cell r="I1166">
            <v>0</v>
          </cell>
          <cell r="J1166" t="str">
            <v>m</v>
          </cell>
        </row>
        <row r="1167">
          <cell r="B1167" t="str">
            <v>M-15</v>
          </cell>
          <cell r="C1167" t="str">
            <v>Bamboo</v>
          </cell>
          <cell r="I1167">
            <v>0</v>
          </cell>
          <cell r="J1167" t="str">
            <v>pc</v>
          </cell>
        </row>
        <row r="1168">
          <cell r="B1168" t="str">
            <v>M-35</v>
          </cell>
          <cell r="C1168" t="str">
            <v>Cement Paint</v>
          </cell>
          <cell r="I1168">
            <v>0</v>
          </cell>
          <cell r="J1168" t="str">
            <v>kg</v>
          </cell>
        </row>
        <row r="1169">
          <cell r="B1169" t="str">
            <v>M-37</v>
          </cell>
          <cell r="C1169" t="str">
            <v>GI Selwage Wire (8g)</v>
          </cell>
          <cell r="J1169" t="str">
            <v>kg</v>
          </cell>
        </row>
        <row r="1170">
          <cell r="B1170" t="str">
            <v>M-38</v>
          </cell>
          <cell r="C1170" t="str">
            <v>GI Mesh Wire (10g)</v>
          </cell>
          <cell r="J1170" t="str">
            <v>kg</v>
          </cell>
        </row>
        <row r="1171">
          <cell r="B1171" t="str">
            <v>M-39</v>
          </cell>
          <cell r="C1171" t="str">
            <v>Wood for Formwork</v>
          </cell>
          <cell r="I1171">
            <v>0</v>
          </cell>
          <cell r="J1171" t="str">
            <v>m3</v>
          </cell>
        </row>
        <row r="1172">
          <cell r="B1172" t="str">
            <v>M-40</v>
          </cell>
          <cell r="C1172" t="str">
            <v>Nails</v>
          </cell>
          <cell r="I1172">
            <v>0</v>
          </cell>
          <cell r="J1172" t="str">
            <v>kg</v>
          </cell>
        </row>
        <row r="1173">
          <cell r="B1173" t="str">
            <v>L-1</v>
          </cell>
          <cell r="C1173" t="str">
            <v>Skilled Labour</v>
          </cell>
          <cell r="I1173">
            <v>0</v>
          </cell>
          <cell r="J1173" t="str">
            <v>md</v>
          </cell>
        </row>
        <row r="1174">
          <cell r="B1174" t="str">
            <v>L-2</v>
          </cell>
          <cell r="C1174" t="str">
            <v>Unskilled Labour</v>
          </cell>
          <cell r="I1174">
            <v>0</v>
          </cell>
          <cell r="J1174" t="str">
            <v>md</v>
          </cell>
        </row>
        <row r="1175">
          <cell r="C1175" t="str">
            <v>FITTINGS/EXTRA MATERIALS</v>
          </cell>
        </row>
        <row r="1176">
          <cell r="C1176" t="str">
            <v>Inlet Pipe Dia</v>
          </cell>
          <cell r="D1176">
            <v>0</v>
          </cell>
        </row>
        <row r="1177">
          <cell r="C1177" t="str">
            <v>Outlet Pipe Dia</v>
          </cell>
          <cell r="D1177">
            <v>0</v>
          </cell>
        </row>
        <row r="1178">
          <cell r="C1178" t="str">
            <v>Overflow Pipe Dia</v>
          </cell>
          <cell r="D1178">
            <v>0</v>
          </cell>
        </row>
        <row r="1179">
          <cell r="C1179" t="str">
            <v>Washout Pipe Dia</v>
          </cell>
          <cell r="D1179">
            <v>0</v>
          </cell>
        </row>
        <row r="1180">
          <cell r="B1180" t="str">
            <v>HP2.5-75</v>
          </cell>
          <cell r="C1180" t="str">
            <v>HDPE Pipe(75mm) - 2.5 kgf/cm2</v>
          </cell>
          <cell r="J1180" t="str">
            <v>m</v>
          </cell>
        </row>
        <row r="1181">
          <cell r="B1181" t="str">
            <v>GPM-15</v>
          </cell>
          <cell r="C1181" t="str">
            <v>G.I. Pipe (1/2") - MC</v>
          </cell>
          <cell r="J1181" t="str">
            <v>m</v>
          </cell>
        </row>
        <row r="1182">
          <cell r="B1182" t="str">
            <v>GEL-15</v>
          </cell>
          <cell r="C1182" t="str">
            <v xml:space="preserve">G.I. Elbow (1/2") </v>
          </cell>
          <cell r="J1182" t="str">
            <v>pc</v>
          </cell>
        </row>
        <row r="1183">
          <cell r="B1183" t="str">
            <v>GSO-15</v>
          </cell>
          <cell r="C1183" t="str">
            <v>G.I. Socket (1/2")</v>
          </cell>
          <cell r="J1183" t="str">
            <v>pc</v>
          </cell>
        </row>
        <row r="1184">
          <cell r="B1184" t="str">
            <v>BT400-15</v>
          </cell>
          <cell r="C1184" t="str">
            <v>Brass Tap ( 400g )</v>
          </cell>
          <cell r="J1184" t="str">
            <v>pc</v>
          </cell>
        </row>
        <row r="1185">
          <cell r="B1185" t="str">
            <v>BU-20</v>
          </cell>
          <cell r="C1185" t="str">
            <v>Brass Union  (20mm x 1/2")</v>
          </cell>
          <cell r="J1185" t="str">
            <v>pc</v>
          </cell>
        </row>
        <row r="1186">
          <cell r="B1186" t="str">
            <v>BRT-15</v>
          </cell>
          <cell r="C1186" t="str">
            <v>Regulating Tee (1/2")</v>
          </cell>
          <cell r="J1186" t="str">
            <v>pc</v>
          </cell>
        </row>
        <row r="1189">
          <cell r="B1189" t="str">
            <v>I-01</v>
          </cell>
          <cell r="C1189" t="str">
            <v>Earth Work in Excavation</v>
          </cell>
          <cell r="I1189">
            <v>0</v>
          </cell>
          <cell r="J1189" t="str">
            <v>m3</v>
          </cell>
        </row>
        <row r="1193">
          <cell r="B1193" t="str">
            <v>I-02</v>
          </cell>
          <cell r="C1193" t="str">
            <v>Earth Work in Backfilling</v>
          </cell>
          <cell r="I1193">
            <v>0</v>
          </cell>
          <cell r="J1193" t="str">
            <v>m3</v>
          </cell>
        </row>
        <row r="1197">
          <cell r="B1197" t="str">
            <v>I-03</v>
          </cell>
          <cell r="C1197" t="str">
            <v>Dry Stone Soling</v>
          </cell>
          <cell r="I1197">
            <v>0</v>
          </cell>
          <cell r="J1197" t="str">
            <v>m3</v>
          </cell>
        </row>
        <row r="1201">
          <cell r="B1201" t="str">
            <v>I-04</v>
          </cell>
          <cell r="C1201" t="str">
            <v>P.C.C. (1:2:4)</v>
          </cell>
          <cell r="I1201">
            <v>0</v>
          </cell>
          <cell r="J1201" t="str">
            <v>m3</v>
          </cell>
        </row>
        <row r="1205">
          <cell r="B1205" t="str">
            <v>I-05</v>
          </cell>
          <cell r="C1205" t="str">
            <v>P.C.C. for Pre-cast Slab (1:2:4)</v>
          </cell>
          <cell r="I1205">
            <v>0</v>
          </cell>
          <cell r="J1205" t="str">
            <v>m3</v>
          </cell>
        </row>
        <row r="1209">
          <cell r="B1209" t="str">
            <v>I-06</v>
          </cell>
          <cell r="C1209" t="str">
            <v>P.C.C. for R.C.C. (1:2:4)</v>
          </cell>
          <cell r="I1209">
            <v>0</v>
          </cell>
          <cell r="J1209" t="str">
            <v>m3</v>
          </cell>
        </row>
        <row r="1213">
          <cell r="B1213" t="str">
            <v>I-07</v>
          </cell>
          <cell r="C1213" t="str">
            <v>Random Rubble Masonry (1:4)</v>
          </cell>
          <cell r="I1213">
            <v>0</v>
          </cell>
          <cell r="J1213" t="str">
            <v>m3</v>
          </cell>
        </row>
        <row r="1217">
          <cell r="B1217" t="str">
            <v>I-08</v>
          </cell>
          <cell r="C1217" t="str">
            <v>Random Rubble Masonry (1:6)</v>
          </cell>
          <cell r="I1217">
            <v>0</v>
          </cell>
          <cell r="J1217" t="str">
            <v>m3</v>
          </cell>
        </row>
        <row r="1221">
          <cell r="B1221" t="str">
            <v>I-09</v>
          </cell>
          <cell r="C1221" t="str">
            <v>Dry Stone masonry</v>
          </cell>
          <cell r="I1221">
            <v>0</v>
          </cell>
          <cell r="J1221" t="str">
            <v>m3</v>
          </cell>
        </row>
        <row r="1225">
          <cell r="B1225" t="str">
            <v>I-10</v>
          </cell>
          <cell r="C1225" t="str">
            <v>Form Work for P.C.C.</v>
          </cell>
          <cell r="I1225">
            <v>0</v>
          </cell>
          <cell r="J1225" t="str">
            <v>m2</v>
          </cell>
        </row>
        <row r="1229">
          <cell r="B1229" t="str">
            <v>I-11</v>
          </cell>
          <cell r="C1229" t="str">
            <v>12.5mm Cement Plaster (1:2)</v>
          </cell>
          <cell r="I1229">
            <v>0</v>
          </cell>
          <cell r="J1229" t="str">
            <v>m2</v>
          </cell>
        </row>
        <row r="1233">
          <cell r="B1233" t="str">
            <v>I-12</v>
          </cell>
          <cell r="C1233" t="str">
            <v>12.5mm Cement Plaster (1:3)</v>
          </cell>
          <cell r="I1233">
            <v>0</v>
          </cell>
          <cell r="J1233" t="str">
            <v>m2</v>
          </cell>
        </row>
        <row r="1237">
          <cell r="B1237" t="str">
            <v>I-13</v>
          </cell>
          <cell r="C1237" t="str">
            <v>12.5mm Cement Plaster (1:4)</v>
          </cell>
          <cell r="I1237">
            <v>0</v>
          </cell>
          <cell r="J1237" t="str">
            <v>m2</v>
          </cell>
        </row>
        <row r="1241">
          <cell r="B1241" t="str">
            <v>I-14</v>
          </cell>
          <cell r="C1241" t="str">
            <v>Cement Pointing (1:3)</v>
          </cell>
          <cell r="I1241">
            <v>0</v>
          </cell>
          <cell r="J1241" t="str">
            <v>m2</v>
          </cell>
        </row>
        <row r="1245">
          <cell r="B1245" t="str">
            <v>I-15</v>
          </cell>
          <cell r="C1245" t="str">
            <v>3mm Cement Punning</v>
          </cell>
          <cell r="I1245">
            <v>0</v>
          </cell>
          <cell r="J1245" t="str">
            <v>m2</v>
          </cell>
        </row>
        <row r="1249">
          <cell r="B1249" t="str">
            <v>I-16A</v>
          </cell>
          <cell r="C1249" t="str">
            <v>Bar Binding for R.C.C. (10mm bar)</v>
          </cell>
          <cell r="I1249">
            <v>0</v>
          </cell>
          <cell r="J1249" t="str">
            <v>Kg</v>
          </cell>
        </row>
        <row r="1253">
          <cell r="B1253" t="str">
            <v>I-16B</v>
          </cell>
          <cell r="C1253" t="str">
            <v>Bar Binding for R.C.C. (6mm bar)</v>
          </cell>
          <cell r="I1253">
            <v>0</v>
          </cell>
          <cell r="J1253" t="str">
            <v>Kg</v>
          </cell>
        </row>
        <row r="1257">
          <cell r="B1257" t="str">
            <v>I-17</v>
          </cell>
          <cell r="C1257" t="str">
            <v>Bar Binding for Ferro-Cement Works</v>
          </cell>
          <cell r="I1257">
            <v>0</v>
          </cell>
          <cell r="J1257" t="str">
            <v>m2</v>
          </cell>
        </row>
        <row r="1261">
          <cell r="B1261" t="str">
            <v>I-18</v>
          </cell>
          <cell r="C1261" t="str">
            <v>Formwork for Ferro-Cement Works</v>
          </cell>
          <cell r="I1261">
            <v>0</v>
          </cell>
          <cell r="J1261" t="str">
            <v>m2</v>
          </cell>
        </row>
        <row r="1265">
          <cell r="B1265" t="str">
            <v>I-19</v>
          </cell>
          <cell r="C1265" t="str">
            <v>Cement Plaster for Ferro-Cement Work (1:3)</v>
          </cell>
          <cell r="I1265">
            <v>0</v>
          </cell>
          <cell r="J1265" t="str">
            <v>m2</v>
          </cell>
        </row>
        <row r="1269">
          <cell r="B1269" t="str">
            <v>I-20</v>
          </cell>
          <cell r="C1269" t="str">
            <v>Formwork for Precast RCC Work</v>
          </cell>
          <cell r="I1269">
            <v>0</v>
          </cell>
          <cell r="J1269" t="str">
            <v>m2</v>
          </cell>
        </row>
        <row r="1273">
          <cell r="B1273" t="str">
            <v>I-21</v>
          </cell>
          <cell r="C1273" t="str">
            <v>Cement Painting</v>
          </cell>
          <cell r="I1273">
            <v>0</v>
          </cell>
          <cell r="J1273" t="str">
            <v>m2</v>
          </cell>
        </row>
        <row r="1277">
          <cell r="B1277" t="str">
            <v>I-22</v>
          </cell>
          <cell r="C1277" t="str">
            <v>Trench digging</v>
          </cell>
          <cell r="I1277">
            <v>0</v>
          </cell>
          <cell r="J1277" t="str">
            <v>m3</v>
          </cell>
        </row>
        <row r="1281">
          <cell r="B1281" t="str">
            <v>I-23</v>
          </cell>
          <cell r="C1281" t="str">
            <v>Trench backfilling</v>
          </cell>
          <cell r="I1281">
            <v>0</v>
          </cell>
          <cell r="J1281" t="str">
            <v>m3</v>
          </cell>
        </row>
        <row r="1285">
          <cell r="B1285" t="str">
            <v>I-24</v>
          </cell>
          <cell r="C1285" t="str">
            <v>Gabion Box (2mX1mX1m)</v>
          </cell>
          <cell r="I1285">
            <v>0</v>
          </cell>
          <cell r="J1285" t="str">
            <v>No</v>
          </cell>
        </row>
        <row r="1288">
          <cell r="B1288" t="str">
            <v>I-25</v>
          </cell>
          <cell r="C1288" t="str">
            <v>Gabion Box (3mX1mX1m)</v>
          </cell>
          <cell r="I1288">
            <v>0</v>
          </cell>
          <cell r="J1288" t="str">
            <v>No</v>
          </cell>
        </row>
        <row r="1292">
          <cell r="B1292" t="str">
            <v>M-16</v>
          </cell>
          <cell r="C1292" t="str">
            <v>Angle Pole</v>
          </cell>
          <cell r="J1292" t="str">
            <v>pc</v>
          </cell>
        </row>
        <row r="1293">
          <cell r="B1293" t="str">
            <v>M-17</v>
          </cell>
          <cell r="C1293" t="str">
            <v>Angle Pole for Gate</v>
          </cell>
          <cell r="J1293" t="str">
            <v>pc</v>
          </cell>
        </row>
        <row r="1294">
          <cell r="B1294" t="str">
            <v>M-18</v>
          </cell>
          <cell r="C1294" t="str">
            <v>Corner Angle Pole</v>
          </cell>
          <cell r="J1294" t="str">
            <v>pc</v>
          </cell>
        </row>
        <row r="1295">
          <cell r="B1295" t="str">
            <v>M-19</v>
          </cell>
          <cell r="C1295" t="str">
            <v>Bracing Angle Pole</v>
          </cell>
          <cell r="J1295" t="str">
            <v>pc</v>
          </cell>
        </row>
        <row r="1296">
          <cell r="B1296" t="str">
            <v>M-20</v>
          </cell>
          <cell r="C1296" t="str">
            <v>Polythene Sheet</v>
          </cell>
          <cell r="J1296" t="str">
            <v>m</v>
          </cell>
        </row>
        <row r="1297">
          <cell r="B1297" t="str">
            <v>M-21</v>
          </cell>
          <cell r="C1297" t="str">
            <v>Barbed Wire</v>
          </cell>
          <cell r="J1297" t="str">
            <v>kg</v>
          </cell>
        </row>
        <row r="1298">
          <cell r="B1298" t="str">
            <v>M-22</v>
          </cell>
          <cell r="C1298" t="str">
            <v>Fencing Post</v>
          </cell>
          <cell r="J1298" t="str">
            <v>pc</v>
          </cell>
        </row>
        <row r="1299">
          <cell r="B1299" t="str">
            <v>M-23</v>
          </cell>
          <cell r="C1299" t="str">
            <v>Angle Gate</v>
          </cell>
          <cell r="J1299" t="str">
            <v>pc</v>
          </cell>
        </row>
        <row r="1300">
          <cell r="B1300" t="str">
            <v>M-24</v>
          </cell>
          <cell r="C1300" t="str">
            <v>4" Hinges</v>
          </cell>
          <cell r="J1300" t="str">
            <v>pc</v>
          </cell>
        </row>
        <row r="1301">
          <cell r="B1301" t="str">
            <v>M-25</v>
          </cell>
          <cell r="C1301" t="str">
            <v>10" Aldrop</v>
          </cell>
          <cell r="J1301" t="str">
            <v>pc</v>
          </cell>
        </row>
        <row r="1302">
          <cell r="B1302" t="str">
            <v>M-26</v>
          </cell>
          <cell r="C1302" t="str">
            <v>Gate Lock Key</v>
          </cell>
          <cell r="J1302" t="str">
            <v>pc</v>
          </cell>
        </row>
        <row r="1303">
          <cell r="B1303" t="str">
            <v>M-27</v>
          </cell>
          <cell r="C1303" t="str">
            <v>Nut with bolt (8mm dia)</v>
          </cell>
          <cell r="J1303" t="str">
            <v>pc</v>
          </cell>
        </row>
        <row r="1304">
          <cell r="B1304" t="str">
            <v>M-28</v>
          </cell>
          <cell r="C1304" t="str">
            <v>Screws</v>
          </cell>
          <cell r="J1304" t="str">
            <v>pc</v>
          </cell>
        </row>
        <row r="1305">
          <cell r="B1305" t="str">
            <v>M-29</v>
          </cell>
          <cell r="C1305" t="str">
            <v>GI sheet Plain (3'x7')</v>
          </cell>
          <cell r="J1305" t="str">
            <v>pc</v>
          </cell>
        </row>
        <row r="1306">
          <cell r="B1306" t="str">
            <v>M-30</v>
          </cell>
          <cell r="C1306" t="str">
            <v>Manhole Cover (Circular)</v>
          </cell>
          <cell r="J1306" t="str">
            <v>pc</v>
          </cell>
        </row>
        <row r="1307">
          <cell r="B1307" t="str">
            <v>M-31</v>
          </cell>
          <cell r="C1307" t="str">
            <v>Manhole Cover (Square)</v>
          </cell>
          <cell r="J1307" t="str">
            <v>pc</v>
          </cell>
        </row>
        <row r="1308">
          <cell r="B1308" t="str">
            <v>M-32</v>
          </cell>
          <cell r="C1308" t="str">
            <v>Manhole Cover (Rectangle)</v>
          </cell>
          <cell r="J1308" t="str">
            <v>pc</v>
          </cell>
        </row>
        <row r="1309">
          <cell r="B1309" t="str">
            <v>M-33</v>
          </cell>
          <cell r="C1309" t="str">
            <v>Small Slab Frame (55x55)</v>
          </cell>
          <cell r="J1309" t="str">
            <v>pc</v>
          </cell>
        </row>
        <row r="1310">
          <cell r="B1310" t="str">
            <v>M-34</v>
          </cell>
          <cell r="C1310" t="str">
            <v>Big Slab Frame (75x75)</v>
          </cell>
          <cell r="J1310" t="str">
            <v>pc</v>
          </cell>
        </row>
        <row r="1311">
          <cell r="B1311" t="str">
            <v>M-36</v>
          </cell>
          <cell r="C1311" t="str">
            <v>Lime</v>
          </cell>
          <cell r="J1311" t="str">
            <v>kg</v>
          </cell>
        </row>
        <row r="1312">
          <cell r="B1312" t="str">
            <v>M-41</v>
          </cell>
          <cell r="C1312" t="str">
            <v>Suspension Cable (8mm)</v>
          </cell>
          <cell r="J1312" t="str">
            <v>m</v>
          </cell>
        </row>
        <row r="1313">
          <cell r="B1313" t="str">
            <v>M-42</v>
          </cell>
          <cell r="C1313" t="str">
            <v>Suspension Cable (13mm)</v>
          </cell>
          <cell r="J1313" t="str">
            <v>m</v>
          </cell>
        </row>
        <row r="1314">
          <cell r="B1314" t="str">
            <v>M-43</v>
          </cell>
          <cell r="C1314" t="str">
            <v>Bulldog Grips (8mm)</v>
          </cell>
          <cell r="J1314" t="str">
            <v>pc</v>
          </cell>
        </row>
        <row r="1315">
          <cell r="B1315" t="str">
            <v>M-44</v>
          </cell>
          <cell r="C1315" t="str">
            <v>Bulldog Grips (13mm)</v>
          </cell>
          <cell r="J1315" t="str">
            <v>pc</v>
          </cell>
        </row>
        <row r="1316">
          <cell r="B1316" t="str">
            <v>M-45</v>
          </cell>
          <cell r="C1316" t="str">
            <v>PE Tank 200 ltrs.</v>
          </cell>
          <cell r="J1316" t="str">
            <v>pc</v>
          </cell>
        </row>
        <row r="1317">
          <cell r="B1317" t="str">
            <v>M-46</v>
          </cell>
          <cell r="C1317" t="str">
            <v>Tapstand Grid</v>
          </cell>
          <cell r="J1317" t="str">
            <v>pc</v>
          </cell>
        </row>
        <row r="1318">
          <cell r="B1318" t="str">
            <v>M-47</v>
          </cell>
          <cell r="C1318" t="str">
            <v>Anchor Bolt (1/2")</v>
          </cell>
          <cell r="J1318" t="str">
            <v>pc</v>
          </cell>
        </row>
        <row r="1319">
          <cell r="B1319" t="str">
            <v>M-48</v>
          </cell>
          <cell r="C1319" t="str">
            <v>Anchor Bolt (1")</v>
          </cell>
          <cell r="J1319" t="str">
            <v>pc</v>
          </cell>
        </row>
        <row r="1320">
          <cell r="B1320" t="str">
            <v>M-49</v>
          </cell>
          <cell r="C1320" t="str">
            <v>Anchor Bolt (1 1/2")</v>
          </cell>
          <cell r="J1320" t="str">
            <v>pc</v>
          </cell>
        </row>
        <row r="1321">
          <cell r="B1321" t="str">
            <v>M-50</v>
          </cell>
          <cell r="C1321" t="str">
            <v>Anchor Bolt (2")</v>
          </cell>
          <cell r="J1321" t="str">
            <v>pc</v>
          </cell>
        </row>
        <row r="1322">
          <cell r="B1322" t="str">
            <v>M-01</v>
          </cell>
          <cell r="C1322" t="str">
            <v>Cement</v>
          </cell>
          <cell r="I1322">
            <v>0</v>
          </cell>
          <cell r="J1322" t="str">
            <v>bag</v>
          </cell>
        </row>
        <row r="1323">
          <cell r="B1323" t="str">
            <v>M-02</v>
          </cell>
          <cell r="C1323" t="str">
            <v>Sand</v>
          </cell>
          <cell r="I1323">
            <v>0</v>
          </cell>
          <cell r="J1323" t="str">
            <v>m3</v>
          </cell>
        </row>
        <row r="1324">
          <cell r="B1324" t="str">
            <v>M-03</v>
          </cell>
          <cell r="C1324" t="str">
            <v>Block Stone</v>
          </cell>
          <cell r="I1324">
            <v>0</v>
          </cell>
          <cell r="J1324" t="str">
            <v>m3</v>
          </cell>
        </row>
        <row r="1325">
          <cell r="B1325" t="str">
            <v>M-04</v>
          </cell>
          <cell r="C1325" t="str">
            <v>Bond Stone</v>
          </cell>
          <cell r="I1325">
            <v>0</v>
          </cell>
          <cell r="J1325" t="str">
            <v>m3</v>
          </cell>
        </row>
        <row r="1326">
          <cell r="B1326" t="str">
            <v>M-05</v>
          </cell>
          <cell r="C1326" t="str">
            <v>Aggregate (5-10mm)</v>
          </cell>
          <cell r="I1326">
            <v>0</v>
          </cell>
          <cell r="J1326" t="str">
            <v>m3</v>
          </cell>
        </row>
        <row r="1327">
          <cell r="B1327" t="str">
            <v>M-06</v>
          </cell>
          <cell r="C1327" t="str">
            <v>Aggregate (10-20mm)</v>
          </cell>
          <cell r="I1327">
            <v>0</v>
          </cell>
          <cell r="J1327" t="str">
            <v>m3</v>
          </cell>
        </row>
        <row r="1328">
          <cell r="B1328" t="str">
            <v>M-07</v>
          </cell>
          <cell r="C1328" t="str">
            <v>Aggregate (20-40mm)</v>
          </cell>
          <cell r="I1328">
            <v>0</v>
          </cell>
          <cell r="J1328" t="str">
            <v>m3</v>
          </cell>
        </row>
        <row r="1329">
          <cell r="B1329" t="str">
            <v>M-08</v>
          </cell>
          <cell r="C1329" t="str">
            <v>Project Information Board</v>
          </cell>
          <cell r="J1329" t="str">
            <v>set</v>
          </cell>
        </row>
        <row r="1330">
          <cell r="B1330" t="str">
            <v>M-09</v>
          </cell>
          <cell r="C1330" t="str">
            <v>Reinforcement ( 6mm)</v>
          </cell>
          <cell r="I1330">
            <v>0</v>
          </cell>
          <cell r="J1330" t="str">
            <v>kg</v>
          </cell>
        </row>
        <row r="1331">
          <cell r="B1331" t="str">
            <v>M-10</v>
          </cell>
          <cell r="C1331" t="str">
            <v>Reinforcement ( 8mm)</v>
          </cell>
          <cell r="J1331" t="str">
            <v>kg</v>
          </cell>
        </row>
        <row r="1332">
          <cell r="B1332" t="str">
            <v>M-11</v>
          </cell>
          <cell r="C1332" t="str">
            <v>Reinforcement (10mm)</v>
          </cell>
          <cell r="I1332">
            <v>0</v>
          </cell>
          <cell r="J1332" t="str">
            <v>kg</v>
          </cell>
        </row>
        <row r="1333">
          <cell r="B1333" t="str">
            <v>M-12</v>
          </cell>
          <cell r="C1333" t="str">
            <v>Binding wire</v>
          </cell>
          <cell r="I1333">
            <v>0</v>
          </cell>
          <cell r="J1333" t="str">
            <v>kg</v>
          </cell>
        </row>
        <row r="1334">
          <cell r="B1334" t="str">
            <v>M-13</v>
          </cell>
          <cell r="C1334" t="str">
            <v>Plain wire (3.5 mm dia)</v>
          </cell>
          <cell r="I1334">
            <v>0</v>
          </cell>
          <cell r="J1334" t="str">
            <v>kg</v>
          </cell>
        </row>
        <row r="1335">
          <cell r="B1335" t="str">
            <v>M-14</v>
          </cell>
          <cell r="C1335" t="str">
            <v>Chicken wire mesh (3 Ft wide)</v>
          </cell>
          <cell r="I1335">
            <v>0</v>
          </cell>
          <cell r="J1335" t="str">
            <v>m</v>
          </cell>
        </row>
        <row r="1336">
          <cell r="B1336" t="str">
            <v>M-15</v>
          </cell>
          <cell r="C1336" t="str">
            <v>Bamboo</v>
          </cell>
          <cell r="I1336">
            <v>0</v>
          </cell>
          <cell r="J1336" t="str">
            <v>pc</v>
          </cell>
        </row>
        <row r="1337">
          <cell r="B1337" t="str">
            <v>M-35</v>
          </cell>
          <cell r="C1337" t="str">
            <v>Cement Paint</v>
          </cell>
          <cell r="I1337">
            <v>0</v>
          </cell>
          <cell r="J1337" t="str">
            <v>kg</v>
          </cell>
        </row>
        <row r="1338">
          <cell r="B1338" t="str">
            <v>M-37</v>
          </cell>
          <cell r="C1338" t="str">
            <v>GI Selwage Wire (8g)</v>
          </cell>
          <cell r="J1338" t="str">
            <v>kg</v>
          </cell>
        </row>
        <row r="1339">
          <cell r="B1339" t="str">
            <v>M-38</v>
          </cell>
          <cell r="C1339" t="str">
            <v>GI Mesh Wire (10g)</v>
          </cell>
          <cell r="J1339" t="str">
            <v>kg</v>
          </cell>
        </row>
        <row r="1340">
          <cell r="B1340" t="str">
            <v>M-39</v>
          </cell>
          <cell r="C1340" t="str">
            <v>Wood for Formwork</v>
          </cell>
          <cell r="I1340">
            <v>0</v>
          </cell>
          <cell r="J1340" t="str">
            <v>m3</v>
          </cell>
        </row>
        <row r="1341">
          <cell r="B1341" t="str">
            <v>M-40</v>
          </cell>
          <cell r="C1341" t="str">
            <v>Nails</v>
          </cell>
          <cell r="I1341">
            <v>0</v>
          </cell>
          <cell r="J1341" t="str">
            <v>kg</v>
          </cell>
        </row>
        <row r="1342">
          <cell r="B1342" t="str">
            <v>L-1</v>
          </cell>
          <cell r="C1342" t="str">
            <v>Skilled Labour</v>
          </cell>
          <cell r="I1342">
            <v>0</v>
          </cell>
          <cell r="J1342" t="str">
            <v>md</v>
          </cell>
        </row>
        <row r="1343">
          <cell r="B1343" t="str">
            <v>L-2</v>
          </cell>
          <cell r="C1343" t="str">
            <v>Unskilled Labour</v>
          </cell>
          <cell r="I1343">
            <v>0</v>
          </cell>
          <cell r="J1343" t="str">
            <v>md</v>
          </cell>
        </row>
        <row r="1344">
          <cell r="C1344" t="str">
            <v>FITTINGS/EXTRA MATERIALS</v>
          </cell>
        </row>
        <row r="1345">
          <cell r="C1345" t="str">
            <v>Inlet Pipe Dia</v>
          </cell>
          <cell r="D1345">
            <v>0</v>
          </cell>
        </row>
        <row r="1346">
          <cell r="C1346" t="str">
            <v>Outlet Pipe Dia</v>
          </cell>
          <cell r="D1346">
            <v>0</v>
          </cell>
        </row>
        <row r="1347">
          <cell r="C1347" t="str">
            <v>Overflow Pipe Dia</v>
          </cell>
          <cell r="D1347">
            <v>0</v>
          </cell>
        </row>
        <row r="1348">
          <cell r="C1348" t="str">
            <v>Washout Pipe Dia</v>
          </cell>
          <cell r="D1348">
            <v>0</v>
          </cell>
        </row>
        <row r="1349">
          <cell r="B1349" t="str">
            <v>HP2.5-75</v>
          </cell>
          <cell r="C1349" t="str">
            <v>HDPE Pipe(75mm) - 2.5 kgf/cm2</v>
          </cell>
          <cell r="J1349" t="str">
            <v>m</v>
          </cell>
        </row>
        <row r="1350">
          <cell r="B1350" t="str">
            <v>GPM-15</v>
          </cell>
          <cell r="C1350" t="str">
            <v>G.I. Pipe (1/2") - MC</v>
          </cell>
          <cell r="J1350" t="str">
            <v>m</v>
          </cell>
        </row>
        <row r="1351">
          <cell r="B1351" t="str">
            <v>GEL-15</v>
          </cell>
          <cell r="C1351" t="str">
            <v xml:space="preserve">G.I. Elbow (1/2") </v>
          </cell>
          <cell r="J1351" t="str">
            <v>pc</v>
          </cell>
        </row>
        <row r="1352">
          <cell r="B1352" t="str">
            <v>GSO-15</v>
          </cell>
          <cell r="C1352" t="str">
            <v>G.I. Socket (1/2")</v>
          </cell>
          <cell r="J1352" t="str">
            <v>pc</v>
          </cell>
        </row>
        <row r="1353">
          <cell r="B1353" t="str">
            <v>BT400-15</v>
          </cell>
          <cell r="C1353" t="str">
            <v>Brass Tap ( 400g )</v>
          </cell>
          <cell r="J1353" t="str">
            <v>pc</v>
          </cell>
        </row>
        <row r="1354">
          <cell r="B1354" t="str">
            <v>BU-20</v>
          </cell>
          <cell r="C1354" t="str">
            <v>Brass Union  (20mm x 1/2")</v>
          </cell>
          <cell r="J1354" t="str">
            <v>pc</v>
          </cell>
        </row>
        <row r="1355">
          <cell r="B1355" t="str">
            <v>BRT-15</v>
          </cell>
          <cell r="C1355" t="str">
            <v>Regulating Tee (1/2")</v>
          </cell>
          <cell r="J1355" t="str">
            <v>pc</v>
          </cell>
        </row>
        <row r="1358">
          <cell r="B1358" t="str">
            <v>I-01</v>
          </cell>
          <cell r="C1358" t="str">
            <v>Earth Work in Excavation</v>
          </cell>
          <cell r="I1358">
            <v>0</v>
          </cell>
          <cell r="J1358" t="str">
            <v>m3</v>
          </cell>
        </row>
        <row r="1362">
          <cell r="B1362" t="str">
            <v>I-02</v>
          </cell>
          <cell r="C1362" t="str">
            <v>Earth Work in Backfilling</v>
          </cell>
          <cell r="I1362">
            <v>0</v>
          </cell>
          <cell r="J1362" t="str">
            <v>m3</v>
          </cell>
        </row>
        <row r="1366">
          <cell r="B1366" t="str">
            <v>I-03</v>
          </cell>
          <cell r="C1366" t="str">
            <v>Dry Stone Soling</v>
          </cell>
          <cell r="I1366">
            <v>0</v>
          </cell>
          <cell r="J1366" t="str">
            <v>m3</v>
          </cell>
        </row>
        <row r="1370">
          <cell r="B1370" t="str">
            <v>I-04</v>
          </cell>
          <cell r="C1370" t="str">
            <v>P.C.C. (1:2:4)</v>
          </cell>
          <cell r="I1370">
            <v>0</v>
          </cell>
          <cell r="J1370" t="str">
            <v>m3</v>
          </cell>
        </row>
        <row r="1374">
          <cell r="B1374" t="str">
            <v>I-05</v>
          </cell>
          <cell r="C1374" t="str">
            <v>P.C.C. for Pre-cast Slab (1:2:4)</v>
          </cell>
          <cell r="I1374">
            <v>0</v>
          </cell>
          <cell r="J1374" t="str">
            <v>m3</v>
          </cell>
        </row>
        <row r="1378">
          <cell r="B1378" t="str">
            <v>I-06</v>
          </cell>
          <cell r="C1378" t="str">
            <v>P.C.C. for R.C.C. (1:2:4)</v>
          </cell>
          <cell r="I1378">
            <v>0</v>
          </cell>
          <cell r="J1378" t="str">
            <v>m3</v>
          </cell>
        </row>
        <row r="1382">
          <cell r="B1382" t="str">
            <v>I-07</v>
          </cell>
          <cell r="C1382" t="str">
            <v>Random Rubble Masonry (1:4)</v>
          </cell>
          <cell r="I1382">
            <v>0</v>
          </cell>
          <cell r="J1382" t="str">
            <v>m3</v>
          </cell>
        </row>
        <row r="1386">
          <cell r="B1386" t="str">
            <v>I-08</v>
          </cell>
          <cell r="C1386" t="str">
            <v>Random Rubble Masonry (1:6)</v>
          </cell>
          <cell r="I1386">
            <v>0</v>
          </cell>
          <cell r="J1386" t="str">
            <v>m3</v>
          </cell>
        </row>
        <row r="1390">
          <cell r="B1390" t="str">
            <v>I-09</v>
          </cell>
          <cell r="C1390" t="str">
            <v>Dry Stone masonry</v>
          </cell>
          <cell r="I1390">
            <v>0</v>
          </cell>
          <cell r="J1390" t="str">
            <v>m3</v>
          </cell>
        </row>
        <row r="1394">
          <cell r="B1394" t="str">
            <v>I-10</v>
          </cell>
          <cell r="C1394" t="str">
            <v>Form Work for P.C.C.</v>
          </cell>
          <cell r="I1394">
            <v>0</v>
          </cell>
          <cell r="J1394" t="str">
            <v>m2</v>
          </cell>
        </row>
        <row r="1398">
          <cell r="B1398" t="str">
            <v>I-11</v>
          </cell>
          <cell r="C1398" t="str">
            <v>12.5mm Cement Plaster (1:2)</v>
          </cell>
          <cell r="I1398">
            <v>0</v>
          </cell>
          <cell r="J1398" t="str">
            <v>m2</v>
          </cell>
        </row>
        <row r="1402">
          <cell r="B1402" t="str">
            <v>I-12</v>
          </cell>
          <cell r="C1402" t="str">
            <v>12.5mm Cement Plaster (1:3)</v>
          </cell>
          <cell r="I1402">
            <v>0</v>
          </cell>
          <cell r="J1402" t="str">
            <v>m2</v>
          </cell>
        </row>
        <row r="1406">
          <cell r="B1406" t="str">
            <v>I-13</v>
          </cell>
          <cell r="C1406" t="str">
            <v>12.5mm Cement Plaster (1:4)</v>
          </cell>
          <cell r="I1406">
            <v>0</v>
          </cell>
          <cell r="J1406" t="str">
            <v>m2</v>
          </cell>
        </row>
        <row r="1410">
          <cell r="B1410" t="str">
            <v>I-14</v>
          </cell>
          <cell r="C1410" t="str">
            <v>Cement Pointing (1:3)</v>
          </cell>
          <cell r="I1410">
            <v>0</v>
          </cell>
          <cell r="J1410" t="str">
            <v>m2</v>
          </cell>
        </row>
        <row r="1414">
          <cell r="B1414" t="str">
            <v>I-15</v>
          </cell>
          <cell r="C1414" t="str">
            <v>3mm Cement Punning</v>
          </cell>
          <cell r="I1414">
            <v>0</v>
          </cell>
          <cell r="J1414" t="str">
            <v>m2</v>
          </cell>
        </row>
        <row r="1418">
          <cell r="B1418" t="str">
            <v>I-16A</v>
          </cell>
          <cell r="C1418" t="str">
            <v>Bar Binding for R.C.C. (10mm bar)</v>
          </cell>
          <cell r="I1418">
            <v>0</v>
          </cell>
          <cell r="J1418" t="str">
            <v>Kg</v>
          </cell>
        </row>
        <row r="1422">
          <cell r="B1422" t="str">
            <v>I-16B</v>
          </cell>
          <cell r="C1422" t="str">
            <v>Bar Binding for R.C.C. (6mm bar)</v>
          </cell>
          <cell r="I1422">
            <v>0</v>
          </cell>
          <cell r="J1422" t="str">
            <v>Kg</v>
          </cell>
        </row>
        <row r="1426">
          <cell r="B1426" t="str">
            <v>I-17</v>
          </cell>
          <cell r="C1426" t="str">
            <v>Bar Binding for Ferro-Cement Works</v>
          </cell>
          <cell r="I1426">
            <v>0</v>
          </cell>
          <cell r="J1426" t="str">
            <v>m2</v>
          </cell>
        </row>
        <row r="1430">
          <cell r="B1430" t="str">
            <v>I-18</v>
          </cell>
          <cell r="C1430" t="str">
            <v>Formwork for Ferro-Cement Works</v>
          </cell>
          <cell r="I1430">
            <v>0</v>
          </cell>
          <cell r="J1430" t="str">
            <v>m2</v>
          </cell>
        </row>
        <row r="1434">
          <cell r="B1434" t="str">
            <v>I-19</v>
          </cell>
          <cell r="C1434" t="str">
            <v>Cement Plaster for Ferro-Cement Work (1:3)</v>
          </cell>
          <cell r="I1434">
            <v>0</v>
          </cell>
          <cell r="J1434" t="str">
            <v>m2</v>
          </cell>
        </row>
        <row r="1438">
          <cell r="B1438" t="str">
            <v>I-20</v>
          </cell>
          <cell r="C1438" t="str">
            <v>Formwork for Precast RCC Work</v>
          </cell>
          <cell r="I1438">
            <v>0</v>
          </cell>
          <cell r="J1438" t="str">
            <v>m2</v>
          </cell>
        </row>
        <row r="1442">
          <cell r="B1442" t="str">
            <v>I-21</v>
          </cell>
          <cell r="C1442" t="str">
            <v>Cement Painting</v>
          </cell>
          <cell r="I1442">
            <v>0</v>
          </cell>
          <cell r="J1442" t="str">
            <v>m2</v>
          </cell>
        </row>
        <row r="1446">
          <cell r="B1446" t="str">
            <v>I-22</v>
          </cell>
          <cell r="C1446" t="str">
            <v>Trench digging</v>
          </cell>
          <cell r="I1446">
            <v>0</v>
          </cell>
          <cell r="J1446" t="str">
            <v>m3</v>
          </cell>
        </row>
        <row r="1450">
          <cell r="B1450" t="str">
            <v>I-23</v>
          </cell>
          <cell r="C1450" t="str">
            <v>Trench backfilling</v>
          </cell>
          <cell r="I1450">
            <v>0</v>
          </cell>
          <cell r="J1450" t="str">
            <v>m3</v>
          </cell>
        </row>
        <row r="1454">
          <cell r="B1454" t="str">
            <v>I-24</v>
          </cell>
          <cell r="C1454" t="str">
            <v>Gabion Box (2mX1mX1m)</v>
          </cell>
          <cell r="I1454">
            <v>0</v>
          </cell>
          <cell r="J1454" t="str">
            <v>No</v>
          </cell>
        </row>
        <row r="1457">
          <cell r="B1457" t="str">
            <v>I-25</v>
          </cell>
          <cell r="C1457" t="str">
            <v>Gabion Box (3mX1mX1m)</v>
          </cell>
          <cell r="I1457">
            <v>0</v>
          </cell>
          <cell r="J1457" t="str">
            <v>No</v>
          </cell>
        </row>
        <row r="1461">
          <cell r="B1461" t="str">
            <v>M-16</v>
          </cell>
          <cell r="C1461" t="str">
            <v>Angle Pole</v>
          </cell>
          <cell r="J1461" t="str">
            <v>pc</v>
          </cell>
        </row>
        <row r="1462">
          <cell r="B1462" t="str">
            <v>M-17</v>
          </cell>
          <cell r="C1462" t="str">
            <v>Angle Pole for Gate</v>
          </cell>
          <cell r="J1462" t="str">
            <v>pc</v>
          </cell>
        </row>
        <row r="1463">
          <cell r="B1463" t="str">
            <v>M-18</v>
          </cell>
          <cell r="C1463" t="str">
            <v>Corner Angle Pole</v>
          </cell>
          <cell r="J1463" t="str">
            <v>pc</v>
          </cell>
        </row>
        <row r="1464">
          <cell r="B1464" t="str">
            <v>M-19</v>
          </cell>
          <cell r="C1464" t="str">
            <v>Bracing Angle Pole</v>
          </cell>
          <cell r="J1464" t="str">
            <v>pc</v>
          </cell>
        </row>
        <row r="1465">
          <cell r="B1465" t="str">
            <v>M-20</v>
          </cell>
          <cell r="C1465" t="str">
            <v>Polythene Sheet</v>
          </cell>
          <cell r="J1465" t="str">
            <v>m</v>
          </cell>
        </row>
        <row r="1466">
          <cell r="B1466" t="str">
            <v>M-21</v>
          </cell>
          <cell r="C1466" t="str">
            <v>Barbed Wire</v>
          </cell>
          <cell r="J1466" t="str">
            <v>kg</v>
          </cell>
        </row>
        <row r="1467">
          <cell r="B1467" t="str">
            <v>M-22</v>
          </cell>
          <cell r="C1467" t="str">
            <v>Fencing Post</v>
          </cell>
          <cell r="J1467" t="str">
            <v>pc</v>
          </cell>
        </row>
        <row r="1468">
          <cell r="B1468" t="str">
            <v>M-23</v>
          </cell>
          <cell r="C1468" t="str">
            <v>Angle Gate</v>
          </cell>
          <cell r="J1468" t="str">
            <v>pc</v>
          </cell>
        </row>
        <row r="1469">
          <cell r="B1469" t="str">
            <v>M-24</v>
          </cell>
          <cell r="C1469" t="str">
            <v>4" Hinges</v>
          </cell>
          <cell r="J1469" t="str">
            <v>pc</v>
          </cell>
        </row>
        <row r="1470">
          <cell r="B1470" t="str">
            <v>M-25</v>
          </cell>
          <cell r="C1470" t="str">
            <v>10" Aldrop</v>
          </cell>
          <cell r="J1470" t="str">
            <v>pc</v>
          </cell>
        </row>
        <row r="1471">
          <cell r="B1471" t="str">
            <v>M-26</v>
          </cell>
          <cell r="C1471" t="str">
            <v>Gate Lock Key</v>
          </cell>
          <cell r="J1471" t="str">
            <v>pc</v>
          </cell>
        </row>
        <row r="1472">
          <cell r="B1472" t="str">
            <v>M-27</v>
          </cell>
          <cell r="C1472" t="str">
            <v>Nut with bolt (8mm dia)</v>
          </cell>
          <cell r="J1472" t="str">
            <v>pc</v>
          </cell>
        </row>
        <row r="1473">
          <cell r="B1473" t="str">
            <v>M-28</v>
          </cell>
          <cell r="C1473" t="str">
            <v>Screws</v>
          </cell>
          <cell r="J1473" t="str">
            <v>pc</v>
          </cell>
        </row>
        <row r="1474">
          <cell r="B1474" t="str">
            <v>M-29</v>
          </cell>
          <cell r="C1474" t="str">
            <v>GI sheet Plain (3'x7')</v>
          </cell>
          <cell r="J1474" t="str">
            <v>pc</v>
          </cell>
        </row>
        <row r="1475">
          <cell r="B1475" t="str">
            <v>M-30</v>
          </cell>
          <cell r="C1475" t="str">
            <v>Manhole Cover (Circular)</v>
          </cell>
          <cell r="J1475" t="str">
            <v>pc</v>
          </cell>
        </row>
        <row r="1476">
          <cell r="B1476" t="str">
            <v>M-31</v>
          </cell>
          <cell r="C1476" t="str">
            <v>Manhole Cover (Square)</v>
          </cell>
          <cell r="J1476" t="str">
            <v>pc</v>
          </cell>
        </row>
        <row r="1477">
          <cell r="B1477" t="str">
            <v>M-32</v>
          </cell>
          <cell r="C1477" t="str">
            <v>Manhole Cover (Rectangle)</v>
          </cell>
          <cell r="J1477" t="str">
            <v>pc</v>
          </cell>
        </row>
        <row r="1478">
          <cell r="B1478" t="str">
            <v>M-33</v>
          </cell>
          <cell r="C1478" t="str">
            <v>Small Slab Frame (55x55)</v>
          </cell>
          <cell r="J1478" t="str">
            <v>pc</v>
          </cell>
        </row>
        <row r="1479">
          <cell r="B1479" t="str">
            <v>M-34</v>
          </cell>
          <cell r="C1479" t="str">
            <v>Big Slab Frame (75x75)</v>
          </cell>
          <cell r="J1479" t="str">
            <v>pc</v>
          </cell>
        </row>
        <row r="1480">
          <cell r="B1480" t="str">
            <v>M-36</v>
          </cell>
          <cell r="C1480" t="str">
            <v>Lime</v>
          </cell>
          <cell r="J1480" t="str">
            <v>kg</v>
          </cell>
        </row>
        <row r="1481">
          <cell r="B1481" t="str">
            <v>M-41</v>
          </cell>
          <cell r="C1481" t="str">
            <v>Suspension Cable (8mm)</v>
          </cell>
          <cell r="J1481" t="str">
            <v>m</v>
          </cell>
        </row>
        <row r="1482">
          <cell r="B1482" t="str">
            <v>M-42</v>
          </cell>
          <cell r="C1482" t="str">
            <v>Suspension Cable (13mm)</v>
          </cell>
          <cell r="J1482" t="str">
            <v>m</v>
          </cell>
        </row>
        <row r="1483">
          <cell r="B1483" t="str">
            <v>M-43</v>
          </cell>
          <cell r="C1483" t="str">
            <v>Bulldog Grips (8mm)</v>
          </cell>
          <cell r="J1483" t="str">
            <v>pc</v>
          </cell>
        </row>
        <row r="1484">
          <cell r="B1484" t="str">
            <v>M-44</v>
          </cell>
          <cell r="C1484" t="str">
            <v>Bulldog Grips (13mm)</v>
          </cell>
          <cell r="J1484" t="str">
            <v>pc</v>
          </cell>
        </row>
        <row r="1485">
          <cell r="B1485" t="str">
            <v>M-45</v>
          </cell>
          <cell r="C1485" t="str">
            <v>PE Tank 200 ltrs.</v>
          </cell>
          <cell r="J1485" t="str">
            <v>pc</v>
          </cell>
        </row>
        <row r="1486">
          <cell r="B1486" t="str">
            <v>M-46</v>
          </cell>
          <cell r="C1486" t="str">
            <v>Tapstand Grid</v>
          </cell>
          <cell r="J1486" t="str">
            <v>pc</v>
          </cell>
        </row>
        <row r="1487">
          <cell r="B1487" t="str">
            <v>M-47</v>
          </cell>
          <cell r="C1487" t="str">
            <v>Anchor Bolt (1/2")</v>
          </cell>
          <cell r="J1487" t="str">
            <v>pc</v>
          </cell>
        </row>
        <row r="1488">
          <cell r="B1488" t="str">
            <v>M-48</v>
          </cell>
          <cell r="C1488" t="str">
            <v>Anchor Bolt (1")</v>
          </cell>
          <cell r="J1488" t="str">
            <v>pc</v>
          </cell>
        </row>
        <row r="1489">
          <cell r="B1489" t="str">
            <v>M-49</v>
          </cell>
          <cell r="C1489" t="str">
            <v>Anchor Bolt (1 1/2")</v>
          </cell>
          <cell r="J1489" t="str">
            <v>pc</v>
          </cell>
        </row>
        <row r="1490">
          <cell r="B1490" t="str">
            <v>M-50</v>
          </cell>
          <cell r="C1490" t="str">
            <v>Anchor Bolt (2")</v>
          </cell>
          <cell r="J1490" t="str">
            <v>pc</v>
          </cell>
        </row>
        <row r="1491">
          <cell r="B1491" t="str">
            <v>M-01</v>
          </cell>
          <cell r="C1491" t="str">
            <v>Cement</v>
          </cell>
          <cell r="I1491">
            <v>0</v>
          </cell>
          <cell r="J1491" t="str">
            <v>bag</v>
          </cell>
        </row>
        <row r="1492">
          <cell r="B1492" t="str">
            <v>M-02</v>
          </cell>
          <cell r="C1492" t="str">
            <v>Sand</v>
          </cell>
          <cell r="I1492">
            <v>0</v>
          </cell>
          <cell r="J1492" t="str">
            <v>m3</v>
          </cell>
        </row>
        <row r="1493">
          <cell r="B1493" t="str">
            <v>M-03</v>
          </cell>
          <cell r="C1493" t="str">
            <v>Block Stone</v>
          </cell>
          <cell r="I1493">
            <v>0</v>
          </cell>
          <cell r="J1493" t="str">
            <v>m3</v>
          </cell>
        </row>
        <row r="1494">
          <cell r="B1494" t="str">
            <v>M-04</v>
          </cell>
          <cell r="C1494" t="str">
            <v>Bond Stone</v>
          </cell>
          <cell r="I1494">
            <v>0</v>
          </cell>
          <cell r="J1494" t="str">
            <v>m3</v>
          </cell>
        </row>
        <row r="1495">
          <cell r="B1495" t="str">
            <v>M-05</v>
          </cell>
          <cell r="C1495" t="str">
            <v>Aggregate (5-10mm)</v>
          </cell>
          <cell r="I1495">
            <v>0</v>
          </cell>
          <cell r="J1495" t="str">
            <v>m3</v>
          </cell>
        </row>
        <row r="1496">
          <cell r="B1496" t="str">
            <v>M-06</v>
          </cell>
          <cell r="C1496" t="str">
            <v>Aggregate (10-20mm)</v>
          </cell>
          <cell r="I1496">
            <v>0</v>
          </cell>
          <cell r="J1496" t="str">
            <v>m3</v>
          </cell>
        </row>
        <row r="1497">
          <cell r="B1497" t="str">
            <v>M-07</v>
          </cell>
          <cell r="C1497" t="str">
            <v>Aggregate (20-40mm)</v>
          </cell>
          <cell r="I1497">
            <v>0</v>
          </cell>
          <cell r="J1497" t="str">
            <v>m3</v>
          </cell>
        </row>
        <row r="1498">
          <cell r="B1498" t="str">
            <v>M-08</v>
          </cell>
          <cell r="C1498" t="str">
            <v>Project Information Board</v>
          </cell>
          <cell r="J1498" t="str">
            <v>set</v>
          </cell>
        </row>
        <row r="1499">
          <cell r="B1499" t="str">
            <v>M-09</v>
          </cell>
          <cell r="C1499" t="str">
            <v>Reinforcement ( 6mm)</v>
          </cell>
          <cell r="I1499">
            <v>0</v>
          </cell>
          <cell r="J1499" t="str">
            <v>kg</v>
          </cell>
        </row>
        <row r="1500">
          <cell r="B1500" t="str">
            <v>M-10</v>
          </cell>
          <cell r="C1500" t="str">
            <v>Reinforcement ( 8mm)</v>
          </cell>
          <cell r="J1500" t="str">
            <v>kg</v>
          </cell>
        </row>
        <row r="1501">
          <cell r="B1501" t="str">
            <v>M-11</v>
          </cell>
          <cell r="C1501" t="str">
            <v>Reinforcement (10mm)</v>
          </cell>
          <cell r="I1501">
            <v>0</v>
          </cell>
          <cell r="J1501" t="str">
            <v>kg</v>
          </cell>
        </row>
        <row r="1502">
          <cell r="B1502" t="str">
            <v>M-12</v>
          </cell>
          <cell r="C1502" t="str">
            <v>Binding wire</v>
          </cell>
          <cell r="I1502">
            <v>0</v>
          </cell>
          <cell r="J1502" t="str">
            <v>kg</v>
          </cell>
        </row>
        <row r="1503">
          <cell r="B1503" t="str">
            <v>M-13</v>
          </cell>
          <cell r="C1503" t="str">
            <v>Plain wire (3.5 mm dia)</v>
          </cell>
          <cell r="I1503">
            <v>0</v>
          </cell>
          <cell r="J1503" t="str">
            <v>kg</v>
          </cell>
        </row>
        <row r="1504">
          <cell r="B1504" t="str">
            <v>M-14</v>
          </cell>
          <cell r="C1504" t="str">
            <v>Chicken wire mesh (3 Ft wide)</v>
          </cell>
          <cell r="I1504">
            <v>0</v>
          </cell>
          <cell r="J1504" t="str">
            <v>m</v>
          </cell>
        </row>
        <row r="1505">
          <cell r="B1505" t="str">
            <v>M-15</v>
          </cell>
          <cell r="C1505" t="str">
            <v>Bamboo</v>
          </cell>
          <cell r="I1505">
            <v>0</v>
          </cell>
          <cell r="J1505" t="str">
            <v>pc</v>
          </cell>
        </row>
        <row r="1506">
          <cell r="B1506" t="str">
            <v>M-35</v>
          </cell>
          <cell r="C1506" t="str">
            <v>Cement Paint</v>
          </cell>
          <cell r="I1506">
            <v>0</v>
          </cell>
          <cell r="J1506" t="str">
            <v>kg</v>
          </cell>
        </row>
        <row r="1507">
          <cell r="B1507" t="str">
            <v>M-37</v>
          </cell>
          <cell r="C1507" t="str">
            <v>GI Selwage Wire (8g)</v>
          </cell>
          <cell r="J1507" t="str">
            <v>kg</v>
          </cell>
        </row>
        <row r="1508">
          <cell r="B1508" t="str">
            <v>M-38</v>
          </cell>
          <cell r="C1508" t="str">
            <v>GI Mesh Wire (10g)</v>
          </cell>
          <cell r="J1508" t="str">
            <v>kg</v>
          </cell>
        </row>
        <row r="1509">
          <cell r="B1509" t="str">
            <v>M-39</v>
          </cell>
          <cell r="C1509" t="str">
            <v>Wood for Formwork</v>
          </cell>
          <cell r="I1509">
            <v>0</v>
          </cell>
          <cell r="J1509" t="str">
            <v>m3</v>
          </cell>
        </row>
        <row r="1510">
          <cell r="B1510" t="str">
            <v>M-40</v>
          </cell>
          <cell r="C1510" t="str">
            <v>Nails</v>
          </cell>
          <cell r="I1510">
            <v>0</v>
          </cell>
          <cell r="J1510" t="str">
            <v>kg</v>
          </cell>
        </row>
        <row r="1511">
          <cell r="B1511" t="str">
            <v>L-1</v>
          </cell>
          <cell r="C1511" t="str">
            <v>Skilled Labour</v>
          </cell>
          <cell r="I1511">
            <v>0</v>
          </cell>
          <cell r="J1511" t="str">
            <v>md</v>
          </cell>
        </row>
        <row r="1512">
          <cell r="B1512" t="str">
            <v>L-2</v>
          </cell>
          <cell r="C1512" t="str">
            <v>Unskilled Labour</v>
          </cell>
          <cell r="I1512">
            <v>0</v>
          </cell>
          <cell r="J1512" t="str">
            <v>md</v>
          </cell>
        </row>
        <row r="1513">
          <cell r="C1513" t="str">
            <v>FITTINGS/EXTRA MATERIALS</v>
          </cell>
        </row>
        <row r="1514">
          <cell r="C1514" t="str">
            <v>Inlet Pipe Dia</v>
          </cell>
          <cell r="D1514">
            <v>0</v>
          </cell>
        </row>
        <row r="1515">
          <cell r="C1515" t="str">
            <v>Outlet Pipe Dia</v>
          </cell>
          <cell r="D1515">
            <v>0</v>
          </cell>
        </row>
        <row r="1516">
          <cell r="C1516" t="str">
            <v>Overflow Pipe Dia</v>
          </cell>
          <cell r="D1516">
            <v>0</v>
          </cell>
        </row>
        <row r="1517">
          <cell r="C1517" t="str">
            <v>Washout Pipe Dia</v>
          </cell>
          <cell r="D1517">
            <v>0</v>
          </cell>
        </row>
        <row r="1518">
          <cell r="B1518" t="str">
            <v>HP2.5-75</v>
          </cell>
          <cell r="C1518" t="str">
            <v>HDPE Pipe(75mm) - 2.5 kgf/cm2</v>
          </cell>
          <cell r="J1518" t="str">
            <v>m</v>
          </cell>
        </row>
        <row r="1519">
          <cell r="B1519" t="str">
            <v>GPM-15</v>
          </cell>
          <cell r="C1519" t="str">
            <v>G.I. Pipe (1/2") - MC</v>
          </cell>
          <cell r="J1519" t="str">
            <v>m</v>
          </cell>
        </row>
        <row r="1520">
          <cell r="B1520" t="str">
            <v>GEL-15</v>
          </cell>
          <cell r="C1520" t="str">
            <v xml:space="preserve">G.I. Elbow (1/2") </v>
          </cell>
          <cell r="J1520" t="str">
            <v>pc</v>
          </cell>
        </row>
        <row r="1521">
          <cell r="B1521" t="str">
            <v>GSO-15</v>
          </cell>
          <cell r="C1521" t="str">
            <v>G.I. Socket (1/2")</v>
          </cell>
          <cell r="J1521" t="str">
            <v>pc</v>
          </cell>
        </row>
        <row r="1522">
          <cell r="B1522" t="str">
            <v>BT400-15</v>
          </cell>
          <cell r="C1522" t="str">
            <v>Brass Tap ( 400g )</v>
          </cell>
          <cell r="J1522" t="str">
            <v>pc</v>
          </cell>
        </row>
        <row r="1523">
          <cell r="B1523" t="str">
            <v>BU-20</v>
          </cell>
          <cell r="C1523" t="str">
            <v>Brass Union  (20mm x 1/2")</v>
          </cell>
          <cell r="J1523" t="str">
            <v>pc</v>
          </cell>
        </row>
        <row r="1524">
          <cell r="B1524" t="str">
            <v>BRT-15</v>
          </cell>
          <cell r="C1524" t="str">
            <v>Regulating Tee (1/2")</v>
          </cell>
          <cell r="J1524" t="str">
            <v>pc</v>
          </cell>
        </row>
        <row r="1527">
          <cell r="B1527" t="str">
            <v>I-01</v>
          </cell>
          <cell r="C1527" t="str">
            <v>Earth Work in Excavation</v>
          </cell>
          <cell r="I1527">
            <v>0</v>
          </cell>
          <cell r="J1527" t="str">
            <v>m3</v>
          </cell>
        </row>
        <row r="1531">
          <cell r="B1531" t="str">
            <v>I-02</v>
          </cell>
          <cell r="C1531" t="str">
            <v>Earth Work in Backfilling</v>
          </cell>
          <cell r="I1531">
            <v>0</v>
          </cell>
          <cell r="J1531" t="str">
            <v>m3</v>
          </cell>
        </row>
        <row r="1535">
          <cell r="B1535" t="str">
            <v>I-03</v>
          </cell>
          <cell r="C1535" t="str">
            <v>Dry Stone Soling</v>
          </cell>
          <cell r="I1535">
            <v>0</v>
          </cell>
          <cell r="J1535" t="str">
            <v>m3</v>
          </cell>
        </row>
        <row r="1539">
          <cell r="B1539" t="str">
            <v>I-04</v>
          </cell>
          <cell r="C1539" t="str">
            <v>P.C.C. (1:2:4)</v>
          </cell>
          <cell r="I1539">
            <v>0</v>
          </cell>
          <cell r="J1539" t="str">
            <v>m3</v>
          </cell>
        </row>
        <row r="1543">
          <cell r="B1543" t="str">
            <v>I-05</v>
          </cell>
          <cell r="C1543" t="str">
            <v>P.C.C. for Pre-cast Slab (1:2:4)</v>
          </cell>
          <cell r="I1543">
            <v>0</v>
          </cell>
          <cell r="J1543" t="str">
            <v>m3</v>
          </cell>
        </row>
        <row r="1547">
          <cell r="B1547" t="str">
            <v>I-06</v>
          </cell>
          <cell r="C1547" t="str">
            <v>P.C.C. for R.C.C. (1:2:4)</v>
          </cell>
          <cell r="I1547">
            <v>0</v>
          </cell>
          <cell r="J1547" t="str">
            <v>m3</v>
          </cell>
        </row>
        <row r="1551">
          <cell r="B1551" t="str">
            <v>I-07</v>
          </cell>
          <cell r="C1551" t="str">
            <v>Random Rubble Masonry (1:4)</v>
          </cell>
          <cell r="I1551">
            <v>0</v>
          </cell>
          <cell r="J1551" t="str">
            <v>m3</v>
          </cell>
        </row>
        <row r="1555">
          <cell r="B1555" t="str">
            <v>I-08</v>
          </cell>
          <cell r="C1555" t="str">
            <v>Random Rubble Masonry (1:6)</v>
          </cell>
          <cell r="I1555">
            <v>0</v>
          </cell>
          <cell r="J1555" t="str">
            <v>m3</v>
          </cell>
        </row>
        <row r="1559">
          <cell r="B1559" t="str">
            <v>I-09</v>
          </cell>
          <cell r="C1559" t="str">
            <v>Dry Stone masonry</v>
          </cell>
          <cell r="I1559">
            <v>0</v>
          </cell>
          <cell r="J1559" t="str">
            <v>m3</v>
          </cell>
        </row>
        <row r="1563">
          <cell r="B1563" t="str">
            <v>I-10</v>
          </cell>
          <cell r="C1563" t="str">
            <v>Form Work for P.C.C.</v>
          </cell>
          <cell r="I1563">
            <v>0</v>
          </cell>
          <cell r="J1563" t="str">
            <v>m2</v>
          </cell>
        </row>
        <row r="1567">
          <cell r="B1567" t="str">
            <v>I-11</v>
          </cell>
          <cell r="C1567" t="str">
            <v>12.5mm Cement Plaster (1:2)</v>
          </cell>
          <cell r="I1567">
            <v>0</v>
          </cell>
          <cell r="J1567" t="str">
            <v>m2</v>
          </cell>
        </row>
        <row r="1571">
          <cell r="B1571" t="str">
            <v>I-12</v>
          </cell>
          <cell r="C1571" t="str">
            <v>12.5mm Cement Plaster (1:3)</v>
          </cell>
          <cell r="I1571">
            <v>0</v>
          </cell>
          <cell r="J1571" t="str">
            <v>m2</v>
          </cell>
        </row>
        <row r="1575">
          <cell r="B1575" t="str">
            <v>I-13</v>
          </cell>
          <cell r="C1575" t="str">
            <v>12.5mm Cement Plaster (1:4)</v>
          </cell>
          <cell r="I1575">
            <v>0</v>
          </cell>
          <cell r="J1575" t="str">
            <v>m2</v>
          </cell>
        </row>
        <row r="1579">
          <cell r="B1579" t="str">
            <v>I-14</v>
          </cell>
          <cell r="C1579" t="str">
            <v>Cement Pointing (1:3)</v>
          </cell>
          <cell r="I1579">
            <v>0</v>
          </cell>
          <cell r="J1579" t="str">
            <v>m2</v>
          </cell>
        </row>
        <row r="1583">
          <cell r="B1583" t="str">
            <v>I-15</v>
          </cell>
          <cell r="C1583" t="str">
            <v>3mm Cement Punning</v>
          </cell>
          <cell r="I1583">
            <v>0</v>
          </cell>
          <cell r="J1583" t="str">
            <v>m2</v>
          </cell>
        </row>
        <row r="1587">
          <cell r="B1587" t="str">
            <v>I-16A</v>
          </cell>
          <cell r="C1587" t="str">
            <v>Bar Binding for R.C.C. (10mm bar)</v>
          </cell>
          <cell r="I1587">
            <v>0</v>
          </cell>
          <cell r="J1587" t="str">
            <v>Kg</v>
          </cell>
        </row>
        <row r="1591">
          <cell r="B1591" t="str">
            <v>I-16B</v>
          </cell>
          <cell r="C1591" t="str">
            <v>Bar Binding for R.C.C. (6mm bar)</v>
          </cell>
          <cell r="I1591">
            <v>0</v>
          </cell>
          <cell r="J1591" t="str">
            <v>Kg</v>
          </cell>
        </row>
        <row r="1595">
          <cell r="B1595" t="str">
            <v>I-17</v>
          </cell>
          <cell r="C1595" t="str">
            <v>Bar Binding for Ferro-Cement Works</v>
          </cell>
          <cell r="I1595">
            <v>0</v>
          </cell>
          <cell r="J1595" t="str">
            <v>m2</v>
          </cell>
        </row>
        <row r="1599">
          <cell r="B1599" t="str">
            <v>I-18</v>
          </cell>
          <cell r="C1599" t="str">
            <v>Formwork for Ferro-Cement Works</v>
          </cell>
          <cell r="I1599">
            <v>0</v>
          </cell>
          <cell r="J1599" t="str">
            <v>m2</v>
          </cell>
        </row>
        <row r="1603">
          <cell r="B1603" t="str">
            <v>I-19</v>
          </cell>
          <cell r="C1603" t="str">
            <v>Cement Plaster for Ferro-Cement Work (1:3)</v>
          </cell>
          <cell r="I1603">
            <v>0</v>
          </cell>
          <cell r="J1603" t="str">
            <v>m2</v>
          </cell>
        </row>
        <row r="1607">
          <cell r="B1607" t="str">
            <v>I-20</v>
          </cell>
          <cell r="C1607" t="str">
            <v>Formwork for Precast RCC Work</v>
          </cell>
          <cell r="I1607">
            <v>0</v>
          </cell>
          <cell r="J1607" t="str">
            <v>m2</v>
          </cell>
        </row>
        <row r="1611">
          <cell r="B1611" t="str">
            <v>I-21</v>
          </cell>
          <cell r="C1611" t="str">
            <v>Cement Painting</v>
          </cell>
          <cell r="I1611">
            <v>0</v>
          </cell>
          <cell r="J1611" t="str">
            <v>m2</v>
          </cell>
        </row>
        <row r="1615">
          <cell r="B1615" t="str">
            <v>I-22</v>
          </cell>
          <cell r="C1615" t="str">
            <v>Trench digging</v>
          </cell>
          <cell r="I1615">
            <v>0</v>
          </cell>
          <cell r="J1615" t="str">
            <v>m3</v>
          </cell>
        </row>
        <row r="1619">
          <cell r="B1619" t="str">
            <v>I-23</v>
          </cell>
          <cell r="C1619" t="str">
            <v>Trench backfilling</v>
          </cell>
          <cell r="I1619">
            <v>0</v>
          </cell>
          <cell r="J1619" t="str">
            <v>m3</v>
          </cell>
        </row>
        <row r="1623">
          <cell r="B1623" t="str">
            <v>I-24</v>
          </cell>
          <cell r="C1623" t="str">
            <v>Gabion Box (2mX1mX1m)</v>
          </cell>
          <cell r="I1623">
            <v>0</v>
          </cell>
          <cell r="J1623" t="str">
            <v>No</v>
          </cell>
        </row>
        <row r="1626">
          <cell r="B1626" t="str">
            <v>I-25</v>
          </cell>
          <cell r="C1626" t="str">
            <v>Gabion Box (3mX1mX1m)</v>
          </cell>
          <cell r="I1626">
            <v>0</v>
          </cell>
          <cell r="J1626" t="str">
            <v>No</v>
          </cell>
        </row>
        <row r="1630">
          <cell r="B1630" t="str">
            <v>M-16</v>
          </cell>
          <cell r="C1630" t="str">
            <v>Angle Pole</v>
          </cell>
          <cell r="J1630" t="str">
            <v>pc</v>
          </cell>
        </row>
        <row r="1631">
          <cell r="B1631" t="str">
            <v>M-17</v>
          </cell>
          <cell r="C1631" t="str">
            <v>Angle Pole for Gate</v>
          </cell>
          <cell r="J1631" t="str">
            <v>pc</v>
          </cell>
        </row>
        <row r="1632">
          <cell r="B1632" t="str">
            <v>M-18</v>
          </cell>
          <cell r="C1632" t="str">
            <v>Corner Angle Pole</v>
          </cell>
          <cell r="J1632" t="str">
            <v>pc</v>
          </cell>
        </row>
        <row r="1633">
          <cell r="B1633" t="str">
            <v>M-19</v>
          </cell>
          <cell r="C1633" t="str">
            <v>Bracing Angle Pole</v>
          </cell>
          <cell r="J1633" t="str">
            <v>pc</v>
          </cell>
        </row>
        <row r="1634">
          <cell r="B1634" t="str">
            <v>M-20</v>
          </cell>
          <cell r="C1634" t="str">
            <v>Polythene Sheet</v>
          </cell>
          <cell r="J1634" t="str">
            <v>m</v>
          </cell>
        </row>
        <row r="1635">
          <cell r="B1635" t="str">
            <v>M-21</v>
          </cell>
          <cell r="C1635" t="str">
            <v>Barbed Wire</v>
          </cell>
          <cell r="J1635" t="str">
            <v>kg</v>
          </cell>
        </row>
        <row r="1636">
          <cell r="B1636" t="str">
            <v>M-22</v>
          </cell>
          <cell r="C1636" t="str">
            <v>Fencing Post</v>
          </cell>
          <cell r="J1636" t="str">
            <v>pc</v>
          </cell>
        </row>
        <row r="1637">
          <cell r="B1637" t="str">
            <v>M-23</v>
          </cell>
          <cell r="C1637" t="str">
            <v>Angle Gate</v>
          </cell>
          <cell r="J1637" t="str">
            <v>pc</v>
          </cell>
        </row>
        <row r="1638">
          <cell r="B1638" t="str">
            <v>M-24</v>
          </cell>
          <cell r="C1638" t="str">
            <v>4" Hinges</v>
          </cell>
          <cell r="J1638" t="str">
            <v>pc</v>
          </cell>
        </row>
        <row r="1639">
          <cell r="B1639" t="str">
            <v>M-25</v>
          </cell>
          <cell r="C1639" t="str">
            <v>10" Aldrop</v>
          </cell>
          <cell r="J1639" t="str">
            <v>pc</v>
          </cell>
        </row>
        <row r="1640">
          <cell r="B1640" t="str">
            <v>M-26</v>
          </cell>
          <cell r="C1640" t="str">
            <v>Gate Lock Key</v>
          </cell>
          <cell r="J1640" t="str">
            <v>pc</v>
          </cell>
        </row>
        <row r="1641">
          <cell r="B1641" t="str">
            <v>M-27</v>
          </cell>
          <cell r="C1641" t="str">
            <v>Nut with bolt (8mm dia)</v>
          </cell>
          <cell r="J1641" t="str">
            <v>pc</v>
          </cell>
        </row>
        <row r="1642">
          <cell r="B1642" t="str">
            <v>M-28</v>
          </cell>
          <cell r="C1642" t="str">
            <v>Screws</v>
          </cell>
          <cell r="J1642" t="str">
            <v>pc</v>
          </cell>
        </row>
        <row r="1643">
          <cell r="B1643" t="str">
            <v>M-29</v>
          </cell>
          <cell r="C1643" t="str">
            <v>GI sheet Plain (3'x7')</v>
          </cell>
          <cell r="J1643" t="str">
            <v>pc</v>
          </cell>
        </row>
        <row r="1644">
          <cell r="B1644" t="str">
            <v>M-30</v>
          </cell>
          <cell r="C1644" t="str">
            <v>Manhole Cover (Circular)</v>
          </cell>
          <cell r="J1644" t="str">
            <v>pc</v>
          </cell>
        </row>
        <row r="1645">
          <cell r="B1645" t="str">
            <v>M-31</v>
          </cell>
          <cell r="C1645" t="str">
            <v>Manhole Cover (Square)</v>
          </cell>
          <cell r="J1645" t="str">
            <v>pc</v>
          </cell>
        </row>
        <row r="1646">
          <cell r="B1646" t="str">
            <v>M-32</v>
          </cell>
          <cell r="C1646" t="str">
            <v>Manhole Cover (Rectangle)</v>
          </cell>
          <cell r="J1646" t="str">
            <v>pc</v>
          </cell>
        </row>
        <row r="1647">
          <cell r="B1647" t="str">
            <v>M-33</v>
          </cell>
          <cell r="C1647" t="str">
            <v>Small Slab Frame (55x55)</v>
          </cell>
          <cell r="J1647" t="str">
            <v>pc</v>
          </cell>
        </row>
        <row r="1648">
          <cell r="B1648" t="str">
            <v>M-34</v>
          </cell>
          <cell r="C1648" t="str">
            <v>Big Slab Frame (75x75)</v>
          </cell>
          <cell r="J1648" t="str">
            <v>pc</v>
          </cell>
        </row>
        <row r="1649">
          <cell r="B1649" t="str">
            <v>M-36</v>
          </cell>
          <cell r="C1649" t="str">
            <v>Lime</v>
          </cell>
          <cell r="J1649" t="str">
            <v>kg</v>
          </cell>
        </row>
        <row r="1650">
          <cell r="B1650" t="str">
            <v>M-41</v>
          </cell>
          <cell r="C1650" t="str">
            <v>Suspension Cable (8mm)</v>
          </cell>
          <cell r="J1650" t="str">
            <v>m</v>
          </cell>
        </row>
        <row r="1651">
          <cell r="B1651" t="str">
            <v>M-42</v>
          </cell>
          <cell r="C1651" t="str">
            <v>Suspension Cable (13mm)</v>
          </cell>
          <cell r="J1651" t="str">
            <v>m</v>
          </cell>
        </row>
        <row r="1652">
          <cell r="B1652" t="str">
            <v>M-43</v>
          </cell>
          <cell r="C1652" t="str">
            <v>Bulldog Grips (8mm)</v>
          </cell>
          <cell r="J1652" t="str">
            <v>pc</v>
          </cell>
        </row>
        <row r="1653">
          <cell r="B1653" t="str">
            <v>M-44</v>
          </cell>
          <cell r="C1653" t="str">
            <v>Bulldog Grips (13mm)</v>
          </cell>
          <cell r="J1653" t="str">
            <v>pc</v>
          </cell>
        </row>
        <row r="1654">
          <cell r="B1654" t="str">
            <v>M-45</v>
          </cell>
          <cell r="C1654" t="str">
            <v>PE Tank 200 ltrs.</v>
          </cell>
          <cell r="J1654" t="str">
            <v>pc</v>
          </cell>
        </row>
        <row r="1655">
          <cell r="B1655" t="str">
            <v>M-46</v>
          </cell>
          <cell r="C1655" t="str">
            <v>Tapstand Grid</v>
          </cell>
          <cell r="J1655" t="str">
            <v>pc</v>
          </cell>
        </row>
        <row r="1656">
          <cell r="B1656" t="str">
            <v>M-47</v>
          </cell>
          <cell r="C1656" t="str">
            <v>Anchor Bolt (1/2")</v>
          </cell>
          <cell r="J1656" t="str">
            <v>pc</v>
          </cell>
        </row>
        <row r="1657">
          <cell r="B1657" t="str">
            <v>M-48</v>
          </cell>
          <cell r="C1657" t="str">
            <v>Anchor Bolt (1")</v>
          </cell>
          <cell r="J1657" t="str">
            <v>pc</v>
          </cell>
        </row>
        <row r="1658">
          <cell r="B1658" t="str">
            <v>M-49</v>
          </cell>
          <cell r="C1658" t="str">
            <v>Anchor Bolt (1 1/2")</v>
          </cell>
          <cell r="J1658" t="str">
            <v>pc</v>
          </cell>
        </row>
        <row r="1659">
          <cell r="B1659" t="str">
            <v>M-50</v>
          </cell>
          <cell r="C1659" t="str">
            <v>Anchor Bolt (2")</v>
          </cell>
          <cell r="J1659" t="str">
            <v>pc</v>
          </cell>
        </row>
        <row r="1660">
          <cell r="B1660" t="str">
            <v>M-01</v>
          </cell>
          <cell r="C1660" t="str">
            <v>Cement</v>
          </cell>
          <cell r="I1660">
            <v>0</v>
          </cell>
          <cell r="J1660" t="str">
            <v>bag</v>
          </cell>
        </row>
        <row r="1661">
          <cell r="B1661" t="str">
            <v>M-02</v>
          </cell>
          <cell r="C1661" t="str">
            <v>Sand</v>
          </cell>
          <cell r="I1661">
            <v>0</v>
          </cell>
          <cell r="J1661" t="str">
            <v>m3</v>
          </cell>
        </row>
        <row r="1662">
          <cell r="B1662" t="str">
            <v>M-03</v>
          </cell>
          <cell r="C1662" t="str">
            <v>Block Stone</v>
          </cell>
          <cell r="I1662">
            <v>0</v>
          </cell>
          <cell r="J1662" t="str">
            <v>m3</v>
          </cell>
        </row>
        <row r="1663">
          <cell r="B1663" t="str">
            <v>M-04</v>
          </cell>
          <cell r="C1663" t="str">
            <v>Bond Stone</v>
          </cell>
          <cell r="I1663">
            <v>0</v>
          </cell>
          <cell r="J1663" t="str">
            <v>m3</v>
          </cell>
        </row>
        <row r="1664">
          <cell r="B1664" t="str">
            <v>M-05</v>
          </cell>
          <cell r="C1664" t="str">
            <v>Aggregate (5-10mm)</v>
          </cell>
          <cell r="I1664">
            <v>0</v>
          </cell>
          <cell r="J1664" t="str">
            <v>m3</v>
          </cell>
        </row>
        <row r="1665">
          <cell r="B1665" t="str">
            <v>M-06</v>
          </cell>
          <cell r="C1665" t="str">
            <v>Aggregate (10-20mm)</v>
          </cell>
          <cell r="I1665">
            <v>0</v>
          </cell>
          <cell r="J1665" t="str">
            <v>m3</v>
          </cell>
        </row>
        <row r="1666">
          <cell r="B1666" t="str">
            <v>M-07</v>
          </cell>
          <cell r="C1666" t="str">
            <v>Aggregate (20-40mm)</v>
          </cell>
          <cell r="I1666">
            <v>0</v>
          </cell>
          <cell r="J1666" t="str">
            <v>m3</v>
          </cell>
        </row>
        <row r="1667">
          <cell r="B1667" t="str">
            <v>M-08</v>
          </cell>
          <cell r="C1667" t="str">
            <v>Project Information Board</v>
          </cell>
          <cell r="J1667" t="str">
            <v>set</v>
          </cell>
        </row>
        <row r="1668">
          <cell r="B1668" t="str">
            <v>M-09</v>
          </cell>
          <cell r="C1668" t="str">
            <v>Reinforcement ( 6mm)</v>
          </cell>
          <cell r="I1668">
            <v>0</v>
          </cell>
          <cell r="J1668" t="str">
            <v>kg</v>
          </cell>
        </row>
        <row r="1669">
          <cell r="B1669" t="str">
            <v>M-10</v>
          </cell>
          <cell r="C1669" t="str">
            <v>Reinforcement ( 8mm)</v>
          </cell>
          <cell r="J1669" t="str">
            <v>kg</v>
          </cell>
        </row>
        <row r="1670">
          <cell r="B1670" t="str">
            <v>M-11</v>
          </cell>
          <cell r="C1670" t="str">
            <v>Reinforcement (10mm)</v>
          </cell>
          <cell r="I1670">
            <v>0</v>
          </cell>
          <cell r="J1670" t="str">
            <v>kg</v>
          </cell>
        </row>
        <row r="1671">
          <cell r="B1671" t="str">
            <v>M-12</v>
          </cell>
          <cell r="C1671" t="str">
            <v>Binding wire</v>
          </cell>
          <cell r="I1671">
            <v>0</v>
          </cell>
          <cell r="J1671" t="str">
            <v>kg</v>
          </cell>
        </row>
        <row r="1672">
          <cell r="B1672" t="str">
            <v>M-13</v>
          </cell>
          <cell r="C1672" t="str">
            <v>Plain wire (3.5 mm dia)</v>
          </cell>
          <cell r="I1672">
            <v>0</v>
          </cell>
          <cell r="J1672" t="str">
            <v>kg</v>
          </cell>
        </row>
        <row r="1673">
          <cell r="B1673" t="str">
            <v>M-14</v>
          </cell>
          <cell r="C1673" t="str">
            <v>Chicken wire mesh (3 Ft wide)</v>
          </cell>
          <cell r="I1673">
            <v>0</v>
          </cell>
          <cell r="J1673" t="str">
            <v>m</v>
          </cell>
        </row>
        <row r="1674">
          <cell r="B1674" t="str">
            <v>M-15</v>
          </cell>
          <cell r="C1674" t="str">
            <v>Bamboo</v>
          </cell>
          <cell r="I1674">
            <v>0</v>
          </cell>
          <cell r="J1674" t="str">
            <v>pc</v>
          </cell>
        </row>
        <row r="1675">
          <cell r="B1675" t="str">
            <v>M-35</v>
          </cell>
          <cell r="C1675" t="str">
            <v>Cement Paint</v>
          </cell>
          <cell r="I1675">
            <v>0</v>
          </cell>
          <cell r="J1675" t="str">
            <v>kg</v>
          </cell>
        </row>
        <row r="1676">
          <cell r="B1676" t="str">
            <v>M-37</v>
          </cell>
          <cell r="C1676" t="str">
            <v>GI Selwage Wire (8g)</v>
          </cell>
          <cell r="J1676" t="str">
            <v>kg</v>
          </cell>
        </row>
        <row r="1677">
          <cell r="B1677" t="str">
            <v>M-38</v>
          </cell>
          <cell r="C1677" t="str">
            <v>GI Mesh Wire (10g)</v>
          </cell>
          <cell r="J1677" t="str">
            <v>kg</v>
          </cell>
        </row>
        <row r="1678">
          <cell r="B1678" t="str">
            <v>M-39</v>
          </cell>
          <cell r="C1678" t="str">
            <v>Wood for Formwork</v>
          </cell>
          <cell r="I1678">
            <v>0</v>
          </cell>
          <cell r="J1678" t="str">
            <v>m3</v>
          </cell>
        </row>
        <row r="1679">
          <cell r="B1679" t="str">
            <v>M-40</v>
          </cell>
          <cell r="C1679" t="str">
            <v>Nails</v>
          </cell>
          <cell r="I1679">
            <v>0</v>
          </cell>
          <cell r="J1679" t="str">
            <v>kg</v>
          </cell>
        </row>
        <row r="1680">
          <cell r="B1680" t="str">
            <v>L-1</v>
          </cell>
          <cell r="C1680" t="str">
            <v>Skilled Labour</v>
          </cell>
          <cell r="I1680">
            <v>0</v>
          </cell>
          <cell r="J1680" t="str">
            <v>md</v>
          </cell>
        </row>
        <row r="1681">
          <cell r="B1681" t="str">
            <v>L-2</v>
          </cell>
          <cell r="C1681" t="str">
            <v>Unskilled Labour</v>
          </cell>
          <cell r="I1681">
            <v>0</v>
          </cell>
          <cell r="J1681" t="str">
            <v>md</v>
          </cell>
        </row>
        <row r="1682">
          <cell r="C1682" t="str">
            <v>FITTINGS/EXTRA MATERIALS</v>
          </cell>
        </row>
        <row r="1683">
          <cell r="C1683" t="str">
            <v>Inlet Pipe Dia</v>
          </cell>
          <cell r="D1683">
            <v>0</v>
          </cell>
        </row>
        <row r="1684">
          <cell r="C1684" t="str">
            <v>Outlet Pipe Dia</v>
          </cell>
          <cell r="D1684">
            <v>0</v>
          </cell>
        </row>
        <row r="1685">
          <cell r="C1685" t="str">
            <v>Overflow Pipe Dia</v>
          </cell>
          <cell r="D1685">
            <v>0</v>
          </cell>
        </row>
        <row r="1686">
          <cell r="C1686" t="str">
            <v>Washout Pipe Dia</v>
          </cell>
          <cell r="D1686">
            <v>0</v>
          </cell>
        </row>
        <row r="1687">
          <cell r="B1687" t="str">
            <v>HP2.5-75</v>
          </cell>
          <cell r="C1687" t="str">
            <v>HDPE Pipe(75mm) - 2.5 kgf/cm2</v>
          </cell>
          <cell r="J1687" t="str">
            <v>m</v>
          </cell>
        </row>
        <row r="1688">
          <cell r="B1688" t="str">
            <v>GPM-15</v>
          </cell>
          <cell r="C1688" t="str">
            <v>G.I. Pipe (1/2") - MC</v>
          </cell>
          <cell r="J1688" t="str">
            <v>m</v>
          </cell>
        </row>
        <row r="1689">
          <cell r="B1689" t="str">
            <v>GEL-15</v>
          </cell>
          <cell r="C1689" t="str">
            <v xml:space="preserve">G.I. Elbow (1/2") </v>
          </cell>
          <cell r="J1689" t="str">
            <v>pc</v>
          </cell>
        </row>
        <row r="1690">
          <cell r="B1690" t="str">
            <v>GSO-15</v>
          </cell>
          <cell r="C1690" t="str">
            <v>G.I. Socket (1/2")</v>
          </cell>
          <cell r="J1690" t="str">
            <v>pc</v>
          </cell>
        </row>
        <row r="1691">
          <cell r="B1691" t="str">
            <v>BT400-15</v>
          </cell>
          <cell r="C1691" t="str">
            <v>Brass Tap ( 400g )</v>
          </cell>
          <cell r="J1691" t="str">
            <v>pc</v>
          </cell>
        </row>
        <row r="1692">
          <cell r="B1692" t="str">
            <v>BU-20</v>
          </cell>
          <cell r="C1692" t="str">
            <v>Brass Union  (20mm x 1/2")</v>
          </cell>
          <cell r="J1692" t="str">
            <v>pc</v>
          </cell>
        </row>
        <row r="1693">
          <cell r="B1693" t="str">
            <v>BRT-15</v>
          </cell>
          <cell r="C1693" t="str">
            <v>Regulating Tee (1/2")</v>
          </cell>
          <cell r="J1693" t="str">
            <v>pc</v>
          </cell>
        </row>
      </sheetData>
      <sheetData sheetId="27" refreshError="1">
        <row r="4">
          <cell r="I4">
            <v>0</v>
          </cell>
        </row>
        <row r="5">
          <cell r="B5" t="str">
            <v>I-01</v>
          </cell>
          <cell r="C5" t="str">
            <v>Earth Work in Excavation</v>
          </cell>
          <cell r="I5">
            <v>0</v>
          </cell>
          <cell r="J5" t="str">
            <v>m3</v>
          </cell>
        </row>
        <row r="9">
          <cell r="B9" t="str">
            <v>I-02</v>
          </cell>
          <cell r="C9" t="str">
            <v>Earth Work in Backfilling</v>
          </cell>
          <cell r="I9">
            <v>0</v>
          </cell>
          <cell r="J9" t="str">
            <v>m3</v>
          </cell>
        </row>
        <row r="13">
          <cell r="B13" t="str">
            <v>I-03</v>
          </cell>
          <cell r="C13" t="str">
            <v>Dry Stone Soling</v>
          </cell>
          <cell r="I13">
            <v>0</v>
          </cell>
          <cell r="J13" t="str">
            <v>m3</v>
          </cell>
        </row>
        <row r="17">
          <cell r="B17" t="str">
            <v>I-04</v>
          </cell>
          <cell r="C17" t="str">
            <v>P.C.C. (1:2:4)</v>
          </cell>
          <cell r="I17">
            <v>0</v>
          </cell>
          <cell r="J17" t="str">
            <v>m3</v>
          </cell>
        </row>
        <row r="21">
          <cell r="B21" t="str">
            <v>I-05</v>
          </cell>
          <cell r="C21" t="str">
            <v>P.C.C. for Pre-cast Slab (1:2:4)</v>
          </cell>
          <cell r="I21">
            <v>0</v>
          </cell>
          <cell r="J21" t="str">
            <v>m3</v>
          </cell>
        </row>
        <row r="25">
          <cell r="B25" t="str">
            <v>I-06</v>
          </cell>
          <cell r="C25" t="str">
            <v>P.C.C. for R.C.C. (1:2:4)</v>
          </cell>
          <cell r="I25">
            <v>0</v>
          </cell>
          <cell r="J25" t="str">
            <v>m3</v>
          </cell>
        </row>
        <row r="29">
          <cell r="B29" t="str">
            <v>I-07</v>
          </cell>
          <cell r="C29" t="str">
            <v>Random Rubble Masonry (1:4)</v>
          </cell>
          <cell r="I29">
            <v>0</v>
          </cell>
          <cell r="J29" t="str">
            <v>m3</v>
          </cell>
        </row>
        <row r="33">
          <cell r="B33" t="str">
            <v>I-08</v>
          </cell>
          <cell r="C33" t="str">
            <v>Random Rubble Masonry (1:6)</v>
          </cell>
          <cell r="I33">
            <v>0</v>
          </cell>
          <cell r="J33" t="str">
            <v>m3</v>
          </cell>
        </row>
        <row r="37">
          <cell r="B37" t="str">
            <v>I-09</v>
          </cell>
          <cell r="C37" t="str">
            <v>Dry Stone masonry</v>
          </cell>
          <cell r="I37">
            <v>0</v>
          </cell>
          <cell r="J37" t="str">
            <v>m3</v>
          </cell>
        </row>
        <row r="41">
          <cell r="B41" t="str">
            <v>I-10</v>
          </cell>
          <cell r="C41" t="str">
            <v>Form Work for P.C.C.</v>
          </cell>
          <cell r="I41">
            <v>0</v>
          </cell>
          <cell r="J41" t="str">
            <v>m2</v>
          </cell>
        </row>
        <row r="45">
          <cell r="B45" t="str">
            <v>I-11</v>
          </cell>
          <cell r="C45" t="str">
            <v>12.5mm Cement Plaster (1:2)</v>
          </cell>
          <cell r="I45">
            <v>0</v>
          </cell>
          <cell r="J45" t="str">
            <v>m2</v>
          </cell>
        </row>
        <row r="49">
          <cell r="B49" t="str">
            <v>I-12</v>
          </cell>
          <cell r="C49" t="str">
            <v>12.5mm Cement Plaster (1:3)</v>
          </cell>
          <cell r="I49">
            <v>0</v>
          </cell>
          <cell r="J49" t="str">
            <v>m2</v>
          </cell>
        </row>
        <row r="53">
          <cell r="B53" t="str">
            <v>I-13</v>
          </cell>
          <cell r="C53" t="str">
            <v>12.5mm Cement Plaster (1:4)</v>
          </cell>
          <cell r="I53">
            <v>0</v>
          </cell>
          <cell r="J53" t="str">
            <v>m2</v>
          </cell>
        </row>
        <row r="57">
          <cell r="B57" t="str">
            <v>I-14</v>
          </cell>
          <cell r="C57" t="str">
            <v>Cement Pointing (1:3)</v>
          </cell>
          <cell r="I57">
            <v>0</v>
          </cell>
          <cell r="J57" t="str">
            <v>m2</v>
          </cell>
        </row>
        <row r="61">
          <cell r="B61" t="str">
            <v>I-15</v>
          </cell>
          <cell r="C61" t="str">
            <v>3mm Cement Punning</v>
          </cell>
          <cell r="I61">
            <v>0</v>
          </cell>
          <cell r="J61" t="str">
            <v>m2</v>
          </cell>
        </row>
        <row r="65">
          <cell r="B65" t="str">
            <v>I-16A</v>
          </cell>
          <cell r="C65" t="str">
            <v>Bar Binding for R.C.C. (10mm bar)</v>
          </cell>
          <cell r="I65">
            <v>0</v>
          </cell>
          <cell r="J65" t="str">
            <v>Kg</v>
          </cell>
        </row>
        <row r="69">
          <cell r="B69" t="str">
            <v>I-16B</v>
          </cell>
          <cell r="C69" t="str">
            <v>Bar Binding for R.C.C. (6mm bar)</v>
          </cell>
          <cell r="I69">
            <v>0</v>
          </cell>
          <cell r="J69" t="str">
            <v>Kg</v>
          </cell>
        </row>
        <row r="73">
          <cell r="B73" t="str">
            <v>I-17</v>
          </cell>
          <cell r="C73" t="str">
            <v>Bar Binding for Ferro-Cement Works</v>
          </cell>
          <cell r="I73">
            <v>0</v>
          </cell>
          <cell r="J73" t="str">
            <v>m2</v>
          </cell>
        </row>
        <row r="77">
          <cell r="B77" t="str">
            <v>I-18</v>
          </cell>
          <cell r="C77" t="str">
            <v>Formwork for Ferro-Cement Works</v>
          </cell>
          <cell r="I77">
            <v>0</v>
          </cell>
          <cell r="J77" t="str">
            <v>m2</v>
          </cell>
        </row>
        <row r="81">
          <cell r="B81" t="str">
            <v>I-19</v>
          </cell>
          <cell r="C81" t="str">
            <v>Cement Plaster for Ferro-Cement Work (1:3)</v>
          </cell>
          <cell r="I81">
            <v>0</v>
          </cell>
          <cell r="J81" t="str">
            <v>m2</v>
          </cell>
        </row>
        <row r="85">
          <cell r="B85" t="str">
            <v>I-20</v>
          </cell>
          <cell r="C85" t="str">
            <v>Formwork for Precast RCC Work</v>
          </cell>
          <cell r="I85">
            <v>0</v>
          </cell>
          <cell r="J85" t="str">
            <v>m2</v>
          </cell>
        </row>
        <row r="89">
          <cell r="B89" t="str">
            <v>I-21</v>
          </cell>
          <cell r="C89" t="str">
            <v>Cement Painting</v>
          </cell>
          <cell r="I89">
            <v>0</v>
          </cell>
          <cell r="J89" t="str">
            <v>m2</v>
          </cell>
        </row>
        <row r="93">
          <cell r="B93" t="str">
            <v>I-22</v>
          </cell>
          <cell r="C93" t="str">
            <v>Trench digging</v>
          </cell>
          <cell r="I93">
            <v>0</v>
          </cell>
          <cell r="J93" t="str">
            <v>m3</v>
          </cell>
        </row>
        <row r="97">
          <cell r="B97" t="str">
            <v>I-23</v>
          </cell>
          <cell r="C97" t="str">
            <v>Trench backfilling</v>
          </cell>
          <cell r="I97">
            <v>0</v>
          </cell>
          <cell r="J97" t="str">
            <v>m3</v>
          </cell>
        </row>
        <row r="101">
          <cell r="B101" t="str">
            <v>I-24</v>
          </cell>
          <cell r="C101" t="str">
            <v>Gabion Box (2mX1mX1m)</v>
          </cell>
          <cell r="I101">
            <v>0</v>
          </cell>
          <cell r="J101" t="str">
            <v>No</v>
          </cell>
        </row>
        <row r="104">
          <cell r="B104" t="str">
            <v>I-25</v>
          </cell>
          <cell r="C104" t="str">
            <v>Gabion Box (3mX1mX1m)</v>
          </cell>
          <cell r="I104">
            <v>0</v>
          </cell>
          <cell r="J104" t="str">
            <v>No</v>
          </cell>
        </row>
        <row r="108">
          <cell r="B108" t="str">
            <v>M-16</v>
          </cell>
          <cell r="C108" t="str">
            <v>Angle Pole</v>
          </cell>
          <cell r="J108" t="str">
            <v>pc</v>
          </cell>
        </row>
        <row r="109">
          <cell r="B109" t="str">
            <v>M-17</v>
          </cell>
          <cell r="C109" t="str">
            <v>Angle Pole for Gate</v>
          </cell>
          <cell r="J109" t="str">
            <v>pc</v>
          </cell>
        </row>
        <row r="110">
          <cell r="B110" t="str">
            <v>M-18</v>
          </cell>
          <cell r="C110" t="str">
            <v>Corner Angle Pole</v>
          </cell>
          <cell r="J110" t="str">
            <v>pc</v>
          </cell>
        </row>
        <row r="111">
          <cell r="B111" t="str">
            <v>M-19</v>
          </cell>
          <cell r="C111" t="str">
            <v>Bracing Angle Pole</v>
          </cell>
          <cell r="J111" t="str">
            <v>pc</v>
          </cell>
        </row>
        <row r="112">
          <cell r="B112" t="str">
            <v>M-20</v>
          </cell>
          <cell r="C112" t="str">
            <v>Polythene Sheet</v>
          </cell>
          <cell r="J112" t="str">
            <v>m</v>
          </cell>
        </row>
        <row r="113">
          <cell r="B113" t="str">
            <v>M-21</v>
          </cell>
          <cell r="C113" t="str">
            <v>Barbed Wire</v>
          </cell>
          <cell r="J113" t="str">
            <v>kg</v>
          </cell>
        </row>
        <row r="114">
          <cell r="B114" t="str">
            <v>M-22</v>
          </cell>
          <cell r="C114" t="str">
            <v>Fencing Post</v>
          </cell>
          <cell r="J114" t="str">
            <v>pc</v>
          </cell>
        </row>
        <row r="115">
          <cell r="B115" t="str">
            <v>M-23</v>
          </cell>
          <cell r="C115" t="str">
            <v>Angle Gate</v>
          </cell>
          <cell r="J115" t="str">
            <v>pc</v>
          </cell>
        </row>
        <row r="116">
          <cell r="B116" t="str">
            <v>M-24</v>
          </cell>
          <cell r="C116" t="str">
            <v>4" Hinges</v>
          </cell>
          <cell r="J116" t="str">
            <v>pc</v>
          </cell>
        </row>
        <row r="117">
          <cell r="B117" t="str">
            <v>M-25</v>
          </cell>
          <cell r="C117" t="str">
            <v>10" Aldrop</v>
          </cell>
          <cell r="J117" t="str">
            <v>pc</v>
          </cell>
        </row>
        <row r="118">
          <cell r="B118" t="str">
            <v>M-26</v>
          </cell>
          <cell r="C118" t="str">
            <v>Gate Lock Key</v>
          </cell>
          <cell r="J118" t="str">
            <v>pc</v>
          </cell>
        </row>
        <row r="119">
          <cell r="B119" t="str">
            <v>M-27</v>
          </cell>
          <cell r="C119" t="str">
            <v>Nut with bolt (8mm dia)</v>
          </cell>
          <cell r="J119" t="str">
            <v>pc</v>
          </cell>
        </row>
        <row r="120">
          <cell r="B120" t="str">
            <v>M-28</v>
          </cell>
          <cell r="C120" t="str">
            <v>Screws</v>
          </cell>
          <cell r="J120" t="str">
            <v>pc</v>
          </cell>
        </row>
        <row r="121">
          <cell r="B121" t="str">
            <v>M-29</v>
          </cell>
          <cell r="C121" t="str">
            <v>GI sheet Plain (3'x7')</v>
          </cell>
          <cell r="J121" t="str">
            <v>pc</v>
          </cell>
        </row>
        <row r="122">
          <cell r="B122" t="str">
            <v>M-30</v>
          </cell>
          <cell r="C122" t="str">
            <v>Manhole Cover (Circular)</v>
          </cell>
          <cell r="J122" t="str">
            <v>pc</v>
          </cell>
        </row>
        <row r="123">
          <cell r="B123" t="str">
            <v>M-31</v>
          </cell>
          <cell r="C123" t="str">
            <v>Manhole Cover (Square)</v>
          </cell>
          <cell r="J123" t="str">
            <v>pc</v>
          </cell>
        </row>
        <row r="124">
          <cell r="B124" t="str">
            <v>M-32</v>
          </cell>
          <cell r="C124" t="str">
            <v>Manhole Cover (Rectangle)</v>
          </cell>
          <cell r="J124" t="str">
            <v>pc</v>
          </cell>
        </row>
        <row r="125">
          <cell r="B125" t="str">
            <v>M-33</v>
          </cell>
          <cell r="C125" t="str">
            <v>Small Slab Frame (55x55)</v>
          </cell>
          <cell r="J125" t="str">
            <v>pc</v>
          </cell>
        </row>
        <row r="126">
          <cell r="B126" t="str">
            <v>M-34</v>
          </cell>
          <cell r="C126" t="str">
            <v>Big Slab Frame (75x75)</v>
          </cell>
          <cell r="J126" t="str">
            <v>pc</v>
          </cell>
        </row>
        <row r="127">
          <cell r="B127" t="str">
            <v>M-36</v>
          </cell>
          <cell r="C127" t="str">
            <v>Lime</v>
          </cell>
          <cell r="J127" t="str">
            <v>kg</v>
          </cell>
        </row>
        <row r="128">
          <cell r="B128" t="str">
            <v>M-37</v>
          </cell>
          <cell r="C128" t="str">
            <v>GI Selwage Wire (8g)</v>
          </cell>
          <cell r="J128" t="str">
            <v>kg</v>
          </cell>
        </row>
        <row r="129">
          <cell r="B129" t="str">
            <v>M-38</v>
          </cell>
          <cell r="C129" t="str">
            <v>GI Mesh Wire (10g)</v>
          </cell>
          <cell r="J129" t="str">
            <v>kg</v>
          </cell>
        </row>
        <row r="130">
          <cell r="B130" t="str">
            <v>M-41</v>
          </cell>
          <cell r="C130" t="str">
            <v>Suspension Cable (8mm)</v>
          </cell>
          <cell r="J130" t="str">
            <v>m</v>
          </cell>
        </row>
        <row r="131">
          <cell r="B131" t="str">
            <v>M-42</v>
          </cell>
          <cell r="C131" t="str">
            <v>Suspension Cable (13mm)</v>
          </cell>
          <cell r="J131" t="str">
            <v>m</v>
          </cell>
        </row>
        <row r="132">
          <cell r="B132" t="str">
            <v>M-43</v>
          </cell>
          <cell r="C132" t="str">
            <v>Bulldog Grips (8mm)</v>
          </cell>
          <cell r="J132" t="str">
            <v>pc</v>
          </cell>
        </row>
        <row r="133">
          <cell r="B133" t="str">
            <v>M-44</v>
          </cell>
          <cell r="C133" t="str">
            <v>Bulldog Grips (13mm)</v>
          </cell>
          <cell r="J133" t="str">
            <v>pc</v>
          </cell>
        </row>
        <row r="134">
          <cell r="B134" t="str">
            <v>M-45</v>
          </cell>
          <cell r="C134" t="str">
            <v>PE Tank 200 ltrs.</v>
          </cell>
          <cell r="J134" t="str">
            <v>pc</v>
          </cell>
        </row>
        <row r="135">
          <cell r="B135" t="str">
            <v>M-01</v>
          </cell>
          <cell r="C135" t="str">
            <v>Cement</v>
          </cell>
          <cell r="I135">
            <v>0</v>
          </cell>
          <cell r="J135" t="str">
            <v>bag</v>
          </cell>
        </row>
        <row r="136">
          <cell r="B136" t="str">
            <v>M-02</v>
          </cell>
          <cell r="C136" t="str">
            <v>Sand</v>
          </cell>
          <cell r="I136">
            <v>0</v>
          </cell>
          <cell r="J136" t="str">
            <v>m3</v>
          </cell>
        </row>
        <row r="137">
          <cell r="B137" t="str">
            <v>M-03</v>
          </cell>
          <cell r="C137" t="str">
            <v>Block Stone</v>
          </cell>
          <cell r="I137">
            <v>0</v>
          </cell>
          <cell r="J137" t="str">
            <v>m3</v>
          </cell>
        </row>
        <row r="138">
          <cell r="B138" t="str">
            <v>M-04</v>
          </cell>
          <cell r="C138" t="str">
            <v>Bond Stone</v>
          </cell>
          <cell r="I138">
            <v>0</v>
          </cell>
          <cell r="J138" t="str">
            <v>m3</v>
          </cell>
        </row>
        <row r="139">
          <cell r="B139" t="str">
            <v>M-05</v>
          </cell>
          <cell r="C139" t="str">
            <v>Aggregate (5-10mm)</v>
          </cell>
          <cell r="I139">
            <v>0</v>
          </cell>
          <cell r="J139" t="str">
            <v>m3</v>
          </cell>
        </row>
        <row r="140">
          <cell r="B140" t="str">
            <v>M-06</v>
          </cell>
          <cell r="C140" t="str">
            <v>Aggregate (10-20mm)</v>
          </cell>
          <cell r="I140">
            <v>0</v>
          </cell>
          <cell r="J140" t="str">
            <v>m3</v>
          </cell>
        </row>
        <row r="141">
          <cell r="B141" t="str">
            <v>M-07</v>
          </cell>
          <cell r="C141" t="str">
            <v>Aggregate (20-40mm)</v>
          </cell>
          <cell r="I141">
            <v>0</v>
          </cell>
          <cell r="J141" t="str">
            <v>m3</v>
          </cell>
        </row>
        <row r="142">
          <cell r="B142" t="str">
            <v>M-08</v>
          </cell>
          <cell r="C142" t="str">
            <v>Project Information Board</v>
          </cell>
          <cell r="J142" t="str">
            <v>set</v>
          </cell>
        </row>
        <row r="143">
          <cell r="B143" t="str">
            <v>M-09</v>
          </cell>
          <cell r="C143" t="str">
            <v>Reinforcement ( 6mm)</v>
          </cell>
          <cell r="I143">
            <v>0</v>
          </cell>
          <cell r="J143" t="str">
            <v>kg</v>
          </cell>
        </row>
        <row r="144">
          <cell r="B144" t="str">
            <v>M-10</v>
          </cell>
          <cell r="C144" t="str">
            <v>Reinforcement ( 8mm)</v>
          </cell>
          <cell r="J144" t="str">
            <v>kg</v>
          </cell>
        </row>
        <row r="145">
          <cell r="B145" t="str">
            <v>M-11</v>
          </cell>
          <cell r="C145" t="str">
            <v>Reinforcement (10mm)</v>
          </cell>
          <cell r="I145">
            <v>0</v>
          </cell>
          <cell r="J145" t="str">
            <v>kg</v>
          </cell>
        </row>
        <row r="146">
          <cell r="B146" t="str">
            <v>M-12</v>
          </cell>
          <cell r="C146" t="str">
            <v>Binding wire</v>
          </cell>
          <cell r="I146">
            <v>0</v>
          </cell>
          <cell r="J146" t="str">
            <v>kg</v>
          </cell>
        </row>
        <row r="147">
          <cell r="B147" t="str">
            <v>M-13</v>
          </cell>
          <cell r="C147" t="str">
            <v>Plain wire (3.5 mm dia)</v>
          </cell>
          <cell r="I147">
            <v>0</v>
          </cell>
          <cell r="J147" t="str">
            <v>kg</v>
          </cell>
        </row>
        <row r="148">
          <cell r="B148" t="str">
            <v>M-14</v>
          </cell>
          <cell r="C148" t="str">
            <v>Chicken wire mesh (3 Ft wide)</v>
          </cell>
          <cell r="I148">
            <v>0</v>
          </cell>
          <cell r="J148" t="str">
            <v>m</v>
          </cell>
        </row>
        <row r="149">
          <cell r="B149" t="str">
            <v>M-15</v>
          </cell>
          <cell r="C149" t="str">
            <v>Bamboo</v>
          </cell>
          <cell r="I149">
            <v>0</v>
          </cell>
          <cell r="J149" t="str">
            <v>pc</v>
          </cell>
        </row>
        <row r="150">
          <cell r="B150" t="str">
            <v>M-35</v>
          </cell>
          <cell r="C150" t="str">
            <v>Cement Paint</v>
          </cell>
          <cell r="I150">
            <v>0</v>
          </cell>
          <cell r="J150" t="str">
            <v>kg</v>
          </cell>
        </row>
        <row r="151">
          <cell r="B151" t="str">
            <v>M-39</v>
          </cell>
          <cell r="C151" t="str">
            <v>Wood for Formwork</v>
          </cell>
          <cell r="I151">
            <v>0</v>
          </cell>
          <cell r="J151" t="str">
            <v>m3</v>
          </cell>
        </row>
        <row r="152">
          <cell r="B152" t="str">
            <v>M-40</v>
          </cell>
          <cell r="C152" t="str">
            <v>Nails</v>
          </cell>
          <cell r="I152">
            <v>0</v>
          </cell>
          <cell r="J152" t="str">
            <v>kg</v>
          </cell>
        </row>
        <row r="153">
          <cell r="B153" t="str">
            <v>M-46</v>
          </cell>
          <cell r="C153" t="str">
            <v>Tapstand Grid</v>
          </cell>
          <cell r="I153">
            <v>0</v>
          </cell>
          <cell r="J153" t="str">
            <v>pc</v>
          </cell>
        </row>
        <row r="154">
          <cell r="B154" t="str">
            <v>L-1</v>
          </cell>
          <cell r="C154" t="str">
            <v>Skilled Labour</v>
          </cell>
          <cell r="I154">
            <v>0</v>
          </cell>
          <cell r="J154" t="str">
            <v>md</v>
          </cell>
        </row>
        <row r="155">
          <cell r="B155" t="str">
            <v>L-2</v>
          </cell>
          <cell r="C155" t="str">
            <v>Unskilled Labour</v>
          </cell>
          <cell r="I155">
            <v>0</v>
          </cell>
          <cell r="J155" t="str">
            <v>md</v>
          </cell>
        </row>
        <row r="157">
          <cell r="I157">
            <v>0</v>
          </cell>
        </row>
        <row r="158">
          <cell r="B158" t="str">
            <v>I-01</v>
          </cell>
          <cell r="C158" t="str">
            <v>Earth Work in Excavation</v>
          </cell>
          <cell r="I158">
            <v>0</v>
          </cell>
          <cell r="J158" t="str">
            <v>m3</v>
          </cell>
        </row>
        <row r="162">
          <cell r="B162" t="str">
            <v>I-02</v>
          </cell>
          <cell r="C162" t="str">
            <v>Earth Work in Backfilling</v>
          </cell>
          <cell r="I162">
            <v>0</v>
          </cell>
          <cell r="J162" t="str">
            <v>m3</v>
          </cell>
        </row>
        <row r="166">
          <cell r="B166" t="str">
            <v>I-03</v>
          </cell>
          <cell r="C166" t="str">
            <v>Dry Stone Soling</v>
          </cell>
          <cell r="I166">
            <v>0</v>
          </cell>
          <cell r="J166" t="str">
            <v>m3</v>
          </cell>
        </row>
        <row r="170">
          <cell r="B170" t="str">
            <v>I-04</v>
          </cell>
          <cell r="C170" t="str">
            <v>P.C.C. (1:2:4)</v>
          </cell>
          <cell r="I170">
            <v>0</v>
          </cell>
          <cell r="J170" t="str">
            <v>m3</v>
          </cell>
        </row>
        <row r="174">
          <cell r="B174" t="str">
            <v>I-05</v>
          </cell>
          <cell r="C174" t="str">
            <v>P.C.C. for Pre-cast Slab (1:2:4)</v>
          </cell>
          <cell r="I174">
            <v>0</v>
          </cell>
          <cell r="J174" t="str">
            <v>m3</v>
          </cell>
        </row>
        <row r="178">
          <cell r="B178" t="str">
            <v>I-06</v>
          </cell>
          <cell r="C178" t="str">
            <v>P.C.C. for R.C.C. (1:2:4)</v>
          </cell>
          <cell r="I178">
            <v>0</v>
          </cell>
          <cell r="J178" t="str">
            <v>m3</v>
          </cell>
        </row>
        <row r="182">
          <cell r="B182" t="str">
            <v>I-07</v>
          </cell>
          <cell r="C182" t="str">
            <v>Random Rubble Masonry (1:4)</v>
          </cell>
          <cell r="I182">
            <v>0</v>
          </cell>
          <cell r="J182" t="str">
            <v>m3</v>
          </cell>
        </row>
        <row r="186">
          <cell r="B186" t="str">
            <v>I-08</v>
          </cell>
          <cell r="C186" t="str">
            <v>Random Rubble Masonry (1:6)</v>
          </cell>
          <cell r="I186">
            <v>0</v>
          </cell>
          <cell r="J186" t="str">
            <v>m3</v>
          </cell>
        </row>
        <row r="190">
          <cell r="B190" t="str">
            <v>I-09</v>
          </cell>
          <cell r="C190" t="str">
            <v>Dry Stone masonry</v>
          </cell>
          <cell r="I190">
            <v>0</v>
          </cell>
          <cell r="J190" t="str">
            <v>m3</v>
          </cell>
        </row>
        <row r="194">
          <cell r="B194" t="str">
            <v>I-10</v>
          </cell>
          <cell r="C194" t="str">
            <v>Form Work for P.C.C.</v>
          </cell>
          <cell r="I194">
            <v>0</v>
          </cell>
          <cell r="J194" t="str">
            <v>m2</v>
          </cell>
        </row>
        <row r="198">
          <cell r="B198" t="str">
            <v>I-11</v>
          </cell>
          <cell r="C198" t="str">
            <v>12.5mm Cement Plaster (1:2)</v>
          </cell>
          <cell r="I198">
            <v>0</v>
          </cell>
          <cell r="J198" t="str">
            <v>m2</v>
          </cell>
        </row>
        <row r="202">
          <cell r="B202" t="str">
            <v>I-12</v>
          </cell>
          <cell r="C202" t="str">
            <v>12.5mm Cement Plaster (1:3)</v>
          </cell>
          <cell r="I202">
            <v>0</v>
          </cell>
          <cell r="J202" t="str">
            <v>m2</v>
          </cell>
        </row>
        <row r="206">
          <cell r="B206" t="str">
            <v>I-13</v>
          </cell>
          <cell r="C206" t="str">
            <v>12.5mm Cement Plaster (1:4)</v>
          </cell>
          <cell r="I206">
            <v>0</v>
          </cell>
          <cell r="J206" t="str">
            <v>m2</v>
          </cell>
        </row>
        <row r="210">
          <cell r="B210" t="str">
            <v>I-14</v>
          </cell>
          <cell r="C210" t="str">
            <v>Cement Pointing (1:3)</v>
          </cell>
          <cell r="I210">
            <v>0</v>
          </cell>
          <cell r="J210" t="str">
            <v>m2</v>
          </cell>
        </row>
        <row r="214">
          <cell r="B214" t="str">
            <v>I-15</v>
          </cell>
          <cell r="C214" t="str">
            <v>3mm Cement Punning</v>
          </cell>
          <cell r="I214">
            <v>0</v>
          </cell>
          <cell r="J214" t="str">
            <v>m2</v>
          </cell>
        </row>
        <row r="218">
          <cell r="B218" t="str">
            <v>I-16A</v>
          </cell>
          <cell r="C218" t="str">
            <v>Bar Binding for R.C.C. (10mm bar)</v>
          </cell>
          <cell r="I218">
            <v>0</v>
          </cell>
          <cell r="J218" t="str">
            <v>Kg</v>
          </cell>
        </row>
        <row r="222">
          <cell r="B222" t="str">
            <v>I-16B</v>
          </cell>
          <cell r="C222" t="str">
            <v>Bar Binding for R.C.C. (6mm bar)</v>
          </cell>
          <cell r="I222">
            <v>0</v>
          </cell>
          <cell r="J222" t="str">
            <v>Kg</v>
          </cell>
        </row>
        <row r="226">
          <cell r="B226" t="str">
            <v>I-17</v>
          </cell>
          <cell r="C226" t="str">
            <v>Bar Binding for Ferro-Cement Works</v>
          </cell>
          <cell r="I226">
            <v>0</v>
          </cell>
          <cell r="J226" t="str">
            <v>m2</v>
          </cell>
        </row>
        <row r="230">
          <cell r="B230" t="str">
            <v>I-18</v>
          </cell>
          <cell r="C230" t="str">
            <v>Formwork for Ferro-Cement Works</v>
          </cell>
          <cell r="I230">
            <v>0</v>
          </cell>
          <cell r="J230" t="str">
            <v>m2</v>
          </cell>
        </row>
        <row r="234">
          <cell r="B234" t="str">
            <v>I-19</v>
          </cell>
          <cell r="C234" t="str">
            <v>Cement Plaster for Ferro-Cement Work (1:3)</v>
          </cell>
          <cell r="I234">
            <v>0</v>
          </cell>
          <cell r="J234" t="str">
            <v>m2</v>
          </cell>
        </row>
        <row r="238">
          <cell r="B238" t="str">
            <v>I-20</v>
          </cell>
          <cell r="C238" t="str">
            <v>Formwork for Precast RCC Work</v>
          </cell>
          <cell r="I238">
            <v>0</v>
          </cell>
          <cell r="J238" t="str">
            <v>m2</v>
          </cell>
        </row>
        <row r="242">
          <cell r="B242" t="str">
            <v>I-21</v>
          </cell>
          <cell r="C242" t="str">
            <v>Cement Painting</v>
          </cell>
          <cell r="I242">
            <v>0</v>
          </cell>
          <cell r="J242" t="str">
            <v>m2</v>
          </cell>
        </row>
        <row r="246">
          <cell r="B246" t="str">
            <v>I-22</v>
          </cell>
          <cell r="C246" t="str">
            <v>Trench digging</v>
          </cell>
          <cell r="I246">
            <v>0</v>
          </cell>
          <cell r="J246" t="str">
            <v>m3</v>
          </cell>
        </row>
        <row r="250">
          <cell r="B250" t="str">
            <v>I-23</v>
          </cell>
          <cell r="C250" t="str">
            <v>Trench backfilling</v>
          </cell>
          <cell r="I250">
            <v>0</v>
          </cell>
          <cell r="J250" t="str">
            <v>m3</v>
          </cell>
        </row>
        <row r="254">
          <cell r="B254" t="str">
            <v>I-24</v>
          </cell>
          <cell r="C254" t="str">
            <v>Gabion Box (2mX1mX1m)</v>
          </cell>
          <cell r="I254">
            <v>0</v>
          </cell>
          <cell r="J254" t="str">
            <v>No</v>
          </cell>
        </row>
        <row r="257">
          <cell r="B257" t="str">
            <v>I-25</v>
          </cell>
          <cell r="C257" t="str">
            <v>Gabion Box (3mX1mX1m)</v>
          </cell>
          <cell r="I257">
            <v>0</v>
          </cell>
          <cell r="J257" t="str">
            <v>No</v>
          </cell>
        </row>
        <row r="261">
          <cell r="B261" t="str">
            <v>M-16</v>
          </cell>
          <cell r="C261" t="str">
            <v>Angle Pole</v>
          </cell>
          <cell r="J261" t="str">
            <v>pc</v>
          </cell>
        </row>
        <row r="262">
          <cell r="B262" t="str">
            <v>M-17</v>
          </cell>
          <cell r="C262" t="str">
            <v>Angle Pole for Gate</v>
          </cell>
          <cell r="J262" t="str">
            <v>pc</v>
          </cell>
        </row>
        <row r="263">
          <cell r="B263" t="str">
            <v>M-18</v>
          </cell>
          <cell r="C263" t="str">
            <v>Corner Angle Pole</v>
          </cell>
          <cell r="J263" t="str">
            <v>pc</v>
          </cell>
        </row>
        <row r="264">
          <cell r="B264" t="str">
            <v>M-19</v>
          </cell>
          <cell r="C264" t="str">
            <v>Bracing Angle Pole</v>
          </cell>
          <cell r="J264" t="str">
            <v>pc</v>
          </cell>
        </row>
        <row r="265">
          <cell r="B265" t="str">
            <v>M-20</v>
          </cell>
          <cell r="C265" t="str">
            <v>Polythene Sheet</v>
          </cell>
          <cell r="J265" t="str">
            <v>m</v>
          </cell>
        </row>
        <row r="266">
          <cell r="B266" t="str">
            <v>M-21</v>
          </cell>
          <cell r="C266" t="str">
            <v>Barbed Wire</v>
          </cell>
          <cell r="J266" t="str">
            <v>kg</v>
          </cell>
        </row>
        <row r="267">
          <cell r="B267" t="str">
            <v>M-22</v>
          </cell>
          <cell r="C267" t="str">
            <v>Fencing Post</v>
          </cell>
          <cell r="J267" t="str">
            <v>pc</v>
          </cell>
        </row>
        <row r="268">
          <cell r="B268" t="str">
            <v>M-23</v>
          </cell>
          <cell r="C268" t="str">
            <v>Angle Gate</v>
          </cell>
          <cell r="J268" t="str">
            <v>pc</v>
          </cell>
        </row>
        <row r="269">
          <cell r="B269" t="str">
            <v>M-24</v>
          </cell>
          <cell r="C269" t="str">
            <v>4" Hinges</v>
          </cell>
          <cell r="J269" t="str">
            <v>pc</v>
          </cell>
        </row>
        <row r="270">
          <cell r="B270" t="str">
            <v>M-25</v>
          </cell>
          <cell r="C270" t="str">
            <v>10" Aldrop</v>
          </cell>
          <cell r="J270" t="str">
            <v>pc</v>
          </cell>
        </row>
        <row r="271">
          <cell r="B271" t="str">
            <v>M-26</v>
          </cell>
          <cell r="C271" t="str">
            <v>Gate Lock Key</v>
          </cell>
          <cell r="J271" t="str">
            <v>pc</v>
          </cell>
        </row>
        <row r="272">
          <cell r="B272" t="str">
            <v>M-27</v>
          </cell>
          <cell r="C272" t="str">
            <v>Nut with bolt (8mm dia)</v>
          </cell>
          <cell r="J272" t="str">
            <v>pc</v>
          </cell>
        </row>
        <row r="273">
          <cell r="B273" t="str">
            <v>M-28</v>
          </cell>
          <cell r="C273" t="str">
            <v>Screws</v>
          </cell>
          <cell r="J273" t="str">
            <v>pc</v>
          </cell>
        </row>
        <row r="274">
          <cell r="B274" t="str">
            <v>M-29</v>
          </cell>
          <cell r="C274" t="str">
            <v>GI sheet Plain (3'x7')</v>
          </cell>
          <cell r="J274" t="str">
            <v>pc</v>
          </cell>
        </row>
        <row r="275">
          <cell r="B275" t="str">
            <v>M-30</v>
          </cell>
          <cell r="C275" t="str">
            <v>Manhole Cover (Circular)</v>
          </cell>
          <cell r="J275" t="str">
            <v>pc</v>
          </cell>
        </row>
        <row r="276">
          <cell r="B276" t="str">
            <v>M-31</v>
          </cell>
          <cell r="C276" t="str">
            <v>Manhole Cover (Square)</v>
          </cell>
          <cell r="J276" t="str">
            <v>pc</v>
          </cell>
        </row>
        <row r="277">
          <cell r="B277" t="str">
            <v>M-32</v>
          </cell>
          <cell r="C277" t="str">
            <v>Manhole Cover (Rectangle)</v>
          </cell>
          <cell r="J277" t="str">
            <v>pc</v>
          </cell>
        </row>
        <row r="278">
          <cell r="B278" t="str">
            <v>M-33</v>
          </cell>
          <cell r="C278" t="str">
            <v>Small Slab Frame (55x55)</v>
          </cell>
          <cell r="J278" t="str">
            <v>pc</v>
          </cell>
        </row>
        <row r="279">
          <cell r="B279" t="str">
            <v>M-34</v>
          </cell>
          <cell r="C279" t="str">
            <v>Big Slab Frame (75x75)</v>
          </cell>
          <cell r="J279" t="str">
            <v>pc</v>
          </cell>
        </row>
        <row r="280">
          <cell r="B280" t="str">
            <v>M-36</v>
          </cell>
          <cell r="C280" t="str">
            <v>Lime</v>
          </cell>
          <cell r="J280" t="str">
            <v>kg</v>
          </cell>
        </row>
        <row r="281">
          <cell r="B281" t="str">
            <v>M-37</v>
          </cell>
          <cell r="C281" t="str">
            <v>GI Selwage Wire (8g)</v>
          </cell>
          <cell r="J281" t="str">
            <v>kg</v>
          </cell>
        </row>
        <row r="282">
          <cell r="B282" t="str">
            <v>M-38</v>
          </cell>
          <cell r="C282" t="str">
            <v>GI Mesh Wire (10g)</v>
          </cell>
          <cell r="J282" t="str">
            <v>kg</v>
          </cell>
        </row>
        <row r="283">
          <cell r="B283" t="str">
            <v>M-41</v>
          </cell>
          <cell r="C283" t="str">
            <v>Suspension Cable (8mm)</v>
          </cell>
          <cell r="J283" t="str">
            <v>m</v>
          </cell>
        </row>
        <row r="284">
          <cell r="B284" t="str">
            <v>M-42</v>
          </cell>
          <cell r="C284" t="str">
            <v>Suspension Cable (13mm)</v>
          </cell>
          <cell r="J284" t="str">
            <v>m</v>
          </cell>
        </row>
        <row r="285">
          <cell r="B285" t="str">
            <v>M-43</v>
          </cell>
          <cell r="C285" t="str">
            <v>Bulldog Grips (8mm)</v>
          </cell>
          <cell r="J285" t="str">
            <v>pc</v>
          </cell>
        </row>
        <row r="286">
          <cell r="B286" t="str">
            <v>M-44</v>
          </cell>
          <cell r="C286" t="str">
            <v>Bulldog Grips (13mm)</v>
          </cell>
          <cell r="J286" t="str">
            <v>pc</v>
          </cell>
        </row>
        <row r="287">
          <cell r="B287" t="str">
            <v>M-45</v>
          </cell>
          <cell r="C287" t="str">
            <v>PE Tank 200 ltrs.</v>
          </cell>
          <cell r="J287" t="str">
            <v>pc</v>
          </cell>
        </row>
        <row r="288">
          <cell r="B288" t="str">
            <v>M-01</v>
          </cell>
          <cell r="C288" t="str">
            <v>Cement</v>
          </cell>
          <cell r="I288">
            <v>0</v>
          </cell>
          <cell r="J288" t="str">
            <v>bag</v>
          </cell>
        </row>
        <row r="289">
          <cell r="B289" t="str">
            <v>M-02</v>
          </cell>
          <cell r="C289" t="str">
            <v>Sand</v>
          </cell>
          <cell r="I289">
            <v>0</v>
          </cell>
          <cell r="J289" t="str">
            <v>m3</v>
          </cell>
        </row>
        <row r="290">
          <cell r="B290" t="str">
            <v>M-03</v>
          </cell>
          <cell r="C290" t="str">
            <v>Block Stone</v>
          </cell>
          <cell r="I290">
            <v>0</v>
          </cell>
          <cell r="J290" t="str">
            <v>m3</v>
          </cell>
        </row>
        <row r="291">
          <cell r="B291" t="str">
            <v>M-04</v>
          </cell>
          <cell r="C291" t="str">
            <v>Bond Stone</v>
          </cell>
          <cell r="I291">
            <v>0</v>
          </cell>
          <cell r="J291" t="str">
            <v>m3</v>
          </cell>
        </row>
        <row r="292">
          <cell r="B292" t="str">
            <v>M-05</v>
          </cell>
          <cell r="C292" t="str">
            <v>Aggregate (5-10mm)</v>
          </cell>
          <cell r="I292">
            <v>0</v>
          </cell>
          <cell r="J292" t="str">
            <v>m3</v>
          </cell>
        </row>
        <row r="293">
          <cell r="B293" t="str">
            <v>M-06</v>
          </cell>
          <cell r="C293" t="str">
            <v>Aggregate (10-20mm)</v>
          </cell>
          <cell r="I293">
            <v>0</v>
          </cell>
          <cell r="J293" t="str">
            <v>m3</v>
          </cell>
        </row>
        <row r="294">
          <cell r="B294" t="str">
            <v>M-07</v>
          </cell>
          <cell r="C294" t="str">
            <v>Aggregate (20-40mm)</v>
          </cell>
          <cell r="I294">
            <v>0</v>
          </cell>
          <cell r="J294" t="str">
            <v>m3</v>
          </cell>
        </row>
        <row r="295">
          <cell r="B295" t="str">
            <v>M-08</v>
          </cell>
          <cell r="C295" t="str">
            <v>Project Information Board</v>
          </cell>
          <cell r="J295" t="str">
            <v>set</v>
          </cell>
        </row>
        <row r="296">
          <cell r="B296" t="str">
            <v>M-09</v>
          </cell>
          <cell r="C296" t="str">
            <v>Reinforcement ( 6mm)</v>
          </cell>
          <cell r="I296">
            <v>0</v>
          </cell>
          <cell r="J296" t="str">
            <v>kg</v>
          </cell>
        </row>
        <row r="297">
          <cell r="B297" t="str">
            <v>M-10</v>
          </cell>
          <cell r="C297" t="str">
            <v>Reinforcement ( 8mm)</v>
          </cell>
          <cell r="J297" t="str">
            <v>kg</v>
          </cell>
        </row>
        <row r="298">
          <cell r="B298" t="str">
            <v>M-11</v>
          </cell>
          <cell r="C298" t="str">
            <v>Reinforcement (10mm)</v>
          </cell>
          <cell r="I298">
            <v>0</v>
          </cell>
          <cell r="J298" t="str">
            <v>kg</v>
          </cell>
        </row>
        <row r="299">
          <cell r="B299" t="str">
            <v>M-12</v>
          </cell>
          <cell r="C299" t="str">
            <v>Binding wire</v>
          </cell>
          <cell r="I299">
            <v>0</v>
          </cell>
          <cell r="J299" t="str">
            <v>kg</v>
          </cell>
        </row>
        <row r="300">
          <cell r="B300" t="str">
            <v>M-13</v>
          </cell>
          <cell r="C300" t="str">
            <v>Plain wire (3.5 mm dia)</v>
          </cell>
          <cell r="I300">
            <v>0</v>
          </cell>
          <cell r="J300" t="str">
            <v>kg</v>
          </cell>
        </row>
        <row r="301">
          <cell r="B301" t="str">
            <v>M-14</v>
          </cell>
          <cell r="C301" t="str">
            <v>Chicken wire mesh (3 Ft wide)</v>
          </cell>
          <cell r="I301">
            <v>0</v>
          </cell>
          <cell r="J301" t="str">
            <v>m</v>
          </cell>
        </row>
        <row r="302">
          <cell r="B302" t="str">
            <v>M-15</v>
          </cell>
          <cell r="C302" t="str">
            <v>Bamboo</v>
          </cell>
          <cell r="I302">
            <v>0</v>
          </cell>
          <cell r="J302" t="str">
            <v>pc</v>
          </cell>
        </row>
        <row r="303">
          <cell r="B303" t="str">
            <v>M-35</v>
          </cell>
          <cell r="C303" t="str">
            <v>Cement Paint</v>
          </cell>
          <cell r="I303">
            <v>0</v>
          </cell>
          <cell r="J303" t="str">
            <v>kg</v>
          </cell>
        </row>
        <row r="304">
          <cell r="B304" t="str">
            <v>M-39</v>
          </cell>
          <cell r="C304" t="str">
            <v>Wood for Formwork</v>
          </cell>
          <cell r="I304">
            <v>0</v>
          </cell>
          <cell r="J304" t="str">
            <v>m3</v>
          </cell>
        </row>
        <row r="305">
          <cell r="B305" t="str">
            <v>M-40</v>
          </cell>
          <cell r="C305" t="str">
            <v>Nails</v>
          </cell>
          <cell r="I305">
            <v>0</v>
          </cell>
          <cell r="J305" t="str">
            <v>kg</v>
          </cell>
        </row>
        <row r="306">
          <cell r="B306" t="str">
            <v>M-46</v>
          </cell>
          <cell r="C306" t="str">
            <v>Tapstand Grid</v>
          </cell>
          <cell r="I306">
            <v>0</v>
          </cell>
          <cell r="J306" t="str">
            <v>pc</v>
          </cell>
        </row>
        <row r="307">
          <cell r="B307" t="str">
            <v>L-1</v>
          </cell>
          <cell r="C307" t="str">
            <v>Skilled Labour</v>
          </cell>
          <cell r="I307">
            <v>0</v>
          </cell>
          <cell r="J307" t="str">
            <v>md</v>
          </cell>
        </row>
        <row r="308">
          <cell r="B308" t="str">
            <v>L-2</v>
          </cell>
          <cell r="C308" t="str">
            <v>Unskilled Labour</v>
          </cell>
          <cell r="I308">
            <v>0</v>
          </cell>
          <cell r="J308" t="str">
            <v>md</v>
          </cell>
        </row>
      </sheetData>
      <sheetData sheetId="28" refreshError="1">
        <row r="6">
          <cell r="D6" t="str">
            <v>M-01</v>
          </cell>
          <cell r="F6">
            <v>0</v>
          </cell>
          <cell r="G6">
            <v>0</v>
          </cell>
          <cell r="H6">
            <v>0</v>
          </cell>
          <cell r="I6">
            <v>0</v>
          </cell>
          <cell r="J6">
            <v>0</v>
          </cell>
          <cell r="K6">
            <v>0</v>
          </cell>
        </row>
        <row r="7">
          <cell r="D7" t="str">
            <v>M-02</v>
          </cell>
          <cell r="F7">
            <v>0</v>
          </cell>
          <cell r="G7">
            <v>0</v>
          </cell>
          <cell r="H7">
            <v>0</v>
          </cell>
          <cell r="I7">
            <v>0</v>
          </cell>
          <cell r="J7">
            <v>0</v>
          </cell>
          <cell r="K7">
            <v>0</v>
          </cell>
        </row>
        <row r="8">
          <cell r="D8" t="str">
            <v>M-03</v>
          </cell>
          <cell r="F8">
            <v>0</v>
          </cell>
          <cell r="G8">
            <v>0</v>
          </cell>
          <cell r="H8">
            <v>0</v>
          </cell>
          <cell r="I8">
            <v>0</v>
          </cell>
          <cell r="J8">
            <v>0</v>
          </cell>
          <cell r="K8">
            <v>0</v>
          </cell>
        </row>
        <row r="9">
          <cell r="D9" t="str">
            <v>M-04</v>
          </cell>
          <cell r="F9">
            <v>0</v>
          </cell>
          <cell r="G9">
            <v>0</v>
          </cell>
          <cell r="H9">
            <v>0</v>
          </cell>
          <cell r="I9">
            <v>0</v>
          </cell>
          <cell r="J9">
            <v>0</v>
          </cell>
          <cell r="K9">
            <v>0</v>
          </cell>
        </row>
        <row r="10">
          <cell r="D10" t="str">
            <v>M-05</v>
          </cell>
          <cell r="F10">
            <v>0</v>
          </cell>
          <cell r="G10">
            <v>0</v>
          </cell>
          <cell r="H10">
            <v>0</v>
          </cell>
          <cell r="I10">
            <v>0</v>
          </cell>
          <cell r="J10">
            <v>0</v>
          </cell>
          <cell r="K10">
            <v>0</v>
          </cell>
        </row>
        <row r="11">
          <cell r="D11" t="str">
            <v>M-06</v>
          </cell>
          <cell r="F11">
            <v>0</v>
          </cell>
          <cell r="G11">
            <v>0</v>
          </cell>
          <cell r="H11">
            <v>0</v>
          </cell>
          <cell r="I11">
            <v>0</v>
          </cell>
          <cell r="J11">
            <v>0</v>
          </cell>
          <cell r="K11">
            <v>0</v>
          </cell>
        </row>
        <row r="12">
          <cell r="D12" t="str">
            <v>M-07</v>
          </cell>
          <cell r="F12">
            <v>0</v>
          </cell>
          <cell r="G12">
            <v>0</v>
          </cell>
          <cell r="H12">
            <v>0</v>
          </cell>
          <cell r="I12">
            <v>0</v>
          </cell>
          <cell r="J12">
            <v>0</v>
          </cell>
          <cell r="K12">
            <v>0</v>
          </cell>
        </row>
        <row r="13">
          <cell r="D13" t="str">
            <v>M-08</v>
          </cell>
          <cell r="F13">
            <v>0</v>
          </cell>
          <cell r="G13">
            <v>0</v>
          </cell>
          <cell r="H13">
            <v>0</v>
          </cell>
          <cell r="I13">
            <v>0</v>
          </cell>
          <cell r="J13">
            <v>0</v>
          </cell>
          <cell r="K13">
            <v>0</v>
          </cell>
        </row>
        <row r="14">
          <cell r="D14" t="str">
            <v>M-09</v>
          </cell>
          <cell r="F14">
            <v>0</v>
          </cell>
          <cell r="G14">
            <v>0</v>
          </cell>
          <cell r="H14">
            <v>0</v>
          </cell>
          <cell r="I14">
            <v>0</v>
          </cell>
          <cell r="J14">
            <v>0</v>
          </cell>
          <cell r="K14">
            <v>0</v>
          </cell>
        </row>
        <row r="15">
          <cell r="D15" t="str">
            <v>M-10</v>
          </cell>
          <cell r="F15">
            <v>0</v>
          </cell>
          <cell r="G15">
            <v>0</v>
          </cell>
          <cell r="H15">
            <v>0</v>
          </cell>
          <cell r="I15">
            <v>0</v>
          </cell>
          <cell r="J15">
            <v>0</v>
          </cell>
          <cell r="K15">
            <v>0</v>
          </cell>
        </row>
        <row r="16">
          <cell r="D16" t="str">
            <v>M-11</v>
          </cell>
          <cell r="F16">
            <v>0</v>
          </cell>
          <cell r="G16">
            <v>0</v>
          </cell>
          <cell r="H16">
            <v>0</v>
          </cell>
          <cell r="I16">
            <v>0</v>
          </cell>
          <cell r="J16">
            <v>0</v>
          </cell>
          <cell r="K16">
            <v>0</v>
          </cell>
        </row>
        <row r="17">
          <cell r="D17" t="str">
            <v>M-12</v>
          </cell>
          <cell r="F17">
            <v>0</v>
          </cell>
          <cell r="G17">
            <v>0</v>
          </cell>
          <cell r="H17">
            <v>0</v>
          </cell>
          <cell r="I17">
            <v>0</v>
          </cell>
          <cell r="J17">
            <v>0</v>
          </cell>
          <cell r="K17">
            <v>0</v>
          </cell>
        </row>
        <row r="18">
          <cell r="D18" t="str">
            <v>M-13</v>
          </cell>
          <cell r="F18">
            <v>0</v>
          </cell>
          <cell r="G18">
            <v>0</v>
          </cell>
          <cell r="H18">
            <v>0</v>
          </cell>
          <cell r="I18">
            <v>0</v>
          </cell>
          <cell r="J18">
            <v>0</v>
          </cell>
          <cell r="K18">
            <v>0</v>
          </cell>
        </row>
        <row r="19">
          <cell r="D19" t="str">
            <v>M-14</v>
          </cell>
          <cell r="F19">
            <v>0</v>
          </cell>
          <cell r="G19">
            <v>0</v>
          </cell>
          <cell r="H19">
            <v>0</v>
          </cell>
          <cell r="I19">
            <v>0</v>
          </cell>
          <cell r="J19">
            <v>0</v>
          </cell>
          <cell r="K19">
            <v>0</v>
          </cell>
        </row>
        <row r="20">
          <cell r="D20" t="str">
            <v>M-15</v>
          </cell>
          <cell r="F20">
            <v>0</v>
          </cell>
          <cell r="G20">
            <v>0</v>
          </cell>
          <cell r="H20">
            <v>0</v>
          </cell>
          <cell r="I20">
            <v>0</v>
          </cell>
          <cell r="J20">
            <v>0</v>
          </cell>
          <cell r="K20">
            <v>0</v>
          </cell>
        </row>
        <row r="21">
          <cell r="D21" t="str">
            <v>M-16</v>
          </cell>
          <cell r="F21">
            <v>0</v>
          </cell>
          <cell r="G21">
            <v>0</v>
          </cell>
          <cell r="H21">
            <v>0</v>
          </cell>
          <cell r="I21">
            <v>0</v>
          </cell>
          <cell r="J21">
            <v>0</v>
          </cell>
          <cell r="K21">
            <v>0</v>
          </cell>
        </row>
        <row r="22">
          <cell r="D22" t="str">
            <v>M-17</v>
          </cell>
          <cell r="F22">
            <v>0</v>
          </cell>
          <cell r="G22">
            <v>0</v>
          </cell>
          <cell r="H22">
            <v>0</v>
          </cell>
          <cell r="I22">
            <v>0</v>
          </cell>
          <cell r="J22">
            <v>0</v>
          </cell>
          <cell r="K22">
            <v>0</v>
          </cell>
        </row>
        <row r="23">
          <cell r="D23" t="str">
            <v>M-18</v>
          </cell>
          <cell r="F23">
            <v>0</v>
          </cell>
          <cell r="G23">
            <v>0</v>
          </cell>
          <cell r="H23">
            <v>0</v>
          </cell>
          <cell r="I23">
            <v>0</v>
          </cell>
          <cell r="J23">
            <v>0</v>
          </cell>
          <cell r="K23">
            <v>0</v>
          </cell>
        </row>
        <row r="24">
          <cell r="D24" t="str">
            <v>M-19</v>
          </cell>
          <cell r="F24">
            <v>0</v>
          </cell>
          <cell r="G24">
            <v>0</v>
          </cell>
          <cell r="H24">
            <v>0</v>
          </cell>
          <cell r="I24">
            <v>0</v>
          </cell>
          <cell r="J24">
            <v>0</v>
          </cell>
          <cell r="K24">
            <v>0</v>
          </cell>
        </row>
        <row r="25">
          <cell r="D25" t="str">
            <v>M-20</v>
          </cell>
          <cell r="F25">
            <v>0</v>
          </cell>
          <cell r="G25">
            <v>0</v>
          </cell>
          <cell r="H25">
            <v>0</v>
          </cell>
          <cell r="I25">
            <v>0</v>
          </cell>
          <cell r="J25">
            <v>0</v>
          </cell>
          <cell r="K25">
            <v>0</v>
          </cell>
        </row>
        <row r="26">
          <cell r="D26" t="str">
            <v>M-21</v>
          </cell>
          <cell r="F26">
            <v>0</v>
          </cell>
          <cell r="G26">
            <v>0</v>
          </cell>
          <cell r="H26">
            <v>0</v>
          </cell>
          <cell r="I26">
            <v>0</v>
          </cell>
          <cell r="J26">
            <v>0</v>
          </cell>
          <cell r="K26">
            <v>0</v>
          </cell>
        </row>
        <row r="27">
          <cell r="D27" t="str">
            <v>M-22</v>
          </cell>
          <cell r="F27">
            <v>0</v>
          </cell>
          <cell r="G27">
            <v>0</v>
          </cell>
          <cell r="H27">
            <v>0</v>
          </cell>
          <cell r="I27">
            <v>0</v>
          </cell>
          <cell r="J27">
            <v>0</v>
          </cell>
          <cell r="K27">
            <v>0</v>
          </cell>
        </row>
        <row r="28">
          <cell r="D28" t="str">
            <v>M-23</v>
          </cell>
          <cell r="F28">
            <v>0</v>
          </cell>
          <cell r="G28">
            <v>0</v>
          </cell>
          <cell r="H28">
            <v>0</v>
          </cell>
          <cell r="I28">
            <v>0</v>
          </cell>
          <cell r="J28">
            <v>0</v>
          </cell>
          <cell r="K28">
            <v>0</v>
          </cell>
        </row>
        <row r="29">
          <cell r="D29" t="str">
            <v>M-24</v>
          </cell>
          <cell r="F29">
            <v>0</v>
          </cell>
          <cell r="G29">
            <v>0</v>
          </cell>
          <cell r="H29">
            <v>0</v>
          </cell>
          <cell r="I29">
            <v>0</v>
          </cell>
          <cell r="J29">
            <v>0</v>
          </cell>
          <cell r="K29">
            <v>0</v>
          </cell>
        </row>
        <row r="30">
          <cell r="D30" t="str">
            <v>M-25</v>
          </cell>
          <cell r="F30">
            <v>0</v>
          </cell>
          <cell r="G30">
            <v>0</v>
          </cell>
          <cell r="H30">
            <v>0</v>
          </cell>
          <cell r="I30">
            <v>0</v>
          </cell>
          <cell r="J30">
            <v>0</v>
          </cell>
          <cell r="K30">
            <v>0</v>
          </cell>
        </row>
        <row r="31">
          <cell r="D31" t="str">
            <v>M-26</v>
          </cell>
          <cell r="F31">
            <v>0</v>
          </cell>
          <cell r="G31">
            <v>0</v>
          </cell>
          <cell r="H31">
            <v>0</v>
          </cell>
          <cell r="I31">
            <v>0</v>
          </cell>
          <cell r="J31">
            <v>0</v>
          </cell>
          <cell r="K31">
            <v>0</v>
          </cell>
        </row>
        <row r="32">
          <cell r="D32" t="str">
            <v>M-27</v>
          </cell>
          <cell r="F32">
            <v>0</v>
          </cell>
          <cell r="G32">
            <v>0</v>
          </cell>
          <cell r="H32">
            <v>0</v>
          </cell>
          <cell r="I32">
            <v>0</v>
          </cell>
          <cell r="J32">
            <v>0</v>
          </cell>
          <cell r="K32">
            <v>0</v>
          </cell>
        </row>
        <row r="33">
          <cell r="D33" t="str">
            <v>M-28</v>
          </cell>
          <cell r="F33">
            <v>0</v>
          </cell>
          <cell r="G33">
            <v>0</v>
          </cell>
          <cell r="H33">
            <v>0</v>
          </cell>
          <cell r="I33">
            <v>0</v>
          </cell>
          <cell r="J33">
            <v>0</v>
          </cell>
          <cell r="K33">
            <v>0</v>
          </cell>
        </row>
        <row r="34">
          <cell r="D34" t="str">
            <v>M-29</v>
          </cell>
          <cell r="F34">
            <v>0</v>
          </cell>
          <cell r="G34">
            <v>0</v>
          </cell>
          <cell r="H34">
            <v>0</v>
          </cell>
          <cell r="I34">
            <v>0</v>
          </cell>
          <cell r="J34">
            <v>0</v>
          </cell>
          <cell r="K34">
            <v>0</v>
          </cell>
        </row>
        <row r="35">
          <cell r="D35" t="str">
            <v>M-30</v>
          </cell>
          <cell r="F35">
            <v>0</v>
          </cell>
          <cell r="G35">
            <v>0</v>
          </cell>
          <cell r="H35">
            <v>0</v>
          </cell>
          <cell r="I35">
            <v>0</v>
          </cell>
          <cell r="J35">
            <v>0</v>
          </cell>
          <cell r="K35">
            <v>0</v>
          </cell>
        </row>
        <row r="36">
          <cell r="D36" t="str">
            <v>M-31</v>
          </cell>
          <cell r="F36">
            <v>0</v>
          </cell>
          <cell r="G36">
            <v>0</v>
          </cell>
          <cell r="H36">
            <v>0</v>
          </cell>
          <cell r="I36">
            <v>0</v>
          </cell>
          <cell r="J36">
            <v>0</v>
          </cell>
          <cell r="K36">
            <v>0</v>
          </cell>
        </row>
        <row r="37">
          <cell r="D37" t="str">
            <v>M-32</v>
          </cell>
          <cell r="F37">
            <v>0</v>
          </cell>
          <cell r="G37">
            <v>0</v>
          </cell>
          <cell r="H37">
            <v>0</v>
          </cell>
          <cell r="I37">
            <v>0</v>
          </cell>
          <cell r="J37">
            <v>0</v>
          </cell>
          <cell r="K37">
            <v>0</v>
          </cell>
        </row>
        <row r="38">
          <cell r="D38" t="str">
            <v>M-33</v>
          </cell>
          <cell r="F38">
            <v>0</v>
          </cell>
          <cell r="G38">
            <v>0</v>
          </cell>
          <cell r="H38">
            <v>0</v>
          </cell>
          <cell r="I38">
            <v>0</v>
          </cell>
          <cell r="J38">
            <v>0</v>
          </cell>
          <cell r="K38">
            <v>0</v>
          </cell>
        </row>
        <row r="39">
          <cell r="D39" t="str">
            <v>M-34</v>
          </cell>
          <cell r="F39">
            <v>0</v>
          </cell>
          <cell r="G39">
            <v>0</v>
          </cell>
          <cell r="H39">
            <v>0</v>
          </cell>
          <cell r="I39">
            <v>0</v>
          </cell>
          <cell r="J39">
            <v>0</v>
          </cell>
          <cell r="K39">
            <v>0</v>
          </cell>
        </row>
        <row r="40">
          <cell r="D40" t="str">
            <v>M-35</v>
          </cell>
          <cell r="F40">
            <v>0</v>
          </cell>
          <cell r="G40">
            <v>0</v>
          </cell>
          <cell r="H40">
            <v>0</v>
          </cell>
          <cell r="I40">
            <v>0</v>
          </cell>
          <cell r="J40">
            <v>0</v>
          </cell>
          <cell r="K40">
            <v>0</v>
          </cell>
        </row>
        <row r="41">
          <cell r="D41" t="str">
            <v>M-36</v>
          </cell>
          <cell r="F41">
            <v>0</v>
          </cell>
          <cell r="G41">
            <v>0</v>
          </cell>
          <cell r="H41">
            <v>0</v>
          </cell>
          <cell r="I41">
            <v>0</v>
          </cell>
          <cell r="J41">
            <v>0</v>
          </cell>
          <cell r="K41">
            <v>0</v>
          </cell>
        </row>
        <row r="42">
          <cell r="D42" t="str">
            <v>M-37</v>
          </cell>
          <cell r="F42">
            <v>0</v>
          </cell>
          <cell r="G42">
            <v>0</v>
          </cell>
          <cell r="H42">
            <v>0</v>
          </cell>
          <cell r="I42">
            <v>0</v>
          </cell>
          <cell r="J42">
            <v>0</v>
          </cell>
          <cell r="K42">
            <v>0</v>
          </cell>
        </row>
        <row r="43">
          <cell r="D43" t="str">
            <v>M-38</v>
          </cell>
          <cell r="F43">
            <v>0</v>
          </cell>
          <cell r="G43">
            <v>0</v>
          </cell>
          <cell r="H43">
            <v>0</v>
          </cell>
          <cell r="I43">
            <v>0</v>
          </cell>
          <cell r="J43">
            <v>0</v>
          </cell>
          <cell r="K43">
            <v>0</v>
          </cell>
        </row>
        <row r="44">
          <cell r="D44" t="str">
            <v>M-39</v>
          </cell>
          <cell r="F44">
            <v>0</v>
          </cell>
          <cell r="G44">
            <v>0</v>
          </cell>
          <cell r="H44">
            <v>0</v>
          </cell>
          <cell r="I44">
            <v>0</v>
          </cell>
          <cell r="J44">
            <v>0</v>
          </cell>
          <cell r="K44">
            <v>0</v>
          </cell>
        </row>
        <row r="45">
          <cell r="D45" t="str">
            <v>M-40</v>
          </cell>
          <cell r="F45">
            <v>0</v>
          </cell>
          <cell r="G45">
            <v>0</v>
          </cell>
          <cell r="H45">
            <v>0</v>
          </cell>
          <cell r="I45">
            <v>0</v>
          </cell>
          <cell r="J45">
            <v>0</v>
          </cell>
          <cell r="K45">
            <v>0</v>
          </cell>
        </row>
        <row r="46">
          <cell r="D46" t="str">
            <v>M-41</v>
          </cell>
          <cell r="F46">
            <v>0</v>
          </cell>
          <cell r="G46">
            <v>0</v>
          </cell>
          <cell r="H46">
            <v>0</v>
          </cell>
          <cell r="I46">
            <v>0</v>
          </cell>
          <cell r="J46">
            <v>0</v>
          </cell>
          <cell r="K46">
            <v>0</v>
          </cell>
        </row>
        <row r="47">
          <cell r="D47" t="str">
            <v>M-42</v>
          </cell>
          <cell r="F47">
            <v>0</v>
          </cell>
          <cell r="G47">
            <v>0</v>
          </cell>
          <cell r="H47">
            <v>0</v>
          </cell>
          <cell r="I47">
            <v>0</v>
          </cell>
          <cell r="J47">
            <v>0</v>
          </cell>
          <cell r="K47">
            <v>0</v>
          </cell>
        </row>
        <row r="48">
          <cell r="D48" t="str">
            <v>M-43</v>
          </cell>
          <cell r="F48">
            <v>0</v>
          </cell>
          <cell r="G48">
            <v>0</v>
          </cell>
          <cell r="H48">
            <v>0</v>
          </cell>
          <cell r="I48">
            <v>0</v>
          </cell>
          <cell r="J48">
            <v>0</v>
          </cell>
          <cell r="K48">
            <v>0</v>
          </cell>
        </row>
        <row r="49">
          <cell r="D49" t="str">
            <v>M-44</v>
          </cell>
          <cell r="F49">
            <v>0</v>
          </cell>
          <cell r="G49">
            <v>0</v>
          </cell>
          <cell r="H49">
            <v>0</v>
          </cell>
          <cell r="I49">
            <v>0</v>
          </cell>
          <cell r="J49">
            <v>0</v>
          </cell>
          <cell r="K49">
            <v>0</v>
          </cell>
        </row>
        <row r="50">
          <cell r="D50" t="str">
            <v>M-45</v>
          </cell>
          <cell r="F50">
            <v>0</v>
          </cell>
          <cell r="G50">
            <v>0</v>
          </cell>
          <cell r="H50">
            <v>0</v>
          </cell>
          <cell r="I50">
            <v>0</v>
          </cell>
          <cell r="J50">
            <v>0</v>
          </cell>
          <cell r="K50">
            <v>0</v>
          </cell>
        </row>
        <row r="51">
          <cell r="D51" t="str">
            <v>M-46</v>
          </cell>
          <cell r="F51">
            <v>0</v>
          </cell>
          <cell r="G51">
            <v>0</v>
          </cell>
          <cell r="H51">
            <v>0</v>
          </cell>
          <cell r="I51">
            <v>0</v>
          </cell>
          <cell r="J51">
            <v>0</v>
          </cell>
          <cell r="K51">
            <v>0</v>
          </cell>
        </row>
        <row r="54">
          <cell r="D54" t="str">
            <v>L-1</v>
          </cell>
          <cell r="F54">
            <v>0</v>
          </cell>
          <cell r="G54">
            <v>0</v>
          </cell>
          <cell r="H54">
            <v>0</v>
          </cell>
          <cell r="I54">
            <v>0</v>
          </cell>
          <cell r="J54">
            <v>0</v>
          </cell>
          <cell r="K54">
            <v>0</v>
          </cell>
        </row>
        <row r="55">
          <cell r="D55" t="str">
            <v>L-2</v>
          </cell>
          <cell r="F55">
            <v>0</v>
          </cell>
          <cell r="G55">
            <v>0</v>
          </cell>
          <cell r="H55">
            <v>0</v>
          </cell>
          <cell r="I55">
            <v>0</v>
          </cell>
          <cell r="J55">
            <v>0</v>
          </cell>
          <cell r="K55">
            <v>0</v>
          </cell>
        </row>
        <row r="58">
          <cell r="D58" t="str">
            <v>M-55</v>
          </cell>
        </row>
        <row r="59">
          <cell r="D59" t="str">
            <v>M-02</v>
          </cell>
        </row>
        <row r="60">
          <cell r="D60" t="str">
            <v>M-03</v>
          </cell>
        </row>
        <row r="61">
          <cell r="D61" t="str">
            <v>M-04</v>
          </cell>
        </row>
        <row r="62">
          <cell r="D62" t="str">
            <v>M-05</v>
          </cell>
        </row>
        <row r="63">
          <cell r="D63" t="str">
            <v>M-06</v>
          </cell>
        </row>
        <row r="64">
          <cell r="D64" t="str">
            <v>M-07</v>
          </cell>
        </row>
        <row r="73">
          <cell r="E73">
            <v>0</v>
          </cell>
        </row>
        <row r="78">
          <cell r="D78" t="str">
            <v>HP2.5-90</v>
          </cell>
          <cell r="E78">
            <v>0</v>
          </cell>
        </row>
        <row r="80">
          <cell r="D80" t="str">
            <v>GPM-15</v>
          </cell>
          <cell r="E80">
            <v>0</v>
          </cell>
        </row>
        <row r="81">
          <cell r="D81" t="str">
            <v>GPM-20</v>
          </cell>
          <cell r="E81">
            <v>0</v>
          </cell>
        </row>
        <row r="82">
          <cell r="D82" t="str">
            <v>GPM-25</v>
          </cell>
          <cell r="E82">
            <v>0</v>
          </cell>
        </row>
        <row r="83">
          <cell r="D83" t="str">
            <v>GPM-32</v>
          </cell>
          <cell r="E83">
            <v>0</v>
          </cell>
        </row>
        <row r="84">
          <cell r="D84" t="str">
            <v>GPM-40</v>
          </cell>
          <cell r="E84">
            <v>0</v>
          </cell>
        </row>
        <row r="85">
          <cell r="D85" t="str">
            <v>GPM-50</v>
          </cell>
          <cell r="E85">
            <v>0</v>
          </cell>
        </row>
        <row r="87">
          <cell r="D87" t="str">
            <v>GEL-15</v>
          </cell>
        </row>
        <row r="88">
          <cell r="D88" t="str">
            <v>GEL-20</v>
          </cell>
          <cell r="E88">
            <v>0</v>
          </cell>
        </row>
        <row r="89">
          <cell r="D89" t="str">
            <v>GEL-25</v>
          </cell>
          <cell r="E89">
            <v>0</v>
          </cell>
        </row>
        <row r="90">
          <cell r="D90" t="str">
            <v>GEL-32</v>
          </cell>
        </row>
        <row r="91">
          <cell r="D91" t="str">
            <v>GEL-40</v>
          </cell>
        </row>
        <row r="92">
          <cell r="D92" t="str">
            <v>GEL-50</v>
          </cell>
          <cell r="E92">
            <v>0</v>
          </cell>
        </row>
        <row r="93">
          <cell r="D93" t="str">
            <v>GRS-25x15</v>
          </cell>
          <cell r="E93">
            <v>0</v>
          </cell>
        </row>
        <row r="94">
          <cell r="D94" t="str">
            <v>GNI-25</v>
          </cell>
          <cell r="E94">
            <v>0</v>
          </cell>
        </row>
        <row r="95">
          <cell r="D95" t="str">
            <v>GET-25</v>
          </cell>
          <cell r="E95">
            <v>0</v>
          </cell>
        </row>
        <row r="96">
          <cell r="D96" t="str">
            <v>BT400-15</v>
          </cell>
          <cell r="E96">
            <v>0</v>
          </cell>
        </row>
        <row r="97">
          <cell r="D97" t="str">
            <v>GEC-50</v>
          </cell>
          <cell r="E97">
            <v>0</v>
          </cell>
        </row>
        <row r="98">
          <cell r="D98" t="str">
            <v>GSO-15</v>
          </cell>
          <cell r="E98">
            <v>0</v>
          </cell>
        </row>
        <row r="99">
          <cell r="D99" t="str">
            <v>BU-20</v>
          </cell>
          <cell r="E99">
            <v>0</v>
          </cell>
        </row>
        <row r="100">
          <cell r="D100" t="str">
            <v>BU-25</v>
          </cell>
          <cell r="E100">
            <v>0</v>
          </cell>
        </row>
        <row r="101">
          <cell r="D101" t="str">
            <v>BU-32</v>
          </cell>
          <cell r="E101">
            <v>0</v>
          </cell>
        </row>
        <row r="102">
          <cell r="D102" t="str">
            <v>BU-40</v>
          </cell>
          <cell r="E102">
            <v>0</v>
          </cell>
        </row>
        <row r="103">
          <cell r="D103" t="str">
            <v>GHF-50</v>
          </cell>
          <cell r="E103">
            <v>0</v>
          </cell>
        </row>
        <row r="104">
          <cell r="D104" t="str">
            <v>GHF-63</v>
          </cell>
          <cell r="E104">
            <v>0</v>
          </cell>
        </row>
        <row r="105">
          <cell r="D105" t="str">
            <v>GHF-75</v>
          </cell>
          <cell r="E105">
            <v>0</v>
          </cell>
        </row>
        <row r="106">
          <cell r="D106" t="str">
            <v>GHF-90</v>
          </cell>
          <cell r="E106">
            <v>0</v>
          </cell>
        </row>
        <row r="109">
          <cell r="D109" t="str">
            <v>GPM-50</v>
          </cell>
          <cell r="E109">
            <v>0</v>
          </cell>
        </row>
        <row r="110">
          <cell r="D110" t="str">
            <v>GEL-50</v>
          </cell>
          <cell r="E110">
            <v>0</v>
          </cell>
        </row>
        <row r="111">
          <cell r="D111" t="str">
            <v>GHF-63</v>
          </cell>
          <cell r="E111">
            <v>0</v>
          </cell>
        </row>
        <row r="123">
          <cell r="E123">
            <v>0</v>
          </cell>
        </row>
        <row r="128">
          <cell r="D128" t="str">
            <v>HP2.5-90</v>
          </cell>
          <cell r="E128">
            <v>0</v>
          </cell>
        </row>
        <row r="130">
          <cell r="D130" t="str">
            <v>GPM-15</v>
          </cell>
          <cell r="E130">
            <v>0</v>
          </cell>
        </row>
        <row r="131">
          <cell r="D131" t="str">
            <v>GPM-20</v>
          </cell>
          <cell r="E131">
            <v>0</v>
          </cell>
        </row>
        <row r="132">
          <cell r="D132" t="str">
            <v>GPM-25</v>
          </cell>
          <cell r="E132">
            <v>0</v>
          </cell>
        </row>
        <row r="133">
          <cell r="D133" t="str">
            <v>GPM-32</v>
          </cell>
          <cell r="E133">
            <v>0</v>
          </cell>
        </row>
        <row r="134">
          <cell r="D134" t="str">
            <v>GPM-40</v>
          </cell>
          <cell r="E134">
            <v>0</v>
          </cell>
        </row>
        <row r="135">
          <cell r="D135" t="str">
            <v>GPM-50</v>
          </cell>
          <cell r="E135">
            <v>0</v>
          </cell>
        </row>
        <row r="137">
          <cell r="D137" t="str">
            <v>GEL-15</v>
          </cell>
          <cell r="E137">
            <v>0</v>
          </cell>
        </row>
        <row r="138">
          <cell r="D138" t="str">
            <v>GEL-20</v>
          </cell>
          <cell r="E138">
            <v>0</v>
          </cell>
        </row>
        <row r="139">
          <cell r="D139" t="str">
            <v>GEL-25</v>
          </cell>
          <cell r="E139">
            <v>0</v>
          </cell>
        </row>
        <row r="140">
          <cell r="D140" t="str">
            <v>GEL-32</v>
          </cell>
          <cell r="E140">
            <v>0</v>
          </cell>
        </row>
        <row r="141">
          <cell r="D141" t="str">
            <v>GEL-40</v>
          </cell>
          <cell r="E141">
            <v>0</v>
          </cell>
        </row>
        <row r="142">
          <cell r="D142" t="str">
            <v>GEL-50</v>
          </cell>
          <cell r="E142">
            <v>0</v>
          </cell>
        </row>
        <row r="143">
          <cell r="D143" t="str">
            <v>GRS-25x15</v>
          </cell>
          <cell r="E143">
            <v>0</v>
          </cell>
        </row>
        <row r="144">
          <cell r="D144" t="str">
            <v>GNI-25</v>
          </cell>
          <cell r="E144">
            <v>0</v>
          </cell>
        </row>
        <row r="145">
          <cell r="D145" t="str">
            <v>GET-25</v>
          </cell>
          <cell r="E145">
            <v>0</v>
          </cell>
        </row>
        <row r="146">
          <cell r="D146" t="str">
            <v>BT400-15</v>
          </cell>
          <cell r="E146">
            <v>0</v>
          </cell>
        </row>
        <row r="147">
          <cell r="D147" t="str">
            <v>GEC-50</v>
          </cell>
          <cell r="E147">
            <v>0</v>
          </cell>
        </row>
        <row r="148">
          <cell r="D148" t="str">
            <v>GSO-15</v>
          </cell>
          <cell r="E148">
            <v>0</v>
          </cell>
        </row>
        <row r="149">
          <cell r="D149" t="str">
            <v>BU-20</v>
          </cell>
          <cell r="E149">
            <v>0</v>
          </cell>
        </row>
        <row r="150">
          <cell r="D150" t="str">
            <v>BU-25</v>
          </cell>
          <cell r="E150">
            <v>0</v>
          </cell>
        </row>
        <row r="151">
          <cell r="D151" t="str">
            <v>BU-32</v>
          </cell>
          <cell r="E151">
            <v>0</v>
          </cell>
        </row>
        <row r="152">
          <cell r="D152" t="str">
            <v>BU-40</v>
          </cell>
          <cell r="E152">
            <v>0</v>
          </cell>
        </row>
        <row r="153">
          <cell r="D153" t="str">
            <v>GHF-50</v>
          </cell>
          <cell r="E153">
            <v>0</v>
          </cell>
        </row>
        <row r="154">
          <cell r="D154" t="str">
            <v>GHF-63</v>
          </cell>
          <cell r="E154">
            <v>0</v>
          </cell>
        </row>
        <row r="155">
          <cell r="D155" t="str">
            <v>GHF-75</v>
          </cell>
          <cell r="E155">
            <v>0</v>
          </cell>
        </row>
        <row r="156">
          <cell r="D156" t="str">
            <v>GHF-90</v>
          </cell>
          <cell r="E156">
            <v>0</v>
          </cell>
        </row>
        <row r="159">
          <cell r="D159" t="str">
            <v>GPM-50</v>
          </cell>
          <cell r="E159">
            <v>0</v>
          </cell>
        </row>
        <row r="160">
          <cell r="D160" t="str">
            <v>GEL-50</v>
          </cell>
          <cell r="E160">
            <v>0</v>
          </cell>
        </row>
        <row r="161">
          <cell r="D161" t="str">
            <v>GHF-63</v>
          </cell>
          <cell r="E161">
            <v>0</v>
          </cell>
        </row>
        <row r="173">
          <cell r="E173">
            <v>0</v>
          </cell>
        </row>
        <row r="178">
          <cell r="D178" t="str">
            <v>HP2.5-90</v>
          </cell>
          <cell r="E178">
            <v>0</v>
          </cell>
        </row>
        <row r="180">
          <cell r="D180" t="str">
            <v>GPM-15</v>
          </cell>
          <cell r="E180">
            <v>0</v>
          </cell>
        </row>
        <row r="181">
          <cell r="D181" t="str">
            <v>GPM-20</v>
          </cell>
          <cell r="E181">
            <v>0</v>
          </cell>
        </row>
        <row r="182">
          <cell r="D182" t="str">
            <v>GPM-25</v>
          </cell>
          <cell r="E182">
            <v>0</v>
          </cell>
        </row>
        <row r="183">
          <cell r="D183" t="str">
            <v>GPM-32</v>
          </cell>
          <cell r="E183">
            <v>0</v>
          </cell>
        </row>
        <row r="184">
          <cell r="D184" t="str">
            <v>GPM-40</v>
          </cell>
          <cell r="E184">
            <v>0</v>
          </cell>
        </row>
        <row r="185">
          <cell r="D185" t="str">
            <v>GPM-50</v>
          </cell>
          <cell r="E185">
            <v>0</v>
          </cell>
        </row>
        <row r="187">
          <cell r="D187" t="str">
            <v>GEL-15</v>
          </cell>
          <cell r="E187">
            <v>0</v>
          </cell>
        </row>
        <row r="188">
          <cell r="D188" t="str">
            <v>GEL-20</v>
          </cell>
          <cell r="E188">
            <v>0</v>
          </cell>
        </row>
        <row r="189">
          <cell r="D189" t="str">
            <v>GEL-25</v>
          </cell>
          <cell r="E189">
            <v>0</v>
          </cell>
        </row>
        <row r="190">
          <cell r="D190" t="str">
            <v>GEL-32</v>
          </cell>
          <cell r="E190">
            <v>0</v>
          </cell>
        </row>
        <row r="191">
          <cell r="D191" t="str">
            <v>GEL-40</v>
          </cell>
          <cell r="E191">
            <v>0</v>
          </cell>
        </row>
        <row r="192">
          <cell r="D192" t="str">
            <v>GEL-50</v>
          </cell>
          <cell r="E192">
            <v>0</v>
          </cell>
        </row>
        <row r="193">
          <cell r="D193" t="str">
            <v>GRS-25x15</v>
          </cell>
          <cell r="E193">
            <v>0</v>
          </cell>
        </row>
        <row r="194">
          <cell r="D194" t="str">
            <v>GNI-25</v>
          </cell>
          <cell r="E194">
            <v>0</v>
          </cell>
        </row>
        <row r="195">
          <cell r="D195" t="str">
            <v>GET-25</v>
          </cell>
          <cell r="E195">
            <v>0</v>
          </cell>
        </row>
        <row r="196">
          <cell r="D196" t="str">
            <v>BT400-15</v>
          </cell>
          <cell r="E196">
            <v>0</v>
          </cell>
        </row>
        <row r="197">
          <cell r="D197" t="str">
            <v>GEC-50</v>
          </cell>
          <cell r="E197">
            <v>0</v>
          </cell>
        </row>
        <row r="198">
          <cell r="D198" t="str">
            <v>GSO-15</v>
          </cell>
          <cell r="E198">
            <v>0</v>
          </cell>
        </row>
        <row r="199">
          <cell r="D199" t="str">
            <v>BU-20</v>
          </cell>
          <cell r="E199">
            <v>0</v>
          </cell>
        </row>
        <row r="200">
          <cell r="D200" t="str">
            <v>BU-25</v>
          </cell>
          <cell r="E200">
            <v>0</v>
          </cell>
        </row>
        <row r="201">
          <cell r="D201" t="str">
            <v>BU-32</v>
          </cell>
          <cell r="E201">
            <v>0</v>
          </cell>
        </row>
        <row r="202">
          <cell r="D202" t="str">
            <v>BU-40</v>
          </cell>
          <cell r="E202">
            <v>0</v>
          </cell>
        </row>
        <row r="203">
          <cell r="D203" t="str">
            <v>GHF-50</v>
          </cell>
          <cell r="E203">
            <v>0</v>
          </cell>
        </row>
        <row r="204">
          <cell r="D204" t="str">
            <v>GHF-63</v>
          </cell>
          <cell r="E204">
            <v>0</v>
          </cell>
        </row>
        <row r="205">
          <cell r="D205" t="str">
            <v>GHF-75</v>
          </cell>
          <cell r="E205">
            <v>0</v>
          </cell>
        </row>
        <row r="206">
          <cell r="D206" t="str">
            <v>GHF-90</v>
          </cell>
          <cell r="E206">
            <v>0</v>
          </cell>
        </row>
        <row r="209">
          <cell r="D209" t="str">
            <v>GPM-50</v>
          </cell>
          <cell r="E209">
            <v>0</v>
          </cell>
        </row>
        <row r="210">
          <cell r="D210" t="str">
            <v>GEL-50</v>
          </cell>
          <cell r="E210">
            <v>0</v>
          </cell>
        </row>
        <row r="211">
          <cell r="D211" t="str">
            <v>GHF-63</v>
          </cell>
          <cell r="E211">
            <v>0</v>
          </cell>
        </row>
        <row r="223">
          <cell r="E223">
            <v>0</v>
          </cell>
        </row>
        <row r="228">
          <cell r="D228" t="str">
            <v>HP2.5-90</v>
          </cell>
          <cell r="E228">
            <v>0</v>
          </cell>
        </row>
        <row r="229">
          <cell r="D229" t="str">
            <v>HP6-75</v>
          </cell>
          <cell r="E229">
            <v>0</v>
          </cell>
        </row>
        <row r="230">
          <cell r="D230" t="str">
            <v>HP10-63</v>
          </cell>
          <cell r="E230">
            <v>0</v>
          </cell>
        </row>
        <row r="231">
          <cell r="D231" t="str">
            <v>HP10-50</v>
          </cell>
          <cell r="E231">
            <v>0</v>
          </cell>
        </row>
        <row r="232">
          <cell r="D232" t="str">
            <v>HP10-40</v>
          </cell>
          <cell r="E232">
            <v>0</v>
          </cell>
        </row>
        <row r="233">
          <cell r="D233" t="str">
            <v>HP10-32</v>
          </cell>
          <cell r="E233">
            <v>0</v>
          </cell>
        </row>
        <row r="234">
          <cell r="D234" t="str">
            <v>HP10-25</v>
          </cell>
          <cell r="E234">
            <v>0</v>
          </cell>
        </row>
        <row r="235">
          <cell r="D235" t="str">
            <v>HP10-20</v>
          </cell>
          <cell r="E235">
            <v>0</v>
          </cell>
        </row>
        <row r="236">
          <cell r="E236">
            <v>0</v>
          </cell>
        </row>
        <row r="237">
          <cell r="D237" t="str">
            <v>HEL-32</v>
          </cell>
          <cell r="E237">
            <v>0</v>
          </cell>
        </row>
        <row r="238">
          <cell r="D238" t="str">
            <v>HEL-63</v>
          </cell>
          <cell r="E238">
            <v>0</v>
          </cell>
        </row>
        <row r="239">
          <cell r="D239" t="str">
            <v>GSO-15</v>
          </cell>
          <cell r="E239">
            <v>0</v>
          </cell>
        </row>
        <row r="240">
          <cell r="D240" t="str">
            <v>PNI-63</v>
          </cell>
          <cell r="E240">
            <v>0</v>
          </cell>
        </row>
        <row r="241">
          <cell r="D241" t="str">
            <v>PEC-63</v>
          </cell>
          <cell r="E241">
            <v>0</v>
          </cell>
        </row>
        <row r="242">
          <cell r="D242" t="str">
            <v>BT400-15</v>
          </cell>
          <cell r="E242">
            <v>0</v>
          </cell>
        </row>
        <row r="243">
          <cell r="D243" t="str">
            <v>BU-20</v>
          </cell>
          <cell r="E243">
            <v>0</v>
          </cell>
        </row>
        <row r="244">
          <cell r="D244" t="str">
            <v>BU-25</v>
          </cell>
          <cell r="E244">
            <v>0</v>
          </cell>
        </row>
        <row r="245">
          <cell r="D245" t="str">
            <v>BU-32</v>
          </cell>
          <cell r="E245">
            <v>0</v>
          </cell>
        </row>
        <row r="246">
          <cell r="D246" t="str">
            <v>PHF-40</v>
          </cell>
          <cell r="E246">
            <v>0</v>
          </cell>
        </row>
        <row r="247">
          <cell r="D247" t="str">
            <v>PHF-50</v>
          </cell>
          <cell r="E247">
            <v>0</v>
          </cell>
        </row>
        <row r="248">
          <cell r="D248" t="str">
            <v>PHF-63</v>
          </cell>
          <cell r="E248">
            <v>0</v>
          </cell>
        </row>
        <row r="249">
          <cell r="D249" t="str">
            <v>PHF-75</v>
          </cell>
          <cell r="E249">
            <v>0</v>
          </cell>
        </row>
        <row r="250">
          <cell r="D250" t="str">
            <v>PHF-90</v>
          </cell>
          <cell r="E250">
            <v>0</v>
          </cell>
        </row>
        <row r="253">
          <cell r="D253" t="str">
            <v>GPM-15</v>
          </cell>
          <cell r="E253">
            <v>0</v>
          </cell>
        </row>
        <row r="254">
          <cell r="D254" t="str">
            <v>GPM-25</v>
          </cell>
          <cell r="E254">
            <v>0</v>
          </cell>
        </row>
        <row r="255">
          <cell r="D255" t="str">
            <v>GRS-25x15</v>
          </cell>
          <cell r="E255">
            <v>0</v>
          </cell>
        </row>
        <row r="268">
          <cell r="E268">
            <v>0</v>
          </cell>
        </row>
        <row r="273">
          <cell r="D273" t="str">
            <v>HP2.5-90</v>
          </cell>
          <cell r="E273">
            <v>0</v>
          </cell>
        </row>
        <row r="274">
          <cell r="D274" t="str">
            <v>HP6-75</v>
          </cell>
          <cell r="E274">
            <v>0</v>
          </cell>
        </row>
        <row r="275">
          <cell r="D275" t="str">
            <v>HP10-63</v>
          </cell>
          <cell r="E275">
            <v>0</v>
          </cell>
        </row>
        <row r="276">
          <cell r="D276" t="str">
            <v>HP10-50</v>
          </cell>
          <cell r="E276">
            <v>0</v>
          </cell>
        </row>
        <row r="277">
          <cell r="D277" t="str">
            <v>HP10-40</v>
          </cell>
          <cell r="E277">
            <v>0</v>
          </cell>
        </row>
        <row r="278">
          <cell r="D278" t="str">
            <v>HP10-32</v>
          </cell>
          <cell r="E278">
            <v>0</v>
          </cell>
        </row>
        <row r="279">
          <cell r="D279" t="str">
            <v>HP10-25</v>
          </cell>
          <cell r="E279">
            <v>0</v>
          </cell>
        </row>
        <row r="280">
          <cell r="D280" t="str">
            <v>HP10-20</v>
          </cell>
          <cell r="E280">
            <v>0</v>
          </cell>
        </row>
        <row r="282">
          <cell r="E282">
            <v>0</v>
          </cell>
        </row>
        <row r="283">
          <cell r="D283" t="str">
            <v>HEL-32</v>
          </cell>
          <cell r="E283">
            <v>0</v>
          </cell>
        </row>
        <row r="284">
          <cell r="D284" t="str">
            <v>HEL-63</v>
          </cell>
          <cell r="E284">
            <v>0</v>
          </cell>
        </row>
        <row r="285">
          <cell r="D285" t="str">
            <v>GSO-15</v>
          </cell>
          <cell r="E285">
            <v>0</v>
          </cell>
        </row>
        <row r="286">
          <cell r="D286" t="str">
            <v>PNI-63</v>
          </cell>
          <cell r="E286">
            <v>0</v>
          </cell>
        </row>
        <row r="287">
          <cell r="D287" t="str">
            <v>PEC-63</v>
          </cell>
          <cell r="E287">
            <v>0</v>
          </cell>
        </row>
        <row r="288">
          <cell r="D288" t="str">
            <v>BT400-15</v>
          </cell>
          <cell r="E288">
            <v>0</v>
          </cell>
        </row>
        <row r="289">
          <cell r="D289" t="str">
            <v>BU-20</v>
          </cell>
          <cell r="E289">
            <v>0</v>
          </cell>
        </row>
        <row r="290">
          <cell r="D290" t="str">
            <v>BU-25</v>
          </cell>
          <cell r="E290">
            <v>0</v>
          </cell>
        </row>
        <row r="291">
          <cell r="D291" t="str">
            <v>BU-32</v>
          </cell>
          <cell r="E291">
            <v>0</v>
          </cell>
        </row>
        <row r="292">
          <cell r="D292" t="str">
            <v>PHF-40</v>
          </cell>
          <cell r="E292">
            <v>0</v>
          </cell>
        </row>
        <row r="293">
          <cell r="D293" t="str">
            <v>PHF-50</v>
          </cell>
          <cell r="E293">
            <v>0</v>
          </cell>
        </row>
        <row r="294">
          <cell r="D294" t="str">
            <v>PHF-63</v>
          </cell>
          <cell r="E294">
            <v>0</v>
          </cell>
        </row>
        <row r="295">
          <cell r="D295" t="str">
            <v>PHF-75</v>
          </cell>
          <cell r="E295">
            <v>0</v>
          </cell>
        </row>
        <row r="296">
          <cell r="D296" t="str">
            <v>PHF-90</v>
          </cell>
          <cell r="E296">
            <v>0</v>
          </cell>
        </row>
        <row r="299">
          <cell r="D299" t="str">
            <v>GPM-15</v>
          </cell>
          <cell r="E299">
            <v>0</v>
          </cell>
        </row>
        <row r="300">
          <cell r="D300" t="str">
            <v>GPM-25</v>
          </cell>
          <cell r="E300">
            <v>0</v>
          </cell>
        </row>
        <row r="301">
          <cell r="D301" t="str">
            <v>GRS-25x15</v>
          </cell>
          <cell r="E301">
            <v>0</v>
          </cell>
        </row>
        <row r="313">
          <cell r="E313">
            <v>0</v>
          </cell>
        </row>
        <row r="318">
          <cell r="D318" t="str">
            <v>HP2.5-90</v>
          </cell>
          <cell r="E318">
            <v>0</v>
          </cell>
        </row>
        <row r="319">
          <cell r="D319" t="str">
            <v>HP6-75</v>
          </cell>
          <cell r="E319">
            <v>0</v>
          </cell>
        </row>
        <row r="320">
          <cell r="D320" t="str">
            <v>HP10-63</v>
          </cell>
          <cell r="E320">
            <v>0</v>
          </cell>
        </row>
        <row r="321">
          <cell r="D321" t="str">
            <v>HP10-50</v>
          </cell>
          <cell r="E321">
            <v>0</v>
          </cell>
        </row>
        <row r="322">
          <cell r="D322" t="str">
            <v>HP10-40</v>
          </cell>
          <cell r="E322">
            <v>0</v>
          </cell>
        </row>
        <row r="323">
          <cell r="D323" t="str">
            <v>HP10-32</v>
          </cell>
          <cell r="E323">
            <v>0</v>
          </cell>
        </row>
        <row r="324">
          <cell r="D324" t="str">
            <v>HP10-25</v>
          </cell>
          <cell r="E324">
            <v>0</v>
          </cell>
        </row>
        <row r="325">
          <cell r="D325" t="str">
            <v>HP10-20</v>
          </cell>
          <cell r="E325">
            <v>0</v>
          </cell>
        </row>
        <row r="326">
          <cell r="E326">
            <v>0</v>
          </cell>
        </row>
        <row r="327">
          <cell r="D327" t="str">
            <v>HEL-32</v>
          </cell>
          <cell r="E327">
            <v>0</v>
          </cell>
        </row>
        <row r="328">
          <cell r="D328" t="str">
            <v>HEL-63</v>
          </cell>
          <cell r="E328">
            <v>0</v>
          </cell>
        </row>
        <row r="329">
          <cell r="D329" t="str">
            <v>GSO-15</v>
          </cell>
          <cell r="E329">
            <v>0</v>
          </cell>
        </row>
        <row r="330">
          <cell r="D330" t="str">
            <v>PNI-63</v>
          </cell>
          <cell r="E330">
            <v>0</v>
          </cell>
        </row>
        <row r="331">
          <cell r="D331" t="str">
            <v>PEC-63</v>
          </cell>
          <cell r="E331">
            <v>0</v>
          </cell>
        </row>
        <row r="332">
          <cell r="D332" t="str">
            <v>BT400-15</v>
          </cell>
          <cell r="E332">
            <v>0</v>
          </cell>
        </row>
        <row r="333">
          <cell r="D333" t="str">
            <v>BU-20</v>
          </cell>
          <cell r="E333">
            <v>0</v>
          </cell>
        </row>
        <row r="334">
          <cell r="D334" t="str">
            <v>PHF-25</v>
          </cell>
          <cell r="E334">
            <v>0</v>
          </cell>
        </row>
        <row r="335">
          <cell r="D335" t="str">
            <v>PHF-32</v>
          </cell>
          <cell r="E335">
            <v>0</v>
          </cell>
        </row>
        <row r="336">
          <cell r="D336" t="str">
            <v>PHF-40</v>
          </cell>
          <cell r="E336">
            <v>0</v>
          </cell>
        </row>
        <row r="337">
          <cell r="D337" t="str">
            <v>PHF-50</v>
          </cell>
          <cell r="E337">
            <v>0</v>
          </cell>
        </row>
        <row r="338">
          <cell r="D338" t="str">
            <v>PHF-63</v>
          </cell>
          <cell r="E338">
            <v>0</v>
          </cell>
        </row>
        <row r="339">
          <cell r="D339" t="str">
            <v>PHF-75</v>
          </cell>
          <cell r="E339">
            <v>0</v>
          </cell>
        </row>
        <row r="340">
          <cell r="D340" t="str">
            <v>PHF-90</v>
          </cell>
          <cell r="E340">
            <v>0</v>
          </cell>
        </row>
        <row r="343">
          <cell r="D343" t="str">
            <v>GPM-15</v>
          </cell>
          <cell r="E343">
            <v>0</v>
          </cell>
        </row>
        <row r="344">
          <cell r="D344" t="str">
            <v>GPM-25</v>
          </cell>
          <cell r="E344">
            <v>0</v>
          </cell>
        </row>
        <row r="345">
          <cell r="D345" t="str">
            <v>GRS-25x15</v>
          </cell>
          <cell r="E345">
            <v>0</v>
          </cell>
        </row>
      </sheetData>
      <sheetData sheetId="29" refreshError="1">
        <row r="6">
          <cell r="D6" t="str">
            <v>M-01</v>
          </cell>
          <cell r="F6">
            <v>0</v>
          </cell>
        </row>
        <row r="7">
          <cell r="D7" t="str">
            <v>M-02</v>
          </cell>
          <cell r="F7">
            <v>0</v>
          </cell>
        </row>
        <row r="8">
          <cell r="D8" t="str">
            <v>M-03</v>
          </cell>
          <cell r="F8">
            <v>0</v>
          </cell>
        </row>
        <row r="9">
          <cell r="D9" t="str">
            <v>M-04</v>
          </cell>
          <cell r="F9">
            <v>0</v>
          </cell>
        </row>
        <row r="10">
          <cell r="D10" t="str">
            <v>M-05</v>
          </cell>
          <cell r="F10">
            <v>0</v>
          </cell>
        </row>
        <row r="11">
          <cell r="D11" t="str">
            <v>M-06</v>
          </cell>
          <cell r="F11">
            <v>0</v>
          </cell>
        </row>
        <row r="12">
          <cell r="D12" t="str">
            <v>M-07</v>
          </cell>
          <cell r="F12">
            <v>0</v>
          </cell>
        </row>
        <row r="13">
          <cell r="D13" t="str">
            <v>M-08</v>
          </cell>
          <cell r="F13">
            <v>0</v>
          </cell>
        </row>
        <row r="14">
          <cell r="D14" t="str">
            <v>M-09</v>
          </cell>
          <cell r="F14">
            <v>0</v>
          </cell>
        </row>
        <row r="15">
          <cell r="D15" t="str">
            <v>M-10</v>
          </cell>
          <cell r="F15">
            <v>0</v>
          </cell>
        </row>
        <row r="16">
          <cell r="D16" t="str">
            <v>M-11</v>
          </cell>
          <cell r="F16">
            <v>0</v>
          </cell>
        </row>
        <row r="17">
          <cell r="D17" t="str">
            <v>M-12</v>
          </cell>
          <cell r="F17">
            <v>0</v>
          </cell>
        </row>
        <row r="18">
          <cell r="D18" t="str">
            <v>M-13</v>
          </cell>
          <cell r="F18">
            <v>0</v>
          </cell>
        </row>
        <row r="19">
          <cell r="D19" t="str">
            <v>M-14</v>
          </cell>
          <cell r="F19">
            <v>0</v>
          </cell>
        </row>
        <row r="20">
          <cell r="D20" t="str">
            <v>M-15</v>
          </cell>
          <cell r="F20">
            <v>0</v>
          </cell>
        </row>
        <row r="21">
          <cell r="D21" t="str">
            <v>M-16</v>
          </cell>
          <cell r="F21">
            <v>0</v>
          </cell>
        </row>
        <row r="22">
          <cell r="D22" t="str">
            <v>M-17</v>
          </cell>
          <cell r="F22">
            <v>0</v>
          </cell>
        </row>
        <row r="23">
          <cell r="D23" t="str">
            <v>M-18</v>
          </cell>
          <cell r="F23">
            <v>0</v>
          </cell>
        </row>
        <row r="24">
          <cell r="D24" t="str">
            <v>M-19</v>
          </cell>
          <cell r="F24">
            <v>0</v>
          </cell>
        </row>
        <row r="25">
          <cell r="D25" t="str">
            <v>M-20</v>
          </cell>
          <cell r="F25">
            <v>0</v>
          </cell>
        </row>
        <row r="26">
          <cell r="D26" t="str">
            <v>M-21</v>
          </cell>
          <cell r="F26">
            <v>0</v>
          </cell>
        </row>
        <row r="27">
          <cell r="D27" t="str">
            <v>M-22</v>
          </cell>
          <cell r="F27">
            <v>0</v>
          </cell>
        </row>
        <row r="28">
          <cell r="D28" t="str">
            <v>M-23</v>
          </cell>
          <cell r="F28">
            <v>0</v>
          </cell>
        </row>
        <row r="29">
          <cell r="D29" t="str">
            <v>M-24</v>
          </cell>
          <cell r="F29">
            <v>0</v>
          </cell>
        </row>
        <row r="30">
          <cell r="D30" t="str">
            <v>M-25</v>
          </cell>
          <cell r="F30">
            <v>0</v>
          </cell>
        </row>
        <row r="31">
          <cell r="D31" t="str">
            <v>M-26</v>
          </cell>
          <cell r="F31">
            <v>0</v>
          </cell>
        </row>
        <row r="32">
          <cell r="D32" t="str">
            <v>M-27</v>
          </cell>
          <cell r="F32">
            <v>0</v>
          </cell>
        </row>
        <row r="33">
          <cell r="D33" t="str">
            <v>M-28</v>
          </cell>
          <cell r="F33">
            <v>0</v>
          </cell>
        </row>
        <row r="34">
          <cell r="D34" t="str">
            <v>M-29</v>
          </cell>
          <cell r="F34">
            <v>0</v>
          </cell>
        </row>
        <row r="35">
          <cell r="D35" t="str">
            <v>M-30</v>
          </cell>
          <cell r="F35">
            <v>0</v>
          </cell>
        </row>
        <row r="36">
          <cell r="D36" t="str">
            <v>M-31</v>
          </cell>
          <cell r="F36">
            <v>0</v>
          </cell>
        </row>
        <row r="37">
          <cell r="D37" t="str">
            <v>M-32</v>
          </cell>
          <cell r="F37">
            <v>0</v>
          </cell>
        </row>
        <row r="38">
          <cell r="D38" t="str">
            <v>M-33</v>
          </cell>
          <cell r="F38">
            <v>0</v>
          </cell>
        </row>
        <row r="39">
          <cell r="D39" t="str">
            <v>M-34</v>
          </cell>
          <cell r="F39">
            <v>0</v>
          </cell>
        </row>
        <row r="40">
          <cell r="D40" t="str">
            <v>M-35</v>
          </cell>
          <cell r="F40">
            <v>0</v>
          </cell>
        </row>
        <row r="41">
          <cell r="D41" t="str">
            <v>M-36</v>
          </cell>
          <cell r="F41">
            <v>0</v>
          </cell>
        </row>
        <row r="42">
          <cell r="D42" t="str">
            <v>M-37</v>
          </cell>
          <cell r="F42">
            <v>0</v>
          </cell>
        </row>
        <row r="43">
          <cell r="D43" t="str">
            <v>M-38</v>
          </cell>
          <cell r="F43">
            <v>0</v>
          </cell>
        </row>
        <row r="44">
          <cell r="D44" t="str">
            <v>M-39</v>
          </cell>
          <cell r="F44">
            <v>0</v>
          </cell>
        </row>
        <row r="45">
          <cell r="D45" t="str">
            <v>M-40</v>
          </cell>
          <cell r="F45">
            <v>0</v>
          </cell>
        </row>
        <row r="46">
          <cell r="D46" t="str">
            <v>M-41</v>
          </cell>
          <cell r="F46">
            <v>0</v>
          </cell>
        </row>
        <row r="47">
          <cell r="D47" t="str">
            <v>M-42</v>
          </cell>
          <cell r="F47">
            <v>0</v>
          </cell>
        </row>
        <row r="48">
          <cell r="D48" t="str">
            <v>M-43</v>
          </cell>
          <cell r="F48">
            <v>0</v>
          </cell>
        </row>
        <row r="49">
          <cell r="D49" t="str">
            <v>M-44</v>
          </cell>
          <cell r="F49">
            <v>0</v>
          </cell>
        </row>
        <row r="50">
          <cell r="D50" t="str">
            <v>M-45</v>
          </cell>
          <cell r="F50">
            <v>0</v>
          </cell>
        </row>
        <row r="53">
          <cell r="D53" t="str">
            <v>L-1</v>
          </cell>
          <cell r="F53">
            <v>0</v>
          </cell>
        </row>
        <row r="54">
          <cell r="D54" t="str">
            <v>L-2</v>
          </cell>
          <cell r="F54">
            <v>0</v>
          </cell>
        </row>
        <row r="57">
          <cell r="D57" t="str">
            <v>M-52</v>
          </cell>
        </row>
        <row r="58">
          <cell r="D58" t="str">
            <v>M-02</v>
          </cell>
        </row>
        <row r="59">
          <cell r="D59" t="str">
            <v>M-03</v>
          </cell>
        </row>
        <row r="60">
          <cell r="D60" t="str">
            <v>M-04</v>
          </cell>
        </row>
        <row r="61">
          <cell r="D61" t="str">
            <v>M-05</v>
          </cell>
        </row>
        <row r="62">
          <cell r="D62" t="str">
            <v>M-06</v>
          </cell>
        </row>
        <row r="63">
          <cell r="D63" t="str">
            <v>M-07</v>
          </cell>
        </row>
        <row r="79">
          <cell r="D79" t="str">
            <v>HP10-20</v>
          </cell>
          <cell r="E79">
            <v>0</v>
          </cell>
        </row>
        <row r="80">
          <cell r="D80" t="str">
            <v>HP10-25</v>
          </cell>
          <cell r="E80">
            <v>0</v>
          </cell>
        </row>
        <row r="81">
          <cell r="D81" t="str">
            <v>HP6-32</v>
          </cell>
          <cell r="E81">
            <v>0</v>
          </cell>
        </row>
        <row r="82">
          <cell r="D82" t="str">
            <v>HP6-40</v>
          </cell>
          <cell r="E82">
            <v>0</v>
          </cell>
        </row>
        <row r="83">
          <cell r="D83" t="str">
            <v>HP6-50</v>
          </cell>
          <cell r="E83">
            <v>0</v>
          </cell>
        </row>
        <row r="84">
          <cell r="D84" t="str">
            <v>HP6-63</v>
          </cell>
          <cell r="E84">
            <v>0</v>
          </cell>
        </row>
        <row r="85">
          <cell r="D85" t="str">
            <v>HP6-75</v>
          </cell>
        </row>
        <row r="86">
          <cell r="D86" t="str">
            <v>HP2.5-90</v>
          </cell>
          <cell r="E86">
            <v>0</v>
          </cell>
        </row>
        <row r="87">
          <cell r="E87">
            <v>0</v>
          </cell>
        </row>
        <row r="88">
          <cell r="D88" t="str">
            <v>GPM-15</v>
          </cell>
          <cell r="E88">
            <v>0</v>
          </cell>
        </row>
        <row r="89">
          <cell r="D89" t="str">
            <v>GPM-20</v>
          </cell>
          <cell r="E89">
            <v>0</v>
          </cell>
        </row>
        <row r="90">
          <cell r="D90" t="str">
            <v>GPM-25</v>
          </cell>
          <cell r="E90">
            <v>0</v>
          </cell>
        </row>
        <row r="91">
          <cell r="D91" t="str">
            <v>GPM-32</v>
          </cell>
          <cell r="E91">
            <v>0</v>
          </cell>
        </row>
        <row r="92">
          <cell r="D92" t="str">
            <v>GPM-40</v>
          </cell>
          <cell r="E92">
            <v>0</v>
          </cell>
        </row>
        <row r="93">
          <cell r="D93" t="str">
            <v>GPM-50</v>
          </cell>
          <cell r="E93">
            <v>0</v>
          </cell>
        </row>
        <row r="94">
          <cell r="D94" t="str">
            <v>GPM-63</v>
          </cell>
          <cell r="E94">
            <v>0</v>
          </cell>
        </row>
        <row r="95">
          <cell r="D95" t="str">
            <v>GPM-75</v>
          </cell>
          <cell r="E95">
            <v>0</v>
          </cell>
        </row>
        <row r="96">
          <cell r="E96">
            <v>0</v>
          </cell>
        </row>
        <row r="97">
          <cell r="D97" t="str">
            <v>HR-63X20</v>
          </cell>
          <cell r="E97">
            <v>0</v>
          </cell>
        </row>
        <row r="98">
          <cell r="D98" t="str">
            <v>HR-63X25</v>
          </cell>
          <cell r="E98">
            <v>0</v>
          </cell>
        </row>
        <row r="99">
          <cell r="D99" t="str">
            <v>HR-63X32</v>
          </cell>
          <cell r="E99">
            <v>0</v>
          </cell>
        </row>
        <row r="100">
          <cell r="D100" t="str">
            <v>HR-63X40</v>
          </cell>
          <cell r="E100">
            <v>0</v>
          </cell>
        </row>
        <row r="101">
          <cell r="D101" t="str">
            <v>HR-63X50</v>
          </cell>
          <cell r="E101">
            <v>0</v>
          </cell>
        </row>
        <row r="102">
          <cell r="D102" t="str">
            <v>HET-63</v>
          </cell>
          <cell r="E102">
            <v>0</v>
          </cell>
        </row>
        <row r="103">
          <cell r="D103" t="str">
            <v>HR-75X63</v>
          </cell>
        </row>
        <row r="104">
          <cell r="D104" t="str">
            <v>HR-90X63</v>
          </cell>
        </row>
        <row r="105">
          <cell r="D105" t="str">
            <v>GET-15</v>
          </cell>
          <cell r="E105">
            <v>0</v>
          </cell>
        </row>
        <row r="106">
          <cell r="D106" t="str">
            <v>GET-20</v>
          </cell>
          <cell r="E106">
            <v>0</v>
          </cell>
        </row>
        <row r="107">
          <cell r="D107" t="str">
            <v>GET-25</v>
          </cell>
          <cell r="E107">
            <v>0</v>
          </cell>
        </row>
        <row r="108">
          <cell r="D108" t="str">
            <v>GET-32</v>
          </cell>
          <cell r="E108">
            <v>0</v>
          </cell>
        </row>
        <row r="109">
          <cell r="D109" t="str">
            <v>GET-40</v>
          </cell>
          <cell r="E109">
            <v>0</v>
          </cell>
        </row>
        <row r="110">
          <cell r="D110" t="str">
            <v>GET-50</v>
          </cell>
          <cell r="E110">
            <v>0</v>
          </cell>
        </row>
        <row r="111">
          <cell r="D111" t="str">
            <v>GET-63</v>
          </cell>
          <cell r="E111">
            <v>0</v>
          </cell>
        </row>
        <row r="112">
          <cell r="D112" t="str">
            <v>GET-75</v>
          </cell>
          <cell r="E112">
            <v>0</v>
          </cell>
        </row>
        <row r="113">
          <cell r="D113" t="str">
            <v>GEL-15</v>
          </cell>
          <cell r="E113">
            <v>0</v>
          </cell>
        </row>
        <row r="114">
          <cell r="D114" t="str">
            <v>GEL-20</v>
          </cell>
          <cell r="E114">
            <v>0</v>
          </cell>
        </row>
        <row r="115">
          <cell r="D115" t="str">
            <v>GEL-25</v>
          </cell>
          <cell r="E115">
            <v>0</v>
          </cell>
        </row>
        <row r="116">
          <cell r="D116" t="str">
            <v>GEL-32</v>
          </cell>
          <cell r="E116">
            <v>0</v>
          </cell>
        </row>
        <row r="117">
          <cell r="D117" t="str">
            <v>GEL-40</v>
          </cell>
          <cell r="E117">
            <v>0</v>
          </cell>
        </row>
        <row r="118">
          <cell r="D118" t="str">
            <v>GEL-50</v>
          </cell>
          <cell r="E118">
            <v>0</v>
          </cell>
        </row>
        <row r="119">
          <cell r="D119" t="str">
            <v>GEL-63</v>
          </cell>
          <cell r="E119">
            <v>0</v>
          </cell>
        </row>
        <row r="120">
          <cell r="D120" t="str">
            <v>GEL-75</v>
          </cell>
        </row>
        <row r="121">
          <cell r="D121" t="str">
            <v>GNI-50</v>
          </cell>
          <cell r="E121">
            <v>0</v>
          </cell>
        </row>
        <row r="122">
          <cell r="D122" t="str">
            <v>BGAV-15</v>
          </cell>
        </row>
        <row r="123">
          <cell r="D123" t="str">
            <v>BGAV-20</v>
          </cell>
        </row>
        <row r="124">
          <cell r="D124" t="str">
            <v>BGAV-25</v>
          </cell>
        </row>
        <row r="125">
          <cell r="D125" t="str">
            <v>BGAV-32</v>
          </cell>
        </row>
        <row r="126">
          <cell r="D126" t="str">
            <v>BGAV-40</v>
          </cell>
        </row>
        <row r="127">
          <cell r="D127" t="str">
            <v>BGAV-50</v>
          </cell>
          <cell r="E127">
            <v>0</v>
          </cell>
        </row>
        <row r="128">
          <cell r="D128" t="str">
            <v>BGAV-63</v>
          </cell>
        </row>
        <row r="129">
          <cell r="D129" t="str">
            <v>BGAV-75</v>
          </cell>
        </row>
        <row r="130">
          <cell r="D130" t="str">
            <v>BU-20</v>
          </cell>
          <cell r="E130">
            <v>0</v>
          </cell>
        </row>
        <row r="131">
          <cell r="D131" t="str">
            <v>BU-25</v>
          </cell>
          <cell r="E131">
            <v>0</v>
          </cell>
        </row>
        <row r="132">
          <cell r="D132" t="str">
            <v>BU-32</v>
          </cell>
          <cell r="E132">
            <v>0</v>
          </cell>
        </row>
        <row r="133">
          <cell r="D133" t="str">
            <v>BU-40</v>
          </cell>
          <cell r="E133">
            <v>0</v>
          </cell>
        </row>
        <row r="134">
          <cell r="D134" t="str">
            <v>GHF-50</v>
          </cell>
          <cell r="E134">
            <v>0</v>
          </cell>
        </row>
        <row r="135">
          <cell r="D135" t="str">
            <v>GHF-63</v>
          </cell>
          <cell r="E135">
            <v>0</v>
          </cell>
        </row>
        <row r="136">
          <cell r="D136" t="str">
            <v>GHF-75</v>
          </cell>
          <cell r="E136">
            <v>0</v>
          </cell>
        </row>
        <row r="137">
          <cell r="D137" t="str">
            <v>GHF-90</v>
          </cell>
          <cell r="E137">
            <v>0</v>
          </cell>
        </row>
        <row r="141">
          <cell r="D141" t="str">
            <v>GEL-50</v>
          </cell>
        </row>
        <row r="142">
          <cell r="D142" t="str">
            <v>GRS-25x15</v>
          </cell>
        </row>
        <row r="143">
          <cell r="D143" t="str">
            <v>BT400-15</v>
          </cell>
        </row>
      </sheetData>
      <sheetData sheetId="30" refreshError="1">
        <row r="6">
          <cell r="C6" t="str">
            <v>M-01</v>
          </cell>
          <cell r="E6">
            <v>0</v>
          </cell>
          <cell r="F6">
            <v>0</v>
          </cell>
          <cell r="G6">
            <v>0</v>
          </cell>
          <cell r="H6">
            <v>24</v>
          </cell>
          <cell r="I6">
            <v>0</v>
          </cell>
          <cell r="J6">
            <v>0</v>
          </cell>
          <cell r="K6">
            <v>0</v>
          </cell>
          <cell r="L6">
            <v>0</v>
          </cell>
          <cell r="M6">
            <v>0</v>
          </cell>
          <cell r="N6">
            <v>0</v>
          </cell>
        </row>
        <row r="7">
          <cell r="C7" t="str">
            <v>M-02</v>
          </cell>
          <cell r="E7">
            <v>0</v>
          </cell>
          <cell r="F7">
            <v>0</v>
          </cell>
          <cell r="G7">
            <v>0</v>
          </cell>
          <cell r="H7">
            <v>4.51</v>
          </cell>
          <cell r="I7">
            <v>0</v>
          </cell>
          <cell r="J7">
            <v>0</v>
          </cell>
          <cell r="K7">
            <v>0</v>
          </cell>
          <cell r="L7">
            <v>0</v>
          </cell>
          <cell r="M7">
            <v>0</v>
          </cell>
          <cell r="N7">
            <v>0</v>
          </cell>
        </row>
        <row r="8">
          <cell r="C8" t="str">
            <v>M-03</v>
          </cell>
          <cell r="E8">
            <v>0</v>
          </cell>
          <cell r="F8">
            <v>0</v>
          </cell>
          <cell r="G8">
            <v>0</v>
          </cell>
          <cell r="H8">
            <v>4.3499999999999996</v>
          </cell>
          <cell r="I8">
            <v>0</v>
          </cell>
          <cell r="J8">
            <v>0</v>
          </cell>
          <cell r="K8">
            <v>0</v>
          </cell>
          <cell r="L8">
            <v>0</v>
          </cell>
          <cell r="M8">
            <v>0</v>
          </cell>
          <cell r="N8">
            <v>0</v>
          </cell>
        </row>
        <row r="9">
          <cell r="C9" t="str">
            <v>M-04</v>
          </cell>
          <cell r="E9">
            <v>0</v>
          </cell>
          <cell r="F9">
            <v>0</v>
          </cell>
          <cell r="G9">
            <v>0</v>
          </cell>
          <cell r="H9">
            <v>0.59</v>
          </cell>
          <cell r="I9">
            <v>0</v>
          </cell>
          <cell r="J9">
            <v>0</v>
          </cell>
          <cell r="K9">
            <v>0</v>
          </cell>
          <cell r="L9">
            <v>0</v>
          </cell>
          <cell r="M9">
            <v>0</v>
          </cell>
          <cell r="N9">
            <v>0</v>
          </cell>
        </row>
        <row r="10">
          <cell r="C10" t="str">
            <v>M-05</v>
          </cell>
          <cell r="E10">
            <v>0</v>
          </cell>
          <cell r="F10">
            <v>0</v>
          </cell>
          <cell r="G10">
            <v>0</v>
          </cell>
          <cell r="H10">
            <v>0.15</v>
          </cell>
          <cell r="I10">
            <v>0</v>
          </cell>
          <cell r="J10">
            <v>0</v>
          </cell>
          <cell r="K10">
            <v>0</v>
          </cell>
          <cell r="L10">
            <v>0</v>
          </cell>
          <cell r="M10">
            <v>0</v>
          </cell>
          <cell r="N10">
            <v>0</v>
          </cell>
        </row>
        <row r="11">
          <cell r="C11" t="str">
            <v>M-06</v>
          </cell>
          <cell r="E11">
            <v>0</v>
          </cell>
          <cell r="F11">
            <v>0</v>
          </cell>
          <cell r="G11">
            <v>0</v>
          </cell>
          <cell r="H11">
            <v>0.32</v>
          </cell>
          <cell r="I11">
            <v>0</v>
          </cell>
          <cell r="J11">
            <v>0</v>
          </cell>
          <cell r="K11">
            <v>0</v>
          </cell>
          <cell r="L11">
            <v>0</v>
          </cell>
          <cell r="M11">
            <v>0</v>
          </cell>
          <cell r="N11">
            <v>0</v>
          </cell>
        </row>
        <row r="12">
          <cell r="C12" t="str">
            <v>M-07</v>
          </cell>
          <cell r="E12">
            <v>0</v>
          </cell>
          <cell r="F12">
            <v>0</v>
          </cell>
          <cell r="G12">
            <v>0</v>
          </cell>
          <cell r="H12">
            <v>0.74</v>
          </cell>
          <cell r="I12">
            <v>0</v>
          </cell>
          <cell r="J12">
            <v>0</v>
          </cell>
          <cell r="K12">
            <v>0</v>
          </cell>
          <cell r="L12">
            <v>0</v>
          </cell>
          <cell r="M12">
            <v>0</v>
          </cell>
          <cell r="N12">
            <v>0</v>
          </cell>
        </row>
        <row r="13">
          <cell r="C13" t="str">
            <v>M-08</v>
          </cell>
          <cell r="E13">
            <v>0</v>
          </cell>
          <cell r="F13">
            <v>0</v>
          </cell>
          <cell r="G13">
            <v>0</v>
          </cell>
          <cell r="H13">
            <v>0</v>
          </cell>
          <cell r="I13">
            <v>0</v>
          </cell>
          <cell r="J13">
            <v>0</v>
          </cell>
          <cell r="K13">
            <v>0</v>
          </cell>
          <cell r="L13">
            <v>0</v>
          </cell>
          <cell r="M13">
            <v>0</v>
          </cell>
          <cell r="N13">
            <v>0</v>
          </cell>
        </row>
        <row r="14">
          <cell r="C14" t="str">
            <v>M-09</v>
          </cell>
          <cell r="E14">
            <v>0</v>
          </cell>
          <cell r="F14">
            <v>0</v>
          </cell>
          <cell r="G14">
            <v>0</v>
          </cell>
          <cell r="H14">
            <v>6.6</v>
          </cell>
          <cell r="I14">
            <v>0</v>
          </cell>
          <cell r="J14">
            <v>0</v>
          </cell>
          <cell r="K14">
            <v>0</v>
          </cell>
          <cell r="L14">
            <v>0</v>
          </cell>
          <cell r="M14">
            <v>0</v>
          </cell>
          <cell r="N14">
            <v>0</v>
          </cell>
        </row>
        <row r="15">
          <cell r="C15" t="str">
            <v>M-10</v>
          </cell>
          <cell r="E15">
            <v>0</v>
          </cell>
          <cell r="F15">
            <v>0</v>
          </cell>
          <cell r="G15">
            <v>0</v>
          </cell>
          <cell r="H15">
            <v>0</v>
          </cell>
          <cell r="I15">
            <v>0</v>
          </cell>
          <cell r="J15">
            <v>0</v>
          </cell>
          <cell r="K15">
            <v>0</v>
          </cell>
          <cell r="L15">
            <v>0</v>
          </cell>
          <cell r="M15">
            <v>0</v>
          </cell>
          <cell r="N15">
            <v>0</v>
          </cell>
        </row>
        <row r="16">
          <cell r="C16" t="str">
            <v>M-11</v>
          </cell>
          <cell r="E16">
            <v>0</v>
          </cell>
          <cell r="F16">
            <v>0</v>
          </cell>
          <cell r="G16">
            <v>0</v>
          </cell>
          <cell r="H16">
            <v>70.680000000000007</v>
          </cell>
          <cell r="I16">
            <v>0</v>
          </cell>
          <cell r="J16">
            <v>0</v>
          </cell>
          <cell r="K16">
            <v>0</v>
          </cell>
          <cell r="L16">
            <v>0</v>
          </cell>
          <cell r="M16">
            <v>0</v>
          </cell>
          <cell r="N16">
            <v>0</v>
          </cell>
        </row>
        <row r="17">
          <cell r="C17" t="str">
            <v>M-12</v>
          </cell>
          <cell r="E17">
            <v>0</v>
          </cell>
          <cell r="F17">
            <v>0</v>
          </cell>
          <cell r="G17">
            <v>0</v>
          </cell>
          <cell r="H17">
            <v>7.1</v>
          </cell>
          <cell r="I17">
            <v>0</v>
          </cell>
          <cell r="J17">
            <v>0</v>
          </cell>
          <cell r="K17">
            <v>0</v>
          </cell>
          <cell r="L17">
            <v>0</v>
          </cell>
          <cell r="M17">
            <v>0</v>
          </cell>
          <cell r="N17">
            <v>0</v>
          </cell>
        </row>
        <row r="18">
          <cell r="C18" t="str">
            <v>M-13</v>
          </cell>
          <cell r="E18">
            <v>0</v>
          </cell>
          <cell r="F18">
            <v>0</v>
          </cell>
          <cell r="G18">
            <v>0</v>
          </cell>
          <cell r="H18">
            <v>51</v>
          </cell>
          <cell r="I18">
            <v>0</v>
          </cell>
          <cell r="J18">
            <v>0</v>
          </cell>
          <cell r="K18">
            <v>0</v>
          </cell>
          <cell r="L18">
            <v>0</v>
          </cell>
          <cell r="M18">
            <v>0</v>
          </cell>
          <cell r="N18">
            <v>0</v>
          </cell>
        </row>
        <row r="19">
          <cell r="C19" t="str">
            <v>M-14</v>
          </cell>
          <cell r="E19">
            <v>0</v>
          </cell>
          <cell r="F19">
            <v>0</v>
          </cell>
          <cell r="G19">
            <v>0</v>
          </cell>
          <cell r="H19">
            <v>55</v>
          </cell>
          <cell r="I19">
            <v>0</v>
          </cell>
          <cell r="J19">
            <v>0</v>
          </cell>
          <cell r="K19">
            <v>0</v>
          </cell>
          <cell r="L19">
            <v>0</v>
          </cell>
          <cell r="M19">
            <v>0</v>
          </cell>
          <cell r="N19">
            <v>0</v>
          </cell>
        </row>
        <row r="20">
          <cell r="C20" t="str">
            <v>M-15</v>
          </cell>
          <cell r="E20">
            <v>0</v>
          </cell>
          <cell r="F20">
            <v>0</v>
          </cell>
          <cell r="G20">
            <v>0</v>
          </cell>
          <cell r="H20">
            <v>10</v>
          </cell>
          <cell r="I20">
            <v>0</v>
          </cell>
          <cell r="J20">
            <v>0</v>
          </cell>
          <cell r="K20">
            <v>0</v>
          </cell>
          <cell r="L20">
            <v>0</v>
          </cell>
          <cell r="M20">
            <v>0</v>
          </cell>
          <cell r="N20">
            <v>0</v>
          </cell>
        </row>
        <row r="21">
          <cell r="C21" t="str">
            <v>M-16</v>
          </cell>
          <cell r="E21">
            <v>0</v>
          </cell>
          <cell r="F21">
            <v>0</v>
          </cell>
          <cell r="G21">
            <v>0</v>
          </cell>
          <cell r="H21">
            <v>5</v>
          </cell>
          <cell r="I21">
            <v>0</v>
          </cell>
          <cell r="J21">
            <v>0</v>
          </cell>
          <cell r="K21">
            <v>0</v>
          </cell>
          <cell r="L21">
            <v>0</v>
          </cell>
          <cell r="M21">
            <v>0</v>
          </cell>
          <cell r="N21">
            <v>0</v>
          </cell>
        </row>
        <row r="22">
          <cell r="C22" t="str">
            <v>M-17</v>
          </cell>
          <cell r="E22">
            <v>0</v>
          </cell>
          <cell r="F22">
            <v>0</v>
          </cell>
          <cell r="G22">
            <v>0</v>
          </cell>
          <cell r="H22">
            <v>2</v>
          </cell>
          <cell r="I22">
            <v>0</v>
          </cell>
          <cell r="J22">
            <v>0</v>
          </cell>
          <cell r="K22">
            <v>0</v>
          </cell>
          <cell r="L22">
            <v>0</v>
          </cell>
          <cell r="M22">
            <v>0</v>
          </cell>
          <cell r="N22">
            <v>0</v>
          </cell>
        </row>
        <row r="23">
          <cell r="C23" t="str">
            <v>M-18</v>
          </cell>
          <cell r="E23">
            <v>0</v>
          </cell>
          <cell r="F23">
            <v>0</v>
          </cell>
          <cell r="G23">
            <v>0</v>
          </cell>
          <cell r="H23">
            <v>4</v>
          </cell>
          <cell r="I23">
            <v>0</v>
          </cell>
          <cell r="J23">
            <v>0</v>
          </cell>
          <cell r="K23">
            <v>0</v>
          </cell>
          <cell r="L23">
            <v>0</v>
          </cell>
          <cell r="M23">
            <v>0</v>
          </cell>
          <cell r="N23">
            <v>0</v>
          </cell>
        </row>
        <row r="24">
          <cell r="C24" t="str">
            <v>M-19</v>
          </cell>
          <cell r="E24">
            <v>0</v>
          </cell>
          <cell r="F24">
            <v>0</v>
          </cell>
          <cell r="G24">
            <v>0</v>
          </cell>
          <cell r="H24">
            <v>8</v>
          </cell>
          <cell r="I24">
            <v>0</v>
          </cell>
          <cell r="J24">
            <v>0</v>
          </cell>
          <cell r="K24">
            <v>0</v>
          </cell>
          <cell r="L24">
            <v>0</v>
          </cell>
          <cell r="M24">
            <v>0</v>
          </cell>
          <cell r="N24">
            <v>0</v>
          </cell>
        </row>
        <row r="25">
          <cell r="C25" t="str">
            <v>M-20</v>
          </cell>
          <cell r="E25">
            <v>0</v>
          </cell>
          <cell r="F25">
            <v>0</v>
          </cell>
          <cell r="G25">
            <v>0</v>
          </cell>
          <cell r="H25">
            <v>23.6</v>
          </cell>
          <cell r="I25">
            <v>0</v>
          </cell>
          <cell r="J25">
            <v>0</v>
          </cell>
          <cell r="K25">
            <v>0</v>
          </cell>
          <cell r="L25">
            <v>0</v>
          </cell>
          <cell r="M25">
            <v>0</v>
          </cell>
          <cell r="N25">
            <v>0</v>
          </cell>
        </row>
        <row r="26">
          <cell r="C26" t="str">
            <v>M-21</v>
          </cell>
          <cell r="E26">
            <v>0</v>
          </cell>
          <cell r="F26">
            <v>0</v>
          </cell>
          <cell r="G26">
            <v>0</v>
          </cell>
          <cell r="H26">
            <v>25.65</v>
          </cell>
          <cell r="I26">
            <v>0</v>
          </cell>
          <cell r="J26">
            <v>0</v>
          </cell>
          <cell r="K26">
            <v>0</v>
          </cell>
          <cell r="L26">
            <v>0</v>
          </cell>
          <cell r="M26">
            <v>0</v>
          </cell>
          <cell r="N26">
            <v>0</v>
          </cell>
        </row>
        <row r="27">
          <cell r="C27" t="str">
            <v>M-22</v>
          </cell>
          <cell r="E27">
            <v>0</v>
          </cell>
          <cell r="F27">
            <v>0</v>
          </cell>
          <cell r="G27">
            <v>0</v>
          </cell>
          <cell r="H27">
            <v>0</v>
          </cell>
          <cell r="I27">
            <v>0</v>
          </cell>
          <cell r="J27">
            <v>0</v>
          </cell>
          <cell r="K27">
            <v>0</v>
          </cell>
          <cell r="L27">
            <v>0</v>
          </cell>
          <cell r="M27">
            <v>0</v>
          </cell>
          <cell r="N27">
            <v>0</v>
          </cell>
        </row>
        <row r="28">
          <cell r="C28" t="str">
            <v>M-23</v>
          </cell>
          <cell r="E28">
            <v>0</v>
          </cell>
          <cell r="F28">
            <v>0</v>
          </cell>
          <cell r="G28">
            <v>0</v>
          </cell>
          <cell r="H28">
            <v>1</v>
          </cell>
          <cell r="I28">
            <v>0</v>
          </cell>
          <cell r="J28">
            <v>0</v>
          </cell>
          <cell r="K28">
            <v>0</v>
          </cell>
          <cell r="L28">
            <v>0</v>
          </cell>
          <cell r="M28">
            <v>0</v>
          </cell>
          <cell r="N28">
            <v>0</v>
          </cell>
        </row>
        <row r="29">
          <cell r="C29" t="str">
            <v>M-24</v>
          </cell>
          <cell r="E29">
            <v>0</v>
          </cell>
          <cell r="F29">
            <v>0</v>
          </cell>
          <cell r="G29">
            <v>0</v>
          </cell>
          <cell r="H29">
            <v>0</v>
          </cell>
          <cell r="I29">
            <v>0</v>
          </cell>
          <cell r="J29">
            <v>0</v>
          </cell>
          <cell r="K29">
            <v>0</v>
          </cell>
          <cell r="L29">
            <v>0</v>
          </cell>
          <cell r="M29">
            <v>0</v>
          </cell>
          <cell r="N29">
            <v>0</v>
          </cell>
        </row>
        <row r="30">
          <cell r="C30" t="str">
            <v>M-25</v>
          </cell>
          <cell r="E30">
            <v>0</v>
          </cell>
          <cell r="F30">
            <v>0</v>
          </cell>
          <cell r="G30">
            <v>0</v>
          </cell>
          <cell r="H30">
            <v>0</v>
          </cell>
          <cell r="I30">
            <v>0</v>
          </cell>
          <cell r="J30">
            <v>0</v>
          </cell>
          <cell r="K30">
            <v>0</v>
          </cell>
          <cell r="L30">
            <v>0</v>
          </cell>
          <cell r="M30">
            <v>0</v>
          </cell>
          <cell r="N30">
            <v>0</v>
          </cell>
        </row>
        <row r="31">
          <cell r="C31" t="str">
            <v>M-26</v>
          </cell>
          <cell r="E31">
            <v>0</v>
          </cell>
          <cell r="F31">
            <v>0</v>
          </cell>
          <cell r="G31">
            <v>0</v>
          </cell>
          <cell r="H31">
            <v>1</v>
          </cell>
          <cell r="I31">
            <v>0</v>
          </cell>
          <cell r="J31">
            <v>0</v>
          </cell>
          <cell r="K31">
            <v>0</v>
          </cell>
          <cell r="L31">
            <v>0</v>
          </cell>
          <cell r="M31">
            <v>0</v>
          </cell>
          <cell r="N31">
            <v>0</v>
          </cell>
        </row>
        <row r="32">
          <cell r="C32" t="str">
            <v>M-27</v>
          </cell>
          <cell r="E32">
            <v>0</v>
          </cell>
          <cell r="F32">
            <v>0</v>
          </cell>
          <cell r="G32">
            <v>0</v>
          </cell>
          <cell r="H32">
            <v>18</v>
          </cell>
          <cell r="I32">
            <v>0</v>
          </cell>
          <cell r="J32">
            <v>0</v>
          </cell>
          <cell r="K32">
            <v>0</v>
          </cell>
          <cell r="L32">
            <v>0</v>
          </cell>
          <cell r="M32">
            <v>0</v>
          </cell>
          <cell r="N32">
            <v>0</v>
          </cell>
        </row>
        <row r="33">
          <cell r="C33" t="str">
            <v>M-28</v>
          </cell>
          <cell r="E33">
            <v>0</v>
          </cell>
          <cell r="F33">
            <v>0</v>
          </cell>
          <cell r="G33">
            <v>0</v>
          </cell>
          <cell r="H33">
            <v>0</v>
          </cell>
          <cell r="I33">
            <v>0</v>
          </cell>
          <cell r="J33">
            <v>0</v>
          </cell>
          <cell r="K33">
            <v>0</v>
          </cell>
          <cell r="L33">
            <v>0</v>
          </cell>
          <cell r="M33">
            <v>0</v>
          </cell>
          <cell r="N33">
            <v>0</v>
          </cell>
        </row>
        <row r="34">
          <cell r="C34" t="str">
            <v>M-29</v>
          </cell>
          <cell r="E34">
            <v>0</v>
          </cell>
          <cell r="F34">
            <v>0</v>
          </cell>
          <cell r="G34">
            <v>0</v>
          </cell>
          <cell r="H34">
            <v>0</v>
          </cell>
          <cell r="I34">
            <v>0</v>
          </cell>
          <cell r="J34">
            <v>0</v>
          </cell>
          <cell r="K34">
            <v>0</v>
          </cell>
          <cell r="L34">
            <v>0</v>
          </cell>
          <cell r="M34">
            <v>0</v>
          </cell>
          <cell r="N34">
            <v>0</v>
          </cell>
        </row>
        <row r="35">
          <cell r="C35" t="str">
            <v>M-30</v>
          </cell>
          <cell r="E35">
            <v>0</v>
          </cell>
          <cell r="F35">
            <v>0</v>
          </cell>
          <cell r="G35">
            <v>0</v>
          </cell>
          <cell r="H35">
            <v>0</v>
          </cell>
          <cell r="I35">
            <v>0</v>
          </cell>
          <cell r="J35">
            <v>0</v>
          </cell>
          <cell r="K35">
            <v>0</v>
          </cell>
          <cell r="L35">
            <v>0</v>
          </cell>
          <cell r="M35">
            <v>0</v>
          </cell>
          <cell r="N35">
            <v>0</v>
          </cell>
        </row>
        <row r="36">
          <cell r="C36" t="str">
            <v>M-31</v>
          </cell>
          <cell r="E36">
            <v>0</v>
          </cell>
          <cell r="F36">
            <v>0</v>
          </cell>
          <cell r="G36">
            <v>0</v>
          </cell>
          <cell r="H36">
            <v>0</v>
          </cell>
          <cell r="I36">
            <v>0</v>
          </cell>
          <cell r="J36">
            <v>0</v>
          </cell>
          <cell r="K36">
            <v>0</v>
          </cell>
          <cell r="L36">
            <v>0</v>
          </cell>
          <cell r="M36">
            <v>0</v>
          </cell>
          <cell r="N36">
            <v>0</v>
          </cell>
        </row>
        <row r="37">
          <cell r="C37" t="str">
            <v>M-32</v>
          </cell>
          <cell r="E37">
            <v>0</v>
          </cell>
          <cell r="F37">
            <v>0</v>
          </cell>
          <cell r="G37">
            <v>0</v>
          </cell>
          <cell r="H37">
            <v>0</v>
          </cell>
          <cell r="I37">
            <v>0</v>
          </cell>
          <cell r="J37">
            <v>0</v>
          </cell>
          <cell r="K37">
            <v>0</v>
          </cell>
          <cell r="L37">
            <v>0</v>
          </cell>
          <cell r="M37">
            <v>0</v>
          </cell>
          <cell r="N37">
            <v>0</v>
          </cell>
        </row>
        <row r="38">
          <cell r="C38" t="str">
            <v>M-33</v>
          </cell>
          <cell r="E38">
            <v>0</v>
          </cell>
          <cell r="F38">
            <v>0</v>
          </cell>
          <cell r="G38">
            <v>0</v>
          </cell>
          <cell r="H38">
            <v>2</v>
          </cell>
          <cell r="I38">
            <v>0</v>
          </cell>
          <cell r="J38">
            <v>0</v>
          </cell>
          <cell r="K38">
            <v>0</v>
          </cell>
          <cell r="L38">
            <v>0</v>
          </cell>
          <cell r="M38">
            <v>0</v>
          </cell>
          <cell r="N38">
            <v>0</v>
          </cell>
        </row>
        <row r="39">
          <cell r="C39" t="str">
            <v>M-34</v>
          </cell>
          <cell r="J39">
            <v>0</v>
          </cell>
          <cell r="K39">
            <v>0</v>
          </cell>
          <cell r="L39">
            <v>0</v>
          </cell>
          <cell r="M39">
            <v>0</v>
          </cell>
          <cell r="N39">
            <v>0</v>
          </cell>
        </row>
        <row r="40">
          <cell r="C40" t="str">
            <v>M-35</v>
          </cell>
          <cell r="E40">
            <v>0</v>
          </cell>
          <cell r="F40">
            <v>0</v>
          </cell>
          <cell r="G40">
            <v>0</v>
          </cell>
          <cell r="H40">
            <v>4.6500000000000004</v>
          </cell>
          <cell r="I40">
            <v>0</v>
          </cell>
          <cell r="J40">
            <v>0</v>
          </cell>
          <cell r="K40">
            <v>0</v>
          </cell>
          <cell r="L40">
            <v>0</v>
          </cell>
          <cell r="M40">
            <v>0</v>
          </cell>
          <cell r="N40">
            <v>0</v>
          </cell>
        </row>
        <row r="41">
          <cell r="C41" t="str">
            <v>M-36</v>
          </cell>
          <cell r="E41">
            <v>0</v>
          </cell>
          <cell r="F41">
            <v>0</v>
          </cell>
          <cell r="G41">
            <v>0</v>
          </cell>
          <cell r="H41">
            <v>0</v>
          </cell>
          <cell r="I41">
            <v>0</v>
          </cell>
          <cell r="J41">
            <v>0</v>
          </cell>
          <cell r="K41">
            <v>0</v>
          </cell>
          <cell r="L41">
            <v>0</v>
          </cell>
          <cell r="M41">
            <v>0</v>
          </cell>
          <cell r="N41">
            <v>0</v>
          </cell>
        </row>
        <row r="42">
          <cell r="C42" t="str">
            <v>M-37</v>
          </cell>
          <cell r="E42">
            <v>0</v>
          </cell>
          <cell r="F42">
            <v>0</v>
          </cell>
          <cell r="G42">
            <v>0</v>
          </cell>
          <cell r="H42">
            <v>0</v>
          </cell>
          <cell r="I42">
            <v>0</v>
          </cell>
          <cell r="J42">
            <v>0</v>
          </cell>
          <cell r="K42">
            <v>0</v>
          </cell>
          <cell r="L42">
            <v>0</v>
          </cell>
          <cell r="M42">
            <v>0</v>
          </cell>
          <cell r="N42">
            <v>0</v>
          </cell>
        </row>
        <row r="43">
          <cell r="C43" t="str">
            <v>M-38</v>
          </cell>
          <cell r="E43">
            <v>0</v>
          </cell>
          <cell r="F43">
            <v>0</v>
          </cell>
          <cell r="G43">
            <v>0</v>
          </cell>
          <cell r="H43">
            <v>0</v>
          </cell>
          <cell r="I43">
            <v>0</v>
          </cell>
          <cell r="J43">
            <v>0</v>
          </cell>
          <cell r="K43">
            <v>0</v>
          </cell>
          <cell r="L43">
            <v>0</v>
          </cell>
          <cell r="M43">
            <v>0</v>
          </cell>
          <cell r="N43">
            <v>0</v>
          </cell>
        </row>
        <row r="44">
          <cell r="C44" t="str">
            <v>M-39</v>
          </cell>
          <cell r="E44">
            <v>0</v>
          </cell>
          <cell r="F44">
            <v>0</v>
          </cell>
          <cell r="G44">
            <v>0</v>
          </cell>
          <cell r="H44">
            <v>7.0000000000000007E-2</v>
          </cell>
          <cell r="I44">
            <v>0</v>
          </cell>
          <cell r="J44">
            <v>0</v>
          </cell>
          <cell r="K44">
            <v>0</v>
          </cell>
          <cell r="L44">
            <v>0</v>
          </cell>
          <cell r="M44">
            <v>0</v>
          </cell>
          <cell r="N44">
            <v>0</v>
          </cell>
        </row>
        <row r="45">
          <cell r="C45" t="str">
            <v>M-40</v>
          </cell>
          <cell r="E45">
            <v>0</v>
          </cell>
          <cell r="F45">
            <v>0</v>
          </cell>
          <cell r="G45">
            <v>0</v>
          </cell>
          <cell r="H45">
            <v>0.5</v>
          </cell>
          <cell r="I45">
            <v>0</v>
          </cell>
          <cell r="J45">
            <v>0</v>
          </cell>
          <cell r="K45">
            <v>0</v>
          </cell>
          <cell r="L45">
            <v>0</v>
          </cell>
          <cell r="M45">
            <v>0</v>
          </cell>
          <cell r="N45">
            <v>0</v>
          </cell>
        </row>
        <row r="46">
          <cell r="C46" t="str">
            <v>M-41</v>
          </cell>
          <cell r="E46">
            <v>0</v>
          </cell>
          <cell r="F46">
            <v>0</v>
          </cell>
          <cell r="G46">
            <v>0</v>
          </cell>
          <cell r="H46">
            <v>0</v>
          </cell>
          <cell r="I46">
            <v>0</v>
          </cell>
          <cell r="J46">
            <v>0</v>
          </cell>
          <cell r="K46">
            <v>0</v>
          </cell>
          <cell r="L46">
            <v>0</v>
          </cell>
          <cell r="M46">
            <v>0</v>
          </cell>
          <cell r="N46">
            <v>0</v>
          </cell>
        </row>
        <row r="47">
          <cell r="C47" t="str">
            <v>M-42</v>
          </cell>
          <cell r="E47">
            <v>0</v>
          </cell>
          <cell r="F47">
            <v>0</v>
          </cell>
          <cell r="G47">
            <v>0</v>
          </cell>
          <cell r="H47">
            <v>0</v>
          </cell>
          <cell r="I47">
            <v>0</v>
          </cell>
          <cell r="J47">
            <v>0</v>
          </cell>
          <cell r="K47">
            <v>0</v>
          </cell>
          <cell r="L47">
            <v>0</v>
          </cell>
          <cell r="M47">
            <v>0</v>
          </cell>
          <cell r="N47">
            <v>0</v>
          </cell>
        </row>
        <row r="48">
          <cell r="C48" t="str">
            <v>M-43</v>
          </cell>
          <cell r="E48">
            <v>0</v>
          </cell>
          <cell r="F48">
            <v>0</v>
          </cell>
          <cell r="G48">
            <v>0</v>
          </cell>
          <cell r="H48">
            <v>0</v>
          </cell>
          <cell r="I48">
            <v>0</v>
          </cell>
          <cell r="J48">
            <v>0</v>
          </cell>
          <cell r="K48">
            <v>0</v>
          </cell>
          <cell r="L48">
            <v>0</v>
          </cell>
          <cell r="M48">
            <v>0</v>
          </cell>
          <cell r="N48">
            <v>0</v>
          </cell>
        </row>
        <row r="49">
          <cell r="C49" t="str">
            <v>M-44</v>
          </cell>
          <cell r="E49">
            <v>0</v>
          </cell>
          <cell r="F49">
            <v>0</v>
          </cell>
          <cell r="G49">
            <v>0</v>
          </cell>
          <cell r="H49">
            <v>0</v>
          </cell>
          <cell r="I49">
            <v>0</v>
          </cell>
          <cell r="J49">
            <v>0</v>
          </cell>
          <cell r="K49">
            <v>0</v>
          </cell>
          <cell r="L49">
            <v>0</v>
          </cell>
          <cell r="M49">
            <v>0</v>
          </cell>
          <cell r="N49">
            <v>0</v>
          </cell>
        </row>
        <row r="50">
          <cell r="C50" t="str">
            <v>M-45</v>
          </cell>
          <cell r="E50">
            <v>0</v>
          </cell>
          <cell r="F50">
            <v>0</v>
          </cell>
          <cell r="G50">
            <v>0</v>
          </cell>
          <cell r="H50">
            <v>0</v>
          </cell>
          <cell r="I50">
            <v>0</v>
          </cell>
          <cell r="J50">
            <v>0</v>
          </cell>
          <cell r="K50">
            <v>0</v>
          </cell>
          <cell r="L50">
            <v>0</v>
          </cell>
          <cell r="M50">
            <v>0</v>
          </cell>
          <cell r="N50">
            <v>0</v>
          </cell>
        </row>
        <row r="53">
          <cell r="C53" t="str">
            <v>L-1</v>
          </cell>
          <cell r="E53">
            <v>0</v>
          </cell>
          <cell r="F53">
            <v>0</v>
          </cell>
          <cell r="G53">
            <v>0</v>
          </cell>
          <cell r="H53">
            <v>63.54</v>
          </cell>
          <cell r="I53">
            <v>0</v>
          </cell>
          <cell r="J53">
            <v>0</v>
          </cell>
          <cell r="K53">
            <v>0</v>
          </cell>
          <cell r="L53">
            <v>0</v>
          </cell>
          <cell r="M53">
            <v>0</v>
          </cell>
          <cell r="N53">
            <v>0</v>
          </cell>
        </row>
        <row r="54">
          <cell r="C54" t="str">
            <v>L-2</v>
          </cell>
          <cell r="E54">
            <v>0</v>
          </cell>
          <cell r="F54">
            <v>0</v>
          </cell>
          <cell r="G54">
            <v>0</v>
          </cell>
          <cell r="H54">
            <v>102.22</v>
          </cell>
          <cell r="I54">
            <v>0</v>
          </cell>
          <cell r="J54">
            <v>0</v>
          </cell>
          <cell r="K54">
            <v>0</v>
          </cell>
          <cell r="L54">
            <v>0</v>
          </cell>
          <cell r="M54">
            <v>0</v>
          </cell>
          <cell r="N54">
            <v>0</v>
          </cell>
        </row>
        <row r="57">
          <cell r="C57" t="str">
            <v>M-51</v>
          </cell>
        </row>
        <row r="58">
          <cell r="C58" t="str">
            <v>M-51</v>
          </cell>
        </row>
        <row r="59">
          <cell r="C59" t="str">
            <v>M-03</v>
          </cell>
        </row>
        <row r="60">
          <cell r="C60" t="str">
            <v>M-04</v>
          </cell>
        </row>
        <row r="61">
          <cell r="C61" t="str">
            <v>M-05</v>
          </cell>
        </row>
        <row r="62">
          <cell r="C62" t="str">
            <v>M-06</v>
          </cell>
        </row>
        <row r="63">
          <cell r="C63" t="str">
            <v>M-07</v>
          </cell>
        </row>
        <row r="75">
          <cell r="R75" t="str">
            <v>HP2.5-75</v>
          </cell>
          <cell r="S75">
            <v>0</v>
          </cell>
        </row>
        <row r="76">
          <cell r="R76" t="str">
            <v>HP6-63</v>
          </cell>
          <cell r="S76">
            <v>0</v>
          </cell>
        </row>
        <row r="78">
          <cell r="R78" t="str">
            <v>GPM-15</v>
          </cell>
          <cell r="S78">
            <v>0</v>
          </cell>
        </row>
        <row r="79">
          <cell r="R79" t="str">
            <v>GPM-20</v>
          </cell>
          <cell r="S79">
            <v>0</v>
          </cell>
        </row>
        <row r="80">
          <cell r="R80" t="str">
            <v>GPM-25</v>
          </cell>
          <cell r="S80">
            <v>0</v>
          </cell>
        </row>
        <row r="81">
          <cell r="R81" t="str">
            <v>GPM-32</v>
          </cell>
          <cell r="S81">
            <v>0</v>
          </cell>
        </row>
        <row r="82">
          <cell r="R82" t="str">
            <v>GPM-40</v>
          </cell>
          <cell r="S82">
            <v>0</v>
          </cell>
        </row>
        <row r="83">
          <cell r="R83" t="str">
            <v>GPM-50</v>
          </cell>
          <cell r="S83">
            <v>0</v>
          </cell>
        </row>
        <row r="84">
          <cell r="R84" t="str">
            <v>GPM-63</v>
          </cell>
          <cell r="S84">
            <v>0</v>
          </cell>
        </row>
        <row r="85">
          <cell r="R85" t="str">
            <v>GPM-75</v>
          </cell>
          <cell r="S85">
            <v>0</v>
          </cell>
        </row>
        <row r="87">
          <cell r="R87" t="str">
            <v>GEL-15</v>
          </cell>
          <cell r="S87">
            <v>0</v>
          </cell>
        </row>
        <row r="88">
          <cell r="R88" t="str">
            <v>GEL-20</v>
          </cell>
          <cell r="S88">
            <v>0</v>
          </cell>
        </row>
        <row r="89">
          <cell r="R89" t="str">
            <v>GEL-25</v>
          </cell>
          <cell r="S89">
            <v>0</v>
          </cell>
        </row>
        <row r="90">
          <cell r="R90" t="str">
            <v>GEL-32</v>
          </cell>
          <cell r="S90">
            <v>0</v>
          </cell>
        </row>
        <row r="91">
          <cell r="R91" t="str">
            <v>GEL-40</v>
          </cell>
          <cell r="S91">
            <v>0</v>
          </cell>
        </row>
        <row r="92">
          <cell r="R92" t="str">
            <v>GEL-50</v>
          </cell>
          <cell r="S92">
            <v>0</v>
          </cell>
        </row>
        <row r="93">
          <cell r="R93" t="str">
            <v>GEL-63</v>
          </cell>
          <cell r="S93">
            <v>0</v>
          </cell>
        </row>
        <row r="94">
          <cell r="R94" t="str">
            <v>GEL-75</v>
          </cell>
          <cell r="S94">
            <v>0</v>
          </cell>
        </row>
        <row r="95">
          <cell r="R95" t="str">
            <v>GUN-15</v>
          </cell>
          <cell r="S95">
            <v>0</v>
          </cell>
        </row>
        <row r="96">
          <cell r="R96" t="str">
            <v>GUN-50</v>
          </cell>
          <cell r="S96">
            <v>0</v>
          </cell>
        </row>
        <row r="97">
          <cell r="R97" t="str">
            <v>GNI-15</v>
          </cell>
          <cell r="S97">
            <v>0</v>
          </cell>
        </row>
        <row r="98">
          <cell r="R98" t="str">
            <v>GNI-50</v>
          </cell>
          <cell r="S98">
            <v>0</v>
          </cell>
        </row>
        <row r="99">
          <cell r="R99" t="str">
            <v>GUT-50x15</v>
          </cell>
          <cell r="S99">
            <v>0</v>
          </cell>
        </row>
        <row r="100">
          <cell r="R100" t="str">
            <v>BGAV-50</v>
          </cell>
          <cell r="S100">
            <v>0</v>
          </cell>
        </row>
        <row r="101">
          <cell r="R101" t="str">
            <v>GRS-25x15</v>
          </cell>
          <cell r="S101">
            <v>0</v>
          </cell>
        </row>
        <row r="102">
          <cell r="R102" t="str">
            <v>BT400-15</v>
          </cell>
          <cell r="S102">
            <v>0</v>
          </cell>
        </row>
        <row r="103">
          <cell r="R103" t="str">
            <v>GEC-50</v>
          </cell>
          <cell r="S103">
            <v>0</v>
          </cell>
        </row>
        <row r="104">
          <cell r="R104" t="str">
            <v>GSO-15</v>
          </cell>
          <cell r="S104">
            <v>0</v>
          </cell>
        </row>
        <row r="105">
          <cell r="R105" t="str">
            <v>BU-20</v>
          </cell>
          <cell r="S105">
            <v>0</v>
          </cell>
        </row>
        <row r="106">
          <cell r="R106" t="str">
            <v>BU-25</v>
          </cell>
          <cell r="S106">
            <v>0</v>
          </cell>
        </row>
        <row r="107">
          <cell r="R107" t="str">
            <v>BU-32</v>
          </cell>
          <cell r="S107">
            <v>0</v>
          </cell>
        </row>
        <row r="108">
          <cell r="R108" t="str">
            <v>BU-40</v>
          </cell>
          <cell r="S108">
            <v>0</v>
          </cell>
        </row>
        <row r="109">
          <cell r="R109" t="str">
            <v>GHF-50</v>
          </cell>
          <cell r="S109">
            <v>0</v>
          </cell>
        </row>
        <row r="110">
          <cell r="R110" t="str">
            <v>GHF-63</v>
          </cell>
          <cell r="S110">
            <v>0</v>
          </cell>
        </row>
        <row r="111">
          <cell r="R111" t="str">
            <v>GHF-75</v>
          </cell>
          <cell r="S111">
            <v>0</v>
          </cell>
        </row>
        <row r="112">
          <cell r="R112" t="str">
            <v>GHF-90</v>
          </cell>
          <cell r="S112">
            <v>0</v>
          </cell>
        </row>
        <row r="115">
          <cell r="R115" t="str">
            <v>HP6-50</v>
          </cell>
        </row>
        <row r="116">
          <cell r="R116" t="str">
            <v>HP6-40</v>
          </cell>
        </row>
        <row r="117">
          <cell r="R117" t="str">
            <v>GC- 63</v>
          </cell>
        </row>
        <row r="118">
          <cell r="R118" t="str">
            <v>BT400-15</v>
          </cell>
        </row>
        <row r="119">
          <cell r="R119" t="str">
            <v>GTL-13</v>
          </cell>
        </row>
        <row r="133">
          <cell r="R133" t="str">
            <v>HP2.5-75</v>
          </cell>
          <cell r="S133">
            <v>0</v>
          </cell>
        </row>
        <row r="134">
          <cell r="R134" t="str">
            <v>HP6-63</v>
          </cell>
          <cell r="S134">
            <v>0</v>
          </cell>
        </row>
        <row r="136">
          <cell r="R136" t="str">
            <v>GPM-15</v>
          </cell>
          <cell r="S136">
            <v>0</v>
          </cell>
        </row>
        <row r="137">
          <cell r="R137" t="str">
            <v>GPM-20</v>
          </cell>
          <cell r="S137">
            <v>0</v>
          </cell>
        </row>
        <row r="138">
          <cell r="R138" t="str">
            <v>GPM-25</v>
          </cell>
          <cell r="S138">
            <v>0</v>
          </cell>
        </row>
        <row r="139">
          <cell r="R139" t="str">
            <v>GPM-32</v>
          </cell>
          <cell r="S139">
            <v>0</v>
          </cell>
        </row>
        <row r="140">
          <cell r="R140" t="str">
            <v>GPM-40</v>
          </cell>
          <cell r="S140">
            <v>0</v>
          </cell>
        </row>
        <row r="141">
          <cell r="R141" t="str">
            <v>GPM-50</v>
          </cell>
          <cell r="S141">
            <v>0</v>
          </cell>
        </row>
        <row r="142">
          <cell r="R142" t="str">
            <v>GPM-63</v>
          </cell>
          <cell r="S142">
            <v>0</v>
          </cell>
        </row>
        <row r="143">
          <cell r="R143" t="str">
            <v>GPM-75</v>
          </cell>
          <cell r="S143">
            <v>0</v>
          </cell>
        </row>
        <row r="145">
          <cell r="R145" t="str">
            <v>GEL-15</v>
          </cell>
          <cell r="S145">
            <v>0</v>
          </cell>
        </row>
        <row r="146">
          <cell r="R146" t="str">
            <v>GEL-20</v>
          </cell>
          <cell r="S146">
            <v>0</v>
          </cell>
        </row>
        <row r="147">
          <cell r="R147" t="str">
            <v>GEL-25</v>
          </cell>
          <cell r="S147">
            <v>0</v>
          </cell>
        </row>
        <row r="148">
          <cell r="R148" t="str">
            <v>GEL-32</v>
          </cell>
          <cell r="S148">
            <v>0</v>
          </cell>
        </row>
        <row r="149">
          <cell r="R149" t="str">
            <v>GEL-40</v>
          </cell>
          <cell r="S149">
            <v>0</v>
          </cell>
        </row>
        <row r="150">
          <cell r="R150" t="str">
            <v>GEL-50</v>
          </cell>
          <cell r="S150">
            <v>0</v>
          </cell>
        </row>
        <row r="151">
          <cell r="R151" t="str">
            <v>GEL-63</v>
          </cell>
          <cell r="S151">
            <v>0</v>
          </cell>
        </row>
        <row r="152">
          <cell r="R152" t="str">
            <v>GEL-75</v>
          </cell>
          <cell r="S152">
            <v>0</v>
          </cell>
        </row>
        <row r="153">
          <cell r="R153" t="str">
            <v>GUN-15</v>
          </cell>
          <cell r="S153">
            <v>0</v>
          </cell>
        </row>
        <row r="154">
          <cell r="R154" t="str">
            <v>GUN-50</v>
          </cell>
          <cell r="S154">
            <v>0</v>
          </cell>
        </row>
        <row r="155">
          <cell r="R155" t="str">
            <v>GNI-15</v>
          </cell>
          <cell r="S155">
            <v>0</v>
          </cell>
        </row>
        <row r="156">
          <cell r="R156" t="str">
            <v>GNI-50</v>
          </cell>
          <cell r="S156">
            <v>0</v>
          </cell>
        </row>
        <row r="157">
          <cell r="R157" t="str">
            <v>GUT-50x15</v>
          </cell>
          <cell r="S157">
            <v>0</v>
          </cell>
        </row>
        <row r="158">
          <cell r="R158" t="str">
            <v>BGAV-50</v>
          </cell>
          <cell r="S158">
            <v>0</v>
          </cell>
        </row>
        <row r="159">
          <cell r="R159" t="str">
            <v>GRS-25x15</v>
          </cell>
          <cell r="S159">
            <v>0</v>
          </cell>
        </row>
        <row r="160">
          <cell r="R160" t="str">
            <v>BT400-15</v>
          </cell>
          <cell r="S160">
            <v>0</v>
          </cell>
        </row>
        <row r="161">
          <cell r="R161" t="str">
            <v>GEC-50</v>
          </cell>
          <cell r="S161">
            <v>0</v>
          </cell>
        </row>
        <row r="162">
          <cell r="R162" t="str">
            <v>GSO-15</v>
          </cell>
          <cell r="S162">
            <v>0</v>
          </cell>
        </row>
        <row r="163">
          <cell r="R163" t="str">
            <v>BU-20</v>
          </cell>
          <cell r="S163">
            <v>0</v>
          </cell>
        </row>
        <row r="164">
          <cell r="R164" t="str">
            <v>BU-25</v>
          </cell>
          <cell r="S164">
            <v>0</v>
          </cell>
        </row>
        <row r="165">
          <cell r="R165" t="str">
            <v>BU-32</v>
          </cell>
          <cell r="S165">
            <v>0</v>
          </cell>
        </row>
        <row r="166">
          <cell r="R166" t="str">
            <v>BU-40</v>
          </cell>
          <cell r="S166">
            <v>0</v>
          </cell>
        </row>
        <row r="167">
          <cell r="R167" t="str">
            <v>GHF-50</v>
          </cell>
          <cell r="S167">
            <v>0</v>
          </cell>
        </row>
        <row r="168">
          <cell r="R168" t="str">
            <v>GHF-63</v>
          </cell>
          <cell r="S168">
            <v>0</v>
          </cell>
        </row>
        <row r="169">
          <cell r="R169" t="str">
            <v>GHF-75</v>
          </cell>
          <cell r="S169">
            <v>0</v>
          </cell>
        </row>
        <row r="170">
          <cell r="R170" t="str">
            <v>GHF-90</v>
          </cell>
          <cell r="S170">
            <v>0</v>
          </cell>
        </row>
        <row r="173">
          <cell r="R173" t="str">
            <v>HP6-50</v>
          </cell>
        </row>
        <row r="174">
          <cell r="R174" t="str">
            <v>HP6-40</v>
          </cell>
        </row>
        <row r="175">
          <cell r="R175" t="str">
            <v>GRS-25x15</v>
          </cell>
        </row>
        <row r="176">
          <cell r="R176" t="str">
            <v>BT400-15</v>
          </cell>
        </row>
        <row r="192">
          <cell r="R192" t="str">
            <v>HP2.5-75</v>
          </cell>
          <cell r="S192">
            <v>0</v>
          </cell>
        </row>
        <row r="193">
          <cell r="R193" t="str">
            <v>HP6-63</v>
          </cell>
          <cell r="S193">
            <v>0</v>
          </cell>
        </row>
        <row r="195">
          <cell r="R195" t="str">
            <v>GPM-15</v>
          </cell>
          <cell r="S195">
            <v>0</v>
          </cell>
        </row>
        <row r="196">
          <cell r="R196" t="str">
            <v>GPM-20</v>
          </cell>
          <cell r="S196">
            <v>0</v>
          </cell>
        </row>
        <row r="197">
          <cell r="R197" t="str">
            <v>GPM-25</v>
          </cell>
          <cell r="S197">
            <v>0</v>
          </cell>
        </row>
        <row r="198">
          <cell r="R198" t="str">
            <v>GPM-32</v>
          </cell>
          <cell r="S198">
            <v>0</v>
          </cell>
        </row>
        <row r="199">
          <cell r="R199" t="str">
            <v>GPM-40</v>
          </cell>
          <cell r="S199">
            <v>0</v>
          </cell>
        </row>
        <row r="200">
          <cell r="R200" t="str">
            <v>GPM-50</v>
          </cell>
          <cell r="S200">
            <v>0</v>
          </cell>
        </row>
        <row r="201">
          <cell r="R201" t="str">
            <v>GPM-63</v>
          </cell>
          <cell r="S201">
            <v>0</v>
          </cell>
        </row>
        <row r="202">
          <cell r="R202" t="str">
            <v>GPM-75</v>
          </cell>
          <cell r="S202">
            <v>0</v>
          </cell>
        </row>
        <row r="204">
          <cell r="R204" t="str">
            <v>GEL-15</v>
          </cell>
          <cell r="S204">
            <v>0</v>
          </cell>
        </row>
        <row r="205">
          <cell r="R205" t="str">
            <v>GEL-20</v>
          </cell>
          <cell r="S205">
            <v>0</v>
          </cell>
        </row>
        <row r="206">
          <cell r="R206" t="str">
            <v>GEL-25</v>
          </cell>
          <cell r="S206">
            <v>0</v>
          </cell>
        </row>
        <row r="207">
          <cell r="R207" t="str">
            <v>GEL-32</v>
          </cell>
          <cell r="S207">
            <v>0</v>
          </cell>
        </row>
        <row r="208">
          <cell r="R208" t="str">
            <v>GEL-40</v>
          </cell>
          <cell r="S208">
            <v>0</v>
          </cell>
        </row>
        <row r="209">
          <cell r="R209" t="str">
            <v>GEL-50</v>
          </cell>
          <cell r="S209">
            <v>0</v>
          </cell>
        </row>
        <row r="210">
          <cell r="R210" t="str">
            <v>GEL-63</v>
          </cell>
          <cell r="S210">
            <v>0</v>
          </cell>
        </row>
        <row r="211">
          <cell r="R211" t="str">
            <v>GEL-75</v>
          </cell>
          <cell r="S211">
            <v>0</v>
          </cell>
        </row>
        <row r="212">
          <cell r="R212" t="str">
            <v>GUN-15</v>
          </cell>
          <cell r="S212">
            <v>0</v>
          </cell>
        </row>
        <row r="213">
          <cell r="R213" t="str">
            <v>GUN-50</v>
          </cell>
          <cell r="S213">
            <v>0</v>
          </cell>
        </row>
        <row r="214">
          <cell r="R214" t="str">
            <v>GNI-15</v>
          </cell>
          <cell r="S214">
            <v>0</v>
          </cell>
        </row>
        <row r="215">
          <cell r="R215" t="str">
            <v>GNI-50</v>
          </cell>
          <cell r="S215">
            <v>0</v>
          </cell>
        </row>
        <row r="216">
          <cell r="R216" t="str">
            <v>GUT-50x15</v>
          </cell>
          <cell r="S216">
            <v>0</v>
          </cell>
        </row>
        <row r="217">
          <cell r="R217" t="str">
            <v>BGAV-50</v>
          </cell>
          <cell r="S217">
            <v>0</v>
          </cell>
        </row>
        <row r="218">
          <cell r="R218" t="str">
            <v>GRS-25x15</v>
          </cell>
          <cell r="S218">
            <v>0</v>
          </cell>
        </row>
        <row r="219">
          <cell r="R219" t="str">
            <v>BT400-15</v>
          </cell>
          <cell r="S219">
            <v>0</v>
          </cell>
        </row>
        <row r="220">
          <cell r="R220" t="str">
            <v>GEC-50</v>
          </cell>
          <cell r="S220">
            <v>0</v>
          </cell>
        </row>
        <row r="221">
          <cell r="R221" t="str">
            <v>GSO-15</v>
          </cell>
          <cell r="S221">
            <v>0</v>
          </cell>
        </row>
        <row r="222">
          <cell r="R222" t="str">
            <v>BU-20</v>
          </cell>
          <cell r="S222">
            <v>0</v>
          </cell>
        </row>
        <row r="223">
          <cell r="R223" t="str">
            <v>BU-25</v>
          </cell>
          <cell r="S223">
            <v>0</v>
          </cell>
        </row>
        <row r="224">
          <cell r="R224" t="str">
            <v>BU-32</v>
          </cell>
          <cell r="S224">
            <v>0</v>
          </cell>
        </row>
        <row r="225">
          <cell r="R225" t="str">
            <v>BU-40</v>
          </cell>
          <cell r="S225">
            <v>0</v>
          </cell>
        </row>
        <row r="226">
          <cell r="R226" t="str">
            <v>GHF-50</v>
          </cell>
          <cell r="S226">
            <v>0</v>
          </cell>
        </row>
        <row r="227">
          <cell r="R227" t="str">
            <v>GHF-63</v>
          </cell>
          <cell r="S227">
            <v>0</v>
          </cell>
        </row>
        <row r="228">
          <cell r="R228" t="str">
            <v>GHF-75</v>
          </cell>
          <cell r="S228">
            <v>0</v>
          </cell>
        </row>
        <row r="229">
          <cell r="R229" t="str">
            <v>GHF-90</v>
          </cell>
          <cell r="S229">
            <v>0</v>
          </cell>
        </row>
        <row r="232">
          <cell r="R232" t="str">
            <v>HP6-50</v>
          </cell>
        </row>
        <row r="233">
          <cell r="R233" t="str">
            <v>HP6-40</v>
          </cell>
        </row>
        <row r="234">
          <cell r="R234" t="str">
            <v>GRS-25x15</v>
          </cell>
        </row>
        <row r="235">
          <cell r="R235" t="str">
            <v>BT400-15</v>
          </cell>
        </row>
        <row r="250">
          <cell r="R250" t="str">
            <v>HP2.5-90</v>
          </cell>
          <cell r="S250">
            <v>10</v>
          </cell>
        </row>
        <row r="251">
          <cell r="R251" t="str">
            <v>HP6-63</v>
          </cell>
          <cell r="S251">
            <v>5</v>
          </cell>
        </row>
        <row r="253">
          <cell r="R253" t="str">
            <v>GPM-15</v>
          </cell>
          <cell r="S253">
            <v>2.4500000000000002</v>
          </cell>
        </row>
        <row r="254">
          <cell r="R254" t="str">
            <v>GPM-20</v>
          </cell>
          <cell r="S254">
            <v>3</v>
          </cell>
        </row>
        <row r="255">
          <cell r="R255" t="str">
            <v>GPM-25</v>
          </cell>
          <cell r="S255">
            <v>0</v>
          </cell>
        </row>
        <row r="256">
          <cell r="R256" t="str">
            <v>GPM-32</v>
          </cell>
          <cell r="S256">
            <v>0</v>
          </cell>
        </row>
        <row r="257">
          <cell r="R257" t="str">
            <v>GPM-40</v>
          </cell>
          <cell r="S257">
            <v>0</v>
          </cell>
        </row>
        <row r="258">
          <cell r="R258" t="str">
            <v>GPM-50</v>
          </cell>
          <cell r="S258">
            <v>7.1499999999999995</v>
          </cell>
        </row>
        <row r="259">
          <cell r="R259" t="str">
            <v>GPM-63</v>
          </cell>
          <cell r="S259">
            <v>0</v>
          </cell>
        </row>
        <row r="260">
          <cell r="R260" t="str">
            <v>GPM-75</v>
          </cell>
          <cell r="S260">
            <v>0</v>
          </cell>
        </row>
        <row r="262">
          <cell r="R262" t="str">
            <v>GEL-15</v>
          </cell>
          <cell r="S262">
            <v>2</v>
          </cell>
        </row>
        <row r="263">
          <cell r="R263" t="str">
            <v>GEL-20</v>
          </cell>
          <cell r="S263">
            <v>3</v>
          </cell>
        </row>
        <row r="264">
          <cell r="R264" t="str">
            <v>GEL-25</v>
          </cell>
          <cell r="S264">
            <v>0</v>
          </cell>
        </row>
        <row r="265">
          <cell r="R265" t="str">
            <v>GEL-32</v>
          </cell>
          <cell r="S265">
            <v>0</v>
          </cell>
        </row>
        <row r="266">
          <cell r="R266" t="str">
            <v>GEL-40</v>
          </cell>
          <cell r="S266">
            <v>0</v>
          </cell>
        </row>
        <row r="267">
          <cell r="R267" t="str">
            <v>GEL-50</v>
          </cell>
          <cell r="S267">
            <v>4</v>
          </cell>
        </row>
        <row r="268">
          <cell r="R268" t="str">
            <v>GEL-63</v>
          </cell>
          <cell r="S268">
            <v>0</v>
          </cell>
        </row>
        <row r="269">
          <cell r="R269" t="str">
            <v>GEL-75</v>
          </cell>
          <cell r="S269">
            <v>0</v>
          </cell>
        </row>
        <row r="270">
          <cell r="R270" t="str">
            <v>GUN-15</v>
          </cell>
          <cell r="S270">
            <v>1</v>
          </cell>
        </row>
        <row r="271">
          <cell r="R271" t="str">
            <v>GUN-50</v>
          </cell>
          <cell r="S271">
            <v>1</v>
          </cell>
        </row>
        <row r="272">
          <cell r="R272" t="str">
            <v>GNI-15</v>
          </cell>
          <cell r="S272">
            <v>1</v>
          </cell>
        </row>
        <row r="273">
          <cell r="R273" t="str">
            <v>GNI-50</v>
          </cell>
          <cell r="S273">
            <v>4</v>
          </cell>
        </row>
        <row r="274">
          <cell r="R274" t="str">
            <v>GUT-50x15</v>
          </cell>
          <cell r="S274">
            <v>1</v>
          </cell>
        </row>
        <row r="275">
          <cell r="R275" t="str">
            <v>BGAV-50</v>
          </cell>
          <cell r="S275">
            <v>2</v>
          </cell>
        </row>
        <row r="276">
          <cell r="R276" t="str">
            <v>GRS-25x15</v>
          </cell>
          <cell r="S276">
            <v>0</v>
          </cell>
        </row>
        <row r="277">
          <cell r="R277" t="str">
            <v>BT400-15</v>
          </cell>
          <cell r="S277">
            <v>0</v>
          </cell>
        </row>
        <row r="278">
          <cell r="R278" t="str">
            <v>GEC-50</v>
          </cell>
          <cell r="S278">
            <v>0</v>
          </cell>
        </row>
        <row r="279">
          <cell r="R279" t="str">
            <v>GSO-15</v>
          </cell>
          <cell r="S279">
            <v>0</v>
          </cell>
        </row>
        <row r="280">
          <cell r="R280" t="str">
            <v>BU-20</v>
          </cell>
          <cell r="S280">
            <v>0</v>
          </cell>
        </row>
        <row r="281">
          <cell r="R281" t="str">
            <v>BU-25</v>
          </cell>
          <cell r="S281">
            <v>1</v>
          </cell>
        </row>
        <row r="282">
          <cell r="R282" t="str">
            <v>BU-32</v>
          </cell>
          <cell r="S282">
            <v>0</v>
          </cell>
        </row>
        <row r="283">
          <cell r="R283" t="str">
            <v>BU-40</v>
          </cell>
          <cell r="S283">
            <v>0</v>
          </cell>
        </row>
        <row r="284">
          <cell r="R284" t="str">
            <v>GHF-50</v>
          </cell>
          <cell r="S284">
            <v>0</v>
          </cell>
        </row>
        <row r="285">
          <cell r="R285" t="str">
            <v>GHF-63</v>
          </cell>
          <cell r="S285">
            <v>1</v>
          </cell>
        </row>
        <row r="286">
          <cell r="R286" t="str">
            <v>GHF-75</v>
          </cell>
          <cell r="S286">
            <v>0</v>
          </cell>
        </row>
        <row r="287">
          <cell r="R287" t="str">
            <v>GHF-90</v>
          </cell>
          <cell r="S287">
            <v>0</v>
          </cell>
        </row>
        <row r="290">
          <cell r="R290" t="str">
            <v>GEL-25</v>
          </cell>
        </row>
        <row r="291">
          <cell r="R291" t="str">
            <v>GEL-50</v>
          </cell>
        </row>
        <row r="292">
          <cell r="R292" t="str">
            <v>GRS-25x15</v>
          </cell>
        </row>
        <row r="293">
          <cell r="R293" t="str">
            <v>BT400-15</v>
          </cell>
        </row>
        <row r="308">
          <cell r="R308" t="str">
            <v>HP2.5-90</v>
          </cell>
          <cell r="S308">
            <v>0</v>
          </cell>
        </row>
        <row r="309">
          <cell r="R309" t="str">
            <v>HP6-63</v>
          </cell>
          <cell r="S309">
            <v>0</v>
          </cell>
        </row>
        <row r="311">
          <cell r="R311" t="str">
            <v>GPM-15</v>
          </cell>
          <cell r="S311">
            <v>0</v>
          </cell>
        </row>
        <row r="312">
          <cell r="R312" t="str">
            <v>GPM-20</v>
          </cell>
          <cell r="S312">
            <v>0</v>
          </cell>
        </row>
        <row r="313">
          <cell r="R313" t="str">
            <v>GPM-25</v>
          </cell>
          <cell r="S313">
            <v>0</v>
          </cell>
        </row>
        <row r="314">
          <cell r="R314" t="str">
            <v>GPM-32</v>
          </cell>
          <cell r="S314">
            <v>0</v>
          </cell>
        </row>
        <row r="315">
          <cell r="R315" t="str">
            <v>GPM-40</v>
          </cell>
          <cell r="S315">
            <v>0</v>
          </cell>
        </row>
        <row r="316">
          <cell r="R316" t="str">
            <v>GPM-50</v>
          </cell>
          <cell r="S316">
            <v>0</v>
          </cell>
        </row>
        <row r="317">
          <cell r="R317" t="str">
            <v>GPM-63</v>
          </cell>
          <cell r="S317">
            <v>0</v>
          </cell>
        </row>
        <row r="318">
          <cell r="R318" t="str">
            <v>GPM-75</v>
          </cell>
          <cell r="S318">
            <v>0</v>
          </cell>
        </row>
        <row r="320">
          <cell r="R320" t="str">
            <v>GEL-15</v>
          </cell>
          <cell r="S320">
            <v>0</v>
          </cell>
        </row>
        <row r="321">
          <cell r="R321" t="str">
            <v>GEL-20</v>
          </cell>
          <cell r="S321">
            <v>0</v>
          </cell>
        </row>
        <row r="322">
          <cell r="R322" t="str">
            <v>GEL-25</v>
          </cell>
          <cell r="S322">
            <v>0</v>
          </cell>
        </row>
        <row r="323">
          <cell r="R323" t="str">
            <v>GEL-32</v>
          </cell>
          <cell r="S323">
            <v>0</v>
          </cell>
        </row>
        <row r="324">
          <cell r="R324" t="str">
            <v>GEL-40</v>
          </cell>
          <cell r="S324">
            <v>0</v>
          </cell>
        </row>
        <row r="325">
          <cell r="R325" t="str">
            <v>GEL-50</v>
          </cell>
          <cell r="S325">
            <v>0</v>
          </cell>
        </row>
        <row r="326">
          <cell r="R326" t="str">
            <v>GEL-63</v>
          </cell>
          <cell r="S326">
            <v>0</v>
          </cell>
        </row>
        <row r="327">
          <cell r="R327" t="str">
            <v>GEL-75</v>
          </cell>
          <cell r="S327">
            <v>0</v>
          </cell>
        </row>
        <row r="328">
          <cell r="R328" t="str">
            <v>GUN-15</v>
          </cell>
          <cell r="S328">
            <v>0</v>
          </cell>
        </row>
        <row r="329">
          <cell r="R329" t="str">
            <v>GUN-50</v>
          </cell>
          <cell r="S329">
            <v>0</v>
          </cell>
        </row>
        <row r="330">
          <cell r="R330" t="str">
            <v>GNI-15</v>
          </cell>
          <cell r="S330">
            <v>0</v>
          </cell>
        </row>
        <row r="331">
          <cell r="R331" t="str">
            <v>GNI-50</v>
          </cell>
          <cell r="S331">
            <v>0</v>
          </cell>
        </row>
        <row r="332">
          <cell r="R332" t="str">
            <v>GUT-50x15</v>
          </cell>
          <cell r="S332">
            <v>0</v>
          </cell>
        </row>
        <row r="333">
          <cell r="R333" t="str">
            <v>BGAV-50</v>
          </cell>
          <cell r="S333">
            <v>0</v>
          </cell>
        </row>
        <row r="334">
          <cell r="R334" t="str">
            <v>GRS-25x15</v>
          </cell>
          <cell r="S334">
            <v>0</v>
          </cell>
        </row>
        <row r="335">
          <cell r="R335" t="str">
            <v>BT400-15</v>
          </cell>
          <cell r="S335">
            <v>0</v>
          </cell>
        </row>
        <row r="336">
          <cell r="R336" t="str">
            <v>GEC-50</v>
          </cell>
          <cell r="S336">
            <v>0</v>
          </cell>
        </row>
        <row r="337">
          <cell r="R337" t="str">
            <v>GSO-15</v>
          </cell>
          <cell r="S337">
            <v>0</v>
          </cell>
        </row>
        <row r="338">
          <cell r="R338" t="str">
            <v>BU-20</v>
          </cell>
          <cell r="S338">
            <v>0</v>
          </cell>
        </row>
        <row r="339">
          <cell r="R339" t="str">
            <v>BU-25</v>
          </cell>
          <cell r="S339">
            <v>0</v>
          </cell>
        </row>
        <row r="340">
          <cell r="R340" t="str">
            <v>BU-32</v>
          </cell>
          <cell r="S340">
            <v>0</v>
          </cell>
        </row>
        <row r="341">
          <cell r="R341" t="str">
            <v>BU-40</v>
          </cell>
          <cell r="S341">
            <v>0</v>
          </cell>
        </row>
        <row r="342">
          <cell r="R342" t="str">
            <v>GHF-50</v>
          </cell>
          <cell r="S342">
            <v>0</v>
          </cell>
        </row>
        <row r="343">
          <cell r="R343" t="str">
            <v>GHF-63</v>
          </cell>
          <cell r="S343">
            <v>0</v>
          </cell>
        </row>
        <row r="344">
          <cell r="R344" t="str">
            <v>GHF-75</v>
          </cell>
          <cell r="S344">
            <v>0</v>
          </cell>
        </row>
        <row r="345">
          <cell r="R345" t="str">
            <v>GHF-90</v>
          </cell>
          <cell r="S345">
            <v>0</v>
          </cell>
        </row>
        <row r="348">
          <cell r="R348" t="str">
            <v>GEL-25</v>
          </cell>
        </row>
        <row r="349">
          <cell r="R349" t="str">
            <v>GEL-50</v>
          </cell>
        </row>
        <row r="350">
          <cell r="R350" t="str">
            <v>GRS-25x15</v>
          </cell>
        </row>
        <row r="351">
          <cell r="R351" t="str">
            <v>BT400-15</v>
          </cell>
        </row>
        <row r="366">
          <cell r="R366" t="str">
            <v>HP10-20</v>
          </cell>
          <cell r="S366">
            <v>0</v>
          </cell>
        </row>
        <row r="367">
          <cell r="R367" t="str">
            <v>HP10-25</v>
          </cell>
          <cell r="S367">
            <v>0</v>
          </cell>
        </row>
        <row r="368">
          <cell r="R368" t="str">
            <v>HP10-32</v>
          </cell>
          <cell r="S368">
            <v>0</v>
          </cell>
        </row>
        <row r="369">
          <cell r="R369" t="str">
            <v>HP10-40</v>
          </cell>
          <cell r="S369">
            <v>0</v>
          </cell>
        </row>
        <row r="370">
          <cell r="R370" t="str">
            <v>HP10-50</v>
          </cell>
          <cell r="S370">
            <v>0</v>
          </cell>
        </row>
        <row r="371">
          <cell r="R371" t="str">
            <v>HP10-63</v>
          </cell>
          <cell r="S371">
            <v>0</v>
          </cell>
        </row>
        <row r="372">
          <cell r="R372" t="str">
            <v>HP6-75</v>
          </cell>
          <cell r="S372">
            <v>0</v>
          </cell>
        </row>
        <row r="373">
          <cell r="R373" t="str">
            <v>HP4-90</v>
          </cell>
          <cell r="S373">
            <v>0</v>
          </cell>
        </row>
        <row r="374">
          <cell r="R374" t="str">
            <v>HP2.5-90</v>
          </cell>
          <cell r="S374">
            <v>0</v>
          </cell>
        </row>
        <row r="376">
          <cell r="R376" t="str">
            <v>HEL-20</v>
          </cell>
          <cell r="S376">
            <v>0</v>
          </cell>
        </row>
        <row r="377">
          <cell r="R377" t="str">
            <v>HEL-25</v>
          </cell>
          <cell r="S377">
            <v>0</v>
          </cell>
        </row>
        <row r="378">
          <cell r="R378" t="str">
            <v>HEL-32</v>
          </cell>
          <cell r="S378">
            <v>0</v>
          </cell>
        </row>
        <row r="379">
          <cell r="R379" t="str">
            <v>HEL-40</v>
          </cell>
          <cell r="S379">
            <v>0</v>
          </cell>
        </row>
        <row r="380">
          <cell r="R380" t="str">
            <v>HEL-50</v>
          </cell>
          <cell r="S380">
            <v>0</v>
          </cell>
        </row>
        <row r="381">
          <cell r="R381" t="str">
            <v>HEL-63</v>
          </cell>
          <cell r="S381">
            <v>0</v>
          </cell>
        </row>
        <row r="382">
          <cell r="R382" t="str">
            <v>HEL-75</v>
          </cell>
          <cell r="S382">
            <v>0</v>
          </cell>
        </row>
        <row r="383">
          <cell r="R383" t="str">
            <v>HEL-90</v>
          </cell>
          <cell r="S383">
            <v>0</v>
          </cell>
        </row>
        <row r="384">
          <cell r="R384" t="str">
            <v>PNI-63</v>
          </cell>
          <cell r="S384">
            <v>0</v>
          </cell>
        </row>
        <row r="385">
          <cell r="R385" t="str">
            <v>PNI-32</v>
          </cell>
          <cell r="S385">
            <v>0</v>
          </cell>
        </row>
        <row r="386">
          <cell r="R386" t="str">
            <v>PGAV-63</v>
          </cell>
          <cell r="S386">
            <v>0</v>
          </cell>
        </row>
        <row r="387">
          <cell r="R387" t="str">
            <v>PUT-63x32</v>
          </cell>
          <cell r="S387">
            <v>0</v>
          </cell>
        </row>
        <row r="388">
          <cell r="R388" t="str">
            <v>PEL-63</v>
          </cell>
          <cell r="S388">
            <v>0</v>
          </cell>
        </row>
        <row r="389">
          <cell r="R389" t="str">
            <v>PEC-63</v>
          </cell>
          <cell r="S389">
            <v>0</v>
          </cell>
        </row>
        <row r="390">
          <cell r="R390" t="str">
            <v>PHF-20</v>
          </cell>
          <cell r="S390">
            <v>0</v>
          </cell>
        </row>
        <row r="391">
          <cell r="R391" t="str">
            <v>PHF-25</v>
          </cell>
          <cell r="S391">
            <v>0</v>
          </cell>
        </row>
        <row r="392">
          <cell r="R392" t="str">
            <v>PHF-32</v>
          </cell>
          <cell r="S392">
            <v>0</v>
          </cell>
        </row>
        <row r="393">
          <cell r="R393" t="str">
            <v>PHF-40</v>
          </cell>
          <cell r="S393">
            <v>0</v>
          </cell>
        </row>
        <row r="394">
          <cell r="R394" t="str">
            <v>PHF-50</v>
          </cell>
          <cell r="S394">
            <v>0</v>
          </cell>
        </row>
        <row r="395">
          <cell r="R395" t="str">
            <v>PHF-63</v>
          </cell>
          <cell r="S395">
            <v>0</v>
          </cell>
        </row>
        <row r="396">
          <cell r="R396" t="str">
            <v>PHF-75</v>
          </cell>
          <cell r="S396">
            <v>0</v>
          </cell>
        </row>
        <row r="397">
          <cell r="R397" t="str">
            <v>PHF-90</v>
          </cell>
          <cell r="S397">
            <v>0</v>
          </cell>
        </row>
        <row r="400">
          <cell r="R400" t="str">
            <v>GEL-25</v>
          </cell>
        </row>
        <row r="401">
          <cell r="R401" t="str">
            <v>GEL-50</v>
          </cell>
        </row>
        <row r="402">
          <cell r="R402" t="str">
            <v>GRS-25x15</v>
          </cell>
        </row>
        <row r="403">
          <cell r="R403" t="str">
            <v>BT400-15</v>
          </cell>
        </row>
        <row r="418">
          <cell r="R418" t="str">
            <v>HP10-20</v>
          </cell>
          <cell r="S418">
            <v>0</v>
          </cell>
        </row>
        <row r="419">
          <cell r="R419" t="str">
            <v>HP10-25</v>
          </cell>
          <cell r="S419">
            <v>0</v>
          </cell>
        </row>
        <row r="420">
          <cell r="R420" t="str">
            <v>HP10-32</v>
          </cell>
          <cell r="S420">
            <v>0</v>
          </cell>
        </row>
        <row r="421">
          <cell r="R421" t="str">
            <v>HP10-40</v>
          </cell>
          <cell r="S421">
            <v>0</v>
          </cell>
        </row>
        <row r="422">
          <cell r="R422" t="str">
            <v>HP10-50</v>
          </cell>
          <cell r="S422">
            <v>0</v>
          </cell>
        </row>
        <row r="423">
          <cell r="R423" t="str">
            <v>HP10-63</v>
          </cell>
          <cell r="S423">
            <v>0</v>
          </cell>
        </row>
        <row r="424">
          <cell r="R424" t="str">
            <v>HP6-75</v>
          </cell>
          <cell r="S424">
            <v>0</v>
          </cell>
        </row>
        <row r="425">
          <cell r="R425" t="str">
            <v>HP4-90</v>
          </cell>
          <cell r="S425">
            <v>0</v>
          </cell>
        </row>
        <row r="426">
          <cell r="R426" t="str">
            <v>HP2.5-90</v>
          </cell>
          <cell r="S426">
            <v>0</v>
          </cell>
        </row>
        <row r="428">
          <cell r="R428" t="str">
            <v>HEL-20</v>
          </cell>
          <cell r="S428">
            <v>0</v>
          </cell>
        </row>
        <row r="429">
          <cell r="R429" t="str">
            <v>HEL-25</v>
          </cell>
          <cell r="S429">
            <v>0</v>
          </cell>
        </row>
        <row r="430">
          <cell r="R430" t="str">
            <v>HEL-32</v>
          </cell>
          <cell r="S430">
            <v>0</v>
          </cell>
        </row>
        <row r="431">
          <cell r="R431" t="str">
            <v>HEL-40</v>
          </cell>
          <cell r="S431">
            <v>0</v>
          </cell>
        </row>
        <row r="432">
          <cell r="R432" t="str">
            <v>HEL-50</v>
          </cell>
          <cell r="S432">
            <v>0</v>
          </cell>
        </row>
        <row r="433">
          <cell r="R433" t="str">
            <v>HEL-63</v>
          </cell>
          <cell r="S433">
            <v>0</v>
          </cell>
        </row>
        <row r="434">
          <cell r="R434" t="str">
            <v>HEL-75</v>
          </cell>
          <cell r="S434">
            <v>0</v>
          </cell>
        </row>
        <row r="435">
          <cell r="R435" t="str">
            <v>HEL-90</v>
          </cell>
          <cell r="S435">
            <v>0</v>
          </cell>
        </row>
        <row r="436">
          <cell r="R436" t="str">
            <v>PNI-63</v>
          </cell>
          <cell r="S436">
            <v>0</v>
          </cell>
        </row>
        <row r="437">
          <cell r="R437" t="str">
            <v>PNI-32</v>
          </cell>
          <cell r="S437">
            <v>0</v>
          </cell>
        </row>
        <row r="438">
          <cell r="R438" t="str">
            <v>PGAV-63</v>
          </cell>
          <cell r="S438">
            <v>0</v>
          </cell>
        </row>
        <row r="439">
          <cell r="R439" t="str">
            <v>PUT-63x32</v>
          </cell>
          <cell r="S439">
            <v>0</v>
          </cell>
        </row>
        <row r="440">
          <cell r="R440" t="str">
            <v>PEL-63</v>
          </cell>
          <cell r="S440">
            <v>0</v>
          </cell>
        </row>
        <row r="441">
          <cell r="R441" t="str">
            <v>PEC-63</v>
          </cell>
          <cell r="S441">
            <v>0</v>
          </cell>
        </row>
        <row r="442">
          <cell r="R442" t="str">
            <v>PHF-20</v>
          </cell>
          <cell r="S442">
            <v>0</v>
          </cell>
        </row>
        <row r="443">
          <cell r="R443" t="str">
            <v>PHF-25</v>
          </cell>
          <cell r="S443">
            <v>0</v>
          </cell>
        </row>
        <row r="444">
          <cell r="R444" t="str">
            <v>PHF-32</v>
          </cell>
          <cell r="S444">
            <v>0</v>
          </cell>
        </row>
        <row r="445">
          <cell r="R445" t="str">
            <v>PHF-40</v>
          </cell>
          <cell r="S445">
            <v>0</v>
          </cell>
        </row>
        <row r="446">
          <cell r="R446" t="str">
            <v>PHF-50</v>
          </cell>
          <cell r="S446">
            <v>0</v>
          </cell>
        </row>
        <row r="447">
          <cell r="R447" t="str">
            <v>PHF-63</v>
          </cell>
          <cell r="S447">
            <v>0</v>
          </cell>
        </row>
        <row r="448">
          <cell r="R448" t="str">
            <v>PHF-75</v>
          </cell>
          <cell r="S448">
            <v>0</v>
          </cell>
        </row>
        <row r="449">
          <cell r="R449" t="str">
            <v>PHF-90</v>
          </cell>
          <cell r="S449">
            <v>0</v>
          </cell>
        </row>
        <row r="452">
          <cell r="R452" t="str">
            <v>GEL-25</v>
          </cell>
        </row>
        <row r="453">
          <cell r="R453" t="str">
            <v>GEL-50</v>
          </cell>
        </row>
        <row r="454">
          <cell r="R454" t="str">
            <v>GRS-25x15</v>
          </cell>
        </row>
        <row r="455">
          <cell r="R455" t="str">
            <v>BT400-15</v>
          </cell>
        </row>
        <row r="470">
          <cell r="R470" t="str">
            <v>HP10-20</v>
          </cell>
          <cell r="S470">
            <v>0</v>
          </cell>
        </row>
        <row r="471">
          <cell r="R471" t="str">
            <v>HP10-25</v>
          </cell>
          <cell r="S471">
            <v>0</v>
          </cell>
        </row>
        <row r="472">
          <cell r="R472" t="str">
            <v>HP10-32</v>
          </cell>
          <cell r="S472">
            <v>0</v>
          </cell>
        </row>
        <row r="473">
          <cell r="R473" t="str">
            <v>HP10-40</v>
          </cell>
          <cell r="S473">
            <v>0</v>
          </cell>
        </row>
        <row r="474">
          <cell r="R474" t="str">
            <v>HP10-50</v>
          </cell>
          <cell r="S474">
            <v>0</v>
          </cell>
        </row>
        <row r="475">
          <cell r="R475" t="str">
            <v>HP10-63</v>
          </cell>
          <cell r="S475">
            <v>0</v>
          </cell>
        </row>
        <row r="476">
          <cell r="R476" t="str">
            <v>HP6-75</v>
          </cell>
          <cell r="S476">
            <v>0</v>
          </cell>
        </row>
        <row r="477">
          <cell r="R477" t="str">
            <v>HP4-90</v>
          </cell>
          <cell r="S477">
            <v>0</v>
          </cell>
        </row>
        <row r="478">
          <cell r="R478" t="str">
            <v>HP2.5-90</v>
          </cell>
          <cell r="S478">
            <v>0</v>
          </cell>
        </row>
        <row r="480">
          <cell r="R480" t="str">
            <v>HEL-20</v>
          </cell>
          <cell r="S480">
            <v>0</v>
          </cell>
        </row>
        <row r="481">
          <cell r="R481" t="str">
            <v>HEL-25</v>
          </cell>
          <cell r="S481">
            <v>0</v>
          </cell>
        </row>
        <row r="482">
          <cell r="R482" t="str">
            <v>HEL-32</v>
          </cell>
          <cell r="S482">
            <v>0</v>
          </cell>
        </row>
        <row r="483">
          <cell r="R483" t="str">
            <v>HEL-40</v>
          </cell>
          <cell r="S483">
            <v>0</v>
          </cell>
        </row>
        <row r="484">
          <cell r="R484" t="str">
            <v>HEL-50</v>
          </cell>
          <cell r="S484">
            <v>0</v>
          </cell>
        </row>
        <row r="485">
          <cell r="R485" t="str">
            <v>HEL-63</v>
          </cell>
          <cell r="S485">
            <v>0</v>
          </cell>
        </row>
        <row r="486">
          <cell r="R486" t="str">
            <v>HEL-75</v>
          </cell>
          <cell r="S486">
            <v>0</v>
          </cell>
        </row>
        <row r="487">
          <cell r="R487" t="str">
            <v>HEL-90</v>
          </cell>
          <cell r="S487">
            <v>0</v>
          </cell>
        </row>
        <row r="488">
          <cell r="R488" t="str">
            <v>PNI-63</v>
          </cell>
          <cell r="S488">
            <v>0</v>
          </cell>
        </row>
        <row r="489">
          <cell r="R489" t="str">
            <v>PNI-32</v>
          </cell>
          <cell r="S489">
            <v>0</v>
          </cell>
        </row>
        <row r="490">
          <cell r="R490" t="str">
            <v>PGAV-63</v>
          </cell>
          <cell r="S490">
            <v>0</v>
          </cell>
        </row>
        <row r="491">
          <cell r="R491" t="str">
            <v>PUT-63x32</v>
          </cell>
          <cell r="S491">
            <v>0</v>
          </cell>
        </row>
        <row r="492">
          <cell r="R492" t="str">
            <v>PEL-63</v>
          </cell>
          <cell r="S492">
            <v>0</v>
          </cell>
        </row>
        <row r="493">
          <cell r="R493" t="str">
            <v>PEC-63</v>
          </cell>
          <cell r="S493">
            <v>0</v>
          </cell>
        </row>
        <row r="494">
          <cell r="R494" t="str">
            <v>PHF-20</v>
          </cell>
          <cell r="S494">
            <v>0</v>
          </cell>
        </row>
        <row r="495">
          <cell r="R495" t="str">
            <v>PHF-25</v>
          </cell>
          <cell r="S495">
            <v>0</v>
          </cell>
        </row>
        <row r="496">
          <cell r="R496" t="str">
            <v>PHF-32</v>
          </cell>
          <cell r="S496">
            <v>0</v>
          </cell>
        </row>
        <row r="497">
          <cell r="R497" t="str">
            <v>PHF-40</v>
          </cell>
          <cell r="S497">
            <v>0</v>
          </cell>
        </row>
        <row r="498">
          <cell r="R498" t="str">
            <v>PHF-50</v>
          </cell>
          <cell r="S498">
            <v>0</v>
          </cell>
        </row>
        <row r="499">
          <cell r="R499" t="str">
            <v>PHF-63</v>
          </cell>
          <cell r="S499">
            <v>0</v>
          </cell>
        </row>
        <row r="500">
          <cell r="R500" t="str">
            <v>PHF-75</v>
          </cell>
          <cell r="S500">
            <v>0</v>
          </cell>
        </row>
        <row r="501">
          <cell r="R501" t="str">
            <v>PHF-90</v>
          </cell>
          <cell r="S501">
            <v>0</v>
          </cell>
        </row>
        <row r="504">
          <cell r="R504" t="str">
            <v>GEL-25</v>
          </cell>
        </row>
        <row r="505">
          <cell r="R505" t="str">
            <v>GEL-50</v>
          </cell>
        </row>
        <row r="506">
          <cell r="R506" t="str">
            <v>GRS-25x15</v>
          </cell>
        </row>
        <row r="507">
          <cell r="R507" t="str">
            <v>BT400-15</v>
          </cell>
        </row>
        <row r="522">
          <cell r="R522" t="str">
            <v>HP10-20</v>
          </cell>
          <cell r="S522">
            <v>0</v>
          </cell>
        </row>
        <row r="523">
          <cell r="R523" t="str">
            <v>HP10-25</v>
          </cell>
          <cell r="S523">
            <v>0</v>
          </cell>
        </row>
        <row r="524">
          <cell r="R524" t="str">
            <v>HP10-32</v>
          </cell>
          <cell r="S524">
            <v>0</v>
          </cell>
        </row>
        <row r="525">
          <cell r="R525" t="str">
            <v>HP10-40</v>
          </cell>
          <cell r="S525">
            <v>0</v>
          </cell>
        </row>
        <row r="526">
          <cell r="R526" t="str">
            <v>HP10-50</v>
          </cell>
          <cell r="S526">
            <v>0</v>
          </cell>
        </row>
        <row r="527">
          <cell r="R527" t="str">
            <v>HP10-63</v>
          </cell>
          <cell r="S527">
            <v>0</v>
          </cell>
        </row>
        <row r="528">
          <cell r="R528" t="str">
            <v>HP6-75</v>
          </cell>
          <cell r="S528">
            <v>0</v>
          </cell>
        </row>
        <row r="529">
          <cell r="R529" t="str">
            <v>HP4-90</v>
          </cell>
          <cell r="S529">
            <v>0</v>
          </cell>
        </row>
        <row r="530">
          <cell r="R530" t="str">
            <v>HP2.5-90</v>
          </cell>
          <cell r="S530">
            <v>0</v>
          </cell>
        </row>
        <row r="532">
          <cell r="R532" t="str">
            <v>HEL-20</v>
          </cell>
          <cell r="S532">
            <v>0</v>
          </cell>
        </row>
        <row r="533">
          <cell r="R533" t="str">
            <v>HEL-25</v>
          </cell>
          <cell r="S533">
            <v>0</v>
          </cell>
        </row>
        <row r="534">
          <cell r="R534" t="str">
            <v>HEL-32</v>
          </cell>
          <cell r="S534">
            <v>0</v>
          </cell>
        </row>
        <row r="535">
          <cell r="R535" t="str">
            <v>HEL-40</v>
          </cell>
          <cell r="S535">
            <v>0</v>
          </cell>
        </row>
        <row r="536">
          <cell r="R536" t="str">
            <v>HEL-50</v>
          </cell>
          <cell r="S536">
            <v>0</v>
          </cell>
        </row>
        <row r="537">
          <cell r="R537" t="str">
            <v>HEL-63</v>
          </cell>
          <cell r="S537">
            <v>0</v>
          </cell>
        </row>
        <row r="538">
          <cell r="R538" t="str">
            <v>HEL-75</v>
          </cell>
          <cell r="S538">
            <v>0</v>
          </cell>
        </row>
        <row r="539">
          <cell r="R539" t="str">
            <v>HEL-90</v>
          </cell>
          <cell r="S539">
            <v>0</v>
          </cell>
        </row>
        <row r="540">
          <cell r="R540" t="str">
            <v>PNI-63</v>
          </cell>
          <cell r="S540">
            <v>0</v>
          </cell>
        </row>
        <row r="541">
          <cell r="R541" t="str">
            <v>PNI-32</v>
          </cell>
          <cell r="S541">
            <v>0</v>
          </cell>
        </row>
        <row r="542">
          <cell r="R542" t="str">
            <v>PGAV-63</v>
          </cell>
          <cell r="S542">
            <v>0</v>
          </cell>
        </row>
        <row r="543">
          <cell r="R543" t="str">
            <v>PUT-63x32</v>
          </cell>
          <cell r="S543">
            <v>0</v>
          </cell>
        </row>
        <row r="544">
          <cell r="R544" t="str">
            <v>PEL-63</v>
          </cell>
          <cell r="S544">
            <v>0</v>
          </cell>
        </row>
        <row r="545">
          <cell r="R545" t="str">
            <v>PEC-63</v>
          </cell>
          <cell r="S545">
            <v>0</v>
          </cell>
        </row>
        <row r="546">
          <cell r="R546" t="str">
            <v>PHF-20</v>
          </cell>
          <cell r="S546">
            <v>0</v>
          </cell>
        </row>
        <row r="547">
          <cell r="R547" t="str">
            <v>PHF-25</v>
          </cell>
          <cell r="S547">
            <v>0</v>
          </cell>
        </row>
        <row r="548">
          <cell r="R548" t="str">
            <v>PHF-32</v>
          </cell>
          <cell r="S548">
            <v>0</v>
          </cell>
        </row>
        <row r="549">
          <cell r="R549" t="str">
            <v>PHF-40</v>
          </cell>
          <cell r="S549">
            <v>0</v>
          </cell>
        </row>
        <row r="550">
          <cell r="R550" t="str">
            <v>PHF-50</v>
          </cell>
          <cell r="S550">
            <v>0</v>
          </cell>
        </row>
        <row r="551">
          <cell r="R551" t="str">
            <v>PHF-63</v>
          </cell>
          <cell r="S551">
            <v>0</v>
          </cell>
        </row>
        <row r="552">
          <cell r="R552" t="str">
            <v>PHF-75</v>
          </cell>
          <cell r="S552">
            <v>0</v>
          </cell>
        </row>
        <row r="553">
          <cell r="R553" t="str">
            <v>PHF-90</v>
          </cell>
          <cell r="S553">
            <v>0</v>
          </cell>
        </row>
        <row r="556">
          <cell r="R556" t="str">
            <v>GEL-25</v>
          </cell>
        </row>
        <row r="557">
          <cell r="R557" t="str">
            <v>GEL-50</v>
          </cell>
        </row>
        <row r="558">
          <cell r="R558" t="str">
            <v>GRS-25x15</v>
          </cell>
        </row>
        <row r="559">
          <cell r="R559" t="str">
            <v>BT400-15</v>
          </cell>
        </row>
        <row r="574">
          <cell r="R574" t="str">
            <v>HP10-20</v>
          </cell>
          <cell r="S574">
            <v>0</v>
          </cell>
        </row>
        <row r="575">
          <cell r="R575" t="str">
            <v>HP10-25</v>
          </cell>
          <cell r="S575">
            <v>0</v>
          </cell>
        </row>
        <row r="576">
          <cell r="R576" t="str">
            <v>HP10-32</v>
          </cell>
          <cell r="S576">
            <v>0</v>
          </cell>
        </row>
        <row r="577">
          <cell r="R577" t="str">
            <v>HP10-40</v>
          </cell>
          <cell r="S577">
            <v>0</v>
          </cell>
        </row>
        <row r="578">
          <cell r="R578" t="str">
            <v>HP10-50</v>
          </cell>
          <cell r="S578">
            <v>0</v>
          </cell>
        </row>
        <row r="579">
          <cell r="R579" t="str">
            <v>HP10-63</v>
          </cell>
          <cell r="S579">
            <v>0</v>
          </cell>
        </row>
        <row r="580">
          <cell r="R580" t="str">
            <v>HP6-75</v>
          </cell>
          <cell r="S580">
            <v>0</v>
          </cell>
        </row>
        <row r="581">
          <cell r="R581" t="str">
            <v>HP4-90</v>
          </cell>
          <cell r="S581">
            <v>0</v>
          </cell>
        </row>
        <row r="582">
          <cell r="R582" t="str">
            <v>HP2.5-90</v>
          </cell>
          <cell r="S582">
            <v>0</v>
          </cell>
        </row>
        <row r="584">
          <cell r="R584" t="str">
            <v>HEL-20</v>
          </cell>
          <cell r="S584">
            <v>0</v>
          </cell>
        </row>
        <row r="585">
          <cell r="R585" t="str">
            <v>HEL-25</v>
          </cell>
          <cell r="S585">
            <v>0</v>
          </cell>
        </row>
        <row r="586">
          <cell r="R586" t="str">
            <v>HEL-32</v>
          </cell>
          <cell r="S586">
            <v>0</v>
          </cell>
        </row>
        <row r="587">
          <cell r="R587" t="str">
            <v>HEL-40</v>
          </cell>
          <cell r="S587">
            <v>0</v>
          </cell>
        </row>
        <row r="588">
          <cell r="R588" t="str">
            <v>HEL-50</v>
          </cell>
          <cell r="S588">
            <v>0</v>
          </cell>
        </row>
        <row r="589">
          <cell r="R589" t="str">
            <v>HEL-63</v>
          </cell>
          <cell r="S589">
            <v>0</v>
          </cell>
        </row>
        <row r="590">
          <cell r="R590" t="str">
            <v>HEL-75</v>
          </cell>
          <cell r="S590">
            <v>0</v>
          </cell>
        </row>
        <row r="591">
          <cell r="R591" t="str">
            <v>HEL-90</v>
          </cell>
          <cell r="S591">
            <v>0</v>
          </cell>
        </row>
        <row r="592">
          <cell r="R592" t="str">
            <v>PNI-63</v>
          </cell>
          <cell r="S592">
            <v>0</v>
          </cell>
        </row>
        <row r="593">
          <cell r="R593" t="str">
            <v>PNI-32</v>
          </cell>
          <cell r="S593">
            <v>0</v>
          </cell>
        </row>
        <row r="594">
          <cell r="R594" t="str">
            <v>PGAV-63</v>
          </cell>
          <cell r="S594">
            <v>0</v>
          </cell>
        </row>
        <row r="595">
          <cell r="R595" t="str">
            <v>PUT-63x32</v>
          </cell>
          <cell r="S595">
            <v>0</v>
          </cell>
        </row>
        <row r="596">
          <cell r="R596" t="str">
            <v>PEL-63</v>
          </cell>
          <cell r="S596">
            <v>0</v>
          </cell>
        </row>
        <row r="597">
          <cell r="R597" t="str">
            <v>PEC-63</v>
          </cell>
          <cell r="S597">
            <v>0</v>
          </cell>
        </row>
        <row r="598">
          <cell r="R598" t="str">
            <v>PHF-20</v>
          </cell>
          <cell r="S598">
            <v>0</v>
          </cell>
        </row>
        <row r="599">
          <cell r="R599" t="str">
            <v>PHF-25</v>
          </cell>
          <cell r="S599">
            <v>0</v>
          </cell>
        </row>
        <row r="600">
          <cell r="R600" t="str">
            <v>PHF-32</v>
          </cell>
          <cell r="S600">
            <v>0</v>
          </cell>
        </row>
        <row r="601">
          <cell r="R601" t="str">
            <v>PHF-40</v>
          </cell>
          <cell r="S601">
            <v>0</v>
          </cell>
        </row>
        <row r="602">
          <cell r="R602" t="str">
            <v>PHF-50</v>
          </cell>
          <cell r="S602">
            <v>0</v>
          </cell>
        </row>
        <row r="603">
          <cell r="R603" t="str">
            <v>PHF-63</v>
          </cell>
          <cell r="S603">
            <v>0</v>
          </cell>
        </row>
        <row r="604">
          <cell r="R604" t="str">
            <v>PHF-75</v>
          </cell>
          <cell r="S604">
            <v>0</v>
          </cell>
        </row>
        <row r="605">
          <cell r="R605" t="str">
            <v>PHF-90</v>
          </cell>
          <cell r="S605">
            <v>0</v>
          </cell>
        </row>
        <row r="608">
          <cell r="R608" t="str">
            <v>GEL-25</v>
          </cell>
        </row>
        <row r="609">
          <cell r="R609" t="str">
            <v>GEL-50</v>
          </cell>
        </row>
        <row r="610">
          <cell r="R610" t="str">
            <v>GRS-25x15</v>
          </cell>
        </row>
        <row r="611">
          <cell r="R611" t="str">
            <v>BT400-15</v>
          </cell>
        </row>
      </sheetData>
      <sheetData sheetId="31" refreshError="1">
        <row r="6">
          <cell r="D6" t="str">
            <v>M-01</v>
          </cell>
          <cell r="F6">
            <v>0</v>
          </cell>
          <cell r="G6">
            <v>0</v>
          </cell>
          <cell r="H6">
            <v>0</v>
          </cell>
          <cell r="I6">
            <v>0</v>
          </cell>
          <cell r="J6">
            <v>0</v>
          </cell>
          <cell r="K6">
            <v>0</v>
          </cell>
          <cell r="L6">
            <v>0</v>
          </cell>
          <cell r="M6">
            <v>0</v>
          </cell>
          <cell r="N6">
            <v>0</v>
          </cell>
          <cell r="O6">
            <v>0</v>
          </cell>
          <cell r="P6">
            <v>0</v>
          </cell>
          <cell r="Q6">
            <v>0</v>
          </cell>
          <cell r="R6">
            <v>0</v>
          </cell>
          <cell r="S6">
            <v>0</v>
          </cell>
          <cell r="T6">
            <v>0</v>
          </cell>
        </row>
        <row r="7">
          <cell r="D7" t="str">
            <v>M-02</v>
          </cell>
          <cell r="F7">
            <v>0</v>
          </cell>
          <cell r="G7">
            <v>0</v>
          </cell>
          <cell r="H7">
            <v>0</v>
          </cell>
          <cell r="I7">
            <v>0</v>
          </cell>
          <cell r="J7">
            <v>0</v>
          </cell>
          <cell r="K7">
            <v>0</v>
          </cell>
          <cell r="L7">
            <v>0</v>
          </cell>
          <cell r="M7">
            <v>0</v>
          </cell>
          <cell r="N7">
            <v>0</v>
          </cell>
          <cell r="O7">
            <v>0</v>
          </cell>
          <cell r="P7">
            <v>0</v>
          </cell>
          <cell r="Q7">
            <v>0</v>
          </cell>
          <cell r="R7">
            <v>0</v>
          </cell>
          <cell r="S7">
            <v>0</v>
          </cell>
          <cell r="T7">
            <v>0</v>
          </cell>
        </row>
        <row r="8">
          <cell r="D8" t="str">
            <v>M-03</v>
          </cell>
          <cell r="F8">
            <v>0</v>
          </cell>
          <cell r="G8">
            <v>0</v>
          </cell>
          <cell r="H8">
            <v>0</v>
          </cell>
          <cell r="I8">
            <v>0</v>
          </cell>
          <cell r="J8">
            <v>0</v>
          </cell>
          <cell r="K8">
            <v>0</v>
          </cell>
          <cell r="L8">
            <v>0</v>
          </cell>
          <cell r="M8">
            <v>0</v>
          </cell>
          <cell r="N8">
            <v>0</v>
          </cell>
          <cell r="O8">
            <v>0</v>
          </cell>
          <cell r="P8">
            <v>0</v>
          </cell>
          <cell r="Q8">
            <v>0</v>
          </cell>
          <cell r="R8">
            <v>0</v>
          </cell>
          <cell r="S8">
            <v>0</v>
          </cell>
          <cell r="T8">
            <v>0</v>
          </cell>
        </row>
        <row r="9">
          <cell r="D9" t="str">
            <v>M-04</v>
          </cell>
          <cell r="F9">
            <v>0</v>
          </cell>
          <cell r="G9">
            <v>0</v>
          </cell>
          <cell r="H9">
            <v>0</v>
          </cell>
          <cell r="I9">
            <v>0</v>
          </cell>
          <cell r="J9">
            <v>0</v>
          </cell>
          <cell r="K9">
            <v>0</v>
          </cell>
          <cell r="L9">
            <v>0</v>
          </cell>
          <cell r="M9">
            <v>0</v>
          </cell>
          <cell r="N9">
            <v>0</v>
          </cell>
          <cell r="O9">
            <v>0</v>
          </cell>
          <cell r="P9">
            <v>0</v>
          </cell>
          <cell r="Q9">
            <v>0</v>
          </cell>
          <cell r="R9">
            <v>0</v>
          </cell>
          <cell r="S9">
            <v>0</v>
          </cell>
          <cell r="T9">
            <v>0</v>
          </cell>
        </row>
        <row r="10">
          <cell r="D10" t="str">
            <v>M-05</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row>
        <row r="11">
          <cell r="D11" t="str">
            <v>M-06</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row>
        <row r="12">
          <cell r="D12" t="str">
            <v>M-07</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row>
        <row r="13">
          <cell r="D13" t="str">
            <v>M-08</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row>
        <row r="14">
          <cell r="D14" t="str">
            <v>M-09</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row>
        <row r="15">
          <cell r="D15" t="str">
            <v>M-10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row>
        <row r="16">
          <cell r="D16" t="str">
            <v>M-11</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row>
        <row r="17">
          <cell r="D17" t="str">
            <v>M-12</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row>
        <row r="18">
          <cell r="D18" t="str">
            <v>M-13</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row>
        <row r="19">
          <cell r="D19" t="str">
            <v>M-14</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row>
        <row r="20">
          <cell r="D20" t="str">
            <v>M-15</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row>
        <row r="21">
          <cell r="D21" t="str">
            <v>M-16</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row>
        <row r="22">
          <cell r="D22" t="str">
            <v>M-17</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row>
        <row r="23">
          <cell r="D23" t="str">
            <v>M-18</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row>
        <row r="24">
          <cell r="D24" t="str">
            <v>M-19</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row>
        <row r="25">
          <cell r="D25" t="str">
            <v>M-20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row>
        <row r="26">
          <cell r="D26" t="str">
            <v>M-21</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row>
        <row r="27">
          <cell r="D27" t="str">
            <v>M-22</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row>
        <row r="28">
          <cell r="D28" t="str">
            <v>M-23</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row>
        <row r="29">
          <cell r="D29" t="str">
            <v>M-24</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row>
        <row r="30">
          <cell r="D30" t="str">
            <v>M-25</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row>
        <row r="31">
          <cell r="D31" t="str">
            <v>M-26</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row>
        <row r="32">
          <cell r="D32" t="str">
            <v>M-27</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row>
        <row r="33">
          <cell r="D33" t="str">
            <v>M-28</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row>
        <row r="34">
          <cell r="D34" t="str">
            <v>M-29</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row>
        <row r="35">
          <cell r="D35" t="str">
            <v>M-30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row>
        <row r="36">
          <cell r="D36" t="str">
            <v>M-31</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row>
        <row r="37">
          <cell r="D37" t="str">
            <v>M-32</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row>
        <row r="38">
          <cell r="D38" t="str">
            <v>M-33</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row>
        <row r="39">
          <cell r="D39" t="str">
            <v>M-34</v>
          </cell>
          <cell r="K39">
            <v>0</v>
          </cell>
          <cell r="L39">
            <v>0</v>
          </cell>
          <cell r="M39">
            <v>0</v>
          </cell>
          <cell r="N39">
            <v>0</v>
          </cell>
        </row>
        <row r="40">
          <cell r="D40" t="str">
            <v>M-35</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row>
        <row r="41">
          <cell r="D41" t="str">
            <v>M-36</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row>
        <row r="42">
          <cell r="D42" t="str">
            <v>M-37</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row>
        <row r="43">
          <cell r="D43" t="str">
            <v>M-38</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row>
        <row r="44">
          <cell r="D44" t="str">
            <v>M-39</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row>
        <row r="45">
          <cell r="D45" t="str">
            <v>M-40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row>
        <row r="46">
          <cell r="D46" t="str">
            <v>M-41</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row>
        <row r="47">
          <cell r="D47" t="str">
            <v>M-42</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row>
        <row r="48">
          <cell r="D48" t="str">
            <v>M-43</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row>
        <row r="49">
          <cell r="D49" t="str">
            <v>M-44</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row>
        <row r="50">
          <cell r="D50" t="str">
            <v>M-45</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row>
        <row r="53">
          <cell r="D53" t="str">
            <v>L-1</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row>
        <row r="54">
          <cell r="D54" t="str">
            <v>L-2</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row>
        <row r="57">
          <cell r="D57" t="str">
            <v>M-52</v>
          </cell>
        </row>
        <row r="76">
          <cell r="D76" t="str">
            <v>HP2.5-90</v>
          </cell>
          <cell r="E76">
            <v>0</v>
          </cell>
        </row>
        <row r="77">
          <cell r="D77" t="str">
            <v>HP10-20</v>
          </cell>
          <cell r="E77">
            <v>0</v>
          </cell>
        </row>
        <row r="78">
          <cell r="D78" t="str">
            <v>HP10-25</v>
          </cell>
          <cell r="E78">
            <v>0</v>
          </cell>
        </row>
        <row r="79">
          <cell r="D79" t="str">
            <v>HP6-32</v>
          </cell>
          <cell r="E79">
            <v>0</v>
          </cell>
        </row>
        <row r="80">
          <cell r="D80" t="str">
            <v>HP6-40</v>
          </cell>
          <cell r="E80">
            <v>0</v>
          </cell>
        </row>
        <row r="81">
          <cell r="D81" t="str">
            <v>HP6-50</v>
          </cell>
          <cell r="E81">
            <v>0</v>
          </cell>
        </row>
        <row r="82">
          <cell r="D82" t="str">
            <v>HP6-63</v>
          </cell>
          <cell r="E82">
            <v>0</v>
          </cell>
        </row>
        <row r="83">
          <cell r="D83" t="str">
            <v>HP4-75</v>
          </cell>
          <cell r="E83">
            <v>0</v>
          </cell>
        </row>
        <row r="84">
          <cell r="D84" t="str">
            <v>HP4-90</v>
          </cell>
          <cell r="E84">
            <v>0</v>
          </cell>
        </row>
        <row r="86">
          <cell r="D86" t="str">
            <v>GPM-15</v>
          </cell>
          <cell r="E86">
            <v>0</v>
          </cell>
        </row>
        <row r="87">
          <cell r="D87" t="str">
            <v>GPM-20</v>
          </cell>
          <cell r="E87">
            <v>0</v>
          </cell>
        </row>
        <row r="88">
          <cell r="D88" t="str">
            <v>GPM-25</v>
          </cell>
          <cell r="E88">
            <v>0</v>
          </cell>
        </row>
        <row r="89">
          <cell r="D89" t="str">
            <v>GPM-32</v>
          </cell>
          <cell r="E89">
            <v>0</v>
          </cell>
        </row>
        <row r="90">
          <cell r="D90" t="str">
            <v>GPM-40</v>
          </cell>
          <cell r="E90">
            <v>0</v>
          </cell>
        </row>
        <row r="91">
          <cell r="D91" t="str">
            <v>GPM-50</v>
          </cell>
          <cell r="E91">
            <v>0</v>
          </cell>
        </row>
        <row r="92">
          <cell r="D92" t="str">
            <v>GPM-63</v>
          </cell>
          <cell r="E92">
            <v>0</v>
          </cell>
        </row>
        <row r="93">
          <cell r="D93" t="str">
            <v>GPM-75</v>
          </cell>
          <cell r="E93">
            <v>0</v>
          </cell>
        </row>
        <row r="95">
          <cell r="D95" t="str">
            <v>GEL-15</v>
          </cell>
          <cell r="E95">
            <v>0</v>
          </cell>
        </row>
        <row r="96">
          <cell r="D96" t="str">
            <v>GEL-20</v>
          </cell>
          <cell r="E96">
            <v>0</v>
          </cell>
        </row>
        <row r="97">
          <cell r="D97" t="str">
            <v>GEL-25</v>
          </cell>
          <cell r="E97">
            <v>0</v>
          </cell>
        </row>
        <row r="98">
          <cell r="D98" t="str">
            <v>GEL-32</v>
          </cell>
          <cell r="E98">
            <v>0</v>
          </cell>
        </row>
        <row r="99">
          <cell r="D99" t="str">
            <v>GEL-40</v>
          </cell>
          <cell r="E99">
            <v>0</v>
          </cell>
        </row>
        <row r="100">
          <cell r="D100" t="str">
            <v>GEL-50</v>
          </cell>
          <cell r="E100">
            <v>0</v>
          </cell>
        </row>
        <row r="101">
          <cell r="D101" t="str">
            <v>GEL-63</v>
          </cell>
          <cell r="E101">
            <v>0</v>
          </cell>
        </row>
        <row r="102">
          <cell r="D102" t="str">
            <v>GEL-75</v>
          </cell>
          <cell r="E102">
            <v>0</v>
          </cell>
        </row>
        <row r="103">
          <cell r="D103" t="str">
            <v>HST-32</v>
          </cell>
          <cell r="E103">
            <v>0</v>
          </cell>
        </row>
        <row r="104">
          <cell r="D104" t="str">
            <v>HST-40</v>
          </cell>
          <cell r="E104">
            <v>0</v>
          </cell>
        </row>
        <row r="105">
          <cell r="D105" t="str">
            <v>HST-50</v>
          </cell>
          <cell r="E105">
            <v>0</v>
          </cell>
        </row>
        <row r="106">
          <cell r="D106" t="str">
            <v>HST-75</v>
          </cell>
          <cell r="E106">
            <v>0</v>
          </cell>
        </row>
        <row r="107">
          <cell r="D107" t="str">
            <v>GSO-15</v>
          </cell>
          <cell r="E107">
            <v>0</v>
          </cell>
        </row>
        <row r="108">
          <cell r="D108" t="str">
            <v>GSO-20</v>
          </cell>
          <cell r="E108">
            <v>0</v>
          </cell>
        </row>
        <row r="109">
          <cell r="D109" t="str">
            <v>GSO-25</v>
          </cell>
          <cell r="E109">
            <v>0</v>
          </cell>
        </row>
        <row r="110">
          <cell r="D110" t="str">
            <v>GSO-32</v>
          </cell>
          <cell r="E110">
            <v>0</v>
          </cell>
        </row>
        <row r="111">
          <cell r="D111" t="str">
            <v>GSO-40</v>
          </cell>
          <cell r="E111">
            <v>0</v>
          </cell>
        </row>
        <row r="112">
          <cell r="D112" t="str">
            <v>GSO-50</v>
          </cell>
          <cell r="E112">
            <v>0</v>
          </cell>
        </row>
        <row r="113">
          <cell r="D113" t="str">
            <v>GSO-63</v>
          </cell>
          <cell r="E113">
            <v>0</v>
          </cell>
        </row>
        <row r="114">
          <cell r="D114" t="str">
            <v>GSO-75</v>
          </cell>
          <cell r="E114">
            <v>0</v>
          </cell>
        </row>
        <row r="115">
          <cell r="D115" t="str">
            <v>GUN-15</v>
          </cell>
          <cell r="E115">
            <v>0</v>
          </cell>
        </row>
        <row r="116">
          <cell r="D116" t="str">
            <v>GUN-20</v>
          </cell>
          <cell r="E116">
            <v>0</v>
          </cell>
        </row>
        <row r="117">
          <cell r="D117" t="str">
            <v>GUN-25</v>
          </cell>
          <cell r="E117">
            <v>0</v>
          </cell>
        </row>
        <row r="118">
          <cell r="D118" t="str">
            <v>GUN-32</v>
          </cell>
          <cell r="E118">
            <v>0</v>
          </cell>
        </row>
        <row r="119">
          <cell r="D119" t="str">
            <v>GUN-40</v>
          </cell>
          <cell r="E119">
            <v>0</v>
          </cell>
        </row>
        <row r="120">
          <cell r="D120" t="str">
            <v>GUN-50</v>
          </cell>
          <cell r="E120">
            <v>0</v>
          </cell>
        </row>
        <row r="121">
          <cell r="D121" t="str">
            <v>GUN-63</v>
          </cell>
          <cell r="E121">
            <v>0</v>
          </cell>
        </row>
        <row r="122">
          <cell r="D122" t="str">
            <v>GUN-75</v>
          </cell>
          <cell r="E122">
            <v>0</v>
          </cell>
        </row>
        <row r="123">
          <cell r="D123" t="str">
            <v>GET-15</v>
          </cell>
          <cell r="E123">
            <v>0</v>
          </cell>
        </row>
        <row r="124">
          <cell r="D124" t="str">
            <v>GET-20</v>
          </cell>
          <cell r="E124">
            <v>0</v>
          </cell>
        </row>
        <row r="125">
          <cell r="D125" t="str">
            <v>GET-25</v>
          </cell>
          <cell r="E125">
            <v>0</v>
          </cell>
        </row>
        <row r="126">
          <cell r="D126" t="str">
            <v>GET-32</v>
          </cell>
          <cell r="E126">
            <v>0</v>
          </cell>
        </row>
        <row r="127">
          <cell r="D127" t="str">
            <v>GET-40</v>
          </cell>
          <cell r="E127">
            <v>0</v>
          </cell>
        </row>
        <row r="128">
          <cell r="D128" t="str">
            <v>GET-50</v>
          </cell>
          <cell r="E128">
            <v>0</v>
          </cell>
        </row>
        <row r="129">
          <cell r="D129" t="str">
            <v>GET-63</v>
          </cell>
          <cell r="E129">
            <v>0</v>
          </cell>
        </row>
        <row r="130">
          <cell r="D130" t="str">
            <v>GET-75</v>
          </cell>
          <cell r="E130">
            <v>0</v>
          </cell>
        </row>
        <row r="131">
          <cell r="D131" t="str">
            <v>GUT-20x15</v>
          </cell>
          <cell r="E131">
            <v>0</v>
          </cell>
        </row>
        <row r="132">
          <cell r="D132" t="str">
            <v>GUT-25x15</v>
          </cell>
          <cell r="E132">
            <v>0</v>
          </cell>
        </row>
        <row r="133">
          <cell r="D133" t="str">
            <v>GUT-32x15</v>
          </cell>
          <cell r="E133">
            <v>0</v>
          </cell>
        </row>
        <row r="134">
          <cell r="D134" t="str">
            <v>GUT-40x15</v>
          </cell>
          <cell r="E134">
            <v>0</v>
          </cell>
        </row>
        <row r="135">
          <cell r="D135" t="str">
            <v>GUT-50x15</v>
          </cell>
          <cell r="E135">
            <v>0</v>
          </cell>
        </row>
        <row r="136">
          <cell r="D136" t="str">
            <v>GUT-63x15</v>
          </cell>
          <cell r="E136">
            <v>0</v>
          </cell>
        </row>
        <row r="137">
          <cell r="D137" t="str">
            <v>GUT-75x15</v>
          </cell>
          <cell r="E137">
            <v>0</v>
          </cell>
        </row>
        <row r="138">
          <cell r="D138" t="str">
            <v>GNI-15</v>
          </cell>
          <cell r="E138">
            <v>0</v>
          </cell>
        </row>
        <row r="139">
          <cell r="D139" t="str">
            <v>GNI-20</v>
          </cell>
          <cell r="E139">
            <v>0</v>
          </cell>
        </row>
        <row r="140">
          <cell r="D140" t="str">
            <v>GNI-25</v>
          </cell>
          <cell r="E140">
            <v>0</v>
          </cell>
        </row>
        <row r="141">
          <cell r="D141" t="str">
            <v>GNI-32</v>
          </cell>
          <cell r="E141">
            <v>0</v>
          </cell>
        </row>
        <row r="142">
          <cell r="D142" t="str">
            <v>GNI-40</v>
          </cell>
          <cell r="E142">
            <v>0</v>
          </cell>
        </row>
        <row r="143">
          <cell r="D143" t="str">
            <v>GNI-50</v>
          </cell>
          <cell r="E143">
            <v>0</v>
          </cell>
        </row>
        <row r="144">
          <cell r="D144" t="str">
            <v>GNI-63</v>
          </cell>
          <cell r="E144">
            <v>0</v>
          </cell>
        </row>
        <row r="145">
          <cell r="D145" t="str">
            <v>GNI-75</v>
          </cell>
          <cell r="E145">
            <v>0</v>
          </cell>
        </row>
        <row r="146">
          <cell r="D146" t="str">
            <v>BGAV-15</v>
          </cell>
          <cell r="E146">
            <v>0</v>
          </cell>
        </row>
        <row r="147">
          <cell r="D147" t="str">
            <v>BGAV-20</v>
          </cell>
          <cell r="E147">
            <v>0</v>
          </cell>
        </row>
        <row r="148">
          <cell r="D148" t="str">
            <v>BGAV-25</v>
          </cell>
          <cell r="E148">
            <v>0</v>
          </cell>
        </row>
        <row r="149">
          <cell r="D149" t="str">
            <v>BGAV-32</v>
          </cell>
          <cell r="E149">
            <v>0</v>
          </cell>
        </row>
        <row r="150">
          <cell r="D150" t="str">
            <v>BGAV-40</v>
          </cell>
          <cell r="E150">
            <v>0</v>
          </cell>
        </row>
        <row r="151">
          <cell r="D151" t="str">
            <v>BGAV-50</v>
          </cell>
          <cell r="E151">
            <v>0</v>
          </cell>
        </row>
        <row r="152">
          <cell r="D152" t="str">
            <v>BGAV-63</v>
          </cell>
          <cell r="E152">
            <v>0</v>
          </cell>
        </row>
        <row r="153">
          <cell r="D153" t="str">
            <v>BGAV-75</v>
          </cell>
          <cell r="E153">
            <v>0</v>
          </cell>
        </row>
        <row r="154">
          <cell r="D154" t="str">
            <v>BU-20</v>
          </cell>
          <cell r="E154">
            <v>0</v>
          </cell>
        </row>
        <row r="155">
          <cell r="D155" t="str">
            <v>BU-25</v>
          </cell>
          <cell r="E155">
            <v>0</v>
          </cell>
        </row>
        <row r="156">
          <cell r="D156" t="str">
            <v>BU-32</v>
          </cell>
          <cell r="E156">
            <v>0</v>
          </cell>
        </row>
        <row r="157">
          <cell r="D157" t="str">
            <v>BU-40</v>
          </cell>
          <cell r="E157">
            <v>0</v>
          </cell>
        </row>
        <row r="158">
          <cell r="D158" t="str">
            <v>GHF-50</v>
          </cell>
          <cell r="E158">
            <v>0</v>
          </cell>
        </row>
        <row r="159">
          <cell r="D159" t="str">
            <v>GHF-63</v>
          </cell>
          <cell r="E159">
            <v>0</v>
          </cell>
        </row>
        <row r="160">
          <cell r="D160" t="str">
            <v>GHF-75</v>
          </cell>
          <cell r="E160">
            <v>0</v>
          </cell>
        </row>
        <row r="161">
          <cell r="D161" t="str">
            <v>GHF-90</v>
          </cell>
          <cell r="E161">
            <v>0</v>
          </cell>
        </row>
        <row r="164">
          <cell r="D164" t="str">
            <v>GEL-25</v>
          </cell>
        </row>
        <row r="165">
          <cell r="D165" t="str">
            <v>PVC-32</v>
          </cell>
        </row>
        <row r="182">
          <cell r="D182" t="str">
            <v>HP2.5-90</v>
          </cell>
          <cell r="E182">
            <v>0</v>
          </cell>
        </row>
        <row r="183">
          <cell r="D183" t="str">
            <v>HP10-20</v>
          </cell>
          <cell r="E183">
            <v>0</v>
          </cell>
        </row>
        <row r="184">
          <cell r="D184" t="str">
            <v>HP10-25</v>
          </cell>
          <cell r="E184">
            <v>0</v>
          </cell>
        </row>
        <row r="185">
          <cell r="D185" t="str">
            <v>HP6-32</v>
          </cell>
          <cell r="E185">
            <v>0</v>
          </cell>
        </row>
        <row r="186">
          <cell r="D186" t="str">
            <v>HP6-40</v>
          </cell>
          <cell r="E186">
            <v>0</v>
          </cell>
        </row>
        <row r="187">
          <cell r="D187" t="str">
            <v>HP6-50</v>
          </cell>
          <cell r="E187">
            <v>0</v>
          </cell>
        </row>
        <row r="188">
          <cell r="D188" t="str">
            <v>HP6-63</v>
          </cell>
          <cell r="E188">
            <v>0</v>
          </cell>
        </row>
        <row r="189">
          <cell r="D189" t="str">
            <v>HP4-75</v>
          </cell>
          <cell r="E189">
            <v>0</v>
          </cell>
        </row>
        <row r="190">
          <cell r="D190" t="str">
            <v>HP4-90</v>
          </cell>
          <cell r="E190">
            <v>0</v>
          </cell>
        </row>
        <row r="192">
          <cell r="D192" t="str">
            <v>GPM-15</v>
          </cell>
          <cell r="E192">
            <v>0</v>
          </cell>
        </row>
        <row r="193">
          <cell r="D193" t="str">
            <v>GPM-20</v>
          </cell>
          <cell r="E193">
            <v>0</v>
          </cell>
        </row>
        <row r="194">
          <cell r="D194" t="str">
            <v>GPM-25</v>
          </cell>
          <cell r="E194">
            <v>0</v>
          </cell>
        </row>
        <row r="195">
          <cell r="D195" t="str">
            <v>GPM-32</v>
          </cell>
          <cell r="E195">
            <v>0</v>
          </cell>
        </row>
        <row r="196">
          <cell r="D196" t="str">
            <v>GPM-40</v>
          </cell>
          <cell r="E196">
            <v>0</v>
          </cell>
        </row>
        <row r="197">
          <cell r="D197" t="str">
            <v>GPM-50</v>
          </cell>
          <cell r="E197">
            <v>0</v>
          </cell>
        </row>
        <row r="198">
          <cell r="D198" t="str">
            <v>GPM-63</v>
          </cell>
          <cell r="E198">
            <v>0</v>
          </cell>
        </row>
        <row r="199">
          <cell r="D199" t="str">
            <v>GPM-75</v>
          </cell>
          <cell r="E199">
            <v>0</v>
          </cell>
        </row>
        <row r="201">
          <cell r="D201" t="str">
            <v>GEL-15</v>
          </cell>
          <cell r="E201">
            <v>0</v>
          </cell>
        </row>
        <row r="202">
          <cell r="D202" t="str">
            <v>GEL-20</v>
          </cell>
          <cell r="E202">
            <v>0</v>
          </cell>
        </row>
        <row r="203">
          <cell r="D203" t="str">
            <v>GEL-25</v>
          </cell>
          <cell r="E203">
            <v>0</v>
          </cell>
        </row>
        <row r="204">
          <cell r="D204" t="str">
            <v>GEL-32</v>
          </cell>
          <cell r="E204">
            <v>0</v>
          </cell>
        </row>
        <row r="205">
          <cell r="D205" t="str">
            <v>GEL-40</v>
          </cell>
          <cell r="E205">
            <v>0</v>
          </cell>
        </row>
        <row r="206">
          <cell r="D206" t="str">
            <v>GEL-50</v>
          </cell>
          <cell r="E206">
            <v>0</v>
          </cell>
        </row>
        <row r="207">
          <cell r="D207" t="str">
            <v>GEL-63</v>
          </cell>
          <cell r="E207">
            <v>0</v>
          </cell>
        </row>
        <row r="208">
          <cell r="D208" t="str">
            <v>GEL-75</v>
          </cell>
          <cell r="E208">
            <v>0</v>
          </cell>
        </row>
        <row r="209">
          <cell r="D209" t="str">
            <v>HST-32</v>
          </cell>
          <cell r="E209">
            <v>0</v>
          </cell>
        </row>
        <row r="210">
          <cell r="D210" t="str">
            <v>HST-40</v>
          </cell>
          <cell r="E210">
            <v>0</v>
          </cell>
        </row>
        <row r="211">
          <cell r="D211" t="str">
            <v>HST-50</v>
          </cell>
          <cell r="E211">
            <v>0</v>
          </cell>
        </row>
        <row r="212">
          <cell r="D212" t="str">
            <v>HST-75</v>
          </cell>
          <cell r="E212">
            <v>0</v>
          </cell>
        </row>
        <row r="213">
          <cell r="D213" t="str">
            <v>GSO-15</v>
          </cell>
          <cell r="E213">
            <v>0</v>
          </cell>
        </row>
        <row r="214">
          <cell r="D214" t="str">
            <v>GSO-20</v>
          </cell>
          <cell r="E214">
            <v>0</v>
          </cell>
        </row>
        <row r="215">
          <cell r="D215" t="str">
            <v>GSO-25</v>
          </cell>
          <cell r="E215">
            <v>0</v>
          </cell>
        </row>
        <row r="216">
          <cell r="D216" t="str">
            <v>GSO-32</v>
          </cell>
          <cell r="E216">
            <v>0</v>
          </cell>
        </row>
        <row r="217">
          <cell r="D217" t="str">
            <v>GSO-40</v>
          </cell>
          <cell r="E217">
            <v>0</v>
          </cell>
        </row>
        <row r="218">
          <cell r="D218" t="str">
            <v>GSO-50</v>
          </cell>
          <cell r="E218">
            <v>0</v>
          </cell>
        </row>
        <row r="219">
          <cell r="D219" t="str">
            <v>GSO-63</v>
          </cell>
          <cell r="E219">
            <v>0</v>
          </cell>
        </row>
        <row r="220">
          <cell r="D220" t="str">
            <v>GSO-75</v>
          </cell>
          <cell r="E220">
            <v>0</v>
          </cell>
        </row>
        <row r="221">
          <cell r="D221" t="str">
            <v>GUN-15</v>
          </cell>
          <cell r="E221">
            <v>0</v>
          </cell>
        </row>
        <row r="222">
          <cell r="D222" t="str">
            <v>GUN-20</v>
          </cell>
          <cell r="E222">
            <v>0</v>
          </cell>
        </row>
        <row r="223">
          <cell r="D223" t="str">
            <v>GUN-25</v>
          </cell>
          <cell r="E223">
            <v>0</v>
          </cell>
        </row>
        <row r="224">
          <cell r="D224" t="str">
            <v>GUN-32</v>
          </cell>
          <cell r="E224">
            <v>0</v>
          </cell>
        </row>
        <row r="225">
          <cell r="D225" t="str">
            <v>GUN-40</v>
          </cell>
          <cell r="E225">
            <v>0</v>
          </cell>
        </row>
        <row r="226">
          <cell r="D226" t="str">
            <v>GUN-50</v>
          </cell>
          <cell r="E226">
            <v>0</v>
          </cell>
        </row>
        <row r="227">
          <cell r="D227" t="str">
            <v>GUN-63</v>
          </cell>
          <cell r="E227">
            <v>0</v>
          </cell>
        </row>
        <row r="228">
          <cell r="D228" t="str">
            <v>GUN-75</v>
          </cell>
          <cell r="E228">
            <v>0</v>
          </cell>
        </row>
        <row r="229">
          <cell r="D229" t="str">
            <v>GET-15</v>
          </cell>
          <cell r="E229">
            <v>0</v>
          </cell>
        </row>
        <row r="230">
          <cell r="D230" t="str">
            <v>GET-20</v>
          </cell>
          <cell r="E230">
            <v>0</v>
          </cell>
        </row>
        <row r="231">
          <cell r="D231" t="str">
            <v>GET-25</v>
          </cell>
          <cell r="E231">
            <v>0</v>
          </cell>
        </row>
        <row r="232">
          <cell r="D232" t="str">
            <v>GET-32</v>
          </cell>
          <cell r="E232">
            <v>0</v>
          </cell>
        </row>
        <row r="233">
          <cell r="D233" t="str">
            <v>GET-40</v>
          </cell>
          <cell r="E233">
            <v>0</v>
          </cell>
        </row>
        <row r="234">
          <cell r="D234" t="str">
            <v>GET-50</v>
          </cell>
          <cell r="E234">
            <v>0</v>
          </cell>
        </row>
        <row r="235">
          <cell r="D235" t="str">
            <v>GET-63</v>
          </cell>
          <cell r="E235">
            <v>0</v>
          </cell>
        </row>
        <row r="236">
          <cell r="D236" t="str">
            <v>GET-75</v>
          </cell>
          <cell r="E236">
            <v>0</v>
          </cell>
        </row>
        <row r="237">
          <cell r="D237" t="str">
            <v>GUT-20x15</v>
          </cell>
          <cell r="E237">
            <v>0</v>
          </cell>
        </row>
        <row r="238">
          <cell r="D238" t="str">
            <v>GUT-25x15</v>
          </cell>
          <cell r="E238">
            <v>0</v>
          </cell>
        </row>
        <row r="239">
          <cell r="D239" t="str">
            <v>GUT-32x15</v>
          </cell>
          <cell r="E239">
            <v>0</v>
          </cell>
        </row>
        <row r="240">
          <cell r="D240" t="str">
            <v>GUT-40x15</v>
          </cell>
          <cell r="E240">
            <v>0</v>
          </cell>
        </row>
        <row r="241">
          <cell r="D241" t="str">
            <v>GUT-50x15</v>
          </cell>
          <cell r="E241">
            <v>0</v>
          </cell>
        </row>
        <row r="242">
          <cell r="D242" t="str">
            <v>GUT-63x15</v>
          </cell>
          <cell r="E242">
            <v>0</v>
          </cell>
        </row>
        <row r="243">
          <cell r="D243" t="str">
            <v>GUT-75x15</v>
          </cell>
          <cell r="E243">
            <v>0</v>
          </cell>
        </row>
        <row r="244">
          <cell r="D244" t="str">
            <v>GNI-15</v>
          </cell>
          <cell r="E244">
            <v>0</v>
          </cell>
        </row>
        <row r="245">
          <cell r="D245" t="str">
            <v>GNI-20</v>
          </cell>
          <cell r="E245">
            <v>0</v>
          </cell>
        </row>
        <row r="246">
          <cell r="D246" t="str">
            <v>GNI-25</v>
          </cell>
          <cell r="E246">
            <v>0</v>
          </cell>
        </row>
        <row r="247">
          <cell r="D247" t="str">
            <v>GNI-32</v>
          </cell>
          <cell r="E247">
            <v>0</v>
          </cell>
        </row>
        <row r="248">
          <cell r="D248" t="str">
            <v>GNI-40</v>
          </cell>
          <cell r="E248">
            <v>0</v>
          </cell>
        </row>
        <row r="249">
          <cell r="D249" t="str">
            <v>GNI-50</v>
          </cell>
          <cell r="E249">
            <v>0</v>
          </cell>
        </row>
        <row r="250">
          <cell r="D250" t="str">
            <v>GNI-63</v>
          </cell>
          <cell r="E250">
            <v>0</v>
          </cell>
        </row>
        <row r="251">
          <cell r="D251" t="str">
            <v>GNI-75</v>
          </cell>
          <cell r="E251">
            <v>0</v>
          </cell>
        </row>
        <row r="252">
          <cell r="D252" t="str">
            <v>BGAV-15</v>
          </cell>
          <cell r="E252">
            <v>0</v>
          </cell>
        </row>
        <row r="253">
          <cell r="D253" t="str">
            <v>BGAV-20</v>
          </cell>
          <cell r="E253">
            <v>0</v>
          </cell>
        </row>
        <row r="254">
          <cell r="D254" t="str">
            <v>BGAV-25</v>
          </cell>
          <cell r="E254">
            <v>0</v>
          </cell>
        </row>
        <row r="255">
          <cell r="D255" t="str">
            <v>BGAV-32</v>
          </cell>
          <cell r="E255">
            <v>0</v>
          </cell>
        </row>
        <row r="256">
          <cell r="D256" t="str">
            <v>BGAV-40</v>
          </cell>
          <cell r="E256">
            <v>0</v>
          </cell>
        </row>
        <row r="257">
          <cell r="D257" t="str">
            <v>BGAV-50</v>
          </cell>
          <cell r="E257">
            <v>0</v>
          </cell>
        </row>
        <row r="258">
          <cell r="D258" t="str">
            <v>BGAV-63</v>
          </cell>
          <cell r="E258">
            <v>0</v>
          </cell>
        </row>
        <row r="259">
          <cell r="D259" t="str">
            <v>BGAV-75</v>
          </cell>
          <cell r="E259">
            <v>0</v>
          </cell>
        </row>
        <row r="260">
          <cell r="D260" t="str">
            <v>BU-20</v>
          </cell>
          <cell r="E260">
            <v>0</v>
          </cell>
        </row>
        <row r="261">
          <cell r="D261" t="str">
            <v>BU-25</v>
          </cell>
          <cell r="E261">
            <v>0</v>
          </cell>
        </row>
        <row r="262">
          <cell r="D262" t="str">
            <v>BU-32</v>
          </cell>
          <cell r="E262">
            <v>0</v>
          </cell>
        </row>
        <row r="263">
          <cell r="D263" t="str">
            <v>BU-40</v>
          </cell>
          <cell r="E263">
            <v>0</v>
          </cell>
        </row>
        <row r="264">
          <cell r="D264" t="str">
            <v>GHF-50</v>
          </cell>
          <cell r="E264">
            <v>0</v>
          </cell>
        </row>
        <row r="265">
          <cell r="D265" t="str">
            <v>GHF-63</v>
          </cell>
          <cell r="E265">
            <v>0</v>
          </cell>
        </row>
        <row r="266">
          <cell r="D266" t="str">
            <v>GHF-75</v>
          </cell>
          <cell r="E266">
            <v>0</v>
          </cell>
        </row>
        <row r="267">
          <cell r="D267" t="str">
            <v>GHF-90</v>
          </cell>
          <cell r="E267">
            <v>0</v>
          </cell>
        </row>
        <row r="270">
          <cell r="D270" t="str">
            <v>GEL-25</v>
          </cell>
        </row>
        <row r="288">
          <cell r="D288" t="str">
            <v>HP2.5-90</v>
          </cell>
          <cell r="E288">
            <v>0</v>
          </cell>
        </row>
        <row r="289">
          <cell r="D289" t="str">
            <v>HP10-20</v>
          </cell>
          <cell r="E289">
            <v>0</v>
          </cell>
        </row>
        <row r="290">
          <cell r="D290" t="str">
            <v>HP10-25</v>
          </cell>
          <cell r="E290">
            <v>0</v>
          </cell>
        </row>
        <row r="291">
          <cell r="D291" t="str">
            <v>HP6-32</v>
          </cell>
          <cell r="E291">
            <v>0</v>
          </cell>
        </row>
        <row r="292">
          <cell r="D292" t="str">
            <v>HP6-40</v>
          </cell>
          <cell r="E292">
            <v>0</v>
          </cell>
        </row>
        <row r="293">
          <cell r="D293" t="str">
            <v>HP6-50</v>
          </cell>
          <cell r="E293">
            <v>0</v>
          </cell>
        </row>
        <row r="294">
          <cell r="D294" t="str">
            <v>HP6-63</v>
          </cell>
          <cell r="E294">
            <v>0</v>
          </cell>
        </row>
        <row r="295">
          <cell r="D295" t="str">
            <v>HP4-75</v>
          </cell>
          <cell r="E295">
            <v>0</v>
          </cell>
        </row>
        <row r="296">
          <cell r="D296" t="str">
            <v>HP4-90</v>
          </cell>
          <cell r="E296">
            <v>0</v>
          </cell>
        </row>
        <row r="298">
          <cell r="D298" t="str">
            <v>GPM-15</v>
          </cell>
          <cell r="E298">
            <v>0</v>
          </cell>
        </row>
        <row r="299">
          <cell r="D299" t="str">
            <v>GPM-20</v>
          </cell>
          <cell r="E299">
            <v>0</v>
          </cell>
        </row>
        <row r="300">
          <cell r="D300" t="str">
            <v>GPM-25</v>
          </cell>
          <cell r="E300">
            <v>0</v>
          </cell>
        </row>
        <row r="301">
          <cell r="D301" t="str">
            <v>GPM-32</v>
          </cell>
          <cell r="E301">
            <v>0</v>
          </cell>
        </row>
        <row r="302">
          <cell r="D302" t="str">
            <v>GPM-40</v>
          </cell>
          <cell r="E302">
            <v>0</v>
          </cell>
        </row>
        <row r="303">
          <cell r="D303" t="str">
            <v>GPM-50</v>
          </cell>
          <cell r="E303">
            <v>0</v>
          </cell>
        </row>
        <row r="304">
          <cell r="D304" t="str">
            <v>GPM-63</v>
          </cell>
          <cell r="E304">
            <v>0</v>
          </cell>
        </row>
        <row r="305">
          <cell r="D305" t="str">
            <v>GPM-75</v>
          </cell>
          <cell r="E305">
            <v>0</v>
          </cell>
        </row>
        <row r="307">
          <cell r="D307" t="str">
            <v>GEL-15</v>
          </cell>
          <cell r="E307">
            <v>0</v>
          </cell>
        </row>
        <row r="308">
          <cell r="D308" t="str">
            <v>GEL-20</v>
          </cell>
          <cell r="E308">
            <v>0</v>
          </cell>
        </row>
        <row r="309">
          <cell r="D309" t="str">
            <v>GEL-25</v>
          </cell>
          <cell r="E309">
            <v>0</v>
          </cell>
        </row>
        <row r="310">
          <cell r="D310" t="str">
            <v>GEL-32</v>
          </cell>
          <cell r="E310">
            <v>0</v>
          </cell>
        </row>
        <row r="311">
          <cell r="D311" t="str">
            <v>GEL-40</v>
          </cell>
          <cell r="E311">
            <v>0</v>
          </cell>
        </row>
        <row r="312">
          <cell r="D312" t="str">
            <v>GEL-50</v>
          </cell>
          <cell r="E312">
            <v>0</v>
          </cell>
        </row>
        <row r="313">
          <cell r="D313" t="str">
            <v>GEL-63</v>
          </cell>
          <cell r="E313">
            <v>0</v>
          </cell>
        </row>
        <row r="314">
          <cell r="D314" t="str">
            <v>GEL-75</v>
          </cell>
          <cell r="E314">
            <v>0</v>
          </cell>
        </row>
        <row r="315">
          <cell r="D315" t="str">
            <v>HST-32</v>
          </cell>
          <cell r="E315">
            <v>0</v>
          </cell>
        </row>
        <row r="316">
          <cell r="D316" t="str">
            <v>HST-40</v>
          </cell>
          <cell r="E316">
            <v>0</v>
          </cell>
        </row>
        <row r="317">
          <cell r="D317" t="str">
            <v>HST-50</v>
          </cell>
          <cell r="E317">
            <v>0</v>
          </cell>
        </row>
        <row r="318">
          <cell r="D318" t="str">
            <v>HST-75</v>
          </cell>
          <cell r="E318">
            <v>0</v>
          </cell>
        </row>
        <row r="319">
          <cell r="D319" t="str">
            <v>GSO-15</v>
          </cell>
          <cell r="E319">
            <v>0</v>
          </cell>
        </row>
        <row r="320">
          <cell r="D320" t="str">
            <v>GSO-20</v>
          </cell>
          <cell r="E320">
            <v>0</v>
          </cell>
        </row>
        <row r="321">
          <cell r="D321" t="str">
            <v>GSO-25</v>
          </cell>
          <cell r="E321">
            <v>0</v>
          </cell>
        </row>
        <row r="322">
          <cell r="D322" t="str">
            <v>GSO-32</v>
          </cell>
          <cell r="E322">
            <v>0</v>
          </cell>
        </row>
        <row r="323">
          <cell r="D323" t="str">
            <v>GSO-40</v>
          </cell>
          <cell r="E323">
            <v>0</v>
          </cell>
        </row>
        <row r="324">
          <cell r="D324" t="str">
            <v>GSO-50</v>
          </cell>
          <cell r="E324">
            <v>0</v>
          </cell>
        </row>
        <row r="325">
          <cell r="D325" t="str">
            <v>GSO-63</v>
          </cell>
          <cell r="E325">
            <v>0</v>
          </cell>
        </row>
        <row r="326">
          <cell r="D326" t="str">
            <v>GSO-75</v>
          </cell>
          <cell r="E326">
            <v>0</v>
          </cell>
        </row>
        <row r="327">
          <cell r="D327" t="str">
            <v>GUN-15</v>
          </cell>
          <cell r="E327">
            <v>0</v>
          </cell>
        </row>
        <row r="328">
          <cell r="D328" t="str">
            <v>GUN-20</v>
          </cell>
          <cell r="E328">
            <v>0</v>
          </cell>
        </row>
        <row r="329">
          <cell r="D329" t="str">
            <v>GUN-25</v>
          </cell>
          <cell r="E329">
            <v>0</v>
          </cell>
        </row>
        <row r="330">
          <cell r="D330" t="str">
            <v>GUN-32</v>
          </cell>
          <cell r="E330">
            <v>0</v>
          </cell>
        </row>
        <row r="331">
          <cell r="D331" t="str">
            <v>GUN-40</v>
          </cell>
          <cell r="E331">
            <v>0</v>
          </cell>
        </row>
        <row r="332">
          <cell r="D332" t="str">
            <v>GUN-50</v>
          </cell>
          <cell r="E332">
            <v>0</v>
          </cell>
        </row>
        <row r="333">
          <cell r="D333" t="str">
            <v>GUN-63</v>
          </cell>
          <cell r="E333">
            <v>0</v>
          </cell>
        </row>
        <row r="334">
          <cell r="D334" t="str">
            <v>GUN-75</v>
          </cell>
          <cell r="E334">
            <v>0</v>
          </cell>
        </row>
        <row r="335">
          <cell r="D335" t="str">
            <v>GET-15</v>
          </cell>
          <cell r="E335">
            <v>0</v>
          </cell>
        </row>
        <row r="336">
          <cell r="D336" t="str">
            <v>GET-20</v>
          </cell>
          <cell r="E336">
            <v>0</v>
          </cell>
        </row>
        <row r="337">
          <cell r="D337" t="str">
            <v>GET-25</v>
          </cell>
          <cell r="E337">
            <v>0</v>
          </cell>
        </row>
        <row r="338">
          <cell r="D338" t="str">
            <v>GET-32</v>
          </cell>
          <cell r="E338">
            <v>0</v>
          </cell>
        </row>
        <row r="339">
          <cell r="D339" t="str">
            <v>GET-40</v>
          </cell>
          <cell r="E339">
            <v>0</v>
          </cell>
        </row>
        <row r="340">
          <cell r="D340" t="str">
            <v>GET-50</v>
          </cell>
          <cell r="E340">
            <v>0</v>
          </cell>
        </row>
        <row r="341">
          <cell r="D341" t="str">
            <v>GET-63</v>
          </cell>
          <cell r="E341">
            <v>0</v>
          </cell>
        </row>
        <row r="342">
          <cell r="D342" t="str">
            <v>GET-75</v>
          </cell>
          <cell r="E342">
            <v>0</v>
          </cell>
        </row>
        <row r="343">
          <cell r="D343" t="str">
            <v>GUT-20x15</v>
          </cell>
          <cell r="E343">
            <v>0</v>
          </cell>
        </row>
        <row r="344">
          <cell r="D344" t="str">
            <v>GUT-25x15</v>
          </cell>
          <cell r="E344">
            <v>0</v>
          </cell>
        </row>
        <row r="345">
          <cell r="D345" t="str">
            <v>GUT-32x15</v>
          </cell>
          <cell r="E345">
            <v>0</v>
          </cell>
        </row>
        <row r="346">
          <cell r="D346" t="str">
            <v>GUT-40x15</v>
          </cell>
          <cell r="E346">
            <v>0</v>
          </cell>
        </row>
        <row r="347">
          <cell r="D347" t="str">
            <v>GUT-50x15</v>
          </cell>
          <cell r="E347">
            <v>0</v>
          </cell>
        </row>
        <row r="348">
          <cell r="D348" t="str">
            <v>GUT-63x15</v>
          </cell>
          <cell r="E348">
            <v>0</v>
          </cell>
        </row>
        <row r="349">
          <cell r="D349" t="str">
            <v>GUT-75x15</v>
          </cell>
          <cell r="E349">
            <v>0</v>
          </cell>
        </row>
        <row r="350">
          <cell r="D350" t="str">
            <v>GNI-15</v>
          </cell>
          <cell r="E350">
            <v>0</v>
          </cell>
        </row>
        <row r="351">
          <cell r="D351" t="str">
            <v>GNI-20</v>
          </cell>
          <cell r="E351">
            <v>0</v>
          </cell>
        </row>
        <row r="352">
          <cell r="D352" t="str">
            <v>GNI-25</v>
          </cell>
          <cell r="E352">
            <v>0</v>
          </cell>
        </row>
        <row r="353">
          <cell r="D353" t="str">
            <v>GNI-32</v>
          </cell>
          <cell r="E353">
            <v>0</v>
          </cell>
        </row>
        <row r="354">
          <cell r="D354" t="str">
            <v>GNI-40</v>
          </cell>
          <cell r="E354">
            <v>0</v>
          </cell>
        </row>
        <row r="355">
          <cell r="D355" t="str">
            <v>GNI-50</v>
          </cell>
          <cell r="E355">
            <v>0</v>
          </cell>
        </row>
        <row r="356">
          <cell r="D356" t="str">
            <v>GNI-63</v>
          </cell>
          <cell r="E356">
            <v>0</v>
          </cell>
        </row>
        <row r="357">
          <cell r="D357" t="str">
            <v>GNI-75</v>
          </cell>
          <cell r="E357">
            <v>0</v>
          </cell>
        </row>
        <row r="358">
          <cell r="D358" t="str">
            <v>BGAV-15</v>
          </cell>
          <cell r="E358">
            <v>0</v>
          </cell>
        </row>
        <row r="359">
          <cell r="D359" t="str">
            <v>BGAV-20</v>
          </cell>
          <cell r="E359">
            <v>0</v>
          </cell>
        </row>
        <row r="360">
          <cell r="D360" t="str">
            <v>BGAV-25</v>
          </cell>
          <cell r="E360">
            <v>0</v>
          </cell>
        </row>
        <row r="361">
          <cell r="D361" t="str">
            <v>BGAV-32</v>
          </cell>
          <cell r="E361">
            <v>0</v>
          </cell>
        </row>
        <row r="362">
          <cell r="D362" t="str">
            <v>BGAV-40</v>
          </cell>
          <cell r="E362">
            <v>0</v>
          </cell>
        </row>
        <row r="363">
          <cell r="D363" t="str">
            <v>BGAV-50</v>
          </cell>
          <cell r="E363">
            <v>0</v>
          </cell>
        </row>
        <row r="364">
          <cell r="D364" t="str">
            <v>BGAV-63</v>
          </cell>
          <cell r="E364">
            <v>0</v>
          </cell>
        </row>
        <row r="365">
          <cell r="D365" t="str">
            <v>BGAV-75</v>
          </cell>
          <cell r="E365">
            <v>0</v>
          </cell>
        </row>
        <row r="366">
          <cell r="D366" t="str">
            <v>BU-20</v>
          </cell>
          <cell r="E366">
            <v>0</v>
          </cell>
        </row>
        <row r="367">
          <cell r="D367" t="str">
            <v>BU-25</v>
          </cell>
          <cell r="E367">
            <v>0</v>
          </cell>
        </row>
        <row r="368">
          <cell r="D368" t="str">
            <v>BU-32</v>
          </cell>
          <cell r="E368">
            <v>0</v>
          </cell>
        </row>
        <row r="369">
          <cell r="D369" t="str">
            <v>BU-40</v>
          </cell>
          <cell r="E369">
            <v>0</v>
          </cell>
        </row>
        <row r="370">
          <cell r="D370" t="str">
            <v>GHF-50</v>
          </cell>
          <cell r="E370">
            <v>0</v>
          </cell>
        </row>
        <row r="371">
          <cell r="D371" t="str">
            <v>GHF-63</v>
          </cell>
          <cell r="E371">
            <v>0</v>
          </cell>
        </row>
        <row r="372">
          <cell r="D372" t="str">
            <v>GHF-75</v>
          </cell>
          <cell r="E372">
            <v>0</v>
          </cell>
        </row>
        <row r="373">
          <cell r="D373" t="str">
            <v>GHF-90</v>
          </cell>
          <cell r="E373">
            <v>0</v>
          </cell>
        </row>
        <row r="376">
          <cell r="D376" t="str">
            <v>GEL-25</v>
          </cell>
        </row>
        <row r="397">
          <cell r="D397" t="str">
            <v>HP2.5-90</v>
          </cell>
          <cell r="E397">
            <v>0</v>
          </cell>
        </row>
        <row r="398">
          <cell r="D398" t="str">
            <v>HP10-20</v>
          </cell>
          <cell r="E398">
            <v>0</v>
          </cell>
        </row>
        <row r="399">
          <cell r="D399" t="str">
            <v>HP10-25</v>
          </cell>
          <cell r="E399">
            <v>0</v>
          </cell>
        </row>
        <row r="400">
          <cell r="D400" t="str">
            <v>HP6-32</v>
          </cell>
          <cell r="E400">
            <v>0</v>
          </cell>
        </row>
        <row r="401">
          <cell r="D401" t="str">
            <v>HP6-40</v>
          </cell>
          <cell r="E401">
            <v>0</v>
          </cell>
        </row>
        <row r="402">
          <cell r="D402" t="str">
            <v>HP6-50</v>
          </cell>
          <cell r="E402">
            <v>0</v>
          </cell>
        </row>
        <row r="403">
          <cell r="D403" t="str">
            <v>HP6-63</v>
          </cell>
          <cell r="E403">
            <v>0</v>
          </cell>
        </row>
        <row r="404">
          <cell r="D404" t="str">
            <v>HP4-75</v>
          </cell>
          <cell r="E404">
            <v>0</v>
          </cell>
        </row>
        <row r="405">
          <cell r="D405" t="str">
            <v>HP4-90</v>
          </cell>
          <cell r="E405">
            <v>0</v>
          </cell>
        </row>
        <row r="407">
          <cell r="D407" t="str">
            <v>GPM-15</v>
          </cell>
          <cell r="E407">
            <v>0</v>
          </cell>
        </row>
        <row r="408">
          <cell r="D408" t="str">
            <v>GPM-20</v>
          </cell>
          <cell r="E408">
            <v>0</v>
          </cell>
        </row>
        <row r="409">
          <cell r="D409" t="str">
            <v>GPM-25</v>
          </cell>
          <cell r="E409">
            <v>0</v>
          </cell>
        </row>
        <row r="410">
          <cell r="D410" t="str">
            <v>GPM-32</v>
          </cell>
          <cell r="E410">
            <v>0</v>
          </cell>
        </row>
        <row r="411">
          <cell r="D411" t="str">
            <v>GPM-40</v>
          </cell>
          <cell r="E411">
            <v>0</v>
          </cell>
        </row>
        <row r="412">
          <cell r="D412" t="str">
            <v>GPM-50</v>
          </cell>
          <cell r="E412">
            <v>0</v>
          </cell>
        </row>
        <row r="413">
          <cell r="D413" t="str">
            <v>GPM-63</v>
          </cell>
          <cell r="E413">
            <v>0</v>
          </cell>
        </row>
        <row r="414">
          <cell r="D414" t="str">
            <v>GPM-75</v>
          </cell>
          <cell r="E414">
            <v>0</v>
          </cell>
        </row>
        <row r="416">
          <cell r="D416" t="str">
            <v>GEL-15</v>
          </cell>
          <cell r="E416">
            <v>0</v>
          </cell>
        </row>
        <row r="417">
          <cell r="D417" t="str">
            <v>GEL-20</v>
          </cell>
          <cell r="E417">
            <v>0</v>
          </cell>
        </row>
        <row r="418">
          <cell r="D418" t="str">
            <v>GEL-25</v>
          </cell>
          <cell r="E418">
            <v>0</v>
          </cell>
        </row>
        <row r="419">
          <cell r="D419" t="str">
            <v>GEL-32</v>
          </cell>
          <cell r="E419">
            <v>0</v>
          </cell>
        </row>
        <row r="420">
          <cell r="D420" t="str">
            <v>GEL-40</v>
          </cell>
          <cell r="E420">
            <v>0</v>
          </cell>
        </row>
        <row r="421">
          <cell r="D421" t="str">
            <v>GEL-50</v>
          </cell>
          <cell r="E421">
            <v>0</v>
          </cell>
        </row>
        <row r="422">
          <cell r="D422" t="str">
            <v>GEL-63</v>
          </cell>
          <cell r="E422">
            <v>0</v>
          </cell>
        </row>
        <row r="423">
          <cell r="D423" t="str">
            <v>GEL-75</v>
          </cell>
          <cell r="E423">
            <v>0</v>
          </cell>
        </row>
        <row r="424">
          <cell r="D424" t="str">
            <v>HST-32</v>
          </cell>
          <cell r="E424">
            <v>0</v>
          </cell>
        </row>
        <row r="425">
          <cell r="D425" t="str">
            <v>HST-40</v>
          </cell>
          <cell r="E425">
            <v>0</v>
          </cell>
        </row>
        <row r="426">
          <cell r="D426" t="str">
            <v>HST-50</v>
          </cell>
          <cell r="E426">
            <v>0</v>
          </cell>
        </row>
        <row r="427">
          <cell r="D427" t="str">
            <v>HST-75</v>
          </cell>
          <cell r="E427">
            <v>0</v>
          </cell>
        </row>
        <row r="428">
          <cell r="D428" t="str">
            <v>GSO-15</v>
          </cell>
          <cell r="E428">
            <v>0</v>
          </cell>
        </row>
        <row r="429">
          <cell r="D429" t="str">
            <v>GSO-20</v>
          </cell>
          <cell r="E429">
            <v>0</v>
          </cell>
        </row>
        <row r="430">
          <cell r="D430" t="str">
            <v>GSO-25</v>
          </cell>
          <cell r="E430">
            <v>0</v>
          </cell>
        </row>
        <row r="431">
          <cell r="D431" t="str">
            <v>GSO-32</v>
          </cell>
          <cell r="E431">
            <v>0</v>
          </cell>
        </row>
        <row r="432">
          <cell r="D432" t="str">
            <v>GSO-40</v>
          </cell>
          <cell r="E432">
            <v>0</v>
          </cell>
        </row>
        <row r="433">
          <cell r="D433" t="str">
            <v>GSO-50</v>
          </cell>
          <cell r="E433">
            <v>0</v>
          </cell>
        </row>
        <row r="434">
          <cell r="D434" t="str">
            <v>GSO-63</v>
          </cell>
          <cell r="E434">
            <v>0</v>
          </cell>
        </row>
        <row r="435">
          <cell r="D435" t="str">
            <v>GSO-75</v>
          </cell>
          <cell r="E435">
            <v>0</v>
          </cell>
        </row>
        <row r="436">
          <cell r="D436" t="str">
            <v>GUN-15</v>
          </cell>
          <cell r="E436">
            <v>0</v>
          </cell>
        </row>
        <row r="437">
          <cell r="D437" t="str">
            <v>GUN-20</v>
          </cell>
          <cell r="E437">
            <v>0</v>
          </cell>
        </row>
        <row r="438">
          <cell r="D438" t="str">
            <v>GUN-25</v>
          </cell>
          <cell r="E438">
            <v>0</v>
          </cell>
        </row>
        <row r="439">
          <cell r="D439" t="str">
            <v>GUN-32</v>
          </cell>
          <cell r="E439">
            <v>0</v>
          </cell>
        </row>
        <row r="440">
          <cell r="D440" t="str">
            <v>GUN-40</v>
          </cell>
          <cell r="E440">
            <v>0</v>
          </cell>
        </row>
        <row r="441">
          <cell r="D441" t="str">
            <v>GUN-50</v>
          </cell>
          <cell r="E441">
            <v>0</v>
          </cell>
        </row>
        <row r="442">
          <cell r="D442" t="str">
            <v>GUN-63</v>
          </cell>
          <cell r="E442">
            <v>0</v>
          </cell>
        </row>
        <row r="443">
          <cell r="D443" t="str">
            <v>GUN-75</v>
          </cell>
          <cell r="E443">
            <v>0</v>
          </cell>
        </row>
        <row r="444">
          <cell r="D444" t="str">
            <v>GET-15</v>
          </cell>
          <cell r="E444">
            <v>0</v>
          </cell>
        </row>
        <row r="445">
          <cell r="D445" t="str">
            <v>GET-20</v>
          </cell>
          <cell r="E445">
            <v>0</v>
          </cell>
        </row>
        <row r="446">
          <cell r="D446" t="str">
            <v>GET-25</v>
          </cell>
          <cell r="E446">
            <v>0</v>
          </cell>
        </row>
        <row r="447">
          <cell r="D447" t="str">
            <v>GET-32</v>
          </cell>
          <cell r="E447">
            <v>0</v>
          </cell>
        </row>
        <row r="448">
          <cell r="D448" t="str">
            <v>GET-40</v>
          </cell>
          <cell r="E448">
            <v>0</v>
          </cell>
        </row>
        <row r="449">
          <cell r="D449" t="str">
            <v>GET-50</v>
          </cell>
          <cell r="E449">
            <v>0</v>
          </cell>
        </row>
        <row r="450">
          <cell r="D450" t="str">
            <v>GET-63</v>
          </cell>
          <cell r="E450">
            <v>0</v>
          </cell>
        </row>
        <row r="451">
          <cell r="D451" t="str">
            <v>GET-75</v>
          </cell>
          <cell r="E451">
            <v>0</v>
          </cell>
        </row>
        <row r="452">
          <cell r="D452" t="str">
            <v>GUT-20x15</v>
          </cell>
          <cell r="E452">
            <v>0</v>
          </cell>
        </row>
        <row r="453">
          <cell r="D453" t="str">
            <v>GUT-25x15</v>
          </cell>
          <cell r="E453">
            <v>0</v>
          </cell>
        </row>
        <row r="454">
          <cell r="D454" t="str">
            <v>GUT-32x15</v>
          </cell>
          <cell r="E454">
            <v>0</v>
          </cell>
        </row>
        <row r="455">
          <cell r="D455" t="str">
            <v>GUT-40x15</v>
          </cell>
          <cell r="E455">
            <v>0</v>
          </cell>
        </row>
        <row r="456">
          <cell r="D456" t="str">
            <v>GUT-50x15</v>
          </cell>
          <cell r="E456">
            <v>0</v>
          </cell>
        </row>
        <row r="457">
          <cell r="D457" t="str">
            <v>GUT-63x15</v>
          </cell>
          <cell r="E457">
            <v>0</v>
          </cell>
        </row>
        <row r="458">
          <cell r="D458" t="str">
            <v>GUT-75x15</v>
          </cell>
          <cell r="E458">
            <v>0</v>
          </cell>
        </row>
        <row r="459">
          <cell r="D459" t="str">
            <v>GNI-15</v>
          </cell>
          <cell r="E459">
            <v>0</v>
          </cell>
        </row>
        <row r="460">
          <cell r="D460" t="str">
            <v>GNI-20</v>
          </cell>
          <cell r="E460">
            <v>0</v>
          </cell>
        </row>
        <row r="461">
          <cell r="D461" t="str">
            <v>GNI-25</v>
          </cell>
          <cell r="E461">
            <v>0</v>
          </cell>
        </row>
        <row r="462">
          <cell r="D462" t="str">
            <v>GNI-32</v>
          </cell>
          <cell r="E462">
            <v>0</v>
          </cell>
        </row>
        <row r="463">
          <cell r="D463" t="str">
            <v>GNI-40</v>
          </cell>
          <cell r="E463">
            <v>0</v>
          </cell>
        </row>
        <row r="464">
          <cell r="D464" t="str">
            <v>GNI-50</v>
          </cell>
          <cell r="E464">
            <v>0</v>
          </cell>
        </row>
        <row r="465">
          <cell r="D465" t="str">
            <v>GNI-63</v>
          </cell>
          <cell r="E465">
            <v>0</v>
          </cell>
        </row>
        <row r="466">
          <cell r="D466" t="str">
            <v>GNI-75</v>
          </cell>
          <cell r="E466">
            <v>0</v>
          </cell>
        </row>
        <row r="467">
          <cell r="D467" t="str">
            <v>BGAV-15</v>
          </cell>
          <cell r="E467">
            <v>0</v>
          </cell>
        </row>
        <row r="468">
          <cell r="D468" t="str">
            <v>BGAV-20</v>
          </cell>
          <cell r="E468">
            <v>0</v>
          </cell>
        </row>
        <row r="469">
          <cell r="D469" t="str">
            <v>BGAV-25</v>
          </cell>
          <cell r="E469">
            <v>0</v>
          </cell>
        </row>
        <row r="470">
          <cell r="D470" t="str">
            <v>BGAV-32</v>
          </cell>
          <cell r="E470">
            <v>0</v>
          </cell>
        </row>
        <row r="471">
          <cell r="D471" t="str">
            <v>BGAV-40</v>
          </cell>
          <cell r="E471">
            <v>0</v>
          </cell>
        </row>
        <row r="472">
          <cell r="D472" t="str">
            <v>BGAV-50</v>
          </cell>
          <cell r="E472">
            <v>0</v>
          </cell>
        </row>
        <row r="473">
          <cell r="D473" t="str">
            <v>BGAV-63</v>
          </cell>
          <cell r="E473">
            <v>0</v>
          </cell>
        </row>
        <row r="474">
          <cell r="D474" t="str">
            <v>BGAV-75</v>
          </cell>
          <cell r="E474">
            <v>0</v>
          </cell>
        </row>
        <row r="475">
          <cell r="D475" t="str">
            <v>BU-20</v>
          </cell>
          <cell r="E475">
            <v>0</v>
          </cell>
        </row>
        <row r="476">
          <cell r="D476" t="str">
            <v>BU-25</v>
          </cell>
          <cell r="E476">
            <v>0</v>
          </cell>
        </row>
        <row r="477">
          <cell r="D477" t="str">
            <v>BU-32</v>
          </cell>
          <cell r="E477">
            <v>0</v>
          </cell>
        </row>
        <row r="478">
          <cell r="D478" t="str">
            <v>BU-40</v>
          </cell>
          <cell r="E478">
            <v>0</v>
          </cell>
        </row>
        <row r="479">
          <cell r="D479" t="str">
            <v>GHF-50</v>
          </cell>
          <cell r="E479">
            <v>0</v>
          </cell>
        </row>
        <row r="480">
          <cell r="D480" t="str">
            <v>GHF-63</v>
          </cell>
          <cell r="E480">
            <v>0</v>
          </cell>
        </row>
        <row r="481">
          <cell r="D481" t="str">
            <v>GHF-75</v>
          </cell>
          <cell r="E481">
            <v>0</v>
          </cell>
        </row>
        <row r="482">
          <cell r="D482" t="str">
            <v>GHF-90</v>
          </cell>
          <cell r="E482">
            <v>0</v>
          </cell>
        </row>
        <row r="485">
          <cell r="D485" t="str">
            <v>GEL-25</v>
          </cell>
        </row>
        <row r="505">
          <cell r="D505" t="str">
            <v>HP2.5-90</v>
          </cell>
          <cell r="E505">
            <v>0</v>
          </cell>
        </row>
        <row r="506">
          <cell r="D506" t="str">
            <v>HP10-20</v>
          </cell>
          <cell r="E506">
            <v>0</v>
          </cell>
        </row>
        <row r="507">
          <cell r="D507" t="str">
            <v>HP10-25</v>
          </cell>
          <cell r="E507">
            <v>0</v>
          </cell>
        </row>
        <row r="508">
          <cell r="D508" t="str">
            <v>HP6-32</v>
          </cell>
          <cell r="E508">
            <v>0</v>
          </cell>
        </row>
        <row r="509">
          <cell r="D509" t="str">
            <v>HP6-40</v>
          </cell>
          <cell r="E509">
            <v>0</v>
          </cell>
        </row>
        <row r="510">
          <cell r="D510" t="str">
            <v>HP6-50</v>
          </cell>
          <cell r="E510">
            <v>0</v>
          </cell>
        </row>
        <row r="511">
          <cell r="D511" t="str">
            <v>HP6-63</v>
          </cell>
          <cell r="E511">
            <v>0</v>
          </cell>
        </row>
        <row r="512">
          <cell r="D512" t="str">
            <v>HP4-75</v>
          </cell>
          <cell r="E512">
            <v>0</v>
          </cell>
        </row>
        <row r="513">
          <cell r="D513" t="str">
            <v>HP4-90</v>
          </cell>
          <cell r="E513">
            <v>0</v>
          </cell>
        </row>
        <row r="515">
          <cell r="D515" t="str">
            <v>GPM-15</v>
          </cell>
          <cell r="E515">
            <v>0</v>
          </cell>
        </row>
        <row r="516">
          <cell r="D516" t="str">
            <v>GPM-20</v>
          </cell>
          <cell r="E516">
            <v>0</v>
          </cell>
        </row>
        <row r="517">
          <cell r="D517" t="str">
            <v>GPM-25</v>
          </cell>
          <cell r="E517">
            <v>0</v>
          </cell>
        </row>
        <row r="518">
          <cell r="D518" t="str">
            <v>GPM-32</v>
          </cell>
          <cell r="E518">
            <v>0</v>
          </cell>
        </row>
        <row r="519">
          <cell r="D519" t="str">
            <v>GPM-40</v>
          </cell>
          <cell r="E519">
            <v>0</v>
          </cell>
        </row>
        <row r="520">
          <cell r="D520" t="str">
            <v>GPM-50</v>
          </cell>
          <cell r="E520">
            <v>0</v>
          </cell>
        </row>
        <row r="521">
          <cell r="D521" t="str">
            <v>GPM-63</v>
          </cell>
          <cell r="E521">
            <v>0</v>
          </cell>
        </row>
        <row r="522">
          <cell r="D522" t="str">
            <v>GPM-75</v>
          </cell>
          <cell r="E522">
            <v>0</v>
          </cell>
        </row>
        <row r="524">
          <cell r="D524" t="str">
            <v>GEL-15</v>
          </cell>
          <cell r="E524">
            <v>0</v>
          </cell>
        </row>
        <row r="525">
          <cell r="D525" t="str">
            <v>GEL-20</v>
          </cell>
          <cell r="E525">
            <v>0</v>
          </cell>
        </row>
        <row r="526">
          <cell r="D526" t="str">
            <v>GEL-25</v>
          </cell>
          <cell r="E526">
            <v>0</v>
          </cell>
        </row>
        <row r="527">
          <cell r="D527" t="str">
            <v>GEL-32</v>
          </cell>
          <cell r="E527">
            <v>0</v>
          </cell>
        </row>
        <row r="528">
          <cell r="D528" t="str">
            <v>GEL-40</v>
          </cell>
          <cell r="E528">
            <v>0</v>
          </cell>
        </row>
        <row r="529">
          <cell r="D529" t="str">
            <v>GEL-50</v>
          </cell>
          <cell r="E529">
            <v>0</v>
          </cell>
        </row>
        <row r="530">
          <cell r="D530" t="str">
            <v>GEL-63</v>
          </cell>
          <cell r="E530">
            <v>0</v>
          </cell>
        </row>
        <row r="531">
          <cell r="D531" t="str">
            <v>GEL-75</v>
          </cell>
          <cell r="E531">
            <v>0</v>
          </cell>
        </row>
        <row r="532">
          <cell r="D532" t="str">
            <v>HST-32</v>
          </cell>
          <cell r="E532">
            <v>0</v>
          </cell>
        </row>
        <row r="533">
          <cell r="D533" t="str">
            <v>HST-40</v>
          </cell>
          <cell r="E533">
            <v>0</v>
          </cell>
        </row>
        <row r="534">
          <cell r="D534" t="str">
            <v>HST-50</v>
          </cell>
          <cell r="E534">
            <v>0</v>
          </cell>
        </row>
        <row r="535">
          <cell r="D535" t="str">
            <v>HST-75</v>
          </cell>
          <cell r="E535">
            <v>0</v>
          </cell>
        </row>
        <row r="536">
          <cell r="D536" t="str">
            <v>GSO-15</v>
          </cell>
          <cell r="E536">
            <v>0</v>
          </cell>
        </row>
        <row r="537">
          <cell r="D537" t="str">
            <v>GSO-20</v>
          </cell>
          <cell r="E537">
            <v>0</v>
          </cell>
        </row>
        <row r="538">
          <cell r="D538" t="str">
            <v>GSO-25</v>
          </cell>
          <cell r="E538">
            <v>0</v>
          </cell>
        </row>
        <row r="539">
          <cell r="D539" t="str">
            <v>GSO-32</v>
          </cell>
          <cell r="E539">
            <v>0</v>
          </cell>
        </row>
        <row r="540">
          <cell r="D540" t="str">
            <v>GSO-40</v>
          </cell>
          <cell r="E540">
            <v>0</v>
          </cell>
        </row>
        <row r="541">
          <cell r="D541" t="str">
            <v>GSO-50</v>
          </cell>
          <cell r="E541">
            <v>0</v>
          </cell>
        </row>
        <row r="542">
          <cell r="D542" t="str">
            <v>GSO-63</v>
          </cell>
          <cell r="E542">
            <v>0</v>
          </cell>
        </row>
        <row r="543">
          <cell r="D543" t="str">
            <v>GSO-75</v>
          </cell>
          <cell r="E543">
            <v>0</v>
          </cell>
        </row>
        <row r="544">
          <cell r="D544" t="str">
            <v>GUN-15</v>
          </cell>
          <cell r="E544">
            <v>0</v>
          </cell>
        </row>
        <row r="545">
          <cell r="D545" t="str">
            <v>GUN-20</v>
          </cell>
          <cell r="E545">
            <v>0</v>
          </cell>
        </row>
        <row r="546">
          <cell r="D546" t="str">
            <v>GUN-25</v>
          </cell>
          <cell r="E546">
            <v>0</v>
          </cell>
        </row>
        <row r="547">
          <cell r="D547" t="str">
            <v>GUN-32</v>
          </cell>
          <cell r="E547">
            <v>0</v>
          </cell>
        </row>
        <row r="548">
          <cell r="D548" t="str">
            <v>GUN-40</v>
          </cell>
          <cell r="E548">
            <v>0</v>
          </cell>
        </row>
        <row r="549">
          <cell r="D549" t="str">
            <v>GUN-50</v>
          </cell>
          <cell r="E549">
            <v>0</v>
          </cell>
        </row>
        <row r="550">
          <cell r="D550" t="str">
            <v>GUN-63</v>
          </cell>
          <cell r="E550">
            <v>0</v>
          </cell>
        </row>
        <row r="551">
          <cell r="D551" t="str">
            <v>GUN-75</v>
          </cell>
          <cell r="E551">
            <v>0</v>
          </cell>
        </row>
        <row r="552">
          <cell r="D552" t="str">
            <v>GET-15</v>
          </cell>
          <cell r="E552">
            <v>0</v>
          </cell>
        </row>
        <row r="553">
          <cell r="D553" t="str">
            <v>GET-20</v>
          </cell>
          <cell r="E553">
            <v>0</v>
          </cell>
        </row>
        <row r="554">
          <cell r="D554" t="str">
            <v>GET-25</v>
          </cell>
          <cell r="E554">
            <v>0</v>
          </cell>
        </row>
        <row r="555">
          <cell r="D555" t="str">
            <v>GET-32</v>
          </cell>
          <cell r="E555">
            <v>0</v>
          </cell>
        </row>
        <row r="556">
          <cell r="D556" t="str">
            <v>GET-40</v>
          </cell>
          <cell r="E556">
            <v>0</v>
          </cell>
        </row>
        <row r="557">
          <cell r="D557" t="str">
            <v>GET-50</v>
          </cell>
          <cell r="E557">
            <v>0</v>
          </cell>
        </row>
        <row r="558">
          <cell r="D558" t="str">
            <v>GET-63</v>
          </cell>
          <cell r="E558">
            <v>0</v>
          </cell>
        </row>
        <row r="559">
          <cell r="D559" t="str">
            <v>GET-75</v>
          </cell>
          <cell r="E559">
            <v>0</v>
          </cell>
        </row>
        <row r="560">
          <cell r="D560" t="str">
            <v>GUT-20x15</v>
          </cell>
          <cell r="E560">
            <v>0</v>
          </cell>
        </row>
        <row r="561">
          <cell r="D561" t="str">
            <v>GUT-25x15</v>
          </cell>
          <cell r="E561">
            <v>0</v>
          </cell>
        </row>
        <row r="562">
          <cell r="D562" t="str">
            <v>GUT-32x15</v>
          </cell>
          <cell r="E562">
            <v>0</v>
          </cell>
        </row>
        <row r="563">
          <cell r="D563" t="str">
            <v>GUT-40x15</v>
          </cell>
          <cell r="E563">
            <v>0</v>
          </cell>
        </row>
        <row r="564">
          <cell r="D564" t="str">
            <v>GUT-50x15</v>
          </cell>
          <cell r="E564">
            <v>0</v>
          </cell>
        </row>
        <row r="565">
          <cell r="D565" t="str">
            <v>GUT-63x15</v>
          </cell>
          <cell r="E565">
            <v>0</v>
          </cell>
        </row>
        <row r="566">
          <cell r="D566" t="str">
            <v>GUT-75x15</v>
          </cell>
          <cell r="E566">
            <v>0</v>
          </cell>
        </row>
        <row r="567">
          <cell r="D567" t="str">
            <v>GNI-15</v>
          </cell>
          <cell r="E567">
            <v>0</v>
          </cell>
        </row>
        <row r="568">
          <cell r="D568" t="str">
            <v>GNI-20</v>
          </cell>
          <cell r="E568">
            <v>0</v>
          </cell>
        </row>
        <row r="569">
          <cell r="D569" t="str">
            <v>GNI-25</v>
          </cell>
          <cell r="E569">
            <v>0</v>
          </cell>
        </row>
        <row r="570">
          <cell r="D570" t="str">
            <v>GNI-32</v>
          </cell>
          <cell r="E570">
            <v>0</v>
          </cell>
        </row>
        <row r="571">
          <cell r="D571" t="str">
            <v>GNI-40</v>
          </cell>
          <cell r="E571">
            <v>0</v>
          </cell>
        </row>
        <row r="572">
          <cell r="D572" t="str">
            <v>GNI-50</v>
          </cell>
          <cell r="E572">
            <v>0</v>
          </cell>
        </row>
        <row r="573">
          <cell r="D573" t="str">
            <v>GNI-63</v>
          </cell>
          <cell r="E573">
            <v>0</v>
          </cell>
        </row>
        <row r="574">
          <cell r="D574" t="str">
            <v>GNI-75</v>
          </cell>
          <cell r="E574">
            <v>0</v>
          </cell>
        </row>
        <row r="575">
          <cell r="D575" t="str">
            <v>BGAV-15</v>
          </cell>
          <cell r="E575">
            <v>0</v>
          </cell>
        </row>
        <row r="576">
          <cell r="D576" t="str">
            <v>BGAV-20</v>
          </cell>
          <cell r="E576">
            <v>0</v>
          </cell>
        </row>
        <row r="577">
          <cell r="D577" t="str">
            <v>BGAV-25</v>
          </cell>
          <cell r="E577">
            <v>0</v>
          </cell>
        </row>
        <row r="578">
          <cell r="D578" t="str">
            <v>BGAV-32</v>
          </cell>
          <cell r="E578">
            <v>0</v>
          </cell>
        </row>
        <row r="579">
          <cell r="D579" t="str">
            <v>BGAV-40</v>
          </cell>
          <cell r="E579">
            <v>0</v>
          </cell>
        </row>
        <row r="580">
          <cell r="D580" t="str">
            <v>BGAV-50</v>
          </cell>
          <cell r="E580">
            <v>0</v>
          </cell>
        </row>
        <row r="581">
          <cell r="D581" t="str">
            <v>BGAV-63</v>
          </cell>
          <cell r="E581">
            <v>0</v>
          </cell>
        </row>
        <row r="582">
          <cell r="D582" t="str">
            <v>BGAV-75</v>
          </cell>
          <cell r="E582">
            <v>0</v>
          </cell>
        </row>
        <row r="583">
          <cell r="D583" t="str">
            <v>BU-20</v>
          </cell>
          <cell r="E583">
            <v>0</v>
          </cell>
        </row>
        <row r="584">
          <cell r="D584" t="str">
            <v>BU-25</v>
          </cell>
          <cell r="E584">
            <v>0</v>
          </cell>
        </row>
        <row r="585">
          <cell r="D585" t="str">
            <v>BU-32</v>
          </cell>
          <cell r="E585">
            <v>0</v>
          </cell>
        </row>
        <row r="586">
          <cell r="D586" t="str">
            <v>BU-40</v>
          </cell>
          <cell r="E586">
            <v>0</v>
          </cell>
        </row>
        <row r="587">
          <cell r="D587" t="str">
            <v>GHF-50</v>
          </cell>
          <cell r="E587">
            <v>0</v>
          </cell>
        </row>
        <row r="588">
          <cell r="D588" t="str">
            <v>GHF-63</v>
          </cell>
          <cell r="E588">
            <v>0</v>
          </cell>
        </row>
        <row r="589">
          <cell r="D589" t="str">
            <v>GHF-75</v>
          </cell>
          <cell r="E589">
            <v>0</v>
          </cell>
        </row>
        <row r="590">
          <cell r="D590" t="str">
            <v>GHF-90</v>
          </cell>
          <cell r="E590">
            <v>0</v>
          </cell>
        </row>
        <row r="593">
          <cell r="D593" t="str">
            <v>GEL-25</v>
          </cell>
        </row>
        <row r="594">
          <cell r="D594" t="str">
            <v>gc- 63</v>
          </cell>
        </row>
        <row r="612">
          <cell r="D612" t="str">
            <v>HP2.5-90</v>
          </cell>
          <cell r="E612">
            <v>0</v>
          </cell>
        </row>
        <row r="613">
          <cell r="D613" t="str">
            <v>HP10-20</v>
          </cell>
          <cell r="E613">
            <v>0</v>
          </cell>
        </row>
        <row r="614">
          <cell r="D614" t="str">
            <v>HP10-25</v>
          </cell>
          <cell r="E614">
            <v>0</v>
          </cell>
        </row>
        <row r="615">
          <cell r="D615" t="str">
            <v>HP6-32</v>
          </cell>
          <cell r="E615">
            <v>0</v>
          </cell>
        </row>
        <row r="616">
          <cell r="D616" t="str">
            <v>HP6-40</v>
          </cell>
          <cell r="E616">
            <v>0</v>
          </cell>
        </row>
        <row r="617">
          <cell r="D617" t="str">
            <v>HP6-50</v>
          </cell>
          <cell r="E617">
            <v>0</v>
          </cell>
        </row>
        <row r="618">
          <cell r="D618" t="str">
            <v>HP6-63</v>
          </cell>
          <cell r="E618">
            <v>0</v>
          </cell>
        </row>
        <row r="619">
          <cell r="D619" t="str">
            <v>HP4-75</v>
          </cell>
          <cell r="E619">
            <v>0</v>
          </cell>
        </row>
        <row r="620">
          <cell r="D620" t="str">
            <v>HP4-90</v>
          </cell>
          <cell r="E620">
            <v>0</v>
          </cell>
        </row>
        <row r="622">
          <cell r="D622" t="str">
            <v>GPM-15</v>
          </cell>
          <cell r="E622">
            <v>0</v>
          </cell>
        </row>
        <row r="623">
          <cell r="D623" t="str">
            <v>GPM-20</v>
          </cell>
          <cell r="E623">
            <v>0</v>
          </cell>
        </row>
        <row r="624">
          <cell r="D624" t="str">
            <v>GPM-25</v>
          </cell>
          <cell r="E624">
            <v>0</v>
          </cell>
        </row>
        <row r="625">
          <cell r="D625" t="str">
            <v>GPM-32</v>
          </cell>
          <cell r="E625">
            <v>0</v>
          </cell>
        </row>
        <row r="626">
          <cell r="D626" t="str">
            <v>GPM-40</v>
          </cell>
          <cell r="E626">
            <v>0</v>
          </cell>
        </row>
        <row r="627">
          <cell r="D627" t="str">
            <v>GPM-50</v>
          </cell>
          <cell r="E627">
            <v>0</v>
          </cell>
        </row>
        <row r="628">
          <cell r="D628" t="str">
            <v>GPM-63</v>
          </cell>
          <cell r="E628">
            <v>0</v>
          </cell>
        </row>
        <row r="629">
          <cell r="D629" t="str">
            <v>GPM-75</v>
          </cell>
          <cell r="E629">
            <v>0</v>
          </cell>
        </row>
        <row r="631">
          <cell r="D631" t="str">
            <v>GEL-15</v>
          </cell>
          <cell r="E631">
            <v>0</v>
          </cell>
        </row>
        <row r="632">
          <cell r="D632" t="str">
            <v>GEL-20</v>
          </cell>
          <cell r="E632">
            <v>0</v>
          </cell>
        </row>
        <row r="633">
          <cell r="D633" t="str">
            <v>GEL-25</v>
          </cell>
          <cell r="E633">
            <v>0</v>
          </cell>
        </row>
        <row r="634">
          <cell r="D634" t="str">
            <v>GEL-32</v>
          </cell>
          <cell r="E634">
            <v>0</v>
          </cell>
        </row>
        <row r="635">
          <cell r="D635" t="str">
            <v>GEL-40</v>
          </cell>
          <cell r="E635">
            <v>0</v>
          </cell>
        </row>
        <row r="636">
          <cell r="D636" t="str">
            <v>GEL-50</v>
          </cell>
          <cell r="E636">
            <v>0</v>
          </cell>
        </row>
        <row r="637">
          <cell r="D637" t="str">
            <v>GEL-63</v>
          </cell>
          <cell r="E637">
            <v>0</v>
          </cell>
        </row>
        <row r="638">
          <cell r="D638" t="str">
            <v>GEL-75</v>
          </cell>
          <cell r="E638">
            <v>0</v>
          </cell>
        </row>
        <row r="639">
          <cell r="D639" t="str">
            <v>HST-32</v>
          </cell>
          <cell r="E639">
            <v>0</v>
          </cell>
        </row>
        <row r="640">
          <cell r="D640" t="str">
            <v>HST-40</v>
          </cell>
          <cell r="E640">
            <v>0</v>
          </cell>
        </row>
        <row r="641">
          <cell r="D641" t="str">
            <v>HST-50</v>
          </cell>
          <cell r="E641">
            <v>0</v>
          </cell>
        </row>
        <row r="642">
          <cell r="D642" t="str">
            <v>HST-75</v>
          </cell>
          <cell r="E642">
            <v>0</v>
          </cell>
        </row>
        <row r="643">
          <cell r="D643" t="str">
            <v>GSO-15</v>
          </cell>
          <cell r="E643">
            <v>0</v>
          </cell>
        </row>
        <row r="644">
          <cell r="D644" t="str">
            <v>GSO-20</v>
          </cell>
          <cell r="E644">
            <v>0</v>
          </cell>
        </row>
        <row r="645">
          <cell r="D645" t="str">
            <v>GSO-25</v>
          </cell>
          <cell r="E645">
            <v>0</v>
          </cell>
        </row>
        <row r="646">
          <cell r="D646" t="str">
            <v>GSO-32</v>
          </cell>
          <cell r="E646">
            <v>0</v>
          </cell>
        </row>
        <row r="647">
          <cell r="D647" t="str">
            <v>GSO-40</v>
          </cell>
          <cell r="E647">
            <v>0</v>
          </cell>
        </row>
        <row r="648">
          <cell r="D648" t="str">
            <v>GSO-50</v>
          </cell>
          <cell r="E648">
            <v>0</v>
          </cell>
        </row>
        <row r="649">
          <cell r="D649" t="str">
            <v>GSO-63</v>
          </cell>
          <cell r="E649">
            <v>0</v>
          </cell>
        </row>
        <row r="650">
          <cell r="D650" t="str">
            <v>GSO-75</v>
          </cell>
          <cell r="E650">
            <v>0</v>
          </cell>
        </row>
        <row r="651">
          <cell r="D651" t="str">
            <v>GUN-15</v>
          </cell>
          <cell r="E651">
            <v>0</v>
          </cell>
        </row>
        <row r="652">
          <cell r="D652" t="str">
            <v>GUN-20</v>
          </cell>
          <cell r="E652">
            <v>0</v>
          </cell>
        </row>
        <row r="653">
          <cell r="D653" t="str">
            <v>GUN-25</v>
          </cell>
          <cell r="E653">
            <v>0</v>
          </cell>
        </row>
        <row r="654">
          <cell r="D654" t="str">
            <v>GUN-32</v>
          </cell>
          <cell r="E654">
            <v>0</v>
          </cell>
        </row>
        <row r="655">
          <cell r="D655" t="str">
            <v>GUN-40</v>
          </cell>
          <cell r="E655">
            <v>0</v>
          </cell>
        </row>
        <row r="656">
          <cell r="D656" t="str">
            <v>GUN-50</v>
          </cell>
          <cell r="E656">
            <v>0</v>
          </cell>
        </row>
        <row r="657">
          <cell r="D657" t="str">
            <v>GUN-63</v>
          </cell>
          <cell r="E657">
            <v>0</v>
          </cell>
        </row>
        <row r="658">
          <cell r="D658" t="str">
            <v>GUN-75</v>
          </cell>
          <cell r="E658">
            <v>0</v>
          </cell>
        </row>
        <row r="659">
          <cell r="D659" t="str">
            <v>GET-15</v>
          </cell>
          <cell r="E659">
            <v>0</v>
          </cell>
        </row>
        <row r="660">
          <cell r="D660" t="str">
            <v>GET-20</v>
          </cell>
          <cell r="E660">
            <v>0</v>
          </cell>
        </row>
        <row r="661">
          <cell r="D661" t="str">
            <v>GET-25</v>
          </cell>
          <cell r="E661">
            <v>0</v>
          </cell>
        </row>
        <row r="662">
          <cell r="D662" t="str">
            <v>GET-32</v>
          </cell>
          <cell r="E662">
            <v>0</v>
          </cell>
        </row>
        <row r="663">
          <cell r="D663" t="str">
            <v>GET-40</v>
          </cell>
          <cell r="E663">
            <v>0</v>
          </cell>
        </row>
        <row r="664">
          <cell r="D664" t="str">
            <v>GET-50</v>
          </cell>
          <cell r="E664">
            <v>0</v>
          </cell>
        </row>
        <row r="665">
          <cell r="D665" t="str">
            <v>GET-63</v>
          </cell>
          <cell r="E665">
            <v>0</v>
          </cell>
        </row>
        <row r="666">
          <cell r="D666" t="str">
            <v>GET-75</v>
          </cell>
          <cell r="E666">
            <v>0</v>
          </cell>
        </row>
        <row r="667">
          <cell r="D667" t="str">
            <v>GUT-20x15</v>
          </cell>
          <cell r="E667">
            <v>0</v>
          </cell>
        </row>
        <row r="668">
          <cell r="D668" t="str">
            <v>GUT-25x15</v>
          </cell>
          <cell r="E668">
            <v>0</v>
          </cell>
        </row>
        <row r="669">
          <cell r="D669" t="str">
            <v>GUT-32x15</v>
          </cell>
          <cell r="E669">
            <v>0</v>
          </cell>
        </row>
        <row r="670">
          <cell r="D670" t="str">
            <v>GUT-40x15</v>
          </cell>
          <cell r="E670">
            <v>0</v>
          </cell>
        </row>
        <row r="671">
          <cell r="D671" t="str">
            <v>GUT-50x15</v>
          </cell>
          <cell r="E671">
            <v>0</v>
          </cell>
        </row>
        <row r="672">
          <cell r="D672" t="str">
            <v>GUT-63x15</v>
          </cell>
          <cell r="E672">
            <v>0</v>
          </cell>
        </row>
        <row r="673">
          <cell r="D673" t="str">
            <v>GUT-75x15</v>
          </cell>
          <cell r="E673">
            <v>0</v>
          </cell>
        </row>
        <row r="674">
          <cell r="D674" t="str">
            <v>GNI-15</v>
          </cell>
          <cell r="E674">
            <v>0</v>
          </cell>
        </row>
        <row r="675">
          <cell r="D675" t="str">
            <v>GNI-20</v>
          </cell>
          <cell r="E675">
            <v>0</v>
          </cell>
        </row>
        <row r="676">
          <cell r="D676" t="str">
            <v>GNI-25</v>
          </cell>
          <cell r="E676">
            <v>0</v>
          </cell>
        </row>
        <row r="677">
          <cell r="D677" t="str">
            <v>GNI-32</v>
          </cell>
          <cell r="E677">
            <v>0</v>
          </cell>
        </row>
        <row r="678">
          <cell r="D678" t="str">
            <v>GNI-40</v>
          </cell>
          <cell r="E678">
            <v>0</v>
          </cell>
        </row>
        <row r="679">
          <cell r="D679" t="str">
            <v>GNI-50</v>
          </cell>
          <cell r="E679">
            <v>0</v>
          </cell>
        </row>
        <row r="680">
          <cell r="D680" t="str">
            <v>GNI-63</v>
          </cell>
          <cell r="E680">
            <v>0</v>
          </cell>
        </row>
        <row r="681">
          <cell r="D681" t="str">
            <v>GNI-75</v>
          </cell>
          <cell r="E681">
            <v>0</v>
          </cell>
        </row>
        <row r="682">
          <cell r="D682" t="str">
            <v>BGAV-15</v>
          </cell>
          <cell r="E682">
            <v>0</v>
          </cell>
        </row>
        <row r="683">
          <cell r="D683" t="str">
            <v>BGAV-20</v>
          </cell>
          <cell r="E683">
            <v>0</v>
          </cell>
        </row>
        <row r="684">
          <cell r="D684" t="str">
            <v>BGAV-25</v>
          </cell>
          <cell r="E684">
            <v>0</v>
          </cell>
        </row>
        <row r="685">
          <cell r="D685" t="str">
            <v>BGAV-32</v>
          </cell>
          <cell r="E685">
            <v>0</v>
          </cell>
        </row>
        <row r="686">
          <cell r="D686" t="str">
            <v>BGAV-40</v>
          </cell>
          <cell r="E686">
            <v>0</v>
          </cell>
        </row>
        <row r="687">
          <cell r="D687" t="str">
            <v>BGAV-50</v>
          </cell>
          <cell r="E687">
            <v>0</v>
          </cell>
        </row>
        <row r="688">
          <cell r="D688" t="str">
            <v>BGAV-63</v>
          </cell>
          <cell r="E688">
            <v>0</v>
          </cell>
        </row>
        <row r="689">
          <cell r="D689" t="str">
            <v>BGAV-75</v>
          </cell>
          <cell r="E689">
            <v>0</v>
          </cell>
        </row>
        <row r="690">
          <cell r="D690" t="str">
            <v>BU-20</v>
          </cell>
          <cell r="E690">
            <v>0</v>
          </cell>
        </row>
        <row r="691">
          <cell r="D691" t="str">
            <v>BU-25</v>
          </cell>
          <cell r="E691">
            <v>0</v>
          </cell>
        </row>
        <row r="692">
          <cell r="D692" t="str">
            <v>BU-32</v>
          </cell>
          <cell r="E692">
            <v>0</v>
          </cell>
        </row>
        <row r="693">
          <cell r="D693" t="str">
            <v>BU-40</v>
          </cell>
          <cell r="E693">
            <v>0</v>
          </cell>
        </row>
        <row r="694">
          <cell r="D694" t="str">
            <v>GHF-50</v>
          </cell>
          <cell r="E694">
            <v>0</v>
          </cell>
        </row>
        <row r="695">
          <cell r="D695" t="str">
            <v>GHF-63</v>
          </cell>
          <cell r="E695">
            <v>0</v>
          </cell>
        </row>
        <row r="696">
          <cell r="D696" t="str">
            <v>GHF-75</v>
          </cell>
          <cell r="E696">
            <v>0</v>
          </cell>
        </row>
        <row r="697">
          <cell r="D697" t="str">
            <v>GHF-90</v>
          </cell>
          <cell r="E697">
            <v>0</v>
          </cell>
        </row>
        <row r="700">
          <cell r="D700" t="str">
            <v>GEL-25</v>
          </cell>
        </row>
        <row r="720">
          <cell r="D720" t="str">
            <v>HP2.5-90</v>
          </cell>
          <cell r="E720">
            <v>0</v>
          </cell>
        </row>
        <row r="721">
          <cell r="D721" t="str">
            <v>HP10-20</v>
          </cell>
          <cell r="E721">
            <v>0</v>
          </cell>
        </row>
        <row r="722">
          <cell r="D722" t="str">
            <v>HP10-25</v>
          </cell>
          <cell r="E722">
            <v>0</v>
          </cell>
        </row>
        <row r="723">
          <cell r="D723" t="str">
            <v>HP6-32</v>
          </cell>
          <cell r="E723">
            <v>0</v>
          </cell>
        </row>
        <row r="724">
          <cell r="D724" t="str">
            <v>HP6-40</v>
          </cell>
          <cell r="E724">
            <v>0</v>
          </cell>
        </row>
        <row r="725">
          <cell r="D725" t="str">
            <v>HP6-50</v>
          </cell>
          <cell r="E725">
            <v>0</v>
          </cell>
        </row>
        <row r="726">
          <cell r="D726" t="str">
            <v>HP6-63</v>
          </cell>
          <cell r="E726">
            <v>0</v>
          </cell>
        </row>
        <row r="727">
          <cell r="D727" t="str">
            <v>HP4-75</v>
          </cell>
          <cell r="E727">
            <v>0</v>
          </cell>
        </row>
        <row r="728">
          <cell r="D728" t="str">
            <v>HP4-90</v>
          </cell>
          <cell r="E728">
            <v>0</v>
          </cell>
        </row>
        <row r="730">
          <cell r="D730" t="str">
            <v>GPM-15</v>
          </cell>
          <cell r="E730">
            <v>0</v>
          </cell>
        </row>
        <row r="731">
          <cell r="D731" t="str">
            <v>GPM-20</v>
          </cell>
          <cell r="E731">
            <v>0</v>
          </cell>
        </row>
        <row r="732">
          <cell r="D732" t="str">
            <v>GPM-25</v>
          </cell>
          <cell r="E732">
            <v>0</v>
          </cell>
        </row>
        <row r="733">
          <cell r="D733" t="str">
            <v>GPM-32</v>
          </cell>
          <cell r="E733">
            <v>0</v>
          </cell>
        </row>
        <row r="734">
          <cell r="D734" t="str">
            <v>GPM-40</v>
          </cell>
          <cell r="E734">
            <v>0</v>
          </cell>
        </row>
        <row r="735">
          <cell r="D735" t="str">
            <v>GPM-50</v>
          </cell>
          <cell r="E735">
            <v>0</v>
          </cell>
        </row>
        <row r="736">
          <cell r="D736" t="str">
            <v>GPM-63</v>
          </cell>
          <cell r="E736">
            <v>0</v>
          </cell>
        </row>
        <row r="737">
          <cell r="D737" t="str">
            <v>GPM-75</v>
          </cell>
          <cell r="E737">
            <v>0</v>
          </cell>
        </row>
        <row r="739">
          <cell r="D739" t="str">
            <v>GEL-15</v>
          </cell>
          <cell r="E739">
            <v>0</v>
          </cell>
        </row>
        <row r="740">
          <cell r="D740" t="str">
            <v>GEL-20</v>
          </cell>
          <cell r="E740">
            <v>0</v>
          </cell>
        </row>
        <row r="741">
          <cell r="D741" t="str">
            <v>GEL-25</v>
          </cell>
          <cell r="E741">
            <v>0</v>
          </cell>
        </row>
        <row r="742">
          <cell r="D742" t="str">
            <v>GEL-32</v>
          </cell>
          <cell r="E742">
            <v>0</v>
          </cell>
        </row>
        <row r="743">
          <cell r="D743" t="str">
            <v>GEL-40</v>
          </cell>
          <cell r="E743">
            <v>0</v>
          </cell>
        </row>
        <row r="744">
          <cell r="D744" t="str">
            <v>GEL-50</v>
          </cell>
          <cell r="E744">
            <v>0</v>
          </cell>
        </row>
        <row r="745">
          <cell r="D745" t="str">
            <v>GEL-63</v>
          </cell>
          <cell r="E745">
            <v>0</v>
          </cell>
        </row>
        <row r="746">
          <cell r="D746" t="str">
            <v>GEL-75</v>
          </cell>
          <cell r="E746">
            <v>0</v>
          </cell>
        </row>
        <row r="747">
          <cell r="D747" t="str">
            <v>HST-32</v>
          </cell>
          <cell r="E747">
            <v>0</v>
          </cell>
        </row>
        <row r="748">
          <cell r="D748" t="str">
            <v>HST-40</v>
          </cell>
          <cell r="E748">
            <v>0</v>
          </cell>
        </row>
        <row r="749">
          <cell r="D749" t="str">
            <v>HST-50</v>
          </cell>
          <cell r="E749">
            <v>0</v>
          </cell>
        </row>
        <row r="750">
          <cell r="D750" t="str">
            <v>HST-75</v>
          </cell>
          <cell r="E750">
            <v>0</v>
          </cell>
        </row>
        <row r="751">
          <cell r="D751" t="str">
            <v>GSO-15</v>
          </cell>
          <cell r="E751">
            <v>0</v>
          </cell>
        </row>
        <row r="752">
          <cell r="D752" t="str">
            <v>GSO-20</v>
          </cell>
          <cell r="E752">
            <v>0</v>
          </cell>
        </row>
        <row r="753">
          <cell r="D753" t="str">
            <v>GSO-25</v>
          </cell>
          <cell r="E753">
            <v>0</v>
          </cell>
        </row>
        <row r="754">
          <cell r="D754" t="str">
            <v>GSO-32</v>
          </cell>
          <cell r="E754">
            <v>0</v>
          </cell>
        </row>
        <row r="755">
          <cell r="D755" t="str">
            <v>GSO-40</v>
          </cell>
          <cell r="E755">
            <v>0</v>
          </cell>
        </row>
        <row r="756">
          <cell r="D756" t="str">
            <v>GSO-50</v>
          </cell>
          <cell r="E756">
            <v>0</v>
          </cell>
        </row>
        <row r="757">
          <cell r="D757" t="str">
            <v>GSO-63</v>
          </cell>
          <cell r="E757">
            <v>0</v>
          </cell>
        </row>
        <row r="758">
          <cell r="D758" t="str">
            <v>GSO-75</v>
          </cell>
          <cell r="E758">
            <v>0</v>
          </cell>
        </row>
        <row r="759">
          <cell r="D759" t="str">
            <v>GUN-15</v>
          </cell>
          <cell r="E759">
            <v>0</v>
          </cell>
        </row>
        <row r="760">
          <cell r="D760" t="str">
            <v>GUN-20</v>
          </cell>
          <cell r="E760">
            <v>0</v>
          </cell>
        </row>
        <row r="761">
          <cell r="D761" t="str">
            <v>GUN-25</v>
          </cell>
          <cell r="E761">
            <v>0</v>
          </cell>
        </row>
        <row r="762">
          <cell r="D762" t="str">
            <v>GUN-32</v>
          </cell>
          <cell r="E762">
            <v>0</v>
          </cell>
        </row>
        <row r="763">
          <cell r="D763" t="str">
            <v>GUN-40</v>
          </cell>
          <cell r="E763">
            <v>0</v>
          </cell>
        </row>
        <row r="764">
          <cell r="D764" t="str">
            <v>GUN-50</v>
          </cell>
          <cell r="E764">
            <v>0</v>
          </cell>
        </row>
        <row r="765">
          <cell r="D765" t="str">
            <v>GUN-63</v>
          </cell>
          <cell r="E765">
            <v>0</v>
          </cell>
        </row>
        <row r="766">
          <cell r="D766" t="str">
            <v>GUN-75</v>
          </cell>
          <cell r="E766">
            <v>0</v>
          </cell>
        </row>
        <row r="767">
          <cell r="D767" t="str">
            <v>GET-15</v>
          </cell>
          <cell r="E767">
            <v>0</v>
          </cell>
        </row>
        <row r="768">
          <cell r="D768" t="str">
            <v>GET-20</v>
          </cell>
          <cell r="E768">
            <v>0</v>
          </cell>
        </row>
        <row r="769">
          <cell r="D769" t="str">
            <v>GET-25</v>
          </cell>
          <cell r="E769">
            <v>0</v>
          </cell>
        </row>
        <row r="770">
          <cell r="D770" t="str">
            <v>GET-32</v>
          </cell>
          <cell r="E770">
            <v>0</v>
          </cell>
        </row>
        <row r="771">
          <cell r="D771" t="str">
            <v>GET-40</v>
          </cell>
          <cell r="E771">
            <v>0</v>
          </cell>
        </row>
        <row r="772">
          <cell r="D772" t="str">
            <v>GET-50</v>
          </cell>
          <cell r="E772">
            <v>0</v>
          </cell>
        </row>
        <row r="773">
          <cell r="D773" t="str">
            <v>GET-63</v>
          </cell>
          <cell r="E773">
            <v>0</v>
          </cell>
        </row>
        <row r="774">
          <cell r="D774" t="str">
            <v>GET-75</v>
          </cell>
          <cell r="E774">
            <v>0</v>
          </cell>
        </row>
        <row r="775">
          <cell r="D775" t="str">
            <v>GUT-20x15</v>
          </cell>
          <cell r="E775">
            <v>0</v>
          </cell>
        </row>
        <row r="776">
          <cell r="D776" t="str">
            <v>GUT-25x15</v>
          </cell>
          <cell r="E776">
            <v>0</v>
          </cell>
        </row>
        <row r="777">
          <cell r="D777" t="str">
            <v>GUT-32x15</v>
          </cell>
          <cell r="E777">
            <v>0</v>
          </cell>
        </row>
        <row r="778">
          <cell r="D778" t="str">
            <v>GUT-40x15</v>
          </cell>
          <cell r="E778">
            <v>0</v>
          </cell>
        </row>
        <row r="779">
          <cell r="D779" t="str">
            <v>GUT-50x15</v>
          </cell>
          <cell r="E779">
            <v>0</v>
          </cell>
        </row>
        <row r="780">
          <cell r="D780" t="str">
            <v>GUT-63x15</v>
          </cell>
          <cell r="E780">
            <v>0</v>
          </cell>
        </row>
        <row r="781">
          <cell r="D781" t="str">
            <v>GUT-75x15</v>
          </cell>
          <cell r="E781">
            <v>0</v>
          </cell>
        </row>
        <row r="782">
          <cell r="D782" t="str">
            <v>GNI-15</v>
          </cell>
          <cell r="E782">
            <v>0</v>
          </cell>
        </row>
        <row r="783">
          <cell r="D783" t="str">
            <v>GNI-20</v>
          </cell>
          <cell r="E783">
            <v>0</v>
          </cell>
        </row>
        <row r="784">
          <cell r="D784" t="str">
            <v>GNI-25</v>
          </cell>
          <cell r="E784">
            <v>0</v>
          </cell>
        </row>
        <row r="785">
          <cell r="D785" t="str">
            <v>GNI-32</v>
          </cell>
          <cell r="E785">
            <v>0</v>
          </cell>
        </row>
        <row r="786">
          <cell r="D786" t="str">
            <v>GNI-40</v>
          </cell>
          <cell r="E786">
            <v>0</v>
          </cell>
        </row>
        <row r="787">
          <cell r="D787" t="str">
            <v>GNI-50</v>
          </cell>
          <cell r="E787">
            <v>0</v>
          </cell>
        </row>
        <row r="788">
          <cell r="D788" t="str">
            <v>GNI-63</v>
          </cell>
          <cell r="E788">
            <v>0</v>
          </cell>
        </row>
        <row r="789">
          <cell r="D789" t="str">
            <v>GNI-75</v>
          </cell>
          <cell r="E789">
            <v>0</v>
          </cell>
        </row>
        <row r="790">
          <cell r="D790" t="str">
            <v>BGAV-15</v>
          </cell>
          <cell r="E790">
            <v>0</v>
          </cell>
        </row>
        <row r="791">
          <cell r="D791" t="str">
            <v>BGAV-20</v>
          </cell>
          <cell r="E791">
            <v>0</v>
          </cell>
        </row>
        <row r="792">
          <cell r="D792" t="str">
            <v>BGAV-25</v>
          </cell>
          <cell r="E792">
            <v>0</v>
          </cell>
        </row>
        <row r="793">
          <cell r="D793" t="str">
            <v>BGAV-32</v>
          </cell>
          <cell r="E793">
            <v>0</v>
          </cell>
        </row>
        <row r="794">
          <cell r="D794" t="str">
            <v>BGAV-40</v>
          </cell>
          <cell r="E794">
            <v>0</v>
          </cell>
        </row>
        <row r="795">
          <cell r="D795" t="str">
            <v>BGAV-50</v>
          </cell>
          <cell r="E795">
            <v>0</v>
          </cell>
        </row>
        <row r="796">
          <cell r="D796" t="str">
            <v>BGAV-63</v>
          </cell>
          <cell r="E796">
            <v>0</v>
          </cell>
        </row>
        <row r="797">
          <cell r="D797" t="str">
            <v>BGAV-75</v>
          </cell>
          <cell r="E797">
            <v>0</v>
          </cell>
        </row>
        <row r="798">
          <cell r="D798" t="str">
            <v>BU-20</v>
          </cell>
          <cell r="E798">
            <v>0</v>
          </cell>
        </row>
        <row r="799">
          <cell r="D799" t="str">
            <v>BU-25</v>
          </cell>
          <cell r="E799">
            <v>0</v>
          </cell>
        </row>
        <row r="800">
          <cell r="D800" t="str">
            <v>BU-32</v>
          </cell>
          <cell r="E800">
            <v>0</v>
          </cell>
        </row>
        <row r="801">
          <cell r="D801" t="str">
            <v>BU-40</v>
          </cell>
          <cell r="E801">
            <v>0</v>
          </cell>
        </row>
        <row r="802">
          <cell r="D802" t="str">
            <v>GHF-50</v>
          </cell>
          <cell r="E802">
            <v>0</v>
          </cell>
        </row>
        <row r="803">
          <cell r="D803" t="str">
            <v>GHF-63</v>
          </cell>
          <cell r="E803">
            <v>0</v>
          </cell>
        </row>
        <row r="804">
          <cell r="D804" t="str">
            <v>GHF-75</v>
          </cell>
          <cell r="E804">
            <v>0</v>
          </cell>
        </row>
        <row r="805">
          <cell r="D805" t="str">
            <v>GHF-90</v>
          </cell>
          <cell r="E805">
            <v>0</v>
          </cell>
        </row>
        <row r="808">
          <cell r="D808" t="str">
            <v>GEL-25</v>
          </cell>
        </row>
        <row r="828">
          <cell r="D828" t="str">
            <v>HP2.5-90</v>
          </cell>
          <cell r="E828">
            <v>0</v>
          </cell>
        </row>
        <row r="829">
          <cell r="D829" t="str">
            <v>HP10-20</v>
          </cell>
          <cell r="E829">
            <v>0</v>
          </cell>
        </row>
        <row r="830">
          <cell r="D830" t="str">
            <v>HP10-25</v>
          </cell>
          <cell r="E830">
            <v>0</v>
          </cell>
        </row>
        <row r="831">
          <cell r="D831" t="str">
            <v>HP6-32</v>
          </cell>
          <cell r="E831">
            <v>0</v>
          </cell>
        </row>
        <row r="832">
          <cell r="D832" t="str">
            <v>HP6-40</v>
          </cell>
          <cell r="E832">
            <v>0</v>
          </cell>
        </row>
        <row r="833">
          <cell r="D833" t="str">
            <v>HP6-50</v>
          </cell>
          <cell r="E833">
            <v>0</v>
          </cell>
        </row>
        <row r="834">
          <cell r="D834" t="str">
            <v>HP6-63</v>
          </cell>
          <cell r="E834">
            <v>0</v>
          </cell>
        </row>
        <row r="835">
          <cell r="D835" t="str">
            <v>HP4-75</v>
          </cell>
          <cell r="E835">
            <v>0</v>
          </cell>
        </row>
        <row r="836">
          <cell r="D836" t="str">
            <v>HP4-90</v>
          </cell>
          <cell r="E836">
            <v>0</v>
          </cell>
        </row>
        <row r="838">
          <cell r="D838" t="str">
            <v>GPM-15</v>
          </cell>
          <cell r="E838">
            <v>0</v>
          </cell>
        </row>
        <row r="839">
          <cell r="D839" t="str">
            <v>GPM-20</v>
          </cell>
          <cell r="E839">
            <v>0</v>
          </cell>
        </row>
        <row r="840">
          <cell r="D840" t="str">
            <v>GPM-25</v>
          </cell>
          <cell r="E840">
            <v>0</v>
          </cell>
        </row>
        <row r="841">
          <cell r="D841" t="str">
            <v>GPM-32</v>
          </cell>
          <cell r="E841">
            <v>0</v>
          </cell>
        </row>
        <row r="842">
          <cell r="D842" t="str">
            <v>GPM-40</v>
          </cell>
          <cell r="E842">
            <v>0</v>
          </cell>
        </row>
        <row r="843">
          <cell r="D843" t="str">
            <v>GPM-50</v>
          </cell>
          <cell r="E843">
            <v>0</v>
          </cell>
        </row>
        <row r="844">
          <cell r="D844" t="str">
            <v>GPM-63</v>
          </cell>
          <cell r="E844">
            <v>0</v>
          </cell>
        </row>
        <row r="845">
          <cell r="D845" t="str">
            <v>GPM-75</v>
          </cell>
          <cell r="E845">
            <v>0</v>
          </cell>
        </row>
        <row r="847">
          <cell r="D847" t="str">
            <v>GEL-15</v>
          </cell>
          <cell r="E847">
            <v>0</v>
          </cell>
        </row>
        <row r="848">
          <cell r="D848" t="str">
            <v>GEL-20</v>
          </cell>
          <cell r="E848">
            <v>0</v>
          </cell>
        </row>
        <row r="849">
          <cell r="D849" t="str">
            <v>GEL-25</v>
          </cell>
          <cell r="E849">
            <v>0</v>
          </cell>
        </row>
        <row r="850">
          <cell r="D850" t="str">
            <v>GEL-32</v>
          </cell>
          <cell r="E850">
            <v>0</v>
          </cell>
        </row>
        <row r="851">
          <cell r="D851" t="str">
            <v>GEL-40</v>
          </cell>
          <cell r="E851">
            <v>0</v>
          </cell>
        </row>
        <row r="852">
          <cell r="D852" t="str">
            <v>GEL-50</v>
          </cell>
          <cell r="E852">
            <v>0</v>
          </cell>
        </row>
        <row r="853">
          <cell r="D853" t="str">
            <v>GEL-63</v>
          </cell>
          <cell r="E853">
            <v>0</v>
          </cell>
        </row>
        <row r="854">
          <cell r="D854" t="str">
            <v>GEL-75</v>
          </cell>
          <cell r="E854">
            <v>0</v>
          </cell>
        </row>
        <row r="855">
          <cell r="D855" t="str">
            <v>HST-32</v>
          </cell>
          <cell r="E855">
            <v>0</v>
          </cell>
        </row>
        <row r="856">
          <cell r="D856" t="str">
            <v>HST-40</v>
          </cell>
          <cell r="E856">
            <v>0</v>
          </cell>
        </row>
        <row r="857">
          <cell r="D857" t="str">
            <v>HST-50</v>
          </cell>
          <cell r="E857">
            <v>0</v>
          </cell>
        </row>
        <row r="858">
          <cell r="D858" t="str">
            <v>HST-75</v>
          </cell>
          <cell r="E858">
            <v>0</v>
          </cell>
        </row>
        <row r="859">
          <cell r="D859" t="str">
            <v>GSO-15</v>
          </cell>
          <cell r="E859">
            <v>0</v>
          </cell>
        </row>
        <row r="860">
          <cell r="D860" t="str">
            <v>GSO-20</v>
          </cell>
          <cell r="E860">
            <v>0</v>
          </cell>
        </row>
        <row r="861">
          <cell r="D861" t="str">
            <v>GSO-25</v>
          </cell>
          <cell r="E861">
            <v>0</v>
          </cell>
        </row>
        <row r="862">
          <cell r="D862" t="str">
            <v>GSO-32</v>
          </cell>
          <cell r="E862">
            <v>0</v>
          </cell>
        </row>
        <row r="863">
          <cell r="D863" t="str">
            <v>GSO-40</v>
          </cell>
          <cell r="E863">
            <v>0</v>
          </cell>
        </row>
        <row r="864">
          <cell r="D864" t="str">
            <v>GSO-50</v>
          </cell>
          <cell r="E864">
            <v>0</v>
          </cell>
        </row>
        <row r="865">
          <cell r="D865" t="str">
            <v>GSO-63</v>
          </cell>
          <cell r="E865">
            <v>0</v>
          </cell>
        </row>
        <row r="866">
          <cell r="D866" t="str">
            <v>GSO-75</v>
          </cell>
          <cell r="E866">
            <v>0</v>
          </cell>
        </row>
        <row r="867">
          <cell r="D867" t="str">
            <v>GUN-15</v>
          </cell>
          <cell r="E867">
            <v>0</v>
          </cell>
        </row>
        <row r="868">
          <cell r="D868" t="str">
            <v>GUN-20</v>
          </cell>
          <cell r="E868">
            <v>0</v>
          </cell>
        </row>
        <row r="869">
          <cell r="D869" t="str">
            <v>GUN-25</v>
          </cell>
          <cell r="E869">
            <v>0</v>
          </cell>
        </row>
        <row r="870">
          <cell r="D870" t="str">
            <v>GUN-32</v>
          </cell>
          <cell r="E870">
            <v>0</v>
          </cell>
        </row>
        <row r="871">
          <cell r="D871" t="str">
            <v>GUN-40</v>
          </cell>
          <cell r="E871">
            <v>0</v>
          </cell>
        </row>
        <row r="872">
          <cell r="D872" t="str">
            <v>GUN-50</v>
          </cell>
          <cell r="E872">
            <v>0</v>
          </cell>
        </row>
        <row r="873">
          <cell r="D873" t="str">
            <v>GUN-63</v>
          </cell>
          <cell r="E873">
            <v>0</v>
          </cell>
        </row>
        <row r="874">
          <cell r="D874" t="str">
            <v>GUN-75</v>
          </cell>
          <cell r="E874">
            <v>0</v>
          </cell>
        </row>
        <row r="875">
          <cell r="D875" t="str">
            <v>GET-15</v>
          </cell>
          <cell r="E875">
            <v>0</v>
          </cell>
        </row>
        <row r="876">
          <cell r="D876" t="str">
            <v>GET-20</v>
          </cell>
          <cell r="E876">
            <v>0</v>
          </cell>
        </row>
        <row r="877">
          <cell r="D877" t="str">
            <v>GET-25</v>
          </cell>
          <cell r="E877">
            <v>0</v>
          </cell>
        </row>
        <row r="878">
          <cell r="D878" t="str">
            <v>GET-32</v>
          </cell>
          <cell r="E878">
            <v>0</v>
          </cell>
        </row>
        <row r="879">
          <cell r="D879" t="str">
            <v>GET-40</v>
          </cell>
          <cell r="E879">
            <v>0</v>
          </cell>
        </row>
        <row r="880">
          <cell r="D880" t="str">
            <v>GET-50</v>
          </cell>
          <cell r="E880">
            <v>0</v>
          </cell>
        </row>
        <row r="881">
          <cell r="D881" t="str">
            <v>GET-63</v>
          </cell>
          <cell r="E881">
            <v>0</v>
          </cell>
        </row>
        <row r="882">
          <cell r="D882" t="str">
            <v>GET-75</v>
          </cell>
          <cell r="E882">
            <v>0</v>
          </cell>
        </row>
        <row r="883">
          <cell r="D883" t="str">
            <v>GUT-20x15</v>
          </cell>
          <cell r="E883">
            <v>0</v>
          </cell>
        </row>
        <row r="884">
          <cell r="D884" t="str">
            <v>GUT-25x15</v>
          </cell>
          <cell r="E884">
            <v>0</v>
          </cell>
        </row>
        <row r="885">
          <cell r="D885" t="str">
            <v>GUT-32x15</v>
          </cell>
          <cell r="E885">
            <v>0</v>
          </cell>
        </row>
        <row r="886">
          <cell r="D886" t="str">
            <v>GUT-40x15</v>
          </cell>
          <cell r="E886">
            <v>0</v>
          </cell>
        </row>
        <row r="887">
          <cell r="D887" t="str">
            <v>GUT-50x15</v>
          </cell>
          <cell r="E887">
            <v>0</v>
          </cell>
        </row>
        <row r="888">
          <cell r="D888" t="str">
            <v>GUT-63x15</v>
          </cell>
          <cell r="E888">
            <v>0</v>
          </cell>
        </row>
        <row r="889">
          <cell r="D889" t="str">
            <v>GUT-75x15</v>
          </cell>
          <cell r="E889">
            <v>0</v>
          </cell>
        </row>
        <row r="890">
          <cell r="D890" t="str">
            <v>GNI-15</v>
          </cell>
          <cell r="E890">
            <v>0</v>
          </cell>
        </row>
        <row r="891">
          <cell r="D891" t="str">
            <v>GNI-20</v>
          </cell>
          <cell r="E891">
            <v>0</v>
          </cell>
        </row>
        <row r="892">
          <cell r="D892" t="str">
            <v>GNI-25</v>
          </cell>
          <cell r="E892">
            <v>0</v>
          </cell>
        </row>
        <row r="893">
          <cell r="D893" t="str">
            <v>GNI-32</v>
          </cell>
          <cell r="E893">
            <v>0</v>
          </cell>
        </row>
        <row r="894">
          <cell r="D894" t="str">
            <v>GNI-40</v>
          </cell>
          <cell r="E894">
            <v>0</v>
          </cell>
        </row>
        <row r="895">
          <cell r="D895" t="str">
            <v>GNI-50</v>
          </cell>
          <cell r="E895">
            <v>0</v>
          </cell>
        </row>
        <row r="896">
          <cell r="D896" t="str">
            <v>GNI-63</v>
          </cell>
          <cell r="E896">
            <v>0</v>
          </cell>
        </row>
        <row r="897">
          <cell r="D897" t="str">
            <v>GNI-75</v>
          </cell>
          <cell r="E897">
            <v>0</v>
          </cell>
        </row>
        <row r="898">
          <cell r="D898" t="str">
            <v>BGAV-15</v>
          </cell>
          <cell r="E898">
            <v>0</v>
          </cell>
        </row>
        <row r="899">
          <cell r="D899" t="str">
            <v>BGAV-20</v>
          </cell>
          <cell r="E899">
            <v>0</v>
          </cell>
        </row>
        <row r="900">
          <cell r="D900" t="str">
            <v>BGAV-25</v>
          </cell>
          <cell r="E900">
            <v>0</v>
          </cell>
        </row>
        <row r="901">
          <cell r="D901" t="str">
            <v>BGAV-32</v>
          </cell>
          <cell r="E901">
            <v>0</v>
          </cell>
        </row>
        <row r="902">
          <cell r="D902" t="str">
            <v>BGAV-40</v>
          </cell>
          <cell r="E902">
            <v>0</v>
          </cell>
        </row>
        <row r="903">
          <cell r="D903" t="str">
            <v>BGAV-50</v>
          </cell>
          <cell r="E903">
            <v>0</v>
          </cell>
        </row>
        <row r="904">
          <cell r="D904" t="str">
            <v>BGAV-63</v>
          </cell>
          <cell r="E904">
            <v>0</v>
          </cell>
        </row>
        <row r="905">
          <cell r="D905" t="str">
            <v>BGAV-75</v>
          </cell>
          <cell r="E905">
            <v>0</v>
          </cell>
        </row>
        <row r="906">
          <cell r="D906" t="str">
            <v>BU-20</v>
          </cell>
          <cell r="E906">
            <v>0</v>
          </cell>
        </row>
        <row r="907">
          <cell r="D907" t="str">
            <v>BU-25</v>
          </cell>
          <cell r="E907">
            <v>0</v>
          </cell>
        </row>
        <row r="908">
          <cell r="D908" t="str">
            <v>BU-32</v>
          </cell>
          <cell r="E908">
            <v>0</v>
          </cell>
        </row>
        <row r="909">
          <cell r="D909" t="str">
            <v>BU-40</v>
          </cell>
          <cell r="E909">
            <v>0</v>
          </cell>
        </row>
        <row r="910">
          <cell r="D910" t="str">
            <v>GHF-50</v>
          </cell>
          <cell r="E910">
            <v>0</v>
          </cell>
        </row>
        <row r="911">
          <cell r="D911" t="str">
            <v>GHF-63</v>
          </cell>
          <cell r="E911">
            <v>0</v>
          </cell>
        </row>
        <row r="912">
          <cell r="D912" t="str">
            <v>GHF-75</v>
          </cell>
          <cell r="E912">
            <v>0</v>
          </cell>
        </row>
        <row r="913">
          <cell r="D913" t="str">
            <v>GHF-90</v>
          </cell>
          <cell r="E913">
            <v>0</v>
          </cell>
        </row>
        <row r="916">
          <cell r="D916" t="str">
            <v>GEL-25</v>
          </cell>
        </row>
        <row r="935">
          <cell r="D935" t="str">
            <v>HP2.5-90</v>
          </cell>
          <cell r="E935">
            <v>0</v>
          </cell>
        </row>
        <row r="936">
          <cell r="D936" t="str">
            <v>HP10-20</v>
          </cell>
          <cell r="E936">
            <v>0</v>
          </cell>
        </row>
        <row r="937">
          <cell r="D937" t="str">
            <v>HP10-25</v>
          </cell>
          <cell r="E937">
            <v>0</v>
          </cell>
        </row>
        <row r="938">
          <cell r="D938" t="str">
            <v>HP6-32</v>
          </cell>
          <cell r="E938">
            <v>0</v>
          </cell>
        </row>
        <row r="939">
          <cell r="D939" t="str">
            <v>HP6-40</v>
          </cell>
          <cell r="E939">
            <v>0</v>
          </cell>
        </row>
        <row r="940">
          <cell r="D940" t="str">
            <v>HP6-50</v>
          </cell>
          <cell r="E940">
            <v>0</v>
          </cell>
        </row>
        <row r="941">
          <cell r="D941" t="str">
            <v>HP6-63</v>
          </cell>
          <cell r="E941">
            <v>0</v>
          </cell>
        </row>
        <row r="942">
          <cell r="D942" t="str">
            <v>HP4-75</v>
          </cell>
          <cell r="E942">
            <v>0</v>
          </cell>
        </row>
        <row r="943">
          <cell r="D943" t="str">
            <v>HP4-90</v>
          </cell>
          <cell r="E943">
            <v>0</v>
          </cell>
        </row>
        <row r="945">
          <cell r="D945" t="str">
            <v>GPM-15</v>
          </cell>
          <cell r="E945">
            <v>0</v>
          </cell>
        </row>
        <row r="946">
          <cell r="D946" t="str">
            <v>GPM-20</v>
          </cell>
          <cell r="E946">
            <v>0</v>
          </cell>
        </row>
        <row r="947">
          <cell r="D947" t="str">
            <v>GPM-25</v>
          </cell>
          <cell r="E947">
            <v>0</v>
          </cell>
        </row>
        <row r="948">
          <cell r="D948" t="str">
            <v>GPM-32</v>
          </cell>
          <cell r="E948">
            <v>0</v>
          </cell>
        </row>
        <row r="949">
          <cell r="D949" t="str">
            <v>GPM-40</v>
          </cell>
          <cell r="E949">
            <v>0</v>
          </cell>
        </row>
        <row r="950">
          <cell r="D950" t="str">
            <v>GPM-50</v>
          </cell>
          <cell r="E950">
            <v>0</v>
          </cell>
        </row>
        <row r="951">
          <cell r="D951" t="str">
            <v>GPM-63</v>
          </cell>
          <cell r="E951">
            <v>0</v>
          </cell>
        </row>
        <row r="952">
          <cell r="D952" t="str">
            <v>GPM-75</v>
          </cell>
          <cell r="E952">
            <v>0</v>
          </cell>
        </row>
        <row r="954">
          <cell r="D954" t="str">
            <v>GEL-15</v>
          </cell>
          <cell r="E954">
            <v>0</v>
          </cell>
        </row>
        <row r="955">
          <cell r="D955" t="str">
            <v>GEL-20</v>
          </cell>
          <cell r="E955">
            <v>0</v>
          </cell>
        </row>
        <row r="956">
          <cell r="D956" t="str">
            <v>GEL-25</v>
          </cell>
          <cell r="E956">
            <v>0</v>
          </cell>
        </row>
        <row r="957">
          <cell r="D957" t="str">
            <v>GEL-32</v>
          </cell>
          <cell r="E957">
            <v>0</v>
          </cell>
        </row>
        <row r="958">
          <cell r="D958" t="str">
            <v>GEL-40</v>
          </cell>
          <cell r="E958">
            <v>0</v>
          </cell>
        </row>
        <row r="959">
          <cell r="D959" t="str">
            <v>GEL-50</v>
          </cell>
          <cell r="E959">
            <v>0</v>
          </cell>
        </row>
        <row r="960">
          <cell r="D960" t="str">
            <v>GEL-63</v>
          </cell>
          <cell r="E960">
            <v>0</v>
          </cell>
        </row>
        <row r="961">
          <cell r="D961" t="str">
            <v>GEL-75</v>
          </cell>
          <cell r="E961">
            <v>0</v>
          </cell>
        </row>
        <row r="962">
          <cell r="D962" t="str">
            <v>HST-32</v>
          </cell>
          <cell r="E962">
            <v>0</v>
          </cell>
        </row>
        <row r="963">
          <cell r="D963" t="str">
            <v>HST-40</v>
          </cell>
          <cell r="E963">
            <v>0</v>
          </cell>
        </row>
        <row r="964">
          <cell r="D964" t="str">
            <v>HST-50</v>
          </cell>
          <cell r="E964">
            <v>0</v>
          </cell>
        </row>
        <row r="965">
          <cell r="D965" t="str">
            <v>HST-75</v>
          </cell>
          <cell r="E965">
            <v>0</v>
          </cell>
        </row>
        <row r="966">
          <cell r="D966" t="str">
            <v>GSO-15</v>
          </cell>
          <cell r="E966">
            <v>0</v>
          </cell>
        </row>
        <row r="967">
          <cell r="D967" t="str">
            <v>GSO-20</v>
          </cell>
          <cell r="E967">
            <v>0</v>
          </cell>
        </row>
        <row r="968">
          <cell r="D968" t="str">
            <v>GSO-25</v>
          </cell>
          <cell r="E968">
            <v>0</v>
          </cell>
        </row>
        <row r="969">
          <cell r="D969" t="str">
            <v>GSO-32</v>
          </cell>
          <cell r="E969">
            <v>0</v>
          </cell>
        </row>
        <row r="970">
          <cell r="D970" t="str">
            <v>GSO-40</v>
          </cell>
          <cell r="E970">
            <v>0</v>
          </cell>
        </row>
        <row r="971">
          <cell r="D971" t="str">
            <v>GSO-50</v>
          </cell>
          <cell r="E971">
            <v>0</v>
          </cell>
        </row>
        <row r="972">
          <cell r="D972" t="str">
            <v>GSO-63</v>
          </cell>
          <cell r="E972">
            <v>0</v>
          </cell>
        </row>
        <row r="973">
          <cell r="D973" t="str">
            <v>GSO-75</v>
          </cell>
          <cell r="E973">
            <v>0</v>
          </cell>
        </row>
        <row r="974">
          <cell r="D974" t="str">
            <v>GUN-15</v>
          </cell>
          <cell r="E974">
            <v>0</v>
          </cell>
        </row>
        <row r="975">
          <cell r="D975" t="str">
            <v>GUN-20</v>
          </cell>
          <cell r="E975">
            <v>0</v>
          </cell>
        </row>
        <row r="976">
          <cell r="D976" t="str">
            <v>GUN-25</v>
          </cell>
          <cell r="E976">
            <v>0</v>
          </cell>
        </row>
        <row r="977">
          <cell r="D977" t="str">
            <v>GUN-32</v>
          </cell>
          <cell r="E977">
            <v>0</v>
          </cell>
        </row>
        <row r="978">
          <cell r="D978" t="str">
            <v>GUN-40</v>
          </cell>
          <cell r="E978">
            <v>0</v>
          </cell>
        </row>
        <row r="979">
          <cell r="D979" t="str">
            <v>GUN-50</v>
          </cell>
          <cell r="E979">
            <v>0</v>
          </cell>
        </row>
        <row r="980">
          <cell r="D980" t="str">
            <v>GUN-63</v>
          </cell>
          <cell r="E980">
            <v>0</v>
          </cell>
        </row>
        <row r="981">
          <cell r="D981" t="str">
            <v>GUN-75</v>
          </cell>
          <cell r="E981">
            <v>0</v>
          </cell>
        </row>
        <row r="982">
          <cell r="D982" t="str">
            <v>GET-15</v>
          </cell>
          <cell r="E982">
            <v>0</v>
          </cell>
        </row>
        <row r="983">
          <cell r="D983" t="str">
            <v>GET-20</v>
          </cell>
          <cell r="E983">
            <v>0</v>
          </cell>
        </row>
        <row r="984">
          <cell r="D984" t="str">
            <v>GET-25</v>
          </cell>
          <cell r="E984">
            <v>0</v>
          </cell>
        </row>
        <row r="985">
          <cell r="D985" t="str">
            <v>GET-32</v>
          </cell>
          <cell r="E985">
            <v>0</v>
          </cell>
        </row>
        <row r="986">
          <cell r="D986" t="str">
            <v>GET-40</v>
          </cell>
          <cell r="E986">
            <v>0</v>
          </cell>
        </row>
        <row r="987">
          <cell r="D987" t="str">
            <v>GET-50</v>
          </cell>
          <cell r="E987">
            <v>0</v>
          </cell>
        </row>
        <row r="988">
          <cell r="D988" t="str">
            <v>GET-63</v>
          </cell>
          <cell r="E988">
            <v>0</v>
          </cell>
        </row>
        <row r="989">
          <cell r="D989" t="str">
            <v>GET-75</v>
          </cell>
          <cell r="E989">
            <v>0</v>
          </cell>
        </row>
        <row r="990">
          <cell r="D990" t="str">
            <v>GUT-20x15</v>
          </cell>
          <cell r="E990">
            <v>0</v>
          </cell>
        </row>
        <row r="991">
          <cell r="D991" t="str">
            <v>GUT-25x15</v>
          </cell>
          <cell r="E991">
            <v>0</v>
          </cell>
        </row>
        <row r="992">
          <cell r="D992" t="str">
            <v>GUT-32x15</v>
          </cell>
          <cell r="E992">
            <v>0</v>
          </cell>
        </row>
        <row r="993">
          <cell r="D993" t="str">
            <v>GUT-40x15</v>
          </cell>
          <cell r="E993">
            <v>0</v>
          </cell>
        </row>
        <row r="994">
          <cell r="D994" t="str">
            <v>GUT-50x15</v>
          </cell>
          <cell r="E994">
            <v>0</v>
          </cell>
        </row>
        <row r="995">
          <cell r="D995" t="str">
            <v>GUT-63x15</v>
          </cell>
          <cell r="E995">
            <v>0</v>
          </cell>
        </row>
        <row r="996">
          <cell r="D996" t="str">
            <v>GUT-75x15</v>
          </cell>
          <cell r="E996">
            <v>0</v>
          </cell>
        </row>
        <row r="997">
          <cell r="D997" t="str">
            <v>GNI-15</v>
          </cell>
          <cell r="E997">
            <v>0</v>
          </cell>
        </row>
        <row r="998">
          <cell r="D998" t="str">
            <v>GNI-20</v>
          </cell>
          <cell r="E998">
            <v>0</v>
          </cell>
        </row>
        <row r="999">
          <cell r="D999" t="str">
            <v>GNI-25</v>
          </cell>
          <cell r="E999">
            <v>0</v>
          </cell>
        </row>
        <row r="1000">
          <cell r="D1000" t="str">
            <v>GNI-32</v>
          </cell>
          <cell r="E1000">
            <v>0</v>
          </cell>
        </row>
        <row r="1001">
          <cell r="D1001" t="str">
            <v>GNI-40</v>
          </cell>
          <cell r="E1001">
            <v>0</v>
          </cell>
        </row>
        <row r="1002">
          <cell r="D1002" t="str">
            <v>GNI-50</v>
          </cell>
          <cell r="E1002">
            <v>0</v>
          </cell>
        </row>
        <row r="1003">
          <cell r="D1003" t="str">
            <v>GNI-63</v>
          </cell>
          <cell r="E1003">
            <v>0</v>
          </cell>
        </row>
        <row r="1004">
          <cell r="D1004" t="str">
            <v>GNI-75</v>
          </cell>
          <cell r="E1004">
            <v>0</v>
          </cell>
        </row>
        <row r="1005">
          <cell r="D1005" t="str">
            <v>BGAV-15</v>
          </cell>
          <cell r="E1005">
            <v>0</v>
          </cell>
        </row>
        <row r="1006">
          <cell r="D1006" t="str">
            <v>BGAV-20</v>
          </cell>
          <cell r="E1006">
            <v>0</v>
          </cell>
        </row>
        <row r="1007">
          <cell r="D1007" t="str">
            <v>BGAV-25</v>
          </cell>
          <cell r="E1007">
            <v>0</v>
          </cell>
        </row>
        <row r="1008">
          <cell r="D1008" t="str">
            <v>BGAV-32</v>
          </cell>
          <cell r="E1008">
            <v>0</v>
          </cell>
        </row>
        <row r="1009">
          <cell r="D1009" t="str">
            <v>BGAV-40</v>
          </cell>
          <cell r="E1009">
            <v>0</v>
          </cell>
        </row>
        <row r="1010">
          <cell r="D1010" t="str">
            <v>BGAV-50</v>
          </cell>
          <cell r="E1010">
            <v>0</v>
          </cell>
        </row>
        <row r="1011">
          <cell r="D1011" t="str">
            <v>BGAV-63</v>
          </cell>
          <cell r="E1011">
            <v>0</v>
          </cell>
        </row>
        <row r="1012">
          <cell r="D1012" t="str">
            <v>BGAV-75</v>
          </cell>
          <cell r="E1012">
            <v>0</v>
          </cell>
        </row>
        <row r="1013">
          <cell r="D1013" t="str">
            <v>BU-20</v>
          </cell>
          <cell r="E1013">
            <v>0</v>
          </cell>
        </row>
        <row r="1014">
          <cell r="D1014" t="str">
            <v>BU-25</v>
          </cell>
          <cell r="E1014">
            <v>0</v>
          </cell>
        </row>
        <row r="1015">
          <cell r="D1015" t="str">
            <v>BU-32</v>
          </cell>
          <cell r="E1015">
            <v>0</v>
          </cell>
        </row>
        <row r="1016">
          <cell r="D1016" t="str">
            <v>BU-40</v>
          </cell>
          <cell r="E1016">
            <v>0</v>
          </cell>
        </row>
        <row r="1017">
          <cell r="D1017" t="str">
            <v>GHF-50</v>
          </cell>
          <cell r="E1017">
            <v>0</v>
          </cell>
        </row>
        <row r="1018">
          <cell r="D1018" t="str">
            <v>GHF-63</v>
          </cell>
          <cell r="E1018">
            <v>0</v>
          </cell>
        </row>
        <row r="1019">
          <cell r="D1019" t="str">
            <v>GHF-75</v>
          </cell>
          <cell r="E1019">
            <v>0</v>
          </cell>
        </row>
        <row r="1020">
          <cell r="D1020" t="str">
            <v>GHF-90</v>
          </cell>
          <cell r="E1020">
            <v>0</v>
          </cell>
        </row>
        <row r="1023">
          <cell r="D1023" t="str">
            <v>GEL-25</v>
          </cell>
        </row>
        <row r="1044">
          <cell r="D1044" t="str">
            <v>HP2.5-90</v>
          </cell>
          <cell r="E1044">
            <v>0</v>
          </cell>
        </row>
        <row r="1045">
          <cell r="D1045" t="str">
            <v>HP10-20</v>
          </cell>
          <cell r="E1045">
            <v>0</v>
          </cell>
        </row>
        <row r="1046">
          <cell r="D1046" t="str">
            <v>HP10-25</v>
          </cell>
          <cell r="E1046">
            <v>0</v>
          </cell>
        </row>
        <row r="1047">
          <cell r="D1047" t="str">
            <v>HP6-32</v>
          </cell>
          <cell r="E1047">
            <v>0</v>
          </cell>
        </row>
        <row r="1048">
          <cell r="D1048" t="str">
            <v>HP6-40</v>
          </cell>
          <cell r="E1048">
            <v>0</v>
          </cell>
        </row>
        <row r="1049">
          <cell r="D1049" t="str">
            <v>HP6-50</v>
          </cell>
          <cell r="E1049">
            <v>0</v>
          </cell>
        </row>
        <row r="1050">
          <cell r="D1050" t="str">
            <v>HP6-63</v>
          </cell>
          <cell r="E1050">
            <v>0</v>
          </cell>
        </row>
        <row r="1051">
          <cell r="D1051" t="str">
            <v>HP4-75</v>
          </cell>
          <cell r="E1051">
            <v>0</v>
          </cell>
        </row>
        <row r="1052">
          <cell r="D1052" t="str">
            <v>HP4-90</v>
          </cell>
          <cell r="E1052">
            <v>0</v>
          </cell>
        </row>
        <row r="1054">
          <cell r="D1054" t="str">
            <v>GPM-15</v>
          </cell>
          <cell r="E1054">
            <v>0</v>
          </cell>
        </row>
        <row r="1055">
          <cell r="D1055" t="str">
            <v>GPM-20</v>
          </cell>
          <cell r="E1055">
            <v>0</v>
          </cell>
        </row>
        <row r="1056">
          <cell r="D1056" t="str">
            <v>GPM-25</v>
          </cell>
          <cell r="E1056">
            <v>0</v>
          </cell>
        </row>
        <row r="1057">
          <cell r="D1057" t="str">
            <v>GPM-32</v>
          </cell>
          <cell r="E1057">
            <v>0</v>
          </cell>
        </row>
        <row r="1058">
          <cell r="D1058" t="str">
            <v>GPM-40</v>
          </cell>
          <cell r="E1058">
            <v>0</v>
          </cell>
        </row>
        <row r="1059">
          <cell r="D1059" t="str">
            <v>GPM-50</v>
          </cell>
          <cell r="E1059">
            <v>0</v>
          </cell>
        </row>
        <row r="1060">
          <cell r="D1060" t="str">
            <v>GPM-63</v>
          </cell>
          <cell r="E1060">
            <v>0</v>
          </cell>
        </row>
        <row r="1061">
          <cell r="D1061" t="str">
            <v>GPM-75</v>
          </cell>
          <cell r="E1061">
            <v>0</v>
          </cell>
        </row>
        <row r="1063">
          <cell r="D1063" t="str">
            <v>GEL-15</v>
          </cell>
          <cell r="E1063">
            <v>0</v>
          </cell>
        </row>
        <row r="1064">
          <cell r="D1064" t="str">
            <v>GEL-20</v>
          </cell>
          <cell r="E1064">
            <v>0</v>
          </cell>
        </row>
        <row r="1065">
          <cell r="D1065" t="str">
            <v>GEL-25</v>
          </cell>
          <cell r="E1065">
            <v>0</v>
          </cell>
        </row>
        <row r="1066">
          <cell r="D1066" t="str">
            <v>GEL-32</v>
          </cell>
          <cell r="E1066">
            <v>0</v>
          </cell>
        </row>
        <row r="1067">
          <cell r="D1067" t="str">
            <v>GEL-40</v>
          </cell>
          <cell r="E1067">
            <v>0</v>
          </cell>
        </row>
        <row r="1068">
          <cell r="D1068" t="str">
            <v>GEL-50</v>
          </cell>
          <cell r="E1068">
            <v>0</v>
          </cell>
        </row>
        <row r="1069">
          <cell r="D1069" t="str">
            <v>GEL-63</v>
          </cell>
          <cell r="E1069">
            <v>0</v>
          </cell>
        </row>
        <row r="1070">
          <cell r="D1070" t="str">
            <v>GEL-75</v>
          </cell>
          <cell r="E1070">
            <v>0</v>
          </cell>
        </row>
        <row r="1071">
          <cell r="D1071" t="str">
            <v>HST-32</v>
          </cell>
          <cell r="E1071">
            <v>0</v>
          </cell>
        </row>
        <row r="1072">
          <cell r="D1072" t="str">
            <v>HST-40</v>
          </cell>
          <cell r="E1072">
            <v>0</v>
          </cell>
        </row>
        <row r="1073">
          <cell r="D1073" t="str">
            <v>HST-50</v>
          </cell>
          <cell r="E1073">
            <v>0</v>
          </cell>
        </row>
        <row r="1074">
          <cell r="D1074" t="str">
            <v>HST-75</v>
          </cell>
          <cell r="E1074">
            <v>0</v>
          </cell>
        </row>
        <row r="1075">
          <cell r="D1075" t="str">
            <v>GSO-15</v>
          </cell>
          <cell r="E1075">
            <v>0</v>
          </cell>
        </row>
        <row r="1076">
          <cell r="D1076" t="str">
            <v>GSO-20</v>
          </cell>
          <cell r="E1076">
            <v>0</v>
          </cell>
        </row>
        <row r="1077">
          <cell r="D1077" t="str">
            <v>GSO-25</v>
          </cell>
          <cell r="E1077">
            <v>0</v>
          </cell>
        </row>
        <row r="1078">
          <cell r="D1078" t="str">
            <v>GSO-32</v>
          </cell>
          <cell r="E1078">
            <v>0</v>
          </cell>
        </row>
        <row r="1079">
          <cell r="D1079" t="str">
            <v>GSO-40</v>
          </cell>
          <cell r="E1079">
            <v>0</v>
          </cell>
        </row>
        <row r="1080">
          <cell r="D1080" t="str">
            <v>GSO-50</v>
          </cell>
          <cell r="E1080">
            <v>0</v>
          </cell>
        </row>
        <row r="1081">
          <cell r="D1081" t="str">
            <v>GSO-63</v>
          </cell>
          <cell r="E1081">
            <v>0</v>
          </cell>
        </row>
        <row r="1082">
          <cell r="D1082" t="str">
            <v>GSO-75</v>
          </cell>
          <cell r="E1082">
            <v>0</v>
          </cell>
        </row>
        <row r="1083">
          <cell r="D1083" t="str">
            <v>GUN-15</v>
          </cell>
          <cell r="E1083">
            <v>0</v>
          </cell>
        </row>
        <row r="1084">
          <cell r="D1084" t="str">
            <v>GUN-20</v>
          </cell>
          <cell r="E1084">
            <v>0</v>
          </cell>
        </row>
        <row r="1085">
          <cell r="D1085" t="str">
            <v>GUN-25</v>
          </cell>
          <cell r="E1085">
            <v>0</v>
          </cell>
        </row>
        <row r="1086">
          <cell r="D1086" t="str">
            <v>GUN-32</v>
          </cell>
          <cell r="E1086">
            <v>0</v>
          </cell>
        </row>
        <row r="1087">
          <cell r="D1087" t="str">
            <v>GUN-40</v>
          </cell>
          <cell r="E1087">
            <v>0</v>
          </cell>
        </row>
        <row r="1088">
          <cell r="D1088" t="str">
            <v>GUN-50</v>
          </cell>
          <cell r="E1088">
            <v>0</v>
          </cell>
        </row>
        <row r="1089">
          <cell r="D1089" t="str">
            <v>GUN-63</v>
          </cell>
          <cell r="E1089">
            <v>0</v>
          </cell>
        </row>
        <row r="1090">
          <cell r="D1090" t="str">
            <v>GUN-75</v>
          </cell>
          <cell r="E1090">
            <v>0</v>
          </cell>
        </row>
        <row r="1091">
          <cell r="D1091" t="str">
            <v>GET-15</v>
          </cell>
          <cell r="E1091">
            <v>0</v>
          </cell>
        </row>
        <row r="1092">
          <cell r="D1092" t="str">
            <v>GET-20</v>
          </cell>
          <cell r="E1092">
            <v>0</v>
          </cell>
        </row>
        <row r="1093">
          <cell r="D1093" t="str">
            <v>GET-25</v>
          </cell>
          <cell r="E1093">
            <v>0</v>
          </cell>
        </row>
        <row r="1094">
          <cell r="D1094" t="str">
            <v>GET-32</v>
          </cell>
          <cell r="E1094">
            <v>0</v>
          </cell>
        </row>
        <row r="1095">
          <cell r="D1095" t="str">
            <v>GET-40</v>
          </cell>
          <cell r="E1095">
            <v>0</v>
          </cell>
        </row>
        <row r="1096">
          <cell r="D1096" t="str">
            <v>GET-50</v>
          </cell>
          <cell r="E1096">
            <v>0</v>
          </cell>
        </row>
        <row r="1097">
          <cell r="D1097" t="str">
            <v>GET-63</v>
          </cell>
          <cell r="E1097">
            <v>0</v>
          </cell>
        </row>
        <row r="1098">
          <cell r="D1098" t="str">
            <v>GET-75</v>
          </cell>
          <cell r="E1098">
            <v>0</v>
          </cell>
        </row>
        <row r="1099">
          <cell r="D1099" t="str">
            <v>GUT-20x15</v>
          </cell>
          <cell r="E1099">
            <v>0</v>
          </cell>
        </row>
        <row r="1100">
          <cell r="D1100" t="str">
            <v>GUT-25x15</v>
          </cell>
          <cell r="E1100">
            <v>0</v>
          </cell>
        </row>
        <row r="1101">
          <cell r="D1101" t="str">
            <v>GUT-32x15</v>
          </cell>
          <cell r="E1101">
            <v>0</v>
          </cell>
        </row>
        <row r="1102">
          <cell r="D1102" t="str">
            <v>GUT-40x15</v>
          </cell>
          <cell r="E1102">
            <v>0</v>
          </cell>
        </row>
        <row r="1103">
          <cell r="D1103" t="str">
            <v>GUT-50x15</v>
          </cell>
          <cell r="E1103">
            <v>0</v>
          </cell>
        </row>
        <row r="1104">
          <cell r="D1104" t="str">
            <v>GUT-63x15</v>
          </cell>
          <cell r="E1104">
            <v>0</v>
          </cell>
        </row>
        <row r="1105">
          <cell r="D1105" t="str">
            <v>GUT-75x15</v>
          </cell>
          <cell r="E1105">
            <v>0</v>
          </cell>
        </row>
        <row r="1106">
          <cell r="D1106" t="str">
            <v>GNI-15</v>
          </cell>
          <cell r="E1106">
            <v>0</v>
          </cell>
        </row>
        <row r="1107">
          <cell r="D1107" t="str">
            <v>GNI-20</v>
          </cell>
          <cell r="E1107">
            <v>0</v>
          </cell>
        </row>
        <row r="1108">
          <cell r="D1108" t="str">
            <v>GNI-25</v>
          </cell>
          <cell r="E1108">
            <v>0</v>
          </cell>
        </row>
        <row r="1109">
          <cell r="D1109" t="str">
            <v>GNI-32</v>
          </cell>
          <cell r="E1109">
            <v>0</v>
          </cell>
        </row>
        <row r="1110">
          <cell r="D1110" t="str">
            <v>GNI-40</v>
          </cell>
          <cell r="E1110">
            <v>0</v>
          </cell>
        </row>
        <row r="1111">
          <cell r="D1111" t="str">
            <v>GNI-50</v>
          </cell>
          <cell r="E1111">
            <v>0</v>
          </cell>
        </row>
        <row r="1112">
          <cell r="D1112" t="str">
            <v>GNI-63</v>
          </cell>
          <cell r="E1112">
            <v>0</v>
          </cell>
        </row>
        <row r="1113">
          <cell r="D1113" t="str">
            <v>GNI-75</v>
          </cell>
          <cell r="E1113">
            <v>0</v>
          </cell>
        </row>
        <row r="1114">
          <cell r="D1114" t="str">
            <v>BGAV-15</v>
          </cell>
          <cell r="E1114">
            <v>0</v>
          </cell>
        </row>
        <row r="1115">
          <cell r="D1115" t="str">
            <v>BGAV-20</v>
          </cell>
          <cell r="E1115">
            <v>0</v>
          </cell>
        </row>
        <row r="1116">
          <cell r="D1116" t="str">
            <v>BGAV-25</v>
          </cell>
          <cell r="E1116">
            <v>0</v>
          </cell>
        </row>
        <row r="1117">
          <cell r="D1117" t="str">
            <v>BGAV-32</v>
          </cell>
          <cell r="E1117">
            <v>0</v>
          </cell>
        </row>
        <row r="1118">
          <cell r="D1118" t="str">
            <v>BGAV-40</v>
          </cell>
          <cell r="E1118">
            <v>0</v>
          </cell>
        </row>
        <row r="1119">
          <cell r="D1119" t="str">
            <v>BGAV-50</v>
          </cell>
          <cell r="E1119">
            <v>0</v>
          </cell>
        </row>
        <row r="1120">
          <cell r="D1120" t="str">
            <v>BGAV-63</v>
          </cell>
          <cell r="E1120">
            <v>0</v>
          </cell>
        </row>
        <row r="1121">
          <cell r="D1121" t="str">
            <v>BGAV-75</v>
          </cell>
          <cell r="E1121">
            <v>0</v>
          </cell>
        </row>
        <row r="1122">
          <cell r="D1122" t="str">
            <v>BU-20</v>
          </cell>
          <cell r="E1122">
            <v>0</v>
          </cell>
        </row>
        <row r="1123">
          <cell r="D1123" t="str">
            <v>BU-25</v>
          </cell>
          <cell r="E1123">
            <v>0</v>
          </cell>
        </row>
        <row r="1124">
          <cell r="D1124" t="str">
            <v>BU-32</v>
          </cell>
          <cell r="E1124">
            <v>0</v>
          </cell>
        </row>
        <row r="1125">
          <cell r="D1125" t="str">
            <v>BU-40</v>
          </cell>
          <cell r="E1125">
            <v>0</v>
          </cell>
        </row>
        <row r="1126">
          <cell r="D1126" t="str">
            <v>GHF-50</v>
          </cell>
          <cell r="E1126">
            <v>0</v>
          </cell>
        </row>
        <row r="1127">
          <cell r="D1127" t="str">
            <v>GHF-63</v>
          </cell>
          <cell r="E1127">
            <v>0</v>
          </cell>
        </row>
        <row r="1128">
          <cell r="D1128" t="str">
            <v>GHF-75</v>
          </cell>
          <cell r="E1128">
            <v>0</v>
          </cell>
        </row>
        <row r="1129">
          <cell r="D1129" t="str">
            <v>GHF-90</v>
          </cell>
          <cell r="E1129">
            <v>0</v>
          </cell>
        </row>
        <row r="1132">
          <cell r="D1132" t="str">
            <v>GEL-25</v>
          </cell>
        </row>
        <row r="1151">
          <cell r="D1151" t="str">
            <v>HP2.5-90</v>
          </cell>
          <cell r="E1151">
            <v>0</v>
          </cell>
        </row>
        <row r="1152">
          <cell r="D1152" t="str">
            <v>HP10-20</v>
          </cell>
          <cell r="E1152">
            <v>0</v>
          </cell>
        </row>
        <row r="1153">
          <cell r="D1153" t="str">
            <v>HP10-25</v>
          </cell>
          <cell r="E1153">
            <v>0</v>
          </cell>
        </row>
        <row r="1154">
          <cell r="D1154" t="str">
            <v>HP6-32</v>
          </cell>
          <cell r="E1154">
            <v>0</v>
          </cell>
        </row>
        <row r="1155">
          <cell r="D1155" t="str">
            <v>HP6-40</v>
          </cell>
          <cell r="E1155">
            <v>0</v>
          </cell>
        </row>
        <row r="1156">
          <cell r="D1156" t="str">
            <v>HP6-50</v>
          </cell>
          <cell r="E1156">
            <v>0</v>
          </cell>
        </row>
        <row r="1157">
          <cell r="D1157" t="str">
            <v>HP6-63</v>
          </cell>
          <cell r="E1157">
            <v>0</v>
          </cell>
        </row>
        <row r="1158">
          <cell r="D1158" t="str">
            <v>HP4-75</v>
          </cell>
          <cell r="E1158">
            <v>0</v>
          </cell>
        </row>
        <row r="1159">
          <cell r="D1159" t="str">
            <v>HP4-90</v>
          </cell>
          <cell r="E1159">
            <v>0</v>
          </cell>
        </row>
        <row r="1161">
          <cell r="D1161" t="str">
            <v>GPM-15</v>
          </cell>
          <cell r="E1161">
            <v>0</v>
          </cell>
        </row>
        <row r="1162">
          <cell r="D1162" t="str">
            <v>GPM-20</v>
          </cell>
          <cell r="E1162">
            <v>0</v>
          </cell>
        </row>
        <row r="1163">
          <cell r="D1163" t="str">
            <v>GPM-25</v>
          </cell>
          <cell r="E1163">
            <v>0</v>
          </cell>
        </row>
        <row r="1164">
          <cell r="D1164" t="str">
            <v>GPM-32</v>
          </cell>
          <cell r="E1164">
            <v>0</v>
          </cell>
        </row>
        <row r="1165">
          <cell r="D1165" t="str">
            <v>GPM-40</v>
          </cell>
          <cell r="E1165">
            <v>0</v>
          </cell>
        </row>
        <row r="1166">
          <cell r="D1166" t="str">
            <v>GPM-50</v>
          </cell>
          <cell r="E1166">
            <v>0</v>
          </cell>
        </row>
        <row r="1167">
          <cell r="D1167" t="str">
            <v>GPM-63</v>
          </cell>
          <cell r="E1167">
            <v>0</v>
          </cell>
        </row>
        <row r="1168">
          <cell r="D1168" t="str">
            <v>GPM-75</v>
          </cell>
          <cell r="E1168">
            <v>0</v>
          </cell>
        </row>
        <row r="1170">
          <cell r="D1170" t="str">
            <v>GEL-15</v>
          </cell>
          <cell r="E1170">
            <v>0</v>
          </cell>
        </row>
        <row r="1171">
          <cell r="D1171" t="str">
            <v>GEL-20</v>
          </cell>
          <cell r="E1171">
            <v>0</v>
          </cell>
        </row>
        <row r="1172">
          <cell r="D1172" t="str">
            <v>GEL-25</v>
          </cell>
          <cell r="E1172">
            <v>0</v>
          </cell>
        </row>
        <row r="1173">
          <cell r="D1173" t="str">
            <v>GEL-32</v>
          </cell>
          <cell r="E1173">
            <v>0</v>
          </cell>
        </row>
        <row r="1174">
          <cell r="D1174" t="str">
            <v>GEL-40</v>
          </cell>
          <cell r="E1174">
            <v>0</v>
          </cell>
        </row>
        <row r="1175">
          <cell r="D1175" t="str">
            <v>GEL-50</v>
          </cell>
          <cell r="E1175">
            <v>0</v>
          </cell>
        </row>
        <row r="1176">
          <cell r="D1176" t="str">
            <v>GEL-63</v>
          </cell>
          <cell r="E1176">
            <v>0</v>
          </cell>
        </row>
        <row r="1177">
          <cell r="D1177" t="str">
            <v>GEL-75</v>
          </cell>
          <cell r="E1177">
            <v>0</v>
          </cell>
        </row>
        <row r="1178">
          <cell r="D1178" t="str">
            <v>HST-32</v>
          </cell>
          <cell r="E1178">
            <v>0</v>
          </cell>
        </row>
        <row r="1179">
          <cell r="D1179" t="str">
            <v>HST-40</v>
          </cell>
          <cell r="E1179">
            <v>0</v>
          </cell>
        </row>
        <row r="1180">
          <cell r="D1180" t="str">
            <v>HST-50</v>
          </cell>
          <cell r="E1180">
            <v>0</v>
          </cell>
        </row>
        <row r="1181">
          <cell r="D1181" t="str">
            <v>HST-75</v>
          </cell>
          <cell r="E1181">
            <v>0</v>
          </cell>
        </row>
        <row r="1182">
          <cell r="D1182" t="str">
            <v>GSO-15</v>
          </cell>
          <cell r="E1182">
            <v>0</v>
          </cell>
        </row>
        <row r="1183">
          <cell r="D1183" t="str">
            <v>GSO-20</v>
          </cell>
          <cell r="E1183">
            <v>0</v>
          </cell>
        </row>
        <row r="1184">
          <cell r="D1184" t="str">
            <v>GSO-25</v>
          </cell>
          <cell r="E1184">
            <v>0</v>
          </cell>
        </row>
        <row r="1185">
          <cell r="D1185" t="str">
            <v>GSO-32</v>
          </cell>
          <cell r="E1185">
            <v>0</v>
          </cell>
        </row>
        <row r="1186">
          <cell r="D1186" t="str">
            <v>GSO-40</v>
          </cell>
          <cell r="E1186">
            <v>0</v>
          </cell>
        </row>
        <row r="1187">
          <cell r="D1187" t="str">
            <v>GSO-50</v>
          </cell>
          <cell r="E1187">
            <v>0</v>
          </cell>
        </row>
        <row r="1188">
          <cell r="D1188" t="str">
            <v>GSO-63</v>
          </cell>
          <cell r="E1188">
            <v>0</v>
          </cell>
        </row>
        <row r="1189">
          <cell r="D1189" t="str">
            <v>GSO-75</v>
          </cell>
          <cell r="E1189">
            <v>0</v>
          </cell>
        </row>
        <row r="1190">
          <cell r="D1190" t="str">
            <v>GUN-15</v>
          </cell>
          <cell r="E1190">
            <v>0</v>
          </cell>
        </row>
        <row r="1191">
          <cell r="D1191" t="str">
            <v>GUN-20</v>
          </cell>
          <cell r="E1191">
            <v>0</v>
          </cell>
        </row>
        <row r="1192">
          <cell r="D1192" t="str">
            <v>GUN-25</v>
          </cell>
          <cell r="E1192">
            <v>0</v>
          </cell>
        </row>
        <row r="1193">
          <cell r="D1193" t="str">
            <v>GUN-32</v>
          </cell>
          <cell r="E1193">
            <v>0</v>
          </cell>
        </row>
        <row r="1194">
          <cell r="D1194" t="str">
            <v>GUN-40</v>
          </cell>
          <cell r="E1194">
            <v>0</v>
          </cell>
        </row>
        <row r="1195">
          <cell r="D1195" t="str">
            <v>GUN-50</v>
          </cell>
          <cell r="E1195">
            <v>0</v>
          </cell>
        </row>
        <row r="1196">
          <cell r="D1196" t="str">
            <v>GUN-63</v>
          </cell>
          <cell r="E1196">
            <v>0</v>
          </cell>
        </row>
        <row r="1197">
          <cell r="D1197" t="str">
            <v>GUN-75</v>
          </cell>
          <cell r="E1197">
            <v>0</v>
          </cell>
        </row>
        <row r="1198">
          <cell r="D1198" t="str">
            <v>GET-15</v>
          </cell>
          <cell r="E1198">
            <v>0</v>
          </cell>
        </row>
        <row r="1199">
          <cell r="D1199" t="str">
            <v>GET-20</v>
          </cell>
          <cell r="E1199">
            <v>0</v>
          </cell>
        </row>
        <row r="1200">
          <cell r="D1200" t="str">
            <v>GET-25</v>
          </cell>
          <cell r="E1200">
            <v>0</v>
          </cell>
        </row>
        <row r="1201">
          <cell r="D1201" t="str">
            <v>GET-32</v>
          </cell>
          <cell r="E1201">
            <v>0</v>
          </cell>
        </row>
        <row r="1202">
          <cell r="D1202" t="str">
            <v>GET-40</v>
          </cell>
          <cell r="E1202">
            <v>0</v>
          </cell>
        </row>
        <row r="1203">
          <cell r="D1203" t="str">
            <v>GET-50</v>
          </cell>
          <cell r="E1203">
            <v>0</v>
          </cell>
        </row>
        <row r="1204">
          <cell r="D1204" t="str">
            <v>GET-63</v>
          </cell>
          <cell r="E1204">
            <v>0</v>
          </cell>
        </row>
        <row r="1205">
          <cell r="D1205" t="str">
            <v>GET-75</v>
          </cell>
          <cell r="E1205">
            <v>0</v>
          </cell>
        </row>
        <row r="1206">
          <cell r="D1206" t="str">
            <v>GUT-20x15</v>
          </cell>
          <cell r="E1206">
            <v>0</v>
          </cell>
        </row>
        <row r="1207">
          <cell r="D1207" t="str">
            <v>GUT-25x15</v>
          </cell>
          <cell r="E1207">
            <v>0</v>
          </cell>
        </row>
        <row r="1208">
          <cell r="D1208" t="str">
            <v>GUT-32x15</v>
          </cell>
          <cell r="E1208">
            <v>0</v>
          </cell>
        </row>
        <row r="1209">
          <cell r="D1209" t="str">
            <v>GUT-40x15</v>
          </cell>
          <cell r="E1209">
            <v>0</v>
          </cell>
        </row>
        <row r="1210">
          <cell r="D1210" t="str">
            <v>GUT-50x15</v>
          </cell>
          <cell r="E1210">
            <v>0</v>
          </cell>
        </row>
        <row r="1211">
          <cell r="D1211" t="str">
            <v>GUT-63x15</v>
          </cell>
          <cell r="E1211">
            <v>0</v>
          </cell>
        </row>
        <row r="1212">
          <cell r="D1212" t="str">
            <v>GUT-75x15</v>
          </cell>
          <cell r="E1212">
            <v>0</v>
          </cell>
        </row>
        <row r="1213">
          <cell r="D1213" t="str">
            <v>GNI-15</v>
          </cell>
          <cell r="E1213">
            <v>0</v>
          </cell>
        </row>
        <row r="1214">
          <cell r="D1214" t="str">
            <v>GNI-20</v>
          </cell>
          <cell r="E1214">
            <v>0</v>
          </cell>
        </row>
        <row r="1215">
          <cell r="D1215" t="str">
            <v>GNI-25</v>
          </cell>
          <cell r="E1215">
            <v>0</v>
          </cell>
        </row>
        <row r="1216">
          <cell r="D1216" t="str">
            <v>GNI-32</v>
          </cell>
          <cell r="E1216">
            <v>0</v>
          </cell>
        </row>
        <row r="1217">
          <cell r="D1217" t="str">
            <v>GNI-40</v>
          </cell>
          <cell r="E1217">
            <v>0</v>
          </cell>
        </row>
        <row r="1218">
          <cell r="D1218" t="str">
            <v>GNI-50</v>
          </cell>
          <cell r="E1218">
            <v>0</v>
          </cell>
        </row>
        <row r="1219">
          <cell r="D1219" t="str">
            <v>GNI-63</v>
          </cell>
          <cell r="E1219">
            <v>0</v>
          </cell>
        </row>
        <row r="1220">
          <cell r="D1220" t="str">
            <v>GNI-75</v>
          </cell>
          <cell r="E1220">
            <v>0</v>
          </cell>
        </row>
        <row r="1221">
          <cell r="D1221" t="str">
            <v>BGAV-15</v>
          </cell>
          <cell r="E1221">
            <v>0</v>
          </cell>
        </row>
        <row r="1222">
          <cell r="D1222" t="str">
            <v>BGAV-20</v>
          </cell>
          <cell r="E1222">
            <v>0</v>
          </cell>
        </row>
        <row r="1223">
          <cell r="D1223" t="str">
            <v>BGAV-25</v>
          </cell>
          <cell r="E1223">
            <v>0</v>
          </cell>
        </row>
        <row r="1224">
          <cell r="D1224" t="str">
            <v>BGAV-32</v>
          </cell>
          <cell r="E1224">
            <v>0</v>
          </cell>
        </row>
        <row r="1225">
          <cell r="D1225" t="str">
            <v>BGAV-40</v>
          </cell>
          <cell r="E1225">
            <v>0</v>
          </cell>
        </row>
        <row r="1226">
          <cell r="D1226" t="str">
            <v>BGAV-50</v>
          </cell>
          <cell r="E1226">
            <v>0</v>
          </cell>
        </row>
        <row r="1227">
          <cell r="D1227" t="str">
            <v>BGAV-63</v>
          </cell>
          <cell r="E1227">
            <v>0</v>
          </cell>
        </row>
        <row r="1228">
          <cell r="D1228" t="str">
            <v>BGAV-75</v>
          </cell>
          <cell r="E1228">
            <v>0</v>
          </cell>
        </row>
        <row r="1229">
          <cell r="D1229" t="str">
            <v>BU-20</v>
          </cell>
          <cell r="E1229">
            <v>0</v>
          </cell>
        </row>
        <row r="1230">
          <cell r="D1230" t="str">
            <v>BU-25</v>
          </cell>
          <cell r="E1230">
            <v>0</v>
          </cell>
        </row>
        <row r="1231">
          <cell r="D1231" t="str">
            <v>BU-32</v>
          </cell>
          <cell r="E1231">
            <v>0</v>
          </cell>
        </row>
        <row r="1232">
          <cell r="D1232" t="str">
            <v>BU-40</v>
          </cell>
          <cell r="E1232">
            <v>0</v>
          </cell>
        </row>
        <row r="1233">
          <cell r="D1233" t="str">
            <v>GHF-50</v>
          </cell>
          <cell r="E1233">
            <v>0</v>
          </cell>
        </row>
        <row r="1234">
          <cell r="D1234" t="str">
            <v>GHF-63</v>
          </cell>
          <cell r="E1234">
            <v>0</v>
          </cell>
        </row>
        <row r="1235">
          <cell r="D1235" t="str">
            <v>GHF-75</v>
          </cell>
          <cell r="E1235">
            <v>0</v>
          </cell>
        </row>
        <row r="1236">
          <cell r="D1236" t="str">
            <v>GHF-90</v>
          </cell>
          <cell r="E1236">
            <v>0</v>
          </cell>
        </row>
        <row r="1239">
          <cell r="D1239" t="str">
            <v>GEL-25</v>
          </cell>
        </row>
        <row r="1260">
          <cell r="D1260" t="str">
            <v>HP2.5-90</v>
          </cell>
          <cell r="E1260">
            <v>0</v>
          </cell>
        </row>
        <row r="1261">
          <cell r="D1261" t="str">
            <v>HP10-20</v>
          </cell>
          <cell r="E1261">
            <v>0</v>
          </cell>
        </row>
        <row r="1262">
          <cell r="D1262" t="str">
            <v>HP10-25</v>
          </cell>
          <cell r="E1262">
            <v>0</v>
          </cell>
        </row>
        <row r="1263">
          <cell r="D1263" t="str">
            <v>HP6-32</v>
          </cell>
          <cell r="E1263">
            <v>0</v>
          </cell>
        </row>
        <row r="1264">
          <cell r="D1264" t="str">
            <v>HP6-40</v>
          </cell>
          <cell r="E1264">
            <v>0</v>
          </cell>
        </row>
        <row r="1265">
          <cell r="D1265" t="str">
            <v>HP6-50</v>
          </cell>
          <cell r="E1265">
            <v>0</v>
          </cell>
        </row>
        <row r="1266">
          <cell r="D1266" t="str">
            <v>HP6-63</v>
          </cell>
          <cell r="E1266">
            <v>0</v>
          </cell>
        </row>
        <row r="1267">
          <cell r="D1267" t="str">
            <v>HP4-75</v>
          </cell>
          <cell r="E1267">
            <v>0</v>
          </cell>
        </row>
        <row r="1268">
          <cell r="D1268" t="str">
            <v>HP4-90</v>
          </cell>
          <cell r="E1268">
            <v>0</v>
          </cell>
        </row>
        <row r="1270">
          <cell r="D1270" t="str">
            <v>GPM-15</v>
          </cell>
          <cell r="E1270">
            <v>0</v>
          </cell>
        </row>
        <row r="1271">
          <cell r="D1271" t="str">
            <v>GPM-20</v>
          </cell>
          <cell r="E1271">
            <v>0</v>
          </cell>
        </row>
        <row r="1272">
          <cell r="D1272" t="str">
            <v>GPM-25</v>
          </cell>
          <cell r="E1272">
            <v>0</v>
          </cell>
        </row>
        <row r="1273">
          <cell r="D1273" t="str">
            <v>GPM-32</v>
          </cell>
          <cell r="E1273">
            <v>0</v>
          </cell>
        </row>
        <row r="1274">
          <cell r="D1274" t="str">
            <v>GPM-40</v>
          </cell>
          <cell r="E1274">
            <v>0</v>
          </cell>
        </row>
        <row r="1275">
          <cell r="D1275" t="str">
            <v>GPM-50</v>
          </cell>
          <cell r="E1275">
            <v>0</v>
          </cell>
        </row>
        <row r="1276">
          <cell r="D1276" t="str">
            <v>GPM-63</v>
          </cell>
          <cell r="E1276">
            <v>0</v>
          </cell>
        </row>
        <row r="1277">
          <cell r="D1277" t="str">
            <v>GPM-75</v>
          </cell>
          <cell r="E1277">
            <v>0</v>
          </cell>
        </row>
        <row r="1279">
          <cell r="D1279" t="str">
            <v>GEL-15</v>
          </cell>
          <cell r="E1279">
            <v>0</v>
          </cell>
        </row>
        <row r="1280">
          <cell r="D1280" t="str">
            <v>GEL-20</v>
          </cell>
          <cell r="E1280">
            <v>0</v>
          </cell>
        </row>
        <row r="1281">
          <cell r="D1281" t="str">
            <v>GEL-25</v>
          </cell>
          <cell r="E1281">
            <v>0</v>
          </cell>
        </row>
        <row r="1282">
          <cell r="D1282" t="str">
            <v>GEL-32</v>
          </cell>
          <cell r="E1282">
            <v>0</v>
          </cell>
        </row>
        <row r="1283">
          <cell r="D1283" t="str">
            <v>GEL-40</v>
          </cell>
          <cell r="E1283">
            <v>0</v>
          </cell>
        </row>
        <row r="1284">
          <cell r="D1284" t="str">
            <v>GEL-50</v>
          </cell>
          <cell r="E1284">
            <v>0</v>
          </cell>
        </row>
        <row r="1285">
          <cell r="D1285" t="str">
            <v>GEL-63</v>
          </cell>
          <cell r="E1285">
            <v>0</v>
          </cell>
        </row>
        <row r="1286">
          <cell r="D1286" t="str">
            <v>GEL-75</v>
          </cell>
          <cell r="E1286">
            <v>0</v>
          </cell>
        </row>
        <row r="1287">
          <cell r="D1287" t="str">
            <v>HST-32</v>
          </cell>
          <cell r="E1287">
            <v>0</v>
          </cell>
        </row>
        <row r="1288">
          <cell r="D1288" t="str">
            <v>HST-40</v>
          </cell>
          <cell r="E1288">
            <v>0</v>
          </cell>
        </row>
        <row r="1289">
          <cell r="D1289" t="str">
            <v>HST-50</v>
          </cell>
          <cell r="E1289">
            <v>0</v>
          </cell>
        </row>
        <row r="1290">
          <cell r="D1290" t="str">
            <v>HST-75</v>
          </cell>
          <cell r="E1290">
            <v>0</v>
          </cell>
        </row>
        <row r="1291">
          <cell r="D1291" t="str">
            <v>GSO-15</v>
          </cell>
          <cell r="E1291">
            <v>0</v>
          </cell>
        </row>
        <row r="1292">
          <cell r="D1292" t="str">
            <v>GSO-20</v>
          </cell>
          <cell r="E1292">
            <v>0</v>
          </cell>
        </row>
        <row r="1293">
          <cell r="D1293" t="str">
            <v>GSO-25</v>
          </cell>
          <cell r="E1293">
            <v>0</v>
          </cell>
        </row>
        <row r="1294">
          <cell r="D1294" t="str">
            <v>GSO-32</v>
          </cell>
          <cell r="E1294">
            <v>0</v>
          </cell>
        </row>
        <row r="1295">
          <cell r="D1295" t="str">
            <v>GSO-40</v>
          </cell>
          <cell r="E1295">
            <v>0</v>
          </cell>
        </row>
        <row r="1296">
          <cell r="D1296" t="str">
            <v>GSO-50</v>
          </cell>
          <cell r="E1296">
            <v>0</v>
          </cell>
        </row>
        <row r="1297">
          <cell r="D1297" t="str">
            <v>GSO-63</v>
          </cell>
          <cell r="E1297">
            <v>0</v>
          </cell>
        </row>
        <row r="1298">
          <cell r="D1298" t="str">
            <v>GSO-75</v>
          </cell>
          <cell r="E1298">
            <v>0</v>
          </cell>
        </row>
        <row r="1299">
          <cell r="D1299" t="str">
            <v>GUN-15</v>
          </cell>
          <cell r="E1299">
            <v>0</v>
          </cell>
        </row>
        <row r="1300">
          <cell r="D1300" t="str">
            <v>GUN-20</v>
          </cell>
          <cell r="E1300">
            <v>0</v>
          </cell>
        </row>
        <row r="1301">
          <cell r="D1301" t="str">
            <v>GUN-25</v>
          </cell>
          <cell r="E1301">
            <v>0</v>
          </cell>
        </row>
        <row r="1302">
          <cell r="D1302" t="str">
            <v>GUN-32</v>
          </cell>
          <cell r="E1302">
            <v>0</v>
          </cell>
        </row>
        <row r="1303">
          <cell r="D1303" t="str">
            <v>GUN-40</v>
          </cell>
          <cell r="E1303">
            <v>0</v>
          </cell>
        </row>
        <row r="1304">
          <cell r="D1304" t="str">
            <v>GUN-50</v>
          </cell>
          <cell r="E1304">
            <v>0</v>
          </cell>
        </row>
        <row r="1305">
          <cell r="D1305" t="str">
            <v>GUN-63</v>
          </cell>
          <cell r="E1305">
            <v>0</v>
          </cell>
        </row>
        <row r="1306">
          <cell r="D1306" t="str">
            <v>GUN-75</v>
          </cell>
          <cell r="E1306">
            <v>0</v>
          </cell>
        </row>
        <row r="1307">
          <cell r="D1307" t="str">
            <v>GET-15</v>
          </cell>
          <cell r="E1307">
            <v>0</v>
          </cell>
        </row>
        <row r="1308">
          <cell r="D1308" t="str">
            <v>GET-20</v>
          </cell>
          <cell r="E1308">
            <v>0</v>
          </cell>
        </row>
        <row r="1309">
          <cell r="D1309" t="str">
            <v>GET-25</v>
          </cell>
          <cell r="E1309">
            <v>0</v>
          </cell>
        </row>
        <row r="1310">
          <cell r="D1310" t="str">
            <v>GET-32</v>
          </cell>
          <cell r="E1310">
            <v>0</v>
          </cell>
        </row>
        <row r="1311">
          <cell r="D1311" t="str">
            <v>GET-40</v>
          </cell>
          <cell r="E1311">
            <v>0</v>
          </cell>
        </row>
        <row r="1312">
          <cell r="D1312" t="str">
            <v>GET-50</v>
          </cell>
          <cell r="E1312">
            <v>0</v>
          </cell>
        </row>
        <row r="1313">
          <cell r="D1313" t="str">
            <v>GET-63</v>
          </cell>
          <cell r="E1313">
            <v>0</v>
          </cell>
        </row>
        <row r="1314">
          <cell r="D1314" t="str">
            <v>GET-75</v>
          </cell>
          <cell r="E1314">
            <v>0</v>
          </cell>
        </row>
        <row r="1315">
          <cell r="D1315" t="str">
            <v>GUT-20x15</v>
          </cell>
          <cell r="E1315">
            <v>0</v>
          </cell>
        </row>
        <row r="1316">
          <cell r="D1316" t="str">
            <v>GUT-25x15</v>
          </cell>
          <cell r="E1316">
            <v>0</v>
          </cell>
        </row>
        <row r="1317">
          <cell r="D1317" t="str">
            <v>GUT-32x15</v>
          </cell>
          <cell r="E1317">
            <v>0</v>
          </cell>
        </row>
        <row r="1318">
          <cell r="D1318" t="str">
            <v>GUT-40x15</v>
          </cell>
          <cell r="E1318">
            <v>0</v>
          </cell>
        </row>
        <row r="1319">
          <cell r="D1319" t="str">
            <v>GUT-50x15</v>
          </cell>
          <cell r="E1319">
            <v>0</v>
          </cell>
        </row>
        <row r="1320">
          <cell r="D1320" t="str">
            <v>GUT-63x15</v>
          </cell>
          <cell r="E1320">
            <v>0</v>
          </cell>
        </row>
        <row r="1321">
          <cell r="D1321" t="str">
            <v>GUT-75x15</v>
          </cell>
          <cell r="E1321">
            <v>0</v>
          </cell>
        </row>
        <row r="1322">
          <cell r="D1322" t="str">
            <v>GNI-15</v>
          </cell>
          <cell r="E1322">
            <v>0</v>
          </cell>
        </row>
        <row r="1323">
          <cell r="D1323" t="str">
            <v>GNI-20</v>
          </cell>
          <cell r="E1323">
            <v>0</v>
          </cell>
        </row>
        <row r="1324">
          <cell r="D1324" t="str">
            <v>GNI-25</v>
          </cell>
          <cell r="E1324">
            <v>0</v>
          </cell>
        </row>
        <row r="1325">
          <cell r="D1325" t="str">
            <v>GNI-32</v>
          </cell>
          <cell r="E1325">
            <v>0</v>
          </cell>
        </row>
        <row r="1326">
          <cell r="D1326" t="str">
            <v>GNI-40</v>
          </cell>
          <cell r="E1326">
            <v>0</v>
          </cell>
        </row>
        <row r="1327">
          <cell r="D1327" t="str">
            <v>GNI-50</v>
          </cell>
          <cell r="E1327">
            <v>0</v>
          </cell>
        </row>
        <row r="1328">
          <cell r="D1328" t="str">
            <v>GNI-63</v>
          </cell>
          <cell r="E1328">
            <v>0</v>
          </cell>
        </row>
        <row r="1329">
          <cell r="D1329" t="str">
            <v>GNI-75</v>
          </cell>
          <cell r="E1329">
            <v>0</v>
          </cell>
        </row>
        <row r="1330">
          <cell r="D1330" t="str">
            <v>BGAV-15</v>
          </cell>
          <cell r="E1330">
            <v>0</v>
          </cell>
        </row>
        <row r="1331">
          <cell r="D1331" t="str">
            <v>BGAV-20</v>
          </cell>
          <cell r="E1331">
            <v>0</v>
          </cell>
        </row>
        <row r="1332">
          <cell r="D1332" t="str">
            <v>BGAV-25</v>
          </cell>
          <cell r="E1332">
            <v>0</v>
          </cell>
        </row>
        <row r="1333">
          <cell r="D1333" t="str">
            <v>BGAV-32</v>
          </cell>
          <cell r="E1333">
            <v>0</v>
          </cell>
        </row>
        <row r="1334">
          <cell r="D1334" t="str">
            <v>BGAV-40</v>
          </cell>
          <cell r="E1334">
            <v>0</v>
          </cell>
        </row>
        <row r="1335">
          <cell r="D1335" t="str">
            <v>BGAV-50</v>
          </cell>
          <cell r="E1335">
            <v>0</v>
          </cell>
        </row>
        <row r="1336">
          <cell r="D1336" t="str">
            <v>BGAV-63</v>
          </cell>
          <cell r="E1336">
            <v>0</v>
          </cell>
        </row>
        <row r="1337">
          <cell r="D1337" t="str">
            <v>BGAV-75</v>
          </cell>
          <cell r="E1337">
            <v>0</v>
          </cell>
        </row>
        <row r="1338">
          <cell r="D1338" t="str">
            <v>BU-20</v>
          </cell>
          <cell r="E1338">
            <v>0</v>
          </cell>
        </row>
        <row r="1339">
          <cell r="D1339" t="str">
            <v>BU-25</v>
          </cell>
          <cell r="E1339">
            <v>0</v>
          </cell>
        </row>
        <row r="1340">
          <cell r="D1340" t="str">
            <v>BU-32</v>
          </cell>
          <cell r="E1340">
            <v>0</v>
          </cell>
        </row>
        <row r="1341">
          <cell r="D1341" t="str">
            <v>BU-40</v>
          </cell>
          <cell r="E1341">
            <v>0</v>
          </cell>
        </row>
        <row r="1342">
          <cell r="D1342" t="str">
            <v>GHF-50</v>
          </cell>
          <cell r="E1342">
            <v>0</v>
          </cell>
        </row>
        <row r="1343">
          <cell r="D1343" t="str">
            <v>GHF-63</v>
          </cell>
          <cell r="E1343">
            <v>0</v>
          </cell>
        </row>
        <row r="1344">
          <cell r="D1344" t="str">
            <v>GHF-75</v>
          </cell>
          <cell r="E1344">
            <v>0</v>
          </cell>
        </row>
        <row r="1345">
          <cell r="D1345" t="str">
            <v>GHF-90</v>
          </cell>
          <cell r="E1345">
            <v>0</v>
          </cell>
        </row>
        <row r="1348">
          <cell r="D1348" t="str">
            <v>GEL-25</v>
          </cell>
        </row>
        <row r="1369">
          <cell r="D1369" t="str">
            <v>HP2.5-90</v>
          </cell>
          <cell r="E1369">
            <v>0</v>
          </cell>
        </row>
        <row r="1370">
          <cell r="D1370" t="str">
            <v>HP10-20</v>
          </cell>
          <cell r="E1370">
            <v>0</v>
          </cell>
        </row>
        <row r="1371">
          <cell r="D1371" t="str">
            <v>HP10-25</v>
          </cell>
          <cell r="E1371">
            <v>0</v>
          </cell>
        </row>
        <row r="1372">
          <cell r="D1372" t="str">
            <v>HP6-32</v>
          </cell>
          <cell r="E1372">
            <v>0</v>
          </cell>
        </row>
        <row r="1373">
          <cell r="D1373" t="str">
            <v>HP6-40</v>
          </cell>
          <cell r="E1373">
            <v>0</v>
          </cell>
        </row>
        <row r="1374">
          <cell r="D1374" t="str">
            <v>HP6-50</v>
          </cell>
          <cell r="E1374">
            <v>0</v>
          </cell>
        </row>
        <row r="1375">
          <cell r="D1375" t="str">
            <v>HP6-63</v>
          </cell>
          <cell r="E1375">
            <v>0</v>
          </cell>
        </row>
        <row r="1376">
          <cell r="D1376" t="str">
            <v>HP4-75</v>
          </cell>
          <cell r="E1376">
            <v>0</v>
          </cell>
        </row>
        <row r="1377">
          <cell r="D1377" t="str">
            <v>HP4-90</v>
          </cell>
          <cell r="E1377">
            <v>0</v>
          </cell>
        </row>
        <row r="1379">
          <cell r="D1379" t="str">
            <v>GPM-15</v>
          </cell>
          <cell r="E1379">
            <v>0</v>
          </cell>
        </row>
        <row r="1380">
          <cell r="D1380" t="str">
            <v>GPM-20</v>
          </cell>
          <cell r="E1380">
            <v>0</v>
          </cell>
        </row>
        <row r="1381">
          <cell r="D1381" t="str">
            <v>GPM-25</v>
          </cell>
          <cell r="E1381">
            <v>0</v>
          </cell>
        </row>
        <row r="1382">
          <cell r="D1382" t="str">
            <v>GPM-32</v>
          </cell>
          <cell r="E1382">
            <v>0</v>
          </cell>
        </row>
        <row r="1383">
          <cell r="D1383" t="str">
            <v>GPM-40</v>
          </cell>
          <cell r="E1383">
            <v>0</v>
          </cell>
        </row>
        <row r="1384">
          <cell r="D1384" t="str">
            <v>GPM-50</v>
          </cell>
          <cell r="E1384">
            <v>0</v>
          </cell>
        </row>
        <row r="1385">
          <cell r="D1385" t="str">
            <v>GPM-63</v>
          </cell>
          <cell r="E1385">
            <v>0</v>
          </cell>
        </row>
        <row r="1386">
          <cell r="D1386" t="str">
            <v>GPM-75</v>
          </cell>
          <cell r="E1386">
            <v>0</v>
          </cell>
        </row>
        <row r="1388">
          <cell r="D1388" t="str">
            <v>GEL-15</v>
          </cell>
          <cell r="E1388">
            <v>0</v>
          </cell>
        </row>
        <row r="1389">
          <cell r="D1389" t="str">
            <v>GEL-20</v>
          </cell>
          <cell r="E1389">
            <v>0</v>
          </cell>
        </row>
        <row r="1390">
          <cell r="D1390" t="str">
            <v>GEL-25</v>
          </cell>
          <cell r="E1390">
            <v>0</v>
          </cell>
        </row>
        <row r="1391">
          <cell r="D1391" t="str">
            <v>GEL-32</v>
          </cell>
          <cell r="E1391">
            <v>0</v>
          </cell>
        </row>
        <row r="1392">
          <cell r="D1392" t="str">
            <v>GEL-40</v>
          </cell>
          <cell r="E1392">
            <v>0</v>
          </cell>
        </row>
        <row r="1393">
          <cell r="D1393" t="str">
            <v>GEL-50</v>
          </cell>
          <cell r="E1393">
            <v>0</v>
          </cell>
        </row>
        <row r="1394">
          <cell r="D1394" t="str">
            <v>GEL-63</v>
          </cell>
          <cell r="E1394">
            <v>0</v>
          </cell>
        </row>
        <row r="1395">
          <cell r="D1395" t="str">
            <v>GEL-75</v>
          </cell>
          <cell r="E1395">
            <v>0</v>
          </cell>
        </row>
        <row r="1396">
          <cell r="D1396" t="str">
            <v>HST-32</v>
          </cell>
          <cell r="E1396">
            <v>0</v>
          </cell>
        </row>
        <row r="1397">
          <cell r="D1397" t="str">
            <v>HST-40</v>
          </cell>
          <cell r="E1397">
            <v>0</v>
          </cell>
        </row>
        <row r="1398">
          <cell r="D1398" t="str">
            <v>HST-50</v>
          </cell>
          <cell r="E1398">
            <v>0</v>
          </cell>
        </row>
        <row r="1399">
          <cell r="D1399" t="str">
            <v>HST-75</v>
          </cell>
          <cell r="E1399">
            <v>0</v>
          </cell>
        </row>
        <row r="1400">
          <cell r="D1400" t="str">
            <v>GSO-15</v>
          </cell>
          <cell r="E1400">
            <v>0</v>
          </cell>
        </row>
        <row r="1401">
          <cell r="D1401" t="str">
            <v>GSO-20</v>
          </cell>
          <cell r="E1401">
            <v>0</v>
          </cell>
        </row>
        <row r="1402">
          <cell r="D1402" t="str">
            <v>GSO-25</v>
          </cell>
          <cell r="E1402">
            <v>0</v>
          </cell>
        </row>
        <row r="1403">
          <cell r="D1403" t="str">
            <v>GSO-32</v>
          </cell>
          <cell r="E1403">
            <v>0</v>
          </cell>
        </row>
        <row r="1404">
          <cell r="D1404" t="str">
            <v>GSO-40</v>
          </cell>
          <cell r="E1404">
            <v>0</v>
          </cell>
        </row>
        <row r="1405">
          <cell r="D1405" t="str">
            <v>GSO-50</v>
          </cell>
          <cell r="E1405">
            <v>0</v>
          </cell>
        </row>
        <row r="1406">
          <cell r="D1406" t="str">
            <v>GSO-63</v>
          </cell>
          <cell r="E1406">
            <v>0</v>
          </cell>
        </row>
        <row r="1407">
          <cell r="D1407" t="str">
            <v>GSO-75</v>
          </cell>
          <cell r="E1407">
            <v>0</v>
          </cell>
        </row>
        <row r="1408">
          <cell r="D1408" t="str">
            <v>GUN-15</v>
          </cell>
          <cell r="E1408">
            <v>0</v>
          </cell>
        </row>
        <row r="1409">
          <cell r="D1409" t="str">
            <v>GUN-20</v>
          </cell>
          <cell r="E1409">
            <v>0</v>
          </cell>
        </row>
        <row r="1410">
          <cell r="D1410" t="str">
            <v>GUN-25</v>
          </cell>
          <cell r="E1410">
            <v>0</v>
          </cell>
        </row>
        <row r="1411">
          <cell r="D1411" t="str">
            <v>GUN-32</v>
          </cell>
          <cell r="E1411">
            <v>0</v>
          </cell>
        </row>
        <row r="1412">
          <cell r="D1412" t="str">
            <v>GUN-40</v>
          </cell>
          <cell r="E1412">
            <v>0</v>
          </cell>
        </row>
        <row r="1413">
          <cell r="D1413" t="str">
            <v>GUN-50</v>
          </cell>
          <cell r="E1413">
            <v>0</v>
          </cell>
        </row>
        <row r="1414">
          <cell r="D1414" t="str">
            <v>GUN-63</v>
          </cell>
          <cell r="E1414">
            <v>0</v>
          </cell>
        </row>
        <row r="1415">
          <cell r="D1415" t="str">
            <v>GUN-75</v>
          </cell>
          <cell r="E1415">
            <v>0</v>
          </cell>
        </row>
        <row r="1416">
          <cell r="D1416" t="str">
            <v>GET-15</v>
          </cell>
          <cell r="E1416">
            <v>0</v>
          </cell>
        </row>
        <row r="1417">
          <cell r="D1417" t="str">
            <v>GET-20</v>
          </cell>
          <cell r="E1417">
            <v>0</v>
          </cell>
        </row>
        <row r="1418">
          <cell r="D1418" t="str">
            <v>GET-25</v>
          </cell>
          <cell r="E1418">
            <v>0</v>
          </cell>
        </row>
        <row r="1419">
          <cell r="D1419" t="str">
            <v>GET-32</v>
          </cell>
          <cell r="E1419">
            <v>0</v>
          </cell>
        </row>
        <row r="1420">
          <cell r="D1420" t="str">
            <v>GET-40</v>
          </cell>
          <cell r="E1420">
            <v>0</v>
          </cell>
        </row>
        <row r="1421">
          <cell r="D1421" t="str">
            <v>GET-50</v>
          </cell>
          <cell r="E1421">
            <v>0</v>
          </cell>
        </row>
        <row r="1422">
          <cell r="D1422" t="str">
            <v>GET-63</v>
          </cell>
          <cell r="E1422">
            <v>0</v>
          </cell>
        </row>
        <row r="1423">
          <cell r="D1423" t="str">
            <v>GET-75</v>
          </cell>
          <cell r="E1423">
            <v>0</v>
          </cell>
        </row>
        <row r="1424">
          <cell r="D1424" t="str">
            <v>GUT-20x15</v>
          </cell>
          <cell r="E1424">
            <v>0</v>
          </cell>
        </row>
        <row r="1425">
          <cell r="D1425" t="str">
            <v>GUT-25x15</v>
          </cell>
          <cell r="E1425">
            <v>0</v>
          </cell>
        </row>
        <row r="1426">
          <cell r="D1426" t="str">
            <v>GUT-32x15</v>
          </cell>
          <cell r="E1426">
            <v>0</v>
          </cell>
        </row>
        <row r="1427">
          <cell r="D1427" t="str">
            <v>GUT-40x15</v>
          </cell>
          <cell r="E1427">
            <v>0</v>
          </cell>
        </row>
        <row r="1428">
          <cell r="D1428" t="str">
            <v>GUT-50x15</v>
          </cell>
          <cell r="E1428">
            <v>0</v>
          </cell>
        </row>
        <row r="1429">
          <cell r="D1429" t="str">
            <v>GUT-63x15</v>
          </cell>
          <cell r="E1429">
            <v>0</v>
          </cell>
        </row>
        <row r="1430">
          <cell r="D1430" t="str">
            <v>GUT-75x15</v>
          </cell>
          <cell r="E1430">
            <v>0</v>
          </cell>
        </row>
        <row r="1431">
          <cell r="D1431" t="str">
            <v>GNI-15</v>
          </cell>
          <cell r="E1431">
            <v>0</v>
          </cell>
        </row>
        <row r="1432">
          <cell r="D1432" t="str">
            <v>GNI-20</v>
          </cell>
          <cell r="E1432">
            <v>0</v>
          </cell>
        </row>
        <row r="1433">
          <cell r="D1433" t="str">
            <v>GNI-25</v>
          </cell>
          <cell r="E1433">
            <v>0</v>
          </cell>
        </row>
        <row r="1434">
          <cell r="D1434" t="str">
            <v>GNI-32</v>
          </cell>
          <cell r="E1434">
            <v>0</v>
          </cell>
        </row>
        <row r="1435">
          <cell r="D1435" t="str">
            <v>GNI-40</v>
          </cell>
          <cell r="E1435">
            <v>0</v>
          </cell>
        </row>
        <row r="1436">
          <cell r="D1436" t="str">
            <v>GNI-50</v>
          </cell>
          <cell r="E1436">
            <v>0</v>
          </cell>
        </row>
        <row r="1437">
          <cell r="D1437" t="str">
            <v>GNI-63</v>
          </cell>
          <cell r="E1437">
            <v>0</v>
          </cell>
        </row>
        <row r="1438">
          <cell r="D1438" t="str">
            <v>GNI-75</v>
          </cell>
          <cell r="E1438">
            <v>0</v>
          </cell>
        </row>
        <row r="1439">
          <cell r="D1439" t="str">
            <v>BGAV-15</v>
          </cell>
          <cell r="E1439">
            <v>0</v>
          </cell>
        </row>
        <row r="1440">
          <cell r="D1440" t="str">
            <v>BGAV-20</v>
          </cell>
          <cell r="E1440">
            <v>0</v>
          </cell>
        </row>
        <row r="1441">
          <cell r="D1441" t="str">
            <v>BGAV-25</v>
          </cell>
          <cell r="E1441">
            <v>0</v>
          </cell>
        </row>
        <row r="1442">
          <cell r="D1442" t="str">
            <v>BGAV-32</v>
          </cell>
          <cell r="E1442">
            <v>0</v>
          </cell>
        </row>
        <row r="1443">
          <cell r="D1443" t="str">
            <v>BGAV-40</v>
          </cell>
          <cell r="E1443">
            <v>0</v>
          </cell>
        </row>
        <row r="1444">
          <cell r="D1444" t="str">
            <v>BGAV-50</v>
          </cell>
          <cell r="E1444">
            <v>0</v>
          </cell>
        </row>
        <row r="1445">
          <cell r="D1445" t="str">
            <v>BGAV-63</v>
          </cell>
          <cell r="E1445">
            <v>0</v>
          </cell>
        </row>
        <row r="1446">
          <cell r="D1446" t="str">
            <v>BGAV-75</v>
          </cell>
          <cell r="E1446">
            <v>0</v>
          </cell>
        </row>
        <row r="1447">
          <cell r="D1447" t="str">
            <v>BU-20</v>
          </cell>
          <cell r="E1447">
            <v>0</v>
          </cell>
        </row>
        <row r="1448">
          <cell r="D1448" t="str">
            <v>BU-25</v>
          </cell>
          <cell r="E1448">
            <v>0</v>
          </cell>
        </row>
        <row r="1449">
          <cell r="D1449" t="str">
            <v>BU-32</v>
          </cell>
          <cell r="E1449">
            <v>0</v>
          </cell>
        </row>
        <row r="1450">
          <cell r="D1450" t="str">
            <v>BU-40</v>
          </cell>
          <cell r="E1450">
            <v>0</v>
          </cell>
        </row>
        <row r="1451">
          <cell r="D1451" t="str">
            <v>GHF-50</v>
          </cell>
          <cell r="E1451">
            <v>0</v>
          </cell>
        </row>
        <row r="1452">
          <cell r="D1452" t="str">
            <v>GHF-63</v>
          </cell>
          <cell r="E1452">
            <v>0</v>
          </cell>
        </row>
        <row r="1453">
          <cell r="D1453" t="str">
            <v>GHF-75</v>
          </cell>
          <cell r="E1453">
            <v>0</v>
          </cell>
        </row>
        <row r="1454">
          <cell r="D1454" t="str">
            <v>GHF-90</v>
          </cell>
          <cell r="E1454">
            <v>0</v>
          </cell>
        </row>
        <row r="1457">
          <cell r="D1457" t="str">
            <v>GEL-25</v>
          </cell>
        </row>
        <row r="1478">
          <cell r="D1478" t="str">
            <v>HP2.5-90</v>
          </cell>
          <cell r="E1478">
            <v>0</v>
          </cell>
        </row>
        <row r="1479">
          <cell r="D1479" t="str">
            <v>HP10-20</v>
          </cell>
          <cell r="E1479">
            <v>0</v>
          </cell>
        </row>
        <row r="1480">
          <cell r="D1480" t="str">
            <v>HP10-25</v>
          </cell>
          <cell r="E1480">
            <v>0</v>
          </cell>
        </row>
        <row r="1481">
          <cell r="D1481" t="str">
            <v>HP6-32</v>
          </cell>
          <cell r="E1481">
            <v>0</v>
          </cell>
        </row>
        <row r="1482">
          <cell r="D1482" t="str">
            <v>HP6-40</v>
          </cell>
          <cell r="E1482">
            <v>0</v>
          </cell>
        </row>
        <row r="1483">
          <cell r="D1483" t="str">
            <v>HP6-50</v>
          </cell>
          <cell r="E1483">
            <v>0</v>
          </cell>
        </row>
        <row r="1484">
          <cell r="D1484" t="str">
            <v>HP6-63</v>
          </cell>
          <cell r="E1484">
            <v>0</v>
          </cell>
        </row>
        <row r="1485">
          <cell r="D1485" t="str">
            <v>HP4-75</v>
          </cell>
          <cell r="E1485">
            <v>0</v>
          </cell>
        </row>
        <row r="1486">
          <cell r="D1486" t="str">
            <v>HP4-90</v>
          </cell>
          <cell r="E1486">
            <v>0</v>
          </cell>
        </row>
        <row r="1488">
          <cell r="D1488" t="str">
            <v>GPM-15</v>
          </cell>
          <cell r="E1488">
            <v>0</v>
          </cell>
        </row>
        <row r="1489">
          <cell r="D1489" t="str">
            <v>GPM-20</v>
          </cell>
          <cell r="E1489">
            <v>0</v>
          </cell>
        </row>
        <row r="1490">
          <cell r="D1490" t="str">
            <v>GPM-25</v>
          </cell>
          <cell r="E1490">
            <v>0</v>
          </cell>
        </row>
        <row r="1491">
          <cell r="D1491" t="str">
            <v>GPM-32</v>
          </cell>
          <cell r="E1491">
            <v>0</v>
          </cell>
        </row>
        <row r="1492">
          <cell r="D1492" t="str">
            <v>GPM-40</v>
          </cell>
          <cell r="E1492">
            <v>0</v>
          </cell>
        </row>
        <row r="1493">
          <cell r="D1493" t="str">
            <v>GPM-50</v>
          </cell>
          <cell r="E1493">
            <v>0</v>
          </cell>
        </row>
        <row r="1494">
          <cell r="D1494" t="str">
            <v>GPM-63</v>
          </cell>
          <cell r="E1494">
            <v>0</v>
          </cell>
        </row>
        <row r="1495">
          <cell r="D1495" t="str">
            <v>GPM-75</v>
          </cell>
          <cell r="E1495">
            <v>0</v>
          </cell>
        </row>
        <row r="1497">
          <cell r="D1497" t="str">
            <v>GEL-15</v>
          </cell>
          <cell r="E1497">
            <v>0</v>
          </cell>
        </row>
        <row r="1498">
          <cell r="D1498" t="str">
            <v>GEL-20</v>
          </cell>
          <cell r="E1498">
            <v>0</v>
          </cell>
        </row>
        <row r="1499">
          <cell r="D1499" t="str">
            <v>GEL-25</v>
          </cell>
          <cell r="E1499">
            <v>0</v>
          </cell>
        </row>
        <row r="1500">
          <cell r="D1500" t="str">
            <v>GEL-32</v>
          </cell>
          <cell r="E1500">
            <v>0</v>
          </cell>
        </row>
        <row r="1501">
          <cell r="D1501" t="str">
            <v>GEL-40</v>
          </cell>
          <cell r="E1501">
            <v>0</v>
          </cell>
        </row>
        <row r="1502">
          <cell r="D1502" t="str">
            <v>GEL-50</v>
          </cell>
          <cell r="E1502">
            <v>0</v>
          </cell>
        </row>
        <row r="1503">
          <cell r="D1503" t="str">
            <v>GEL-63</v>
          </cell>
          <cell r="E1503">
            <v>0</v>
          </cell>
        </row>
        <row r="1504">
          <cell r="D1504" t="str">
            <v>GEL-75</v>
          </cell>
          <cell r="E1504">
            <v>0</v>
          </cell>
        </row>
        <row r="1505">
          <cell r="D1505" t="str">
            <v>HST-32</v>
          </cell>
          <cell r="E1505">
            <v>0</v>
          </cell>
        </row>
        <row r="1506">
          <cell r="D1506" t="str">
            <v>HST-40</v>
          </cell>
          <cell r="E1506">
            <v>0</v>
          </cell>
        </row>
        <row r="1507">
          <cell r="D1507" t="str">
            <v>HST-50</v>
          </cell>
          <cell r="E1507">
            <v>0</v>
          </cell>
        </row>
        <row r="1508">
          <cell r="D1508" t="str">
            <v>HST-75</v>
          </cell>
          <cell r="E1508">
            <v>0</v>
          </cell>
        </row>
        <row r="1509">
          <cell r="D1509" t="str">
            <v>GSO-15</v>
          </cell>
          <cell r="E1509">
            <v>0</v>
          </cell>
        </row>
        <row r="1510">
          <cell r="D1510" t="str">
            <v>GSO-20</v>
          </cell>
          <cell r="E1510">
            <v>0</v>
          </cell>
        </row>
        <row r="1511">
          <cell r="D1511" t="str">
            <v>GSO-25</v>
          </cell>
          <cell r="E1511">
            <v>0</v>
          </cell>
        </row>
        <row r="1512">
          <cell r="D1512" t="str">
            <v>GSO-32</v>
          </cell>
          <cell r="E1512">
            <v>0</v>
          </cell>
        </row>
        <row r="1513">
          <cell r="D1513" t="str">
            <v>GSO-40</v>
          </cell>
          <cell r="E1513">
            <v>0</v>
          </cell>
        </row>
        <row r="1514">
          <cell r="D1514" t="str">
            <v>GSO-50</v>
          </cell>
          <cell r="E1514">
            <v>0</v>
          </cell>
        </row>
        <row r="1515">
          <cell r="D1515" t="str">
            <v>GSO-63</v>
          </cell>
          <cell r="E1515">
            <v>0</v>
          </cell>
        </row>
        <row r="1516">
          <cell r="D1516" t="str">
            <v>GSO-75</v>
          </cell>
          <cell r="E1516">
            <v>0</v>
          </cell>
        </row>
        <row r="1517">
          <cell r="D1517" t="str">
            <v>GUN-15</v>
          </cell>
          <cell r="E1517">
            <v>0</v>
          </cell>
        </row>
        <row r="1518">
          <cell r="D1518" t="str">
            <v>GUN-20</v>
          </cell>
          <cell r="E1518">
            <v>0</v>
          </cell>
        </row>
        <row r="1519">
          <cell r="D1519" t="str">
            <v>GUN-25</v>
          </cell>
          <cell r="E1519">
            <v>0</v>
          </cell>
        </row>
        <row r="1520">
          <cell r="D1520" t="str">
            <v>GUN-32</v>
          </cell>
          <cell r="E1520">
            <v>0</v>
          </cell>
        </row>
        <row r="1521">
          <cell r="D1521" t="str">
            <v>GUN-40</v>
          </cell>
          <cell r="E1521">
            <v>0</v>
          </cell>
        </row>
        <row r="1522">
          <cell r="D1522" t="str">
            <v>GUN-50</v>
          </cell>
          <cell r="E1522">
            <v>0</v>
          </cell>
        </row>
        <row r="1523">
          <cell r="D1523" t="str">
            <v>GUN-63</v>
          </cell>
          <cell r="E1523">
            <v>0</v>
          </cell>
        </row>
        <row r="1524">
          <cell r="D1524" t="str">
            <v>GUN-75</v>
          </cell>
          <cell r="E1524">
            <v>0</v>
          </cell>
        </row>
        <row r="1525">
          <cell r="D1525" t="str">
            <v>GET-15</v>
          </cell>
          <cell r="E1525">
            <v>0</v>
          </cell>
        </row>
        <row r="1526">
          <cell r="D1526" t="str">
            <v>GET-20</v>
          </cell>
          <cell r="E1526">
            <v>0</v>
          </cell>
        </row>
        <row r="1527">
          <cell r="D1527" t="str">
            <v>GET-25</v>
          </cell>
          <cell r="E1527">
            <v>0</v>
          </cell>
        </row>
        <row r="1528">
          <cell r="D1528" t="str">
            <v>GET-32</v>
          </cell>
          <cell r="E1528">
            <v>0</v>
          </cell>
        </row>
        <row r="1529">
          <cell r="D1529" t="str">
            <v>GET-40</v>
          </cell>
          <cell r="E1529">
            <v>0</v>
          </cell>
        </row>
        <row r="1530">
          <cell r="D1530" t="str">
            <v>GET-50</v>
          </cell>
          <cell r="E1530">
            <v>0</v>
          </cell>
        </row>
        <row r="1531">
          <cell r="D1531" t="str">
            <v>GET-63</v>
          </cell>
          <cell r="E1531">
            <v>0</v>
          </cell>
        </row>
        <row r="1532">
          <cell r="D1532" t="str">
            <v>GET-75</v>
          </cell>
          <cell r="E1532">
            <v>0</v>
          </cell>
        </row>
        <row r="1533">
          <cell r="D1533" t="str">
            <v>GUT-20x15</v>
          </cell>
          <cell r="E1533">
            <v>0</v>
          </cell>
        </row>
        <row r="1534">
          <cell r="D1534" t="str">
            <v>GUT-25x15</v>
          </cell>
          <cell r="E1534">
            <v>0</v>
          </cell>
        </row>
        <row r="1535">
          <cell r="D1535" t="str">
            <v>GUT-32x15</v>
          </cell>
          <cell r="E1535">
            <v>0</v>
          </cell>
        </row>
        <row r="1536">
          <cell r="D1536" t="str">
            <v>GUT-40x15</v>
          </cell>
          <cell r="E1536">
            <v>0</v>
          </cell>
        </row>
        <row r="1537">
          <cell r="D1537" t="str">
            <v>GUT-50x15</v>
          </cell>
          <cell r="E1537">
            <v>0</v>
          </cell>
        </row>
        <row r="1538">
          <cell r="D1538" t="str">
            <v>GUT-63x15</v>
          </cell>
          <cell r="E1538">
            <v>0</v>
          </cell>
        </row>
        <row r="1539">
          <cell r="D1539" t="str">
            <v>GUT-75x15</v>
          </cell>
          <cell r="E1539">
            <v>0</v>
          </cell>
        </row>
        <row r="1540">
          <cell r="D1540" t="str">
            <v>GNI-15</v>
          </cell>
          <cell r="E1540">
            <v>0</v>
          </cell>
        </row>
        <row r="1541">
          <cell r="D1541" t="str">
            <v>GNI-20</v>
          </cell>
          <cell r="E1541">
            <v>0</v>
          </cell>
        </row>
        <row r="1542">
          <cell r="D1542" t="str">
            <v>GNI-25</v>
          </cell>
          <cell r="E1542">
            <v>0</v>
          </cell>
        </row>
        <row r="1543">
          <cell r="D1543" t="str">
            <v>GNI-32</v>
          </cell>
          <cell r="E1543">
            <v>0</v>
          </cell>
        </row>
        <row r="1544">
          <cell r="D1544" t="str">
            <v>GNI-40</v>
          </cell>
          <cell r="E1544">
            <v>0</v>
          </cell>
        </row>
        <row r="1545">
          <cell r="D1545" t="str">
            <v>GNI-50</v>
          </cell>
          <cell r="E1545">
            <v>0</v>
          </cell>
        </row>
        <row r="1546">
          <cell r="D1546" t="str">
            <v>GNI-63</v>
          </cell>
          <cell r="E1546">
            <v>0</v>
          </cell>
        </row>
        <row r="1547">
          <cell r="D1547" t="str">
            <v>GNI-75</v>
          </cell>
          <cell r="E1547">
            <v>0</v>
          </cell>
        </row>
        <row r="1548">
          <cell r="D1548" t="str">
            <v>BGAV-15</v>
          </cell>
          <cell r="E1548">
            <v>0</v>
          </cell>
        </row>
        <row r="1549">
          <cell r="D1549" t="str">
            <v>BGAV-20</v>
          </cell>
          <cell r="E1549">
            <v>0</v>
          </cell>
        </row>
        <row r="1550">
          <cell r="D1550" t="str">
            <v>BGAV-25</v>
          </cell>
          <cell r="E1550">
            <v>0</v>
          </cell>
        </row>
        <row r="1551">
          <cell r="D1551" t="str">
            <v>BGAV-32</v>
          </cell>
          <cell r="E1551">
            <v>0</v>
          </cell>
        </row>
        <row r="1552">
          <cell r="D1552" t="str">
            <v>BGAV-40</v>
          </cell>
          <cell r="E1552">
            <v>0</v>
          </cell>
        </row>
        <row r="1553">
          <cell r="D1553" t="str">
            <v>BGAV-50</v>
          </cell>
          <cell r="E1553">
            <v>0</v>
          </cell>
        </row>
        <row r="1554">
          <cell r="D1554" t="str">
            <v>BGAV-63</v>
          </cell>
          <cell r="E1554">
            <v>0</v>
          </cell>
        </row>
        <row r="1555">
          <cell r="D1555" t="str">
            <v>BGAV-75</v>
          </cell>
          <cell r="E1555">
            <v>0</v>
          </cell>
        </row>
        <row r="1556">
          <cell r="D1556" t="str">
            <v>BU-20</v>
          </cell>
          <cell r="E1556">
            <v>0</v>
          </cell>
        </row>
        <row r="1557">
          <cell r="D1557" t="str">
            <v>BU-25</v>
          </cell>
          <cell r="E1557">
            <v>0</v>
          </cell>
        </row>
        <row r="1558">
          <cell r="D1558" t="str">
            <v>BU-32</v>
          </cell>
          <cell r="E1558">
            <v>0</v>
          </cell>
        </row>
        <row r="1559">
          <cell r="D1559" t="str">
            <v>BU-40</v>
          </cell>
          <cell r="E1559">
            <v>0</v>
          </cell>
        </row>
        <row r="1560">
          <cell r="D1560" t="str">
            <v>GHF-50</v>
          </cell>
          <cell r="E1560">
            <v>0</v>
          </cell>
        </row>
        <row r="1561">
          <cell r="D1561" t="str">
            <v>GHF-63</v>
          </cell>
          <cell r="E1561">
            <v>0</v>
          </cell>
        </row>
        <row r="1562">
          <cell r="D1562" t="str">
            <v>GHF-75</v>
          </cell>
          <cell r="E1562">
            <v>0</v>
          </cell>
        </row>
        <row r="1563">
          <cell r="D1563" t="str">
            <v>GHF-90</v>
          </cell>
          <cell r="E1563">
            <v>0</v>
          </cell>
        </row>
        <row r="1566">
          <cell r="D1566" t="str">
            <v>GEL-25</v>
          </cell>
        </row>
        <row r="1589">
          <cell r="D1589" t="str">
            <v>HP2.5-90</v>
          </cell>
          <cell r="E1589">
            <v>0</v>
          </cell>
        </row>
        <row r="1590">
          <cell r="D1590" t="str">
            <v>HP10-20</v>
          </cell>
          <cell r="E1590">
            <v>0</v>
          </cell>
        </row>
        <row r="1591">
          <cell r="D1591" t="str">
            <v>HP10-25</v>
          </cell>
          <cell r="E1591">
            <v>0</v>
          </cell>
        </row>
        <row r="1592">
          <cell r="D1592" t="str">
            <v>HP6-32</v>
          </cell>
          <cell r="E1592">
            <v>0</v>
          </cell>
        </row>
        <row r="1593">
          <cell r="D1593" t="str">
            <v>HP6-40</v>
          </cell>
          <cell r="E1593">
            <v>0</v>
          </cell>
        </row>
        <row r="1594">
          <cell r="D1594" t="str">
            <v>HP6-50</v>
          </cell>
          <cell r="E1594">
            <v>0</v>
          </cell>
        </row>
        <row r="1595">
          <cell r="D1595" t="str">
            <v>HP6-63</v>
          </cell>
          <cell r="E1595">
            <v>0</v>
          </cell>
        </row>
        <row r="1596">
          <cell r="D1596" t="str">
            <v>HP4-75</v>
          </cell>
          <cell r="E1596">
            <v>0</v>
          </cell>
        </row>
        <row r="1597">
          <cell r="D1597" t="str">
            <v>HP4-90</v>
          </cell>
          <cell r="E1597">
            <v>0</v>
          </cell>
        </row>
        <row r="1599">
          <cell r="D1599" t="str">
            <v>GPM-15</v>
          </cell>
          <cell r="E1599">
            <v>0</v>
          </cell>
        </row>
        <row r="1600">
          <cell r="D1600" t="str">
            <v>GPM-20</v>
          </cell>
          <cell r="E1600">
            <v>0</v>
          </cell>
        </row>
        <row r="1601">
          <cell r="D1601" t="str">
            <v>GPM-25</v>
          </cell>
          <cell r="E1601">
            <v>0</v>
          </cell>
        </row>
        <row r="1602">
          <cell r="D1602" t="str">
            <v>GPM-32</v>
          </cell>
          <cell r="E1602">
            <v>0</v>
          </cell>
        </row>
        <row r="1603">
          <cell r="D1603" t="str">
            <v>GPM-40</v>
          </cell>
          <cell r="E1603">
            <v>0</v>
          </cell>
        </row>
        <row r="1604">
          <cell r="D1604" t="str">
            <v>GPM-50</v>
          </cell>
          <cell r="E1604">
            <v>0</v>
          </cell>
        </row>
        <row r="1605">
          <cell r="D1605" t="str">
            <v>GPM-63</v>
          </cell>
          <cell r="E1605">
            <v>0</v>
          </cell>
        </row>
        <row r="1606">
          <cell r="D1606" t="str">
            <v>GPM-75</v>
          </cell>
          <cell r="E1606">
            <v>0</v>
          </cell>
        </row>
        <row r="1608">
          <cell r="D1608" t="str">
            <v>GEL-15</v>
          </cell>
          <cell r="E1608">
            <v>0</v>
          </cell>
        </row>
        <row r="1609">
          <cell r="D1609" t="str">
            <v>GEL-20</v>
          </cell>
          <cell r="E1609">
            <v>0</v>
          </cell>
        </row>
        <row r="1610">
          <cell r="D1610" t="str">
            <v>GEL-25</v>
          </cell>
          <cell r="E1610">
            <v>0</v>
          </cell>
        </row>
        <row r="1611">
          <cell r="D1611" t="str">
            <v>GEL-32</v>
          </cell>
          <cell r="E1611">
            <v>0</v>
          </cell>
        </row>
        <row r="1612">
          <cell r="D1612" t="str">
            <v>GEL-40</v>
          </cell>
          <cell r="E1612">
            <v>0</v>
          </cell>
        </row>
        <row r="1613">
          <cell r="D1613" t="str">
            <v>GEL-50</v>
          </cell>
          <cell r="E1613">
            <v>0</v>
          </cell>
        </row>
        <row r="1614">
          <cell r="D1614" t="str">
            <v>GEL-63</v>
          </cell>
          <cell r="E1614">
            <v>0</v>
          </cell>
        </row>
        <row r="1615">
          <cell r="D1615" t="str">
            <v>GEL-75</v>
          </cell>
          <cell r="E1615">
            <v>0</v>
          </cell>
        </row>
        <row r="1616">
          <cell r="D1616" t="str">
            <v>HST-32</v>
          </cell>
          <cell r="E1616">
            <v>0</v>
          </cell>
        </row>
        <row r="1617">
          <cell r="D1617" t="str">
            <v>HST-40</v>
          </cell>
          <cell r="E1617">
            <v>0</v>
          </cell>
        </row>
        <row r="1618">
          <cell r="D1618" t="str">
            <v>HST-50</v>
          </cell>
          <cell r="E1618">
            <v>0</v>
          </cell>
        </row>
        <row r="1619">
          <cell r="D1619" t="str">
            <v>HST-75</v>
          </cell>
          <cell r="E1619">
            <v>0</v>
          </cell>
        </row>
        <row r="1620">
          <cell r="D1620" t="str">
            <v>GSO-15</v>
          </cell>
          <cell r="E1620">
            <v>0</v>
          </cell>
        </row>
        <row r="1621">
          <cell r="D1621" t="str">
            <v>GSO-20</v>
          </cell>
          <cell r="E1621">
            <v>0</v>
          </cell>
        </row>
        <row r="1622">
          <cell r="D1622" t="str">
            <v>GSO-25</v>
          </cell>
          <cell r="E1622">
            <v>0</v>
          </cell>
        </row>
        <row r="1623">
          <cell r="D1623" t="str">
            <v>GSO-32</v>
          </cell>
          <cell r="E1623">
            <v>0</v>
          </cell>
        </row>
        <row r="1624">
          <cell r="D1624" t="str">
            <v>GSO-40</v>
          </cell>
          <cell r="E1624">
            <v>0</v>
          </cell>
        </row>
        <row r="1625">
          <cell r="D1625" t="str">
            <v>GSO-50</v>
          </cell>
          <cell r="E1625">
            <v>0</v>
          </cell>
        </row>
        <row r="1626">
          <cell r="D1626" t="str">
            <v>GSO-63</v>
          </cell>
          <cell r="E1626">
            <v>0</v>
          </cell>
        </row>
        <row r="1627">
          <cell r="D1627" t="str">
            <v>GSO-75</v>
          </cell>
          <cell r="E1627">
            <v>0</v>
          </cell>
        </row>
        <row r="1628">
          <cell r="D1628" t="str">
            <v>GUN-15</v>
          </cell>
          <cell r="E1628">
            <v>0</v>
          </cell>
        </row>
        <row r="1629">
          <cell r="D1629" t="str">
            <v>GUN-20</v>
          </cell>
          <cell r="E1629">
            <v>0</v>
          </cell>
        </row>
        <row r="1630">
          <cell r="D1630" t="str">
            <v>GUN-25</v>
          </cell>
          <cell r="E1630">
            <v>0</v>
          </cell>
        </row>
        <row r="1631">
          <cell r="D1631" t="str">
            <v>GUN-32</v>
          </cell>
          <cell r="E1631">
            <v>0</v>
          </cell>
        </row>
        <row r="1632">
          <cell r="D1632" t="str">
            <v>GUN-40</v>
          </cell>
          <cell r="E1632">
            <v>0</v>
          </cell>
        </row>
        <row r="1633">
          <cell r="D1633" t="str">
            <v>GUN-50</v>
          </cell>
          <cell r="E1633">
            <v>0</v>
          </cell>
        </row>
        <row r="1634">
          <cell r="D1634" t="str">
            <v>GUN-63</v>
          </cell>
          <cell r="E1634">
            <v>0</v>
          </cell>
        </row>
        <row r="1635">
          <cell r="D1635" t="str">
            <v>GUN-75</v>
          </cell>
          <cell r="E1635">
            <v>0</v>
          </cell>
        </row>
        <row r="1636">
          <cell r="D1636" t="str">
            <v>GET-15</v>
          </cell>
          <cell r="E1636">
            <v>0</v>
          </cell>
        </row>
        <row r="1637">
          <cell r="D1637" t="str">
            <v>GET-20</v>
          </cell>
          <cell r="E1637">
            <v>0</v>
          </cell>
        </row>
        <row r="1638">
          <cell r="D1638" t="str">
            <v>GET-25</v>
          </cell>
          <cell r="E1638">
            <v>0</v>
          </cell>
        </row>
        <row r="1639">
          <cell r="D1639" t="str">
            <v>GET-32</v>
          </cell>
          <cell r="E1639">
            <v>0</v>
          </cell>
        </row>
        <row r="1640">
          <cell r="D1640" t="str">
            <v>GET-40</v>
          </cell>
          <cell r="E1640">
            <v>0</v>
          </cell>
        </row>
        <row r="1641">
          <cell r="D1641" t="str">
            <v>GET-50</v>
          </cell>
          <cell r="E1641">
            <v>0</v>
          </cell>
        </row>
        <row r="1642">
          <cell r="D1642" t="str">
            <v>GET-63</v>
          </cell>
          <cell r="E1642">
            <v>0</v>
          </cell>
        </row>
        <row r="1643">
          <cell r="D1643" t="str">
            <v>GET-75</v>
          </cell>
          <cell r="E1643">
            <v>0</v>
          </cell>
        </row>
        <row r="1644">
          <cell r="D1644" t="str">
            <v>GUT-20x15</v>
          </cell>
          <cell r="E1644">
            <v>0</v>
          </cell>
        </row>
        <row r="1645">
          <cell r="D1645" t="str">
            <v>GUT-25x15</v>
          </cell>
          <cell r="E1645">
            <v>0</v>
          </cell>
        </row>
        <row r="1646">
          <cell r="D1646" t="str">
            <v>GUT-32x15</v>
          </cell>
          <cell r="E1646">
            <v>0</v>
          </cell>
        </row>
        <row r="1647">
          <cell r="D1647" t="str">
            <v>GUT-40x15</v>
          </cell>
          <cell r="E1647">
            <v>0</v>
          </cell>
        </row>
        <row r="1648">
          <cell r="D1648" t="str">
            <v>GUT-50x15</v>
          </cell>
          <cell r="E1648">
            <v>0</v>
          </cell>
        </row>
        <row r="1649">
          <cell r="D1649" t="str">
            <v>GUT-63x15</v>
          </cell>
          <cell r="E1649">
            <v>0</v>
          </cell>
        </row>
        <row r="1650">
          <cell r="D1650" t="str">
            <v>GUT-75x15</v>
          </cell>
          <cell r="E1650">
            <v>0</v>
          </cell>
        </row>
        <row r="1651">
          <cell r="D1651" t="str">
            <v>GNI-15</v>
          </cell>
          <cell r="E1651">
            <v>0</v>
          </cell>
        </row>
        <row r="1652">
          <cell r="D1652" t="str">
            <v>GNI-20</v>
          </cell>
          <cell r="E1652">
            <v>0</v>
          </cell>
        </row>
        <row r="1653">
          <cell r="D1653" t="str">
            <v>GNI-25</v>
          </cell>
          <cell r="E1653">
            <v>0</v>
          </cell>
        </row>
        <row r="1654">
          <cell r="D1654" t="str">
            <v>GNI-32</v>
          </cell>
          <cell r="E1654">
            <v>0</v>
          </cell>
        </row>
        <row r="1655">
          <cell r="D1655" t="str">
            <v>GNI-40</v>
          </cell>
          <cell r="E1655">
            <v>0</v>
          </cell>
        </row>
        <row r="1656">
          <cell r="D1656" t="str">
            <v>GNI-50</v>
          </cell>
          <cell r="E1656">
            <v>0</v>
          </cell>
        </row>
        <row r="1657">
          <cell r="D1657" t="str">
            <v>GNI-63</v>
          </cell>
          <cell r="E1657">
            <v>0</v>
          </cell>
        </row>
        <row r="1658">
          <cell r="D1658" t="str">
            <v>GNI-75</v>
          </cell>
          <cell r="E1658">
            <v>0</v>
          </cell>
        </row>
        <row r="1659">
          <cell r="D1659" t="str">
            <v>BGAV-15</v>
          </cell>
          <cell r="E1659">
            <v>0</v>
          </cell>
        </row>
        <row r="1660">
          <cell r="D1660" t="str">
            <v>BGAV-20</v>
          </cell>
          <cell r="E1660">
            <v>0</v>
          </cell>
        </row>
        <row r="1661">
          <cell r="D1661" t="str">
            <v>BGAV-25</v>
          </cell>
          <cell r="E1661">
            <v>0</v>
          </cell>
        </row>
        <row r="1662">
          <cell r="D1662" t="str">
            <v>BGAV-32</v>
          </cell>
          <cell r="E1662">
            <v>0</v>
          </cell>
        </row>
        <row r="1663">
          <cell r="D1663" t="str">
            <v>BGAV-40</v>
          </cell>
          <cell r="E1663">
            <v>0</v>
          </cell>
        </row>
        <row r="1664">
          <cell r="D1664" t="str">
            <v>BGAV-50</v>
          </cell>
          <cell r="E1664">
            <v>0</v>
          </cell>
        </row>
        <row r="1665">
          <cell r="D1665" t="str">
            <v>BGAV-63</v>
          </cell>
          <cell r="E1665">
            <v>0</v>
          </cell>
        </row>
        <row r="1666">
          <cell r="D1666" t="str">
            <v>BGAV-75</v>
          </cell>
          <cell r="E1666">
            <v>0</v>
          </cell>
        </row>
        <row r="1667">
          <cell r="D1667" t="str">
            <v>BU-20</v>
          </cell>
          <cell r="E1667">
            <v>0</v>
          </cell>
        </row>
        <row r="1668">
          <cell r="D1668" t="str">
            <v>BU-25</v>
          </cell>
          <cell r="E1668">
            <v>0</v>
          </cell>
        </row>
        <row r="1669">
          <cell r="D1669" t="str">
            <v>BU-32</v>
          </cell>
          <cell r="E1669">
            <v>0</v>
          </cell>
        </row>
        <row r="1670">
          <cell r="D1670" t="str">
            <v>BU-40</v>
          </cell>
          <cell r="E1670">
            <v>0</v>
          </cell>
        </row>
        <row r="1671">
          <cell r="D1671" t="str">
            <v>GHF-50</v>
          </cell>
          <cell r="E1671">
            <v>0</v>
          </cell>
        </row>
        <row r="1672">
          <cell r="D1672" t="str">
            <v>GHF-63</v>
          </cell>
          <cell r="E1672">
            <v>0</v>
          </cell>
        </row>
        <row r="1673">
          <cell r="D1673" t="str">
            <v>GHF-75</v>
          </cell>
          <cell r="E1673">
            <v>0</v>
          </cell>
        </row>
        <row r="1674">
          <cell r="D1674" t="str">
            <v>GHF-90</v>
          </cell>
          <cell r="E1674">
            <v>0</v>
          </cell>
        </row>
        <row r="1677">
          <cell r="D1677" t="str">
            <v>GEL-25</v>
          </cell>
        </row>
      </sheetData>
      <sheetData sheetId="32" refreshError="1">
        <row r="7">
          <cell r="D7" t="str">
            <v>M-01</v>
          </cell>
          <cell r="F7">
            <v>13</v>
          </cell>
          <cell r="G7">
            <v>0</v>
          </cell>
          <cell r="H7">
            <v>0</v>
          </cell>
          <cell r="I7">
            <v>0</v>
          </cell>
          <cell r="J7">
            <v>0</v>
          </cell>
          <cell r="K7">
            <v>0</v>
          </cell>
          <cell r="L7">
            <v>0</v>
          </cell>
          <cell r="M7">
            <v>0</v>
          </cell>
          <cell r="N7">
            <v>0</v>
          </cell>
          <cell r="O7">
            <v>0</v>
          </cell>
          <cell r="P7">
            <v>26</v>
          </cell>
          <cell r="Q7">
            <v>0</v>
          </cell>
        </row>
        <row r="8">
          <cell r="D8" t="str">
            <v>M-02</v>
          </cell>
          <cell r="F8">
            <v>2.25</v>
          </cell>
          <cell r="G8">
            <v>0</v>
          </cell>
          <cell r="H8">
            <v>0</v>
          </cell>
          <cell r="I8">
            <v>0</v>
          </cell>
          <cell r="J8">
            <v>0</v>
          </cell>
          <cell r="K8">
            <v>0</v>
          </cell>
          <cell r="L8">
            <v>0</v>
          </cell>
          <cell r="M8">
            <v>0</v>
          </cell>
          <cell r="N8">
            <v>0</v>
          </cell>
          <cell r="O8">
            <v>0</v>
          </cell>
          <cell r="P8">
            <v>4.5</v>
          </cell>
          <cell r="Q8">
            <v>0</v>
          </cell>
        </row>
        <row r="9">
          <cell r="D9" t="str">
            <v>M-03</v>
          </cell>
          <cell r="F9">
            <v>3.4</v>
          </cell>
          <cell r="G9">
            <v>0</v>
          </cell>
          <cell r="H9">
            <v>0</v>
          </cell>
          <cell r="I9">
            <v>0</v>
          </cell>
          <cell r="J9">
            <v>0</v>
          </cell>
          <cell r="K9">
            <v>0</v>
          </cell>
          <cell r="L9">
            <v>0</v>
          </cell>
          <cell r="M9">
            <v>0</v>
          </cell>
          <cell r="N9">
            <v>0</v>
          </cell>
          <cell r="O9">
            <v>0</v>
          </cell>
          <cell r="P9">
            <v>6.8</v>
          </cell>
          <cell r="Q9">
            <v>0</v>
          </cell>
        </row>
        <row r="10">
          <cell r="D10" t="str">
            <v>M-04</v>
          </cell>
          <cell r="F10">
            <v>0.34</v>
          </cell>
          <cell r="G10">
            <v>0</v>
          </cell>
          <cell r="H10">
            <v>0</v>
          </cell>
          <cell r="I10">
            <v>0</v>
          </cell>
          <cell r="J10">
            <v>0</v>
          </cell>
          <cell r="K10">
            <v>0</v>
          </cell>
          <cell r="L10">
            <v>0</v>
          </cell>
          <cell r="M10">
            <v>0</v>
          </cell>
          <cell r="N10">
            <v>0</v>
          </cell>
          <cell r="O10">
            <v>0</v>
          </cell>
          <cell r="P10">
            <v>0.68</v>
          </cell>
          <cell r="Q10">
            <v>0</v>
          </cell>
        </row>
        <row r="11">
          <cell r="D11" t="str">
            <v>M-05</v>
          </cell>
          <cell r="F11">
            <v>0.11</v>
          </cell>
          <cell r="G11">
            <v>0</v>
          </cell>
          <cell r="H11">
            <v>0</v>
          </cell>
          <cell r="I11">
            <v>0</v>
          </cell>
          <cell r="J11">
            <v>0</v>
          </cell>
          <cell r="K11">
            <v>0</v>
          </cell>
          <cell r="L11">
            <v>0</v>
          </cell>
          <cell r="M11">
            <v>0</v>
          </cell>
          <cell r="N11">
            <v>0</v>
          </cell>
          <cell r="O11">
            <v>0</v>
          </cell>
          <cell r="P11">
            <v>0.22</v>
          </cell>
          <cell r="Q11">
            <v>0</v>
          </cell>
        </row>
        <row r="12">
          <cell r="D12" t="str">
            <v>M-06</v>
          </cell>
          <cell r="F12">
            <v>0.22</v>
          </cell>
          <cell r="G12">
            <v>0</v>
          </cell>
          <cell r="H12">
            <v>0</v>
          </cell>
          <cell r="I12">
            <v>0</v>
          </cell>
          <cell r="J12">
            <v>0</v>
          </cell>
          <cell r="K12">
            <v>0</v>
          </cell>
          <cell r="L12">
            <v>0</v>
          </cell>
          <cell r="M12">
            <v>0</v>
          </cell>
          <cell r="N12">
            <v>0</v>
          </cell>
          <cell r="O12">
            <v>0</v>
          </cell>
          <cell r="P12">
            <v>0.44</v>
          </cell>
          <cell r="Q12">
            <v>0</v>
          </cell>
        </row>
        <row r="13">
          <cell r="D13" t="str">
            <v>M-07</v>
          </cell>
          <cell r="F13">
            <v>0.52</v>
          </cell>
          <cell r="G13">
            <v>0</v>
          </cell>
          <cell r="H13">
            <v>0</v>
          </cell>
          <cell r="I13">
            <v>0</v>
          </cell>
          <cell r="J13">
            <v>0</v>
          </cell>
          <cell r="K13">
            <v>0</v>
          </cell>
          <cell r="L13">
            <v>0</v>
          </cell>
          <cell r="M13">
            <v>0</v>
          </cell>
          <cell r="N13">
            <v>0</v>
          </cell>
          <cell r="O13">
            <v>0</v>
          </cell>
          <cell r="P13">
            <v>1.04</v>
          </cell>
          <cell r="Q13">
            <v>0</v>
          </cell>
        </row>
        <row r="14">
          <cell r="D14" t="str">
            <v>M-08</v>
          </cell>
          <cell r="F14">
            <v>0</v>
          </cell>
          <cell r="G14">
            <v>0</v>
          </cell>
          <cell r="H14">
            <v>0</v>
          </cell>
          <cell r="I14">
            <v>0</v>
          </cell>
          <cell r="J14">
            <v>0</v>
          </cell>
          <cell r="K14">
            <v>0</v>
          </cell>
          <cell r="L14">
            <v>0</v>
          </cell>
          <cell r="M14">
            <v>0</v>
          </cell>
          <cell r="N14">
            <v>0</v>
          </cell>
          <cell r="O14">
            <v>0</v>
          </cell>
          <cell r="P14">
            <v>0</v>
          </cell>
          <cell r="Q14">
            <v>0</v>
          </cell>
        </row>
        <row r="15">
          <cell r="D15" t="str">
            <v>M-09</v>
          </cell>
          <cell r="F15">
            <v>5.94</v>
          </cell>
          <cell r="G15">
            <v>0</v>
          </cell>
          <cell r="H15">
            <v>0</v>
          </cell>
          <cell r="I15">
            <v>0</v>
          </cell>
          <cell r="J15">
            <v>0</v>
          </cell>
          <cell r="K15">
            <v>0</v>
          </cell>
          <cell r="L15">
            <v>0</v>
          </cell>
          <cell r="M15">
            <v>0</v>
          </cell>
          <cell r="N15">
            <v>0</v>
          </cell>
          <cell r="O15">
            <v>0</v>
          </cell>
          <cell r="P15">
            <v>11.88</v>
          </cell>
          <cell r="Q15">
            <v>0</v>
          </cell>
        </row>
        <row r="16">
          <cell r="D16" t="str">
            <v>M-10</v>
          </cell>
          <cell r="F16">
            <v>0</v>
          </cell>
          <cell r="G16">
            <v>0</v>
          </cell>
          <cell r="H16">
            <v>0</v>
          </cell>
          <cell r="I16">
            <v>0</v>
          </cell>
          <cell r="J16">
            <v>0</v>
          </cell>
          <cell r="K16">
            <v>0</v>
          </cell>
          <cell r="L16">
            <v>0</v>
          </cell>
          <cell r="M16">
            <v>0</v>
          </cell>
          <cell r="N16">
            <v>0</v>
          </cell>
          <cell r="O16">
            <v>0</v>
          </cell>
          <cell r="P16">
            <v>0</v>
          </cell>
          <cell r="Q16">
            <v>0</v>
          </cell>
        </row>
        <row r="17">
          <cell r="D17" t="str">
            <v>M-11</v>
          </cell>
          <cell r="F17">
            <v>16.739999999999998</v>
          </cell>
          <cell r="G17">
            <v>0</v>
          </cell>
          <cell r="H17">
            <v>0</v>
          </cell>
          <cell r="I17">
            <v>0</v>
          </cell>
          <cell r="J17">
            <v>0</v>
          </cell>
          <cell r="K17">
            <v>0</v>
          </cell>
          <cell r="L17">
            <v>0</v>
          </cell>
          <cell r="M17">
            <v>0</v>
          </cell>
          <cell r="N17">
            <v>0</v>
          </cell>
          <cell r="O17">
            <v>0</v>
          </cell>
          <cell r="P17">
            <v>33.479999999999997</v>
          </cell>
          <cell r="Q17">
            <v>0</v>
          </cell>
        </row>
        <row r="18">
          <cell r="D18" t="str">
            <v>M-12</v>
          </cell>
          <cell r="F18">
            <v>0.2</v>
          </cell>
          <cell r="G18">
            <v>0</v>
          </cell>
          <cell r="H18">
            <v>0</v>
          </cell>
          <cell r="I18">
            <v>0</v>
          </cell>
          <cell r="J18">
            <v>0</v>
          </cell>
          <cell r="K18">
            <v>0</v>
          </cell>
          <cell r="L18">
            <v>0</v>
          </cell>
          <cell r="M18">
            <v>0</v>
          </cell>
          <cell r="N18">
            <v>0</v>
          </cell>
          <cell r="O18">
            <v>0</v>
          </cell>
          <cell r="P18">
            <v>0.4</v>
          </cell>
          <cell r="Q18">
            <v>0</v>
          </cell>
        </row>
        <row r="19">
          <cell r="D19" t="str">
            <v>M-13</v>
          </cell>
          <cell r="F19">
            <v>0.6</v>
          </cell>
          <cell r="G19">
            <v>0</v>
          </cell>
          <cell r="H19">
            <v>0</v>
          </cell>
          <cell r="I19">
            <v>0</v>
          </cell>
          <cell r="J19">
            <v>0</v>
          </cell>
          <cell r="K19">
            <v>0</v>
          </cell>
          <cell r="L19">
            <v>0</v>
          </cell>
          <cell r="M19">
            <v>0</v>
          </cell>
          <cell r="N19">
            <v>0</v>
          </cell>
          <cell r="O19">
            <v>0</v>
          </cell>
          <cell r="P19">
            <v>1.2</v>
          </cell>
          <cell r="Q19">
            <v>0</v>
          </cell>
        </row>
        <row r="20">
          <cell r="D20" t="str">
            <v>M-14</v>
          </cell>
          <cell r="F20">
            <v>1</v>
          </cell>
          <cell r="G20">
            <v>0</v>
          </cell>
          <cell r="H20">
            <v>0</v>
          </cell>
          <cell r="I20">
            <v>0</v>
          </cell>
          <cell r="J20">
            <v>0</v>
          </cell>
          <cell r="K20">
            <v>0</v>
          </cell>
          <cell r="L20">
            <v>0</v>
          </cell>
          <cell r="M20">
            <v>0</v>
          </cell>
          <cell r="N20">
            <v>0</v>
          </cell>
          <cell r="O20">
            <v>0</v>
          </cell>
          <cell r="P20">
            <v>2</v>
          </cell>
          <cell r="Q20">
            <v>0</v>
          </cell>
        </row>
        <row r="21">
          <cell r="D21" t="str">
            <v>M-15</v>
          </cell>
          <cell r="F21">
            <v>0</v>
          </cell>
          <cell r="G21">
            <v>0</v>
          </cell>
          <cell r="H21">
            <v>0</v>
          </cell>
          <cell r="I21">
            <v>0</v>
          </cell>
          <cell r="J21">
            <v>0</v>
          </cell>
          <cell r="K21">
            <v>0</v>
          </cell>
          <cell r="L21">
            <v>0</v>
          </cell>
          <cell r="M21">
            <v>0</v>
          </cell>
          <cell r="N21">
            <v>0</v>
          </cell>
          <cell r="O21">
            <v>0</v>
          </cell>
          <cell r="P21">
            <v>0</v>
          </cell>
          <cell r="Q21">
            <v>0</v>
          </cell>
        </row>
        <row r="22">
          <cell r="D22" t="str">
            <v>M-16</v>
          </cell>
          <cell r="F22">
            <v>1</v>
          </cell>
          <cell r="G22">
            <v>0</v>
          </cell>
          <cell r="H22">
            <v>0</v>
          </cell>
          <cell r="I22">
            <v>0</v>
          </cell>
          <cell r="J22">
            <v>0</v>
          </cell>
          <cell r="K22">
            <v>0</v>
          </cell>
          <cell r="L22">
            <v>0</v>
          </cell>
          <cell r="M22">
            <v>0</v>
          </cell>
          <cell r="N22">
            <v>0</v>
          </cell>
          <cell r="O22">
            <v>0</v>
          </cell>
          <cell r="P22">
            <v>2</v>
          </cell>
          <cell r="Q22">
            <v>0</v>
          </cell>
        </row>
        <row r="23">
          <cell r="D23" t="str">
            <v>M-17</v>
          </cell>
          <cell r="F23">
            <v>2</v>
          </cell>
          <cell r="G23">
            <v>0</v>
          </cell>
          <cell r="H23">
            <v>0</v>
          </cell>
          <cell r="I23">
            <v>0</v>
          </cell>
          <cell r="J23">
            <v>0</v>
          </cell>
          <cell r="K23">
            <v>0</v>
          </cell>
          <cell r="L23">
            <v>0</v>
          </cell>
          <cell r="M23">
            <v>0</v>
          </cell>
          <cell r="N23">
            <v>0</v>
          </cell>
          <cell r="O23">
            <v>0</v>
          </cell>
          <cell r="P23">
            <v>4</v>
          </cell>
          <cell r="Q23">
            <v>0</v>
          </cell>
        </row>
        <row r="24">
          <cell r="D24" t="str">
            <v>M-18</v>
          </cell>
          <cell r="F24">
            <v>4</v>
          </cell>
          <cell r="G24">
            <v>0</v>
          </cell>
          <cell r="H24">
            <v>0</v>
          </cell>
          <cell r="I24">
            <v>0</v>
          </cell>
          <cell r="J24">
            <v>0</v>
          </cell>
          <cell r="K24">
            <v>0</v>
          </cell>
          <cell r="L24">
            <v>0</v>
          </cell>
          <cell r="M24">
            <v>0</v>
          </cell>
          <cell r="N24">
            <v>0</v>
          </cell>
          <cell r="O24">
            <v>0</v>
          </cell>
          <cell r="P24">
            <v>8</v>
          </cell>
          <cell r="Q24">
            <v>0</v>
          </cell>
        </row>
        <row r="25">
          <cell r="D25" t="str">
            <v>M-19</v>
          </cell>
          <cell r="F25">
            <v>8</v>
          </cell>
          <cell r="G25">
            <v>0</v>
          </cell>
          <cell r="H25">
            <v>0</v>
          </cell>
          <cell r="I25">
            <v>0</v>
          </cell>
          <cell r="J25">
            <v>0</v>
          </cell>
          <cell r="K25">
            <v>0</v>
          </cell>
          <cell r="L25">
            <v>0</v>
          </cell>
          <cell r="M25">
            <v>0</v>
          </cell>
          <cell r="N25">
            <v>0</v>
          </cell>
          <cell r="O25">
            <v>0</v>
          </cell>
          <cell r="P25">
            <v>16</v>
          </cell>
          <cell r="Q25">
            <v>0</v>
          </cell>
        </row>
        <row r="26">
          <cell r="D26" t="str">
            <v>M-20</v>
          </cell>
          <cell r="F26">
            <v>2</v>
          </cell>
          <cell r="G26">
            <v>0</v>
          </cell>
          <cell r="H26">
            <v>0</v>
          </cell>
          <cell r="I26">
            <v>0</v>
          </cell>
          <cell r="J26">
            <v>0</v>
          </cell>
          <cell r="K26">
            <v>0</v>
          </cell>
          <cell r="L26">
            <v>0</v>
          </cell>
          <cell r="M26">
            <v>0</v>
          </cell>
          <cell r="N26">
            <v>0</v>
          </cell>
          <cell r="O26">
            <v>0</v>
          </cell>
          <cell r="P26">
            <v>4</v>
          </cell>
          <cell r="Q26">
            <v>0</v>
          </cell>
        </row>
        <row r="27">
          <cell r="D27" t="str">
            <v>M-21</v>
          </cell>
          <cell r="F27">
            <v>17.55</v>
          </cell>
          <cell r="G27">
            <v>0</v>
          </cell>
          <cell r="H27">
            <v>0</v>
          </cell>
          <cell r="I27">
            <v>0</v>
          </cell>
          <cell r="J27">
            <v>0</v>
          </cell>
          <cell r="K27">
            <v>0</v>
          </cell>
          <cell r="L27">
            <v>0</v>
          </cell>
          <cell r="M27">
            <v>0</v>
          </cell>
          <cell r="N27">
            <v>0</v>
          </cell>
          <cell r="O27">
            <v>0</v>
          </cell>
          <cell r="P27">
            <v>35.1</v>
          </cell>
          <cell r="Q27">
            <v>0</v>
          </cell>
        </row>
        <row r="28">
          <cell r="D28" t="str">
            <v>M-22</v>
          </cell>
          <cell r="F28">
            <v>0</v>
          </cell>
          <cell r="G28">
            <v>0</v>
          </cell>
          <cell r="H28">
            <v>0</v>
          </cell>
          <cell r="I28">
            <v>0</v>
          </cell>
          <cell r="J28">
            <v>0</v>
          </cell>
          <cell r="K28">
            <v>0</v>
          </cell>
          <cell r="L28">
            <v>0</v>
          </cell>
          <cell r="M28">
            <v>0</v>
          </cell>
          <cell r="N28">
            <v>0</v>
          </cell>
          <cell r="O28">
            <v>0</v>
          </cell>
          <cell r="P28">
            <v>0</v>
          </cell>
          <cell r="Q28">
            <v>0</v>
          </cell>
        </row>
        <row r="29">
          <cell r="D29" t="str">
            <v>M-23</v>
          </cell>
          <cell r="F29">
            <v>1</v>
          </cell>
          <cell r="G29">
            <v>0</v>
          </cell>
          <cell r="H29">
            <v>0</v>
          </cell>
          <cell r="I29">
            <v>0</v>
          </cell>
          <cell r="J29">
            <v>0</v>
          </cell>
          <cell r="K29">
            <v>0</v>
          </cell>
          <cell r="L29">
            <v>0</v>
          </cell>
          <cell r="M29">
            <v>0</v>
          </cell>
          <cell r="N29">
            <v>0</v>
          </cell>
          <cell r="O29">
            <v>0</v>
          </cell>
          <cell r="P29">
            <v>2</v>
          </cell>
          <cell r="Q29">
            <v>0</v>
          </cell>
        </row>
        <row r="30">
          <cell r="D30" t="str">
            <v>M-24</v>
          </cell>
          <cell r="F30">
            <v>0</v>
          </cell>
          <cell r="G30">
            <v>0</v>
          </cell>
          <cell r="H30">
            <v>0</v>
          </cell>
          <cell r="I30">
            <v>0</v>
          </cell>
          <cell r="J30">
            <v>0</v>
          </cell>
          <cell r="K30">
            <v>0</v>
          </cell>
          <cell r="L30">
            <v>0</v>
          </cell>
          <cell r="M30">
            <v>0</v>
          </cell>
          <cell r="N30">
            <v>0</v>
          </cell>
          <cell r="O30">
            <v>0</v>
          </cell>
          <cell r="P30">
            <v>0</v>
          </cell>
          <cell r="Q30">
            <v>0</v>
          </cell>
        </row>
        <row r="31">
          <cell r="D31" t="str">
            <v>M-25</v>
          </cell>
          <cell r="F31">
            <v>0</v>
          </cell>
          <cell r="G31">
            <v>0</v>
          </cell>
          <cell r="H31">
            <v>0</v>
          </cell>
          <cell r="I31">
            <v>0</v>
          </cell>
          <cell r="J31">
            <v>0</v>
          </cell>
          <cell r="K31">
            <v>0</v>
          </cell>
          <cell r="L31">
            <v>0</v>
          </cell>
          <cell r="M31">
            <v>0</v>
          </cell>
          <cell r="N31">
            <v>0</v>
          </cell>
          <cell r="O31">
            <v>0</v>
          </cell>
          <cell r="P31">
            <v>0</v>
          </cell>
          <cell r="Q31">
            <v>0</v>
          </cell>
        </row>
        <row r="32">
          <cell r="D32" t="str">
            <v>M-26</v>
          </cell>
          <cell r="F32">
            <v>1</v>
          </cell>
          <cell r="G32">
            <v>0</v>
          </cell>
          <cell r="H32">
            <v>0</v>
          </cell>
          <cell r="I32">
            <v>0</v>
          </cell>
          <cell r="J32">
            <v>0</v>
          </cell>
          <cell r="K32">
            <v>0</v>
          </cell>
          <cell r="L32">
            <v>0</v>
          </cell>
          <cell r="M32">
            <v>0</v>
          </cell>
          <cell r="N32">
            <v>0</v>
          </cell>
          <cell r="O32">
            <v>0</v>
          </cell>
          <cell r="P32">
            <v>2</v>
          </cell>
          <cell r="Q32">
            <v>0</v>
          </cell>
        </row>
        <row r="33">
          <cell r="D33" t="str">
            <v>M-27</v>
          </cell>
          <cell r="F33">
            <v>18</v>
          </cell>
          <cell r="G33">
            <v>0</v>
          </cell>
          <cell r="H33">
            <v>0</v>
          </cell>
          <cell r="I33">
            <v>0</v>
          </cell>
          <cell r="J33">
            <v>0</v>
          </cell>
          <cell r="K33">
            <v>0</v>
          </cell>
          <cell r="L33">
            <v>0</v>
          </cell>
          <cell r="M33">
            <v>0</v>
          </cell>
          <cell r="N33">
            <v>0</v>
          </cell>
          <cell r="O33">
            <v>0</v>
          </cell>
          <cell r="P33">
            <v>36</v>
          </cell>
          <cell r="Q33">
            <v>0</v>
          </cell>
        </row>
        <row r="34">
          <cell r="D34" t="str">
            <v>M-28</v>
          </cell>
          <cell r="F34">
            <v>0</v>
          </cell>
          <cell r="G34">
            <v>0</v>
          </cell>
          <cell r="H34">
            <v>0</v>
          </cell>
          <cell r="I34">
            <v>0</v>
          </cell>
          <cell r="J34">
            <v>0</v>
          </cell>
          <cell r="K34">
            <v>0</v>
          </cell>
          <cell r="L34">
            <v>0</v>
          </cell>
          <cell r="M34">
            <v>0</v>
          </cell>
          <cell r="N34">
            <v>0</v>
          </cell>
          <cell r="O34">
            <v>0</v>
          </cell>
          <cell r="P34">
            <v>0</v>
          </cell>
          <cell r="Q34">
            <v>0</v>
          </cell>
        </row>
        <row r="35">
          <cell r="D35" t="str">
            <v>M-29</v>
          </cell>
          <cell r="F35">
            <v>0</v>
          </cell>
          <cell r="G35">
            <v>0</v>
          </cell>
          <cell r="H35">
            <v>0</v>
          </cell>
          <cell r="I35">
            <v>0</v>
          </cell>
          <cell r="J35">
            <v>0</v>
          </cell>
          <cell r="K35">
            <v>0</v>
          </cell>
          <cell r="L35">
            <v>0</v>
          </cell>
          <cell r="M35">
            <v>0</v>
          </cell>
          <cell r="N35">
            <v>0</v>
          </cell>
          <cell r="O35">
            <v>0</v>
          </cell>
          <cell r="P35">
            <v>0</v>
          </cell>
          <cell r="Q35">
            <v>0</v>
          </cell>
        </row>
        <row r="36">
          <cell r="D36" t="str">
            <v>M-30</v>
          </cell>
          <cell r="F36">
            <v>0</v>
          </cell>
          <cell r="G36">
            <v>0</v>
          </cell>
          <cell r="H36">
            <v>0</v>
          </cell>
          <cell r="I36">
            <v>0</v>
          </cell>
          <cell r="J36">
            <v>0</v>
          </cell>
          <cell r="K36">
            <v>0</v>
          </cell>
          <cell r="L36">
            <v>0</v>
          </cell>
          <cell r="M36">
            <v>0</v>
          </cell>
          <cell r="N36">
            <v>0</v>
          </cell>
          <cell r="O36">
            <v>0</v>
          </cell>
          <cell r="P36">
            <v>0</v>
          </cell>
          <cell r="Q36">
            <v>0</v>
          </cell>
        </row>
        <row r="37">
          <cell r="D37" t="str">
            <v>M-31</v>
          </cell>
          <cell r="F37">
            <v>0</v>
          </cell>
          <cell r="G37">
            <v>0</v>
          </cell>
          <cell r="H37">
            <v>0</v>
          </cell>
          <cell r="I37">
            <v>0</v>
          </cell>
          <cell r="J37">
            <v>0</v>
          </cell>
          <cell r="K37">
            <v>0</v>
          </cell>
          <cell r="L37">
            <v>0</v>
          </cell>
          <cell r="M37">
            <v>0</v>
          </cell>
          <cell r="N37">
            <v>0</v>
          </cell>
          <cell r="O37">
            <v>0</v>
          </cell>
          <cell r="P37">
            <v>0</v>
          </cell>
          <cell r="Q37">
            <v>0</v>
          </cell>
        </row>
        <row r="38">
          <cell r="D38" t="str">
            <v>M-32</v>
          </cell>
          <cell r="F38">
            <v>0</v>
          </cell>
          <cell r="G38">
            <v>0</v>
          </cell>
          <cell r="H38">
            <v>0</v>
          </cell>
          <cell r="I38">
            <v>0</v>
          </cell>
          <cell r="J38">
            <v>0</v>
          </cell>
          <cell r="K38">
            <v>0</v>
          </cell>
          <cell r="L38">
            <v>0</v>
          </cell>
          <cell r="M38">
            <v>0</v>
          </cell>
          <cell r="N38">
            <v>0</v>
          </cell>
          <cell r="O38">
            <v>0</v>
          </cell>
          <cell r="P38">
            <v>0</v>
          </cell>
          <cell r="Q38">
            <v>0</v>
          </cell>
        </row>
        <row r="39">
          <cell r="D39" t="str">
            <v>M-33</v>
          </cell>
          <cell r="F39">
            <v>0</v>
          </cell>
          <cell r="G39">
            <v>0</v>
          </cell>
          <cell r="H39">
            <v>0</v>
          </cell>
          <cell r="I39">
            <v>0</v>
          </cell>
          <cell r="J39">
            <v>0</v>
          </cell>
          <cell r="K39">
            <v>0</v>
          </cell>
          <cell r="L39">
            <v>0</v>
          </cell>
          <cell r="M39">
            <v>0</v>
          </cell>
          <cell r="N39">
            <v>0</v>
          </cell>
          <cell r="O39">
            <v>0</v>
          </cell>
          <cell r="P39">
            <v>0</v>
          </cell>
          <cell r="Q39">
            <v>0</v>
          </cell>
        </row>
        <row r="40">
          <cell r="D40" t="str">
            <v>M-34</v>
          </cell>
          <cell r="F40">
            <v>1</v>
          </cell>
          <cell r="G40">
            <v>0</v>
          </cell>
          <cell r="H40">
            <v>0</v>
          </cell>
          <cell r="I40">
            <v>0</v>
          </cell>
          <cell r="J40">
            <v>0</v>
          </cell>
          <cell r="K40">
            <v>0</v>
          </cell>
          <cell r="L40">
            <v>0</v>
          </cell>
          <cell r="M40">
            <v>0</v>
          </cell>
          <cell r="N40">
            <v>0</v>
          </cell>
          <cell r="O40">
            <v>0</v>
          </cell>
          <cell r="P40">
            <v>2</v>
          </cell>
          <cell r="Q40">
            <v>0</v>
          </cell>
        </row>
        <row r="41">
          <cell r="D41" t="str">
            <v>M-35</v>
          </cell>
          <cell r="F41">
            <v>0</v>
          </cell>
          <cell r="G41">
            <v>0</v>
          </cell>
          <cell r="H41">
            <v>0</v>
          </cell>
          <cell r="I41">
            <v>0</v>
          </cell>
          <cell r="J41">
            <v>0</v>
          </cell>
          <cell r="K41">
            <v>0</v>
          </cell>
          <cell r="L41">
            <v>0</v>
          </cell>
          <cell r="M41">
            <v>0</v>
          </cell>
          <cell r="N41">
            <v>0</v>
          </cell>
          <cell r="O41">
            <v>0</v>
          </cell>
          <cell r="P41">
            <v>0</v>
          </cell>
          <cell r="Q41">
            <v>0</v>
          </cell>
        </row>
        <row r="42">
          <cell r="D42" t="str">
            <v>M-36</v>
          </cell>
          <cell r="F42">
            <v>0</v>
          </cell>
          <cell r="G42">
            <v>0</v>
          </cell>
          <cell r="H42">
            <v>0</v>
          </cell>
          <cell r="I42">
            <v>0</v>
          </cell>
          <cell r="J42">
            <v>0</v>
          </cell>
          <cell r="K42">
            <v>0</v>
          </cell>
          <cell r="L42">
            <v>0</v>
          </cell>
          <cell r="M42">
            <v>0</v>
          </cell>
          <cell r="N42">
            <v>0</v>
          </cell>
          <cell r="O42">
            <v>0</v>
          </cell>
          <cell r="P42">
            <v>0</v>
          </cell>
          <cell r="Q42">
            <v>0</v>
          </cell>
        </row>
        <row r="43">
          <cell r="D43" t="str">
            <v>M-37</v>
          </cell>
          <cell r="F43">
            <v>0</v>
          </cell>
          <cell r="G43">
            <v>0</v>
          </cell>
          <cell r="H43">
            <v>0</v>
          </cell>
          <cell r="I43">
            <v>0</v>
          </cell>
          <cell r="J43">
            <v>0</v>
          </cell>
          <cell r="K43">
            <v>0</v>
          </cell>
          <cell r="L43">
            <v>0</v>
          </cell>
          <cell r="M43">
            <v>0</v>
          </cell>
          <cell r="N43">
            <v>0</v>
          </cell>
          <cell r="O43">
            <v>0</v>
          </cell>
          <cell r="P43">
            <v>0</v>
          </cell>
          <cell r="Q43">
            <v>0</v>
          </cell>
        </row>
        <row r="44">
          <cell r="D44" t="str">
            <v>M-38</v>
          </cell>
          <cell r="F44">
            <v>0</v>
          </cell>
          <cell r="G44">
            <v>0</v>
          </cell>
          <cell r="H44">
            <v>0</v>
          </cell>
          <cell r="I44">
            <v>0</v>
          </cell>
          <cell r="J44">
            <v>0</v>
          </cell>
          <cell r="K44">
            <v>0</v>
          </cell>
          <cell r="L44">
            <v>0</v>
          </cell>
          <cell r="M44">
            <v>0</v>
          </cell>
          <cell r="N44">
            <v>0</v>
          </cell>
          <cell r="O44">
            <v>0</v>
          </cell>
          <cell r="P44">
            <v>0</v>
          </cell>
          <cell r="Q44">
            <v>0</v>
          </cell>
        </row>
        <row r="45">
          <cell r="D45" t="str">
            <v>M-39</v>
          </cell>
          <cell r="F45">
            <v>0.16</v>
          </cell>
          <cell r="G45">
            <v>0</v>
          </cell>
          <cell r="H45">
            <v>0</v>
          </cell>
          <cell r="I45">
            <v>0</v>
          </cell>
          <cell r="J45">
            <v>0</v>
          </cell>
          <cell r="K45">
            <v>0</v>
          </cell>
          <cell r="L45">
            <v>0</v>
          </cell>
          <cell r="M45">
            <v>0</v>
          </cell>
          <cell r="N45">
            <v>0</v>
          </cell>
          <cell r="O45">
            <v>0</v>
          </cell>
          <cell r="P45">
            <v>0.32</v>
          </cell>
          <cell r="Q45">
            <v>0</v>
          </cell>
        </row>
        <row r="46">
          <cell r="D46" t="str">
            <v>M-40</v>
          </cell>
          <cell r="F46">
            <v>0</v>
          </cell>
          <cell r="G46">
            <v>0</v>
          </cell>
          <cell r="H46">
            <v>0</v>
          </cell>
          <cell r="I46">
            <v>0</v>
          </cell>
          <cell r="J46">
            <v>0</v>
          </cell>
          <cell r="K46">
            <v>0</v>
          </cell>
          <cell r="L46">
            <v>0</v>
          </cell>
          <cell r="M46">
            <v>0</v>
          </cell>
          <cell r="N46">
            <v>0</v>
          </cell>
          <cell r="O46">
            <v>0</v>
          </cell>
          <cell r="P46">
            <v>0</v>
          </cell>
          <cell r="Q46">
            <v>0</v>
          </cell>
        </row>
        <row r="47">
          <cell r="D47" t="str">
            <v>M-41</v>
          </cell>
          <cell r="F47">
            <v>0</v>
          </cell>
          <cell r="G47">
            <v>0</v>
          </cell>
          <cell r="H47">
            <v>0</v>
          </cell>
          <cell r="I47">
            <v>0</v>
          </cell>
          <cell r="J47">
            <v>0</v>
          </cell>
          <cell r="K47">
            <v>0</v>
          </cell>
          <cell r="L47">
            <v>0</v>
          </cell>
          <cell r="M47">
            <v>0</v>
          </cell>
          <cell r="N47">
            <v>0</v>
          </cell>
          <cell r="O47">
            <v>0</v>
          </cell>
          <cell r="P47">
            <v>0</v>
          </cell>
          <cell r="Q47">
            <v>0</v>
          </cell>
        </row>
        <row r="48">
          <cell r="D48" t="str">
            <v>M-42</v>
          </cell>
          <cell r="F48">
            <v>0</v>
          </cell>
          <cell r="G48">
            <v>0</v>
          </cell>
          <cell r="H48">
            <v>0</v>
          </cell>
          <cell r="I48">
            <v>0</v>
          </cell>
          <cell r="J48">
            <v>0</v>
          </cell>
          <cell r="K48">
            <v>0</v>
          </cell>
          <cell r="L48">
            <v>0</v>
          </cell>
          <cell r="M48">
            <v>0</v>
          </cell>
          <cell r="N48">
            <v>0</v>
          </cell>
          <cell r="O48">
            <v>0</v>
          </cell>
          <cell r="P48">
            <v>0</v>
          </cell>
          <cell r="Q48">
            <v>0</v>
          </cell>
        </row>
        <row r="49">
          <cell r="D49" t="str">
            <v>M-43</v>
          </cell>
          <cell r="F49">
            <v>0</v>
          </cell>
          <cell r="G49">
            <v>0</v>
          </cell>
          <cell r="H49">
            <v>0</v>
          </cell>
          <cell r="I49">
            <v>0</v>
          </cell>
          <cell r="J49">
            <v>0</v>
          </cell>
          <cell r="K49">
            <v>0</v>
          </cell>
          <cell r="L49">
            <v>0</v>
          </cell>
          <cell r="M49">
            <v>0</v>
          </cell>
          <cell r="N49">
            <v>0</v>
          </cell>
          <cell r="O49">
            <v>0</v>
          </cell>
          <cell r="P49">
            <v>0</v>
          </cell>
          <cell r="Q49">
            <v>0</v>
          </cell>
        </row>
        <row r="50">
          <cell r="D50" t="str">
            <v>M-44</v>
          </cell>
          <cell r="F50">
            <v>0</v>
          </cell>
          <cell r="G50">
            <v>0</v>
          </cell>
          <cell r="H50">
            <v>0</v>
          </cell>
          <cell r="I50">
            <v>0</v>
          </cell>
          <cell r="J50">
            <v>0</v>
          </cell>
          <cell r="K50">
            <v>0</v>
          </cell>
          <cell r="L50">
            <v>0</v>
          </cell>
          <cell r="M50">
            <v>0</v>
          </cell>
          <cell r="N50">
            <v>0</v>
          </cell>
          <cell r="O50">
            <v>0</v>
          </cell>
          <cell r="P50">
            <v>0</v>
          </cell>
          <cell r="Q50">
            <v>0</v>
          </cell>
        </row>
        <row r="51">
          <cell r="D51" t="str">
            <v>M-45</v>
          </cell>
          <cell r="F51">
            <v>0</v>
          </cell>
          <cell r="G51">
            <v>0</v>
          </cell>
          <cell r="H51">
            <v>0</v>
          </cell>
          <cell r="I51">
            <v>0</v>
          </cell>
          <cell r="J51">
            <v>0</v>
          </cell>
          <cell r="K51">
            <v>0</v>
          </cell>
          <cell r="L51">
            <v>0</v>
          </cell>
          <cell r="M51">
            <v>0</v>
          </cell>
          <cell r="N51">
            <v>0</v>
          </cell>
          <cell r="O51">
            <v>0</v>
          </cell>
          <cell r="P51">
            <v>0</v>
          </cell>
          <cell r="Q51">
            <v>0</v>
          </cell>
        </row>
        <row r="54">
          <cell r="D54" t="str">
            <v>L-1</v>
          </cell>
          <cell r="F54">
            <v>8</v>
          </cell>
          <cell r="G54">
            <v>0</v>
          </cell>
          <cell r="H54">
            <v>0</v>
          </cell>
          <cell r="I54">
            <v>0</v>
          </cell>
          <cell r="J54">
            <v>0</v>
          </cell>
          <cell r="K54">
            <v>0</v>
          </cell>
          <cell r="L54">
            <v>0</v>
          </cell>
          <cell r="M54">
            <v>0</v>
          </cell>
          <cell r="N54">
            <v>0</v>
          </cell>
          <cell r="O54">
            <v>0</v>
          </cell>
          <cell r="P54">
            <v>16</v>
          </cell>
          <cell r="Q54">
            <v>0</v>
          </cell>
        </row>
        <row r="55">
          <cell r="D55" t="str">
            <v>L-2</v>
          </cell>
          <cell r="F55">
            <v>31.7</v>
          </cell>
          <cell r="G55">
            <v>0</v>
          </cell>
          <cell r="H55">
            <v>0</v>
          </cell>
          <cell r="I55">
            <v>0</v>
          </cell>
          <cell r="J55">
            <v>0</v>
          </cell>
          <cell r="K55">
            <v>0</v>
          </cell>
          <cell r="L55">
            <v>0</v>
          </cell>
          <cell r="M55">
            <v>0</v>
          </cell>
          <cell r="N55">
            <v>0</v>
          </cell>
          <cell r="O55">
            <v>0</v>
          </cell>
          <cell r="P55">
            <v>63.4</v>
          </cell>
          <cell r="Q55">
            <v>0</v>
          </cell>
        </row>
        <row r="58">
          <cell r="D58" t="str">
            <v>M-52</v>
          </cell>
        </row>
        <row r="72">
          <cell r="U72">
            <v>1</v>
          </cell>
        </row>
        <row r="77">
          <cell r="T77" t="str">
            <v>HP2.5-75</v>
          </cell>
          <cell r="U77">
            <v>3</v>
          </cell>
        </row>
        <row r="79">
          <cell r="T79" t="str">
            <v>GPM-15</v>
          </cell>
          <cell r="U79">
            <v>1.4500000000000002</v>
          </cell>
        </row>
        <row r="80">
          <cell r="T80" t="str">
            <v>GPM-20</v>
          </cell>
          <cell r="U80">
            <v>0</v>
          </cell>
        </row>
        <row r="81">
          <cell r="T81" t="str">
            <v>GPM-25</v>
          </cell>
          <cell r="U81">
            <v>0</v>
          </cell>
        </row>
        <row r="82">
          <cell r="T82" t="str">
            <v>GPM-32</v>
          </cell>
          <cell r="U82">
            <v>0</v>
          </cell>
        </row>
        <row r="83">
          <cell r="T83" t="str">
            <v>GPM-40</v>
          </cell>
          <cell r="U83">
            <v>2</v>
          </cell>
        </row>
        <row r="84">
          <cell r="T84" t="str">
            <v>GPM-50</v>
          </cell>
          <cell r="U84">
            <v>0.55000000000000004</v>
          </cell>
        </row>
        <row r="85">
          <cell r="T85" t="str">
            <v>GPM-63</v>
          </cell>
          <cell r="U85">
            <v>0</v>
          </cell>
        </row>
        <row r="86">
          <cell r="T86" t="str">
            <v>GPM-75</v>
          </cell>
          <cell r="U86">
            <v>0</v>
          </cell>
        </row>
        <row r="88">
          <cell r="T88" t="str">
            <v>GET-15</v>
          </cell>
          <cell r="U88">
            <v>1</v>
          </cell>
        </row>
        <row r="89">
          <cell r="T89" t="str">
            <v>GET-20</v>
          </cell>
          <cell r="U89">
            <v>0</v>
          </cell>
        </row>
        <row r="90">
          <cell r="T90" t="str">
            <v>GET-25</v>
          </cell>
          <cell r="U90">
            <v>0</v>
          </cell>
        </row>
        <row r="91">
          <cell r="T91" t="str">
            <v>GET-32</v>
          </cell>
          <cell r="U91">
            <v>0</v>
          </cell>
        </row>
        <row r="92">
          <cell r="T92" t="str">
            <v>GET-40</v>
          </cell>
          <cell r="U92">
            <v>0</v>
          </cell>
        </row>
        <row r="93">
          <cell r="T93" t="str">
            <v>GET-50</v>
          </cell>
          <cell r="U93">
            <v>0</v>
          </cell>
        </row>
        <row r="94">
          <cell r="T94" t="str">
            <v>GET-63</v>
          </cell>
          <cell r="U94">
            <v>0</v>
          </cell>
        </row>
        <row r="95">
          <cell r="T95" t="str">
            <v>GET-75</v>
          </cell>
          <cell r="U95">
            <v>0</v>
          </cell>
        </row>
        <row r="96">
          <cell r="T96" t="str">
            <v>GEL-15</v>
          </cell>
          <cell r="U96">
            <v>0</v>
          </cell>
        </row>
        <row r="97">
          <cell r="T97" t="str">
            <v>GEL-20</v>
          </cell>
          <cell r="U97">
            <v>0</v>
          </cell>
        </row>
        <row r="98">
          <cell r="T98" t="str">
            <v>GEL-25</v>
          </cell>
          <cell r="U98">
            <v>0</v>
          </cell>
        </row>
        <row r="99">
          <cell r="T99" t="str">
            <v>GEL-32</v>
          </cell>
          <cell r="U99">
            <v>0</v>
          </cell>
        </row>
        <row r="100">
          <cell r="T100" t="str">
            <v>GEL-40</v>
          </cell>
          <cell r="U100">
            <v>0</v>
          </cell>
        </row>
        <row r="101">
          <cell r="T101" t="str">
            <v>GEL-50</v>
          </cell>
          <cell r="U101">
            <v>0</v>
          </cell>
        </row>
        <row r="102">
          <cell r="T102" t="str">
            <v>GEL-63</v>
          </cell>
          <cell r="U102">
            <v>0</v>
          </cell>
        </row>
        <row r="103">
          <cell r="T103" t="str">
            <v>GEL-75</v>
          </cell>
          <cell r="U103">
            <v>0</v>
          </cell>
        </row>
        <row r="104">
          <cell r="T104" t="str">
            <v>GBR-15</v>
          </cell>
          <cell r="U104">
            <v>1</v>
          </cell>
        </row>
        <row r="105">
          <cell r="T105" t="str">
            <v>GBR-20</v>
          </cell>
          <cell r="U105">
            <v>0</v>
          </cell>
        </row>
        <row r="106">
          <cell r="T106" t="str">
            <v>GBR-25</v>
          </cell>
          <cell r="U106">
            <v>0</v>
          </cell>
        </row>
        <row r="107">
          <cell r="T107" t="str">
            <v>GBR-32</v>
          </cell>
          <cell r="U107">
            <v>0</v>
          </cell>
        </row>
        <row r="108">
          <cell r="T108" t="str">
            <v>GBR-40</v>
          </cell>
          <cell r="U108">
            <v>0</v>
          </cell>
        </row>
        <row r="109">
          <cell r="T109" t="str">
            <v>GBR-50</v>
          </cell>
          <cell r="U109">
            <v>0</v>
          </cell>
        </row>
        <row r="110">
          <cell r="T110" t="str">
            <v>GBR-63</v>
          </cell>
          <cell r="U110">
            <v>0</v>
          </cell>
        </row>
        <row r="111">
          <cell r="T111" t="str">
            <v>GBR-75</v>
          </cell>
          <cell r="U111">
            <v>0</v>
          </cell>
        </row>
        <row r="112">
          <cell r="T112" t="str">
            <v>GUN-15</v>
          </cell>
          <cell r="U112">
            <v>0</v>
          </cell>
        </row>
        <row r="113">
          <cell r="T113" t="str">
            <v>GUN-20</v>
          </cell>
          <cell r="U113">
            <v>0</v>
          </cell>
        </row>
        <row r="114">
          <cell r="T114" t="str">
            <v>GUN-25</v>
          </cell>
          <cell r="U114">
            <v>0</v>
          </cell>
        </row>
        <row r="115">
          <cell r="T115" t="str">
            <v>GUN-32</v>
          </cell>
          <cell r="U115">
            <v>0</v>
          </cell>
        </row>
        <row r="116">
          <cell r="T116" t="str">
            <v>GUN-40</v>
          </cell>
          <cell r="U116">
            <v>1</v>
          </cell>
        </row>
        <row r="117">
          <cell r="T117" t="str">
            <v>GUN-50</v>
          </cell>
          <cell r="U117">
            <v>0</v>
          </cell>
        </row>
        <row r="118">
          <cell r="T118" t="str">
            <v>GUN-63</v>
          </cell>
          <cell r="U118">
            <v>0</v>
          </cell>
        </row>
        <row r="119">
          <cell r="T119" t="str">
            <v>GUN-75</v>
          </cell>
          <cell r="U119">
            <v>0</v>
          </cell>
        </row>
        <row r="120">
          <cell r="T120" t="str">
            <v>GNI-15</v>
          </cell>
          <cell r="U120">
            <v>0</v>
          </cell>
        </row>
        <row r="121">
          <cell r="T121" t="str">
            <v>GNI-20</v>
          </cell>
          <cell r="U121">
            <v>0</v>
          </cell>
        </row>
        <row r="122">
          <cell r="T122" t="str">
            <v>GNI-25</v>
          </cell>
          <cell r="U122">
            <v>0</v>
          </cell>
        </row>
        <row r="123">
          <cell r="T123" t="str">
            <v>GNI-32</v>
          </cell>
          <cell r="U123">
            <v>0</v>
          </cell>
        </row>
        <row r="124">
          <cell r="T124" t="str">
            <v>GNI-40</v>
          </cell>
          <cell r="U124">
            <v>2</v>
          </cell>
        </row>
        <row r="125">
          <cell r="T125" t="str">
            <v>GNI-50</v>
          </cell>
          <cell r="U125">
            <v>0</v>
          </cell>
        </row>
        <row r="126">
          <cell r="T126" t="str">
            <v>GNI-63</v>
          </cell>
          <cell r="U126">
            <v>0</v>
          </cell>
        </row>
        <row r="127">
          <cell r="T127" t="str">
            <v>GNI-75</v>
          </cell>
          <cell r="U127">
            <v>0</v>
          </cell>
        </row>
        <row r="128">
          <cell r="T128" t="str">
            <v>BGAV-15</v>
          </cell>
          <cell r="U128">
            <v>0</v>
          </cell>
        </row>
        <row r="129">
          <cell r="T129" t="str">
            <v>BGAV-20</v>
          </cell>
          <cell r="U129">
            <v>0</v>
          </cell>
        </row>
        <row r="130">
          <cell r="T130" t="str">
            <v>BGAV-25</v>
          </cell>
          <cell r="U130">
            <v>0</v>
          </cell>
        </row>
        <row r="131">
          <cell r="T131" t="str">
            <v>BGAV-32</v>
          </cell>
          <cell r="U131">
            <v>0</v>
          </cell>
        </row>
        <row r="132">
          <cell r="T132" t="str">
            <v>BGAV-40</v>
          </cell>
          <cell r="U132">
            <v>0</v>
          </cell>
        </row>
        <row r="133">
          <cell r="T133" t="str">
            <v>BGAV-50</v>
          </cell>
          <cell r="U133">
            <v>0</v>
          </cell>
        </row>
        <row r="134">
          <cell r="T134" t="str">
            <v>BGAV-63</v>
          </cell>
          <cell r="U134">
            <v>0</v>
          </cell>
        </row>
        <row r="135">
          <cell r="T135" t="str">
            <v>BGAV-75</v>
          </cell>
          <cell r="U135">
            <v>0</v>
          </cell>
        </row>
        <row r="136">
          <cell r="T136" t="str">
            <v>GUT-20x15</v>
          </cell>
          <cell r="U136">
            <v>0</v>
          </cell>
        </row>
        <row r="137">
          <cell r="T137" t="str">
            <v>GUT-25x15</v>
          </cell>
          <cell r="U137">
            <v>0</v>
          </cell>
        </row>
        <row r="138">
          <cell r="T138" t="str">
            <v>GUT-32x15</v>
          </cell>
          <cell r="U138">
            <v>0</v>
          </cell>
        </row>
        <row r="139">
          <cell r="T139" t="str">
            <v>GUT-40x15</v>
          </cell>
          <cell r="U139">
            <v>1</v>
          </cell>
        </row>
        <row r="140">
          <cell r="T140" t="str">
            <v>GUT-50x15</v>
          </cell>
          <cell r="U140">
            <v>0</v>
          </cell>
        </row>
        <row r="141">
          <cell r="T141" t="str">
            <v>GUT-63x15</v>
          </cell>
          <cell r="U141">
            <v>0</v>
          </cell>
        </row>
        <row r="142">
          <cell r="T142" t="str">
            <v>GUT-75x15</v>
          </cell>
          <cell r="U142">
            <v>0</v>
          </cell>
        </row>
        <row r="143">
          <cell r="T143" t="str">
            <v>GEC-50</v>
          </cell>
          <cell r="U143">
            <v>1</v>
          </cell>
        </row>
        <row r="144">
          <cell r="T144" t="str">
            <v>BU-20</v>
          </cell>
          <cell r="U144">
            <v>0</v>
          </cell>
        </row>
        <row r="145">
          <cell r="T145" t="str">
            <v>BU-25</v>
          </cell>
          <cell r="U145">
            <v>0</v>
          </cell>
        </row>
        <row r="146">
          <cell r="T146" t="str">
            <v>BU-32</v>
          </cell>
          <cell r="U146">
            <v>0</v>
          </cell>
        </row>
        <row r="147">
          <cell r="T147" t="str">
            <v>BU-40</v>
          </cell>
          <cell r="U147">
            <v>0</v>
          </cell>
        </row>
        <row r="148">
          <cell r="T148" t="str">
            <v>GHF-50</v>
          </cell>
          <cell r="U148">
            <v>1</v>
          </cell>
        </row>
        <row r="149">
          <cell r="T149" t="str">
            <v>GHF-63</v>
          </cell>
          <cell r="U149">
            <v>0</v>
          </cell>
        </row>
        <row r="150">
          <cell r="T150" t="str">
            <v>GHF-75</v>
          </cell>
          <cell r="U150">
            <v>0</v>
          </cell>
        </row>
        <row r="151">
          <cell r="T151" t="str">
            <v>GHF-90</v>
          </cell>
          <cell r="U151">
            <v>0</v>
          </cell>
        </row>
        <row r="154">
          <cell r="T154" t="str">
            <v>GEL-25</v>
          </cell>
        </row>
        <row r="155">
          <cell r="T155" t="str">
            <v>PVC-20</v>
          </cell>
        </row>
        <row r="172">
          <cell r="T172" t="str">
            <v>HP10-20</v>
          </cell>
          <cell r="U172">
            <v>0</v>
          </cell>
        </row>
        <row r="173">
          <cell r="T173" t="str">
            <v>HP10-25</v>
          </cell>
          <cell r="U173">
            <v>0</v>
          </cell>
        </row>
        <row r="174">
          <cell r="T174" t="str">
            <v>HP10-32</v>
          </cell>
          <cell r="U174">
            <v>0</v>
          </cell>
        </row>
        <row r="175">
          <cell r="T175" t="str">
            <v>HP10-40</v>
          </cell>
          <cell r="U175">
            <v>0</v>
          </cell>
        </row>
        <row r="176">
          <cell r="T176" t="str">
            <v>HP10-50</v>
          </cell>
          <cell r="U176">
            <v>0</v>
          </cell>
        </row>
        <row r="177">
          <cell r="T177" t="str">
            <v>HP10-63</v>
          </cell>
          <cell r="U177">
            <v>0</v>
          </cell>
        </row>
        <row r="178">
          <cell r="T178" t="str">
            <v>HP6-75</v>
          </cell>
          <cell r="U178">
            <v>0</v>
          </cell>
        </row>
        <row r="179">
          <cell r="T179" t="str">
            <v>HP4-90</v>
          </cell>
          <cell r="U179">
            <v>0</v>
          </cell>
        </row>
        <row r="180">
          <cell r="T180" t="str">
            <v>HP2.5-90</v>
          </cell>
          <cell r="U180">
            <v>0</v>
          </cell>
        </row>
        <row r="182">
          <cell r="T182" t="str">
            <v>HEL-20</v>
          </cell>
          <cell r="U182">
            <v>0</v>
          </cell>
        </row>
        <row r="183">
          <cell r="T183" t="str">
            <v>HEL-25</v>
          </cell>
          <cell r="U183">
            <v>0</v>
          </cell>
        </row>
        <row r="184">
          <cell r="T184" t="str">
            <v>HEL-32</v>
          </cell>
          <cell r="U184">
            <v>0</v>
          </cell>
        </row>
        <row r="185">
          <cell r="T185" t="str">
            <v>HEL-40</v>
          </cell>
          <cell r="U185">
            <v>0</v>
          </cell>
        </row>
        <row r="186">
          <cell r="T186" t="str">
            <v>HEL-50</v>
          </cell>
          <cell r="U186">
            <v>0</v>
          </cell>
        </row>
        <row r="187">
          <cell r="T187" t="str">
            <v>HEL-63</v>
          </cell>
          <cell r="U187">
            <v>0</v>
          </cell>
        </row>
        <row r="188">
          <cell r="T188" t="str">
            <v>HEL-75</v>
          </cell>
          <cell r="U188">
            <v>0</v>
          </cell>
        </row>
        <row r="189">
          <cell r="T189" t="str">
            <v>HEL-90</v>
          </cell>
          <cell r="U189">
            <v>0</v>
          </cell>
        </row>
        <row r="190">
          <cell r="T190" t="str">
            <v>HET-20</v>
          </cell>
          <cell r="U190">
            <v>0</v>
          </cell>
        </row>
        <row r="191">
          <cell r="T191" t="str">
            <v>HET-25</v>
          </cell>
          <cell r="U191">
            <v>0</v>
          </cell>
        </row>
        <row r="192">
          <cell r="T192" t="str">
            <v>HET-32</v>
          </cell>
          <cell r="U192">
            <v>0</v>
          </cell>
        </row>
        <row r="193">
          <cell r="T193" t="str">
            <v>HET-40</v>
          </cell>
          <cell r="U193">
            <v>0</v>
          </cell>
        </row>
        <row r="194">
          <cell r="T194" t="str">
            <v>HET-50</v>
          </cell>
          <cell r="U194">
            <v>0</v>
          </cell>
        </row>
        <row r="195">
          <cell r="T195" t="str">
            <v>HET-63</v>
          </cell>
          <cell r="U195">
            <v>0</v>
          </cell>
        </row>
        <row r="196">
          <cell r="T196" t="str">
            <v>HET-75</v>
          </cell>
          <cell r="U196">
            <v>0</v>
          </cell>
        </row>
        <row r="197">
          <cell r="T197" t="str">
            <v>HET-90</v>
          </cell>
          <cell r="U197">
            <v>0</v>
          </cell>
        </row>
        <row r="198">
          <cell r="T198" t="str">
            <v>HR-40x20</v>
          </cell>
          <cell r="U198">
            <v>0</v>
          </cell>
        </row>
        <row r="199">
          <cell r="T199" t="str">
            <v>HR-40x25</v>
          </cell>
          <cell r="U199">
            <v>0</v>
          </cell>
        </row>
        <row r="200">
          <cell r="T200" t="str">
            <v>HR-40x32</v>
          </cell>
          <cell r="U200">
            <v>0</v>
          </cell>
        </row>
        <row r="201">
          <cell r="T201" t="str">
            <v>HR-90x50</v>
          </cell>
          <cell r="U201">
            <v>0</v>
          </cell>
        </row>
        <row r="202">
          <cell r="T202" t="str">
            <v>HR-90x63</v>
          </cell>
          <cell r="U202">
            <v>0</v>
          </cell>
        </row>
        <row r="203">
          <cell r="T203" t="str">
            <v>HR-90x75</v>
          </cell>
          <cell r="U203">
            <v>0</v>
          </cell>
        </row>
        <row r="204">
          <cell r="T204" t="str">
            <v>HST-50</v>
          </cell>
          <cell r="U204">
            <v>0</v>
          </cell>
        </row>
        <row r="205">
          <cell r="T205" t="str">
            <v>HST-90</v>
          </cell>
          <cell r="U205">
            <v>0</v>
          </cell>
        </row>
        <row r="206">
          <cell r="T206" t="str">
            <v>GNI-15</v>
          </cell>
          <cell r="U206">
            <v>0</v>
          </cell>
        </row>
        <row r="207">
          <cell r="T207" t="str">
            <v>GNI-20</v>
          </cell>
          <cell r="U207">
            <v>0</v>
          </cell>
        </row>
        <row r="208">
          <cell r="T208" t="str">
            <v>GNI-25</v>
          </cell>
          <cell r="U208">
            <v>0</v>
          </cell>
        </row>
        <row r="209">
          <cell r="T209" t="str">
            <v>PNI-40</v>
          </cell>
          <cell r="U209">
            <v>0</v>
          </cell>
        </row>
        <row r="210">
          <cell r="T210" t="str">
            <v>PNI-50</v>
          </cell>
          <cell r="U210">
            <v>0</v>
          </cell>
        </row>
        <row r="211">
          <cell r="T211" t="str">
            <v>PNI-63</v>
          </cell>
          <cell r="U211">
            <v>0</v>
          </cell>
        </row>
        <row r="212">
          <cell r="T212" t="str">
            <v>PNI-75</v>
          </cell>
          <cell r="U212">
            <v>0</v>
          </cell>
        </row>
        <row r="213">
          <cell r="T213" t="str">
            <v>PNI-90</v>
          </cell>
          <cell r="U213">
            <v>0</v>
          </cell>
        </row>
        <row r="214">
          <cell r="T214" t="str">
            <v>BGAV-15</v>
          </cell>
          <cell r="U214">
            <v>0</v>
          </cell>
        </row>
        <row r="215">
          <cell r="T215" t="str">
            <v>BGAV-20</v>
          </cell>
          <cell r="U215">
            <v>0</v>
          </cell>
        </row>
        <row r="216">
          <cell r="T216" t="str">
            <v>BGAV-25</v>
          </cell>
          <cell r="U216">
            <v>0</v>
          </cell>
        </row>
        <row r="217">
          <cell r="T217" t="str">
            <v>PGAV-40</v>
          </cell>
          <cell r="U217">
            <v>0</v>
          </cell>
        </row>
        <row r="218">
          <cell r="T218" t="str">
            <v>PGAV-50</v>
          </cell>
          <cell r="U218">
            <v>0</v>
          </cell>
        </row>
        <row r="219">
          <cell r="T219" t="str">
            <v>PGAV-63</v>
          </cell>
          <cell r="U219">
            <v>0</v>
          </cell>
        </row>
        <row r="220">
          <cell r="T220" t="str">
            <v>PGAV-75</v>
          </cell>
          <cell r="U220">
            <v>0</v>
          </cell>
        </row>
        <row r="221">
          <cell r="T221" t="str">
            <v>PGAV-90</v>
          </cell>
          <cell r="U221">
            <v>0</v>
          </cell>
        </row>
        <row r="222">
          <cell r="T222" t="str">
            <v>PGAV-63</v>
          </cell>
          <cell r="U222">
            <v>0</v>
          </cell>
        </row>
        <row r="223">
          <cell r="T223" t="str">
            <v>PET-20</v>
          </cell>
          <cell r="U223">
            <v>0</v>
          </cell>
        </row>
        <row r="224">
          <cell r="T224" t="str">
            <v>PUT-25x20</v>
          </cell>
          <cell r="U224">
            <v>0</v>
          </cell>
        </row>
        <row r="225">
          <cell r="T225" t="str">
            <v>PUT-32x20</v>
          </cell>
          <cell r="U225">
            <v>0</v>
          </cell>
        </row>
        <row r="226">
          <cell r="T226" t="str">
            <v>PUT-40x20</v>
          </cell>
          <cell r="U226">
            <v>0</v>
          </cell>
        </row>
        <row r="227">
          <cell r="T227" t="str">
            <v>PUT-50x20</v>
          </cell>
          <cell r="U227">
            <v>0</v>
          </cell>
        </row>
        <row r="228">
          <cell r="T228" t="str">
            <v>PUT-63x20</v>
          </cell>
          <cell r="U228">
            <v>0</v>
          </cell>
        </row>
        <row r="229">
          <cell r="T229" t="str">
            <v>PUT-75x20</v>
          </cell>
          <cell r="U229">
            <v>0</v>
          </cell>
        </row>
        <row r="230">
          <cell r="T230" t="str">
            <v>PUT-90x20</v>
          </cell>
          <cell r="U230">
            <v>0</v>
          </cell>
        </row>
        <row r="231">
          <cell r="T231" t="str">
            <v>PUT-63x32</v>
          </cell>
          <cell r="U231">
            <v>0</v>
          </cell>
        </row>
        <row r="232">
          <cell r="T232" t="str">
            <v>PEL-63</v>
          </cell>
          <cell r="U232">
            <v>0</v>
          </cell>
        </row>
        <row r="233">
          <cell r="T233" t="str">
            <v>PEC-63</v>
          </cell>
          <cell r="U233">
            <v>0</v>
          </cell>
        </row>
        <row r="234">
          <cell r="T234" t="str">
            <v>BU-20</v>
          </cell>
          <cell r="U234">
            <v>0</v>
          </cell>
        </row>
        <row r="235">
          <cell r="T235" t="str">
            <v>BU-25</v>
          </cell>
          <cell r="U235">
            <v>0</v>
          </cell>
        </row>
        <row r="236">
          <cell r="T236" t="str">
            <v>BU-32</v>
          </cell>
          <cell r="U236">
            <v>0</v>
          </cell>
        </row>
        <row r="237">
          <cell r="T237" t="str">
            <v>PHF-40</v>
          </cell>
          <cell r="U237">
            <v>0</v>
          </cell>
        </row>
        <row r="238">
          <cell r="T238" t="str">
            <v>PHF-50</v>
          </cell>
          <cell r="U238">
            <v>0</v>
          </cell>
        </row>
        <row r="239">
          <cell r="T239" t="str">
            <v>PHF-63</v>
          </cell>
          <cell r="U239">
            <v>0</v>
          </cell>
        </row>
        <row r="240">
          <cell r="T240" t="str">
            <v>PHF-75</v>
          </cell>
          <cell r="U240">
            <v>0</v>
          </cell>
        </row>
        <row r="241">
          <cell r="T241" t="str">
            <v>PHF-90</v>
          </cell>
          <cell r="U241">
            <v>0</v>
          </cell>
        </row>
        <row r="244">
          <cell r="T244" t="str">
            <v>HR-50X20</v>
          </cell>
        </row>
        <row r="262">
          <cell r="T262" t="str">
            <v>HP2.5-90</v>
          </cell>
          <cell r="U262">
            <v>0</v>
          </cell>
        </row>
        <row r="264">
          <cell r="T264" t="str">
            <v>GPM-15</v>
          </cell>
          <cell r="U264">
            <v>0</v>
          </cell>
        </row>
        <row r="265">
          <cell r="T265" t="str">
            <v>GPM-20</v>
          </cell>
          <cell r="U265">
            <v>0</v>
          </cell>
        </row>
        <row r="266">
          <cell r="T266" t="str">
            <v>GPM-25</v>
          </cell>
          <cell r="U266">
            <v>0</v>
          </cell>
        </row>
        <row r="267">
          <cell r="T267" t="str">
            <v>GPM-32</v>
          </cell>
          <cell r="U267">
            <v>0</v>
          </cell>
        </row>
        <row r="268">
          <cell r="T268" t="str">
            <v>GPM-40</v>
          </cell>
          <cell r="U268">
            <v>0</v>
          </cell>
        </row>
        <row r="269">
          <cell r="T269" t="str">
            <v>GPM-50</v>
          </cell>
          <cell r="U269">
            <v>0</v>
          </cell>
        </row>
        <row r="270">
          <cell r="T270" t="str">
            <v>GPM-63</v>
          </cell>
          <cell r="U270">
            <v>0</v>
          </cell>
        </row>
        <row r="271">
          <cell r="T271" t="str">
            <v>GPM-75</v>
          </cell>
          <cell r="U271">
            <v>0</v>
          </cell>
        </row>
        <row r="273">
          <cell r="T273" t="str">
            <v>GET-15</v>
          </cell>
          <cell r="U273">
            <v>0</v>
          </cell>
        </row>
        <row r="274">
          <cell r="T274" t="str">
            <v>GET-20</v>
          </cell>
          <cell r="U274">
            <v>0</v>
          </cell>
        </row>
        <row r="275">
          <cell r="T275" t="str">
            <v>GET-25</v>
          </cell>
          <cell r="U275">
            <v>0</v>
          </cell>
        </row>
        <row r="276">
          <cell r="T276" t="str">
            <v>GET-32</v>
          </cell>
          <cell r="U276">
            <v>0</v>
          </cell>
        </row>
        <row r="277">
          <cell r="T277" t="str">
            <v>GET-40</v>
          </cell>
          <cell r="U277">
            <v>0</v>
          </cell>
        </row>
        <row r="278">
          <cell r="T278" t="str">
            <v>GET-50</v>
          </cell>
          <cell r="U278">
            <v>0</v>
          </cell>
        </row>
        <row r="279">
          <cell r="T279" t="str">
            <v>GET-63</v>
          </cell>
          <cell r="U279">
            <v>0</v>
          </cell>
        </row>
        <row r="280">
          <cell r="T280" t="str">
            <v>GET-75</v>
          </cell>
          <cell r="U280">
            <v>0</v>
          </cell>
        </row>
        <row r="281">
          <cell r="T281" t="str">
            <v>GEL-15</v>
          </cell>
          <cell r="U281">
            <v>0</v>
          </cell>
        </row>
        <row r="282">
          <cell r="T282" t="str">
            <v>GEL-20</v>
          </cell>
          <cell r="U282">
            <v>0</v>
          </cell>
        </row>
        <row r="283">
          <cell r="T283" t="str">
            <v>GEL-25</v>
          </cell>
          <cell r="U283">
            <v>0</v>
          </cell>
        </row>
        <row r="284">
          <cell r="T284" t="str">
            <v>GEL-32</v>
          </cell>
          <cell r="U284">
            <v>0</v>
          </cell>
        </row>
        <row r="285">
          <cell r="T285" t="str">
            <v>GEL-40</v>
          </cell>
          <cell r="U285">
            <v>0</v>
          </cell>
        </row>
        <row r="286">
          <cell r="T286" t="str">
            <v>GEL-50</v>
          </cell>
          <cell r="U286">
            <v>0</v>
          </cell>
        </row>
        <row r="287">
          <cell r="T287" t="str">
            <v>GEL-63</v>
          </cell>
          <cell r="U287">
            <v>0</v>
          </cell>
        </row>
        <row r="288">
          <cell r="T288" t="str">
            <v>GEL-75</v>
          </cell>
          <cell r="U288">
            <v>0</v>
          </cell>
        </row>
        <row r="289">
          <cell r="T289" t="str">
            <v>GBR-15</v>
          </cell>
          <cell r="U289">
            <v>0</v>
          </cell>
        </row>
        <row r="290">
          <cell r="T290" t="str">
            <v>GBR-20</v>
          </cell>
          <cell r="U290">
            <v>0</v>
          </cell>
        </row>
        <row r="291">
          <cell r="T291" t="str">
            <v>GBR-25</v>
          </cell>
          <cell r="U291">
            <v>0</v>
          </cell>
        </row>
        <row r="292">
          <cell r="T292" t="str">
            <v>GBR-32</v>
          </cell>
          <cell r="U292">
            <v>0</v>
          </cell>
        </row>
        <row r="293">
          <cell r="T293" t="str">
            <v>GBR-40</v>
          </cell>
          <cell r="U293">
            <v>0</v>
          </cell>
        </row>
        <row r="294">
          <cell r="T294" t="str">
            <v>GBR-50</v>
          </cell>
          <cell r="U294">
            <v>0</v>
          </cell>
        </row>
        <row r="295">
          <cell r="T295" t="str">
            <v>GBR-63</v>
          </cell>
          <cell r="U295">
            <v>0</v>
          </cell>
        </row>
        <row r="296">
          <cell r="T296" t="str">
            <v>GBR-75</v>
          </cell>
          <cell r="U296">
            <v>0</v>
          </cell>
        </row>
        <row r="297">
          <cell r="T297" t="str">
            <v>GUN-15</v>
          </cell>
          <cell r="U297">
            <v>0</v>
          </cell>
        </row>
        <row r="298">
          <cell r="T298" t="str">
            <v>GUN-20</v>
          </cell>
          <cell r="U298">
            <v>0</v>
          </cell>
        </row>
        <row r="299">
          <cell r="T299" t="str">
            <v>GUN-25</v>
          </cell>
          <cell r="U299">
            <v>0</v>
          </cell>
        </row>
        <row r="300">
          <cell r="T300" t="str">
            <v>GUN-32</v>
          </cell>
          <cell r="U300">
            <v>0</v>
          </cell>
        </row>
        <row r="301">
          <cell r="T301" t="str">
            <v>GUN-40</v>
          </cell>
          <cell r="U301">
            <v>0</v>
          </cell>
        </row>
        <row r="302">
          <cell r="T302" t="str">
            <v>GUN-50</v>
          </cell>
          <cell r="U302">
            <v>0</v>
          </cell>
        </row>
        <row r="303">
          <cell r="T303" t="str">
            <v>GUN-63</v>
          </cell>
          <cell r="U303">
            <v>0</v>
          </cell>
        </row>
        <row r="304">
          <cell r="T304" t="str">
            <v>GUN-75</v>
          </cell>
          <cell r="U304">
            <v>0</v>
          </cell>
        </row>
        <row r="305">
          <cell r="T305" t="str">
            <v>GNI-15</v>
          </cell>
          <cell r="U305">
            <v>0</v>
          </cell>
        </row>
        <row r="306">
          <cell r="T306" t="str">
            <v>GNI-20</v>
          </cell>
          <cell r="U306">
            <v>0</v>
          </cell>
        </row>
        <row r="307">
          <cell r="T307" t="str">
            <v>GNI-25</v>
          </cell>
          <cell r="U307">
            <v>0</v>
          </cell>
        </row>
        <row r="308">
          <cell r="T308" t="str">
            <v>GNI-32</v>
          </cell>
          <cell r="U308">
            <v>0</v>
          </cell>
        </row>
        <row r="309">
          <cell r="T309" t="str">
            <v>GNI-40</v>
          </cell>
          <cell r="U309">
            <v>0</v>
          </cell>
        </row>
        <row r="310">
          <cell r="T310" t="str">
            <v>GNI-50</v>
          </cell>
          <cell r="U310">
            <v>0</v>
          </cell>
        </row>
        <row r="311">
          <cell r="T311" t="str">
            <v>GNI-63</v>
          </cell>
          <cell r="U311">
            <v>0</v>
          </cell>
        </row>
        <row r="312">
          <cell r="T312" t="str">
            <v>GNI-75</v>
          </cell>
          <cell r="U312">
            <v>0</v>
          </cell>
        </row>
        <row r="313">
          <cell r="T313" t="str">
            <v>BGLV-15</v>
          </cell>
          <cell r="U313">
            <v>0</v>
          </cell>
        </row>
        <row r="314">
          <cell r="T314" t="str">
            <v>BGLV-20</v>
          </cell>
          <cell r="U314">
            <v>0</v>
          </cell>
        </row>
        <row r="315">
          <cell r="T315" t="str">
            <v>BGLV-25</v>
          </cell>
          <cell r="U315">
            <v>0</v>
          </cell>
        </row>
        <row r="316">
          <cell r="T316" t="str">
            <v>BGLV-32</v>
          </cell>
          <cell r="U316">
            <v>0</v>
          </cell>
        </row>
        <row r="317">
          <cell r="T317" t="str">
            <v>BGLV-40</v>
          </cell>
          <cell r="U317">
            <v>0</v>
          </cell>
        </row>
        <row r="318">
          <cell r="T318" t="str">
            <v>BGLV-50</v>
          </cell>
          <cell r="U318">
            <v>0</v>
          </cell>
        </row>
        <row r="319">
          <cell r="T319" t="str">
            <v>BGLV-63</v>
          </cell>
          <cell r="U319">
            <v>0</v>
          </cell>
        </row>
        <row r="320">
          <cell r="T320" t="str">
            <v>BGLV-75</v>
          </cell>
          <cell r="U320">
            <v>0</v>
          </cell>
        </row>
        <row r="321">
          <cell r="T321" t="str">
            <v>BFLV-15</v>
          </cell>
          <cell r="U321">
            <v>0</v>
          </cell>
        </row>
        <row r="322">
          <cell r="T322" t="str">
            <v>BFLV-25</v>
          </cell>
          <cell r="U322">
            <v>0</v>
          </cell>
        </row>
        <row r="323">
          <cell r="T323" t="str">
            <v>GSO-15</v>
          </cell>
          <cell r="U323">
            <v>0</v>
          </cell>
        </row>
        <row r="324">
          <cell r="T324" t="str">
            <v>GRS-25x20</v>
          </cell>
          <cell r="U324">
            <v>0</v>
          </cell>
        </row>
        <row r="325">
          <cell r="T325" t="str">
            <v>GSO-25</v>
          </cell>
          <cell r="U325">
            <v>0</v>
          </cell>
        </row>
        <row r="326">
          <cell r="T326" t="str">
            <v>GRS-32x25</v>
          </cell>
          <cell r="U326">
            <v>0</v>
          </cell>
        </row>
        <row r="327">
          <cell r="T327" t="str">
            <v>GRS-40x25</v>
          </cell>
          <cell r="U327">
            <v>0</v>
          </cell>
        </row>
        <row r="328">
          <cell r="T328" t="str">
            <v>GRS-50x25</v>
          </cell>
          <cell r="U328">
            <v>0</v>
          </cell>
        </row>
        <row r="329">
          <cell r="T329" t="str">
            <v>GRS-63x25</v>
          </cell>
          <cell r="U329">
            <v>0</v>
          </cell>
        </row>
        <row r="330">
          <cell r="T330" t="str">
            <v>GRS-75x25</v>
          </cell>
          <cell r="U330">
            <v>0</v>
          </cell>
        </row>
        <row r="331">
          <cell r="T331" t="str">
            <v>GUT-20x15</v>
          </cell>
          <cell r="U331">
            <v>0</v>
          </cell>
        </row>
        <row r="332">
          <cell r="T332" t="str">
            <v>GUT-25x15</v>
          </cell>
          <cell r="U332">
            <v>0</v>
          </cell>
        </row>
        <row r="333">
          <cell r="T333" t="str">
            <v>GUT-32x15</v>
          </cell>
          <cell r="U333">
            <v>0</v>
          </cell>
        </row>
        <row r="334">
          <cell r="T334" t="str">
            <v>GUT-40x15</v>
          </cell>
          <cell r="U334">
            <v>0</v>
          </cell>
        </row>
        <row r="335">
          <cell r="T335" t="str">
            <v>GUT-50x15</v>
          </cell>
          <cell r="U335">
            <v>0</v>
          </cell>
        </row>
        <row r="336">
          <cell r="T336" t="str">
            <v>GUT-63x15</v>
          </cell>
          <cell r="U336">
            <v>0</v>
          </cell>
        </row>
        <row r="337">
          <cell r="T337" t="str">
            <v>GUT-75x15</v>
          </cell>
          <cell r="U337">
            <v>0</v>
          </cell>
        </row>
        <row r="338">
          <cell r="T338" t="str">
            <v>GEC-50</v>
          </cell>
          <cell r="U338">
            <v>0</v>
          </cell>
        </row>
        <row r="339">
          <cell r="T339" t="str">
            <v>BU-20</v>
          </cell>
          <cell r="U339">
            <v>0</v>
          </cell>
        </row>
        <row r="340">
          <cell r="T340" t="str">
            <v>BU-25</v>
          </cell>
          <cell r="U340">
            <v>0</v>
          </cell>
        </row>
        <row r="341">
          <cell r="T341" t="str">
            <v>BU-32</v>
          </cell>
          <cell r="U341">
            <v>0</v>
          </cell>
        </row>
        <row r="342">
          <cell r="T342" t="str">
            <v>BU-40</v>
          </cell>
          <cell r="U342">
            <v>0</v>
          </cell>
        </row>
        <row r="343">
          <cell r="T343" t="str">
            <v>GHF-50</v>
          </cell>
          <cell r="U343">
            <v>0</v>
          </cell>
        </row>
        <row r="344">
          <cell r="T344" t="str">
            <v>GHF-63</v>
          </cell>
          <cell r="U344">
            <v>0</v>
          </cell>
        </row>
        <row r="345">
          <cell r="T345" t="str">
            <v>GHF-75</v>
          </cell>
          <cell r="U345">
            <v>0</v>
          </cell>
        </row>
        <row r="346">
          <cell r="T346" t="str">
            <v>GHF-90</v>
          </cell>
          <cell r="U346">
            <v>0</v>
          </cell>
        </row>
        <row r="349">
          <cell r="T349" t="str">
            <v>GEL-25</v>
          </cell>
        </row>
        <row r="367">
          <cell r="T367" t="str">
            <v>HP10-20</v>
          </cell>
          <cell r="U367">
            <v>0</v>
          </cell>
        </row>
        <row r="368">
          <cell r="T368" t="str">
            <v>HP10-25</v>
          </cell>
          <cell r="U368">
            <v>0</v>
          </cell>
        </row>
        <row r="369">
          <cell r="T369" t="str">
            <v>HP10-32</v>
          </cell>
          <cell r="U369">
            <v>0</v>
          </cell>
        </row>
        <row r="370">
          <cell r="T370" t="str">
            <v>HP10-40</v>
          </cell>
          <cell r="U370">
            <v>0</v>
          </cell>
        </row>
        <row r="371">
          <cell r="T371" t="str">
            <v>HP10-50</v>
          </cell>
          <cell r="U371">
            <v>0</v>
          </cell>
        </row>
        <row r="372">
          <cell r="T372" t="str">
            <v>HP10-63</v>
          </cell>
          <cell r="U372">
            <v>0</v>
          </cell>
        </row>
        <row r="373">
          <cell r="T373" t="str">
            <v>HP6-75</v>
          </cell>
          <cell r="U373">
            <v>0</v>
          </cell>
        </row>
        <row r="374">
          <cell r="T374" t="str">
            <v>HP4-90</v>
          </cell>
          <cell r="U374">
            <v>0</v>
          </cell>
        </row>
        <row r="375">
          <cell r="T375" t="str">
            <v>HP2.5-90</v>
          </cell>
        </row>
        <row r="377">
          <cell r="T377" t="str">
            <v>HEL-20</v>
          </cell>
          <cell r="U377">
            <v>0</v>
          </cell>
        </row>
        <row r="378">
          <cell r="T378" t="str">
            <v>HEL-25</v>
          </cell>
          <cell r="U378">
            <v>0</v>
          </cell>
        </row>
        <row r="379">
          <cell r="T379" t="str">
            <v>HEL-32</v>
          </cell>
          <cell r="U379">
            <v>0</v>
          </cell>
        </row>
        <row r="380">
          <cell r="T380" t="str">
            <v>HEL-40</v>
          </cell>
          <cell r="U380">
            <v>0</v>
          </cell>
        </row>
        <row r="381">
          <cell r="T381" t="str">
            <v>HEL-50</v>
          </cell>
          <cell r="U381">
            <v>0</v>
          </cell>
        </row>
        <row r="382">
          <cell r="T382" t="str">
            <v>HEL-63</v>
          </cell>
          <cell r="U382">
            <v>0</v>
          </cell>
        </row>
        <row r="383">
          <cell r="T383" t="str">
            <v>HEL-75</v>
          </cell>
          <cell r="U383">
            <v>0</v>
          </cell>
        </row>
        <row r="384">
          <cell r="T384" t="str">
            <v>HEL-90</v>
          </cell>
          <cell r="U384">
            <v>0</v>
          </cell>
        </row>
        <row r="385">
          <cell r="T385" t="str">
            <v>HET-20</v>
          </cell>
          <cell r="U385">
            <v>0</v>
          </cell>
        </row>
        <row r="386">
          <cell r="T386" t="str">
            <v>HET-25</v>
          </cell>
          <cell r="U386">
            <v>0</v>
          </cell>
        </row>
        <row r="387">
          <cell r="T387" t="str">
            <v>HET-32</v>
          </cell>
          <cell r="U387">
            <v>0</v>
          </cell>
        </row>
        <row r="388">
          <cell r="T388" t="str">
            <v>HET-40</v>
          </cell>
          <cell r="U388">
            <v>0</v>
          </cell>
        </row>
        <row r="389">
          <cell r="T389" t="str">
            <v>HET-50</v>
          </cell>
          <cell r="U389">
            <v>0</v>
          </cell>
        </row>
        <row r="390">
          <cell r="T390" t="str">
            <v>HET-63</v>
          </cell>
          <cell r="U390">
            <v>0</v>
          </cell>
        </row>
        <row r="391">
          <cell r="T391" t="str">
            <v>HET-75</v>
          </cell>
          <cell r="U391">
            <v>0</v>
          </cell>
        </row>
        <row r="392">
          <cell r="T392" t="str">
            <v>HET-90</v>
          </cell>
          <cell r="U392">
            <v>0</v>
          </cell>
        </row>
        <row r="393">
          <cell r="T393" t="str">
            <v>HR-40x20</v>
          </cell>
          <cell r="U393">
            <v>0</v>
          </cell>
        </row>
        <row r="394">
          <cell r="T394" t="str">
            <v>HR-40x25</v>
          </cell>
          <cell r="U394">
            <v>0</v>
          </cell>
        </row>
        <row r="395">
          <cell r="T395" t="str">
            <v>HR-40x32</v>
          </cell>
          <cell r="U395">
            <v>0</v>
          </cell>
        </row>
        <row r="396">
          <cell r="T396" t="str">
            <v>HR-90x50</v>
          </cell>
          <cell r="U396">
            <v>0</v>
          </cell>
        </row>
        <row r="397">
          <cell r="T397" t="str">
            <v>HR-90x63</v>
          </cell>
          <cell r="U397">
            <v>0</v>
          </cell>
        </row>
        <row r="398">
          <cell r="T398" t="str">
            <v>HR-90x75</v>
          </cell>
          <cell r="U398">
            <v>0</v>
          </cell>
        </row>
        <row r="399">
          <cell r="T399" t="str">
            <v>HST-50</v>
          </cell>
          <cell r="U399">
            <v>0</v>
          </cell>
        </row>
        <row r="400">
          <cell r="T400" t="str">
            <v>HST-90</v>
          </cell>
          <cell r="U400">
            <v>0</v>
          </cell>
        </row>
        <row r="401">
          <cell r="T401" t="str">
            <v>GSO-15</v>
          </cell>
          <cell r="U401">
            <v>0</v>
          </cell>
        </row>
        <row r="402">
          <cell r="T402" t="str">
            <v>GSO-20</v>
          </cell>
          <cell r="U402">
            <v>0</v>
          </cell>
        </row>
        <row r="403">
          <cell r="T403" t="str">
            <v>GSO-25</v>
          </cell>
          <cell r="U403">
            <v>0</v>
          </cell>
        </row>
        <row r="404">
          <cell r="T404" t="str">
            <v>PSO-40</v>
          </cell>
          <cell r="U404">
            <v>0</v>
          </cell>
        </row>
        <row r="405">
          <cell r="T405" t="str">
            <v>PSO-50</v>
          </cell>
          <cell r="U405">
            <v>0</v>
          </cell>
        </row>
        <row r="406">
          <cell r="T406" t="str">
            <v>PSO-63</v>
          </cell>
          <cell r="U406">
            <v>0</v>
          </cell>
        </row>
        <row r="407">
          <cell r="T407" t="str">
            <v>PSO-75</v>
          </cell>
          <cell r="U407">
            <v>0</v>
          </cell>
        </row>
        <row r="408">
          <cell r="T408" t="str">
            <v>PSO-90</v>
          </cell>
          <cell r="U408">
            <v>0</v>
          </cell>
        </row>
        <row r="409">
          <cell r="T409" t="str">
            <v>GNI-15</v>
          </cell>
          <cell r="U409">
            <v>0</v>
          </cell>
        </row>
        <row r="410">
          <cell r="T410" t="str">
            <v>GNI-20</v>
          </cell>
          <cell r="U410">
            <v>0</v>
          </cell>
        </row>
        <row r="411">
          <cell r="T411" t="str">
            <v>GNI-25</v>
          </cell>
          <cell r="U411">
            <v>0</v>
          </cell>
        </row>
        <row r="412">
          <cell r="T412" t="str">
            <v>PNI-40</v>
          </cell>
          <cell r="U412">
            <v>0</v>
          </cell>
        </row>
        <row r="413">
          <cell r="T413" t="str">
            <v>PNI-50</v>
          </cell>
          <cell r="U413">
            <v>0</v>
          </cell>
        </row>
        <row r="414">
          <cell r="T414" t="str">
            <v>PNI-63</v>
          </cell>
          <cell r="U414">
            <v>0</v>
          </cell>
        </row>
        <row r="415">
          <cell r="T415" t="str">
            <v>PNI-75</v>
          </cell>
          <cell r="U415">
            <v>0</v>
          </cell>
        </row>
        <row r="416">
          <cell r="T416" t="str">
            <v>PNI-90</v>
          </cell>
          <cell r="U416">
            <v>0</v>
          </cell>
        </row>
        <row r="417">
          <cell r="T417" t="str">
            <v>BGAV-15</v>
          </cell>
          <cell r="U417">
            <v>0</v>
          </cell>
        </row>
        <row r="418">
          <cell r="T418" t="str">
            <v>BGAV-20</v>
          </cell>
          <cell r="U418">
            <v>0</v>
          </cell>
        </row>
        <row r="419">
          <cell r="T419" t="str">
            <v>BGAV-25</v>
          </cell>
          <cell r="U419">
            <v>0</v>
          </cell>
        </row>
        <row r="420">
          <cell r="T420" t="str">
            <v>PGAV-40</v>
          </cell>
          <cell r="U420">
            <v>0</v>
          </cell>
        </row>
        <row r="421">
          <cell r="T421" t="str">
            <v>PGAV-50</v>
          </cell>
          <cell r="U421">
            <v>0</v>
          </cell>
        </row>
        <row r="422">
          <cell r="T422" t="str">
            <v>PGAV-63</v>
          </cell>
          <cell r="U422">
            <v>0</v>
          </cell>
        </row>
        <row r="423">
          <cell r="T423" t="str">
            <v>PGAV-75</v>
          </cell>
          <cell r="U423">
            <v>0</v>
          </cell>
        </row>
        <row r="424">
          <cell r="T424" t="str">
            <v>PGAV-90</v>
          </cell>
          <cell r="U424">
            <v>0</v>
          </cell>
        </row>
        <row r="425">
          <cell r="T425" t="str">
            <v>PET-20</v>
          </cell>
          <cell r="U425">
            <v>0</v>
          </cell>
        </row>
        <row r="426">
          <cell r="T426" t="str">
            <v>PUT-25x20</v>
          </cell>
          <cell r="U426">
            <v>0</v>
          </cell>
        </row>
        <row r="427">
          <cell r="T427" t="str">
            <v>PUT-32x20</v>
          </cell>
          <cell r="U427">
            <v>0</v>
          </cell>
        </row>
        <row r="428">
          <cell r="T428" t="str">
            <v>PUT-40x20</v>
          </cell>
          <cell r="U428">
            <v>0</v>
          </cell>
        </row>
        <row r="429">
          <cell r="T429" t="str">
            <v>PUT-50x20</v>
          </cell>
          <cell r="U429">
            <v>0</v>
          </cell>
        </row>
        <row r="430">
          <cell r="T430" t="str">
            <v>PUT-63x20</v>
          </cell>
          <cell r="U430">
            <v>0</v>
          </cell>
        </row>
        <row r="431">
          <cell r="T431" t="str">
            <v>PUT-75x20</v>
          </cell>
          <cell r="U431">
            <v>0</v>
          </cell>
        </row>
        <row r="432">
          <cell r="T432" t="str">
            <v>PUT-90x20</v>
          </cell>
          <cell r="U432">
            <v>0</v>
          </cell>
        </row>
        <row r="433">
          <cell r="T433" t="str">
            <v>PUT-63x32</v>
          </cell>
          <cell r="U433">
            <v>0</v>
          </cell>
        </row>
        <row r="434">
          <cell r="T434" t="str">
            <v>BFLV-15</v>
          </cell>
          <cell r="U434">
            <v>0</v>
          </cell>
        </row>
        <row r="435">
          <cell r="T435" t="str">
            <v>BFLV-25</v>
          </cell>
          <cell r="U435">
            <v>0</v>
          </cell>
        </row>
        <row r="436">
          <cell r="T436" t="str">
            <v>PRS-25x20</v>
          </cell>
          <cell r="U436">
            <v>0</v>
          </cell>
        </row>
        <row r="437">
          <cell r="T437" t="str">
            <v>PRS-32x20</v>
          </cell>
          <cell r="U437">
            <v>0</v>
          </cell>
        </row>
        <row r="438">
          <cell r="T438" t="str">
            <v>PRS-40x32</v>
          </cell>
          <cell r="U438">
            <v>0</v>
          </cell>
        </row>
        <row r="439">
          <cell r="T439" t="str">
            <v>PRS-50x32</v>
          </cell>
          <cell r="U439">
            <v>0</v>
          </cell>
        </row>
        <row r="440">
          <cell r="T440" t="str">
            <v>PRS-63x32</v>
          </cell>
          <cell r="U440">
            <v>0</v>
          </cell>
        </row>
        <row r="441">
          <cell r="T441" t="str">
            <v>PRS-75x32</v>
          </cell>
          <cell r="U441">
            <v>0</v>
          </cell>
        </row>
        <row r="442">
          <cell r="T442" t="str">
            <v>PRS-90x32</v>
          </cell>
          <cell r="U442">
            <v>0</v>
          </cell>
        </row>
        <row r="443">
          <cell r="T443" t="str">
            <v>PEL-63</v>
          </cell>
          <cell r="U443">
            <v>0</v>
          </cell>
        </row>
        <row r="444">
          <cell r="T444" t="str">
            <v>PEC-63</v>
          </cell>
          <cell r="U444">
            <v>0</v>
          </cell>
        </row>
        <row r="445">
          <cell r="T445" t="str">
            <v>BU-20</v>
          </cell>
          <cell r="U445">
            <v>0</v>
          </cell>
        </row>
        <row r="446">
          <cell r="T446" t="str">
            <v>BU-25</v>
          </cell>
          <cell r="U446">
            <v>0</v>
          </cell>
        </row>
        <row r="447">
          <cell r="T447" t="str">
            <v>BU-32</v>
          </cell>
          <cell r="U447">
            <v>0</v>
          </cell>
        </row>
        <row r="448">
          <cell r="T448" t="str">
            <v>PHF-40</v>
          </cell>
          <cell r="U448">
            <v>0</v>
          </cell>
        </row>
        <row r="449">
          <cell r="T449" t="str">
            <v>PHF-50</v>
          </cell>
          <cell r="U449">
            <v>0</v>
          </cell>
        </row>
        <row r="450">
          <cell r="T450" t="str">
            <v>PHF-63</v>
          </cell>
          <cell r="U450">
            <v>0</v>
          </cell>
        </row>
        <row r="451">
          <cell r="T451" t="str">
            <v>PHF-75</v>
          </cell>
          <cell r="U451">
            <v>0</v>
          </cell>
        </row>
        <row r="452">
          <cell r="T452" t="str">
            <v>PHF-90</v>
          </cell>
          <cell r="U452">
            <v>0</v>
          </cell>
        </row>
        <row r="455">
          <cell r="T455" t="str">
            <v>HR-50X20</v>
          </cell>
        </row>
        <row r="474">
          <cell r="T474" t="str">
            <v>HP6-50</v>
          </cell>
          <cell r="U474">
            <v>0</v>
          </cell>
        </row>
        <row r="476">
          <cell r="T476" t="str">
            <v>GPM-15</v>
          </cell>
          <cell r="U476">
            <v>0</v>
          </cell>
        </row>
        <row r="477">
          <cell r="T477" t="str">
            <v>GPM-20</v>
          </cell>
          <cell r="U477">
            <v>0</v>
          </cell>
        </row>
        <row r="478">
          <cell r="T478" t="str">
            <v>GPM-25</v>
          </cell>
          <cell r="U478">
            <v>0</v>
          </cell>
        </row>
        <row r="479">
          <cell r="T479" t="str">
            <v>GPM-32</v>
          </cell>
          <cell r="U479">
            <v>0</v>
          </cell>
        </row>
        <row r="480">
          <cell r="T480" t="str">
            <v>GPM-40</v>
          </cell>
          <cell r="U480">
            <v>0</v>
          </cell>
        </row>
        <row r="481">
          <cell r="T481" t="str">
            <v>GPM-50</v>
          </cell>
          <cell r="U481">
            <v>0</v>
          </cell>
        </row>
        <row r="482">
          <cell r="T482" t="str">
            <v>GPM-63</v>
          </cell>
          <cell r="U482">
            <v>0</v>
          </cell>
        </row>
        <row r="483">
          <cell r="T483" t="str">
            <v>GPM-75</v>
          </cell>
          <cell r="U483">
            <v>0</v>
          </cell>
        </row>
        <row r="485">
          <cell r="T485" t="str">
            <v>GEL-15</v>
          </cell>
          <cell r="U485">
            <v>0</v>
          </cell>
        </row>
        <row r="486">
          <cell r="T486" t="str">
            <v>GEL-20</v>
          </cell>
          <cell r="U486">
            <v>0</v>
          </cell>
        </row>
        <row r="487">
          <cell r="T487" t="str">
            <v>GEL-25</v>
          </cell>
          <cell r="U487">
            <v>0</v>
          </cell>
        </row>
        <row r="488">
          <cell r="T488" t="str">
            <v>GEL-32</v>
          </cell>
          <cell r="U488">
            <v>0</v>
          </cell>
        </row>
        <row r="489">
          <cell r="T489" t="str">
            <v>GEL-40</v>
          </cell>
          <cell r="U489">
            <v>0</v>
          </cell>
        </row>
        <row r="490">
          <cell r="T490" t="str">
            <v>GEL-50</v>
          </cell>
          <cell r="U490">
            <v>0</v>
          </cell>
        </row>
        <row r="491">
          <cell r="T491" t="str">
            <v>GEL-63</v>
          </cell>
          <cell r="U491">
            <v>0</v>
          </cell>
        </row>
        <row r="492">
          <cell r="T492" t="str">
            <v>GEL-75</v>
          </cell>
          <cell r="U492">
            <v>0</v>
          </cell>
        </row>
        <row r="493">
          <cell r="T493" t="str">
            <v>GSO-15</v>
          </cell>
          <cell r="U493">
            <v>0</v>
          </cell>
        </row>
        <row r="494">
          <cell r="T494" t="str">
            <v>GSO-20</v>
          </cell>
          <cell r="U494">
            <v>0</v>
          </cell>
        </row>
        <row r="495">
          <cell r="T495" t="str">
            <v>GSO-25</v>
          </cell>
          <cell r="U495">
            <v>0</v>
          </cell>
        </row>
        <row r="496">
          <cell r="T496" t="str">
            <v>GNI-15</v>
          </cell>
          <cell r="U496">
            <v>0</v>
          </cell>
        </row>
        <row r="497">
          <cell r="T497" t="str">
            <v>GNI-20</v>
          </cell>
          <cell r="U497">
            <v>0</v>
          </cell>
        </row>
        <row r="498">
          <cell r="T498" t="str">
            <v>GNI-25</v>
          </cell>
          <cell r="U498">
            <v>0</v>
          </cell>
        </row>
        <row r="499">
          <cell r="T499" t="str">
            <v>GNI-32</v>
          </cell>
          <cell r="U499">
            <v>0</v>
          </cell>
        </row>
        <row r="500">
          <cell r="T500" t="str">
            <v>GNI-40</v>
          </cell>
          <cell r="U500">
            <v>0</v>
          </cell>
        </row>
        <row r="501">
          <cell r="T501" t="str">
            <v>GNI-50</v>
          </cell>
          <cell r="U501">
            <v>0</v>
          </cell>
        </row>
        <row r="502">
          <cell r="T502" t="str">
            <v>GNI-63</v>
          </cell>
          <cell r="U502">
            <v>0</v>
          </cell>
        </row>
        <row r="503">
          <cell r="T503" t="str">
            <v>GNI-75</v>
          </cell>
          <cell r="U503">
            <v>0</v>
          </cell>
        </row>
        <row r="504">
          <cell r="T504" t="str">
            <v>GSO-15</v>
          </cell>
          <cell r="U504">
            <v>0</v>
          </cell>
        </row>
        <row r="505">
          <cell r="T505" t="str">
            <v>GSO-20</v>
          </cell>
          <cell r="U505">
            <v>0</v>
          </cell>
        </row>
        <row r="506">
          <cell r="T506" t="str">
            <v>GSO-25</v>
          </cell>
          <cell r="U506">
            <v>0</v>
          </cell>
        </row>
        <row r="507">
          <cell r="T507" t="str">
            <v>GSO-32</v>
          </cell>
          <cell r="U507">
            <v>0</v>
          </cell>
        </row>
        <row r="508">
          <cell r="T508" t="str">
            <v>GSO-40</v>
          </cell>
          <cell r="U508">
            <v>0</v>
          </cell>
        </row>
        <row r="509">
          <cell r="T509" t="str">
            <v>GSO-50</v>
          </cell>
          <cell r="U509">
            <v>0</v>
          </cell>
        </row>
        <row r="510">
          <cell r="T510" t="str">
            <v>GSO-63</v>
          </cell>
          <cell r="U510">
            <v>0</v>
          </cell>
        </row>
        <row r="511">
          <cell r="T511" t="str">
            <v>GSO-75</v>
          </cell>
          <cell r="U511">
            <v>0</v>
          </cell>
        </row>
        <row r="512">
          <cell r="T512" t="str">
            <v>GBN-15</v>
          </cell>
          <cell r="U512">
            <v>0</v>
          </cell>
        </row>
        <row r="513">
          <cell r="T513" t="str">
            <v>GBN-20</v>
          </cell>
          <cell r="U513">
            <v>0</v>
          </cell>
        </row>
        <row r="514">
          <cell r="T514" t="str">
            <v>GBN-25</v>
          </cell>
          <cell r="U514">
            <v>0</v>
          </cell>
        </row>
        <row r="515">
          <cell r="T515" t="str">
            <v>GBN-32</v>
          </cell>
          <cell r="U515">
            <v>0</v>
          </cell>
        </row>
        <row r="516">
          <cell r="T516" t="str">
            <v>GBN-40</v>
          </cell>
          <cell r="U516">
            <v>0</v>
          </cell>
        </row>
        <row r="517">
          <cell r="T517" t="str">
            <v>GBN-50</v>
          </cell>
          <cell r="U517">
            <v>0</v>
          </cell>
        </row>
        <row r="518">
          <cell r="T518" t="str">
            <v>GBN-63</v>
          </cell>
          <cell r="U518">
            <v>0</v>
          </cell>
        </row>
        <row r="519">
          <cell r="T519" t="str">
            <v>GBN-75</v>
          </cell>
          <cell r="U519">
            <v>0</v>
          </cell>
        </row>
        <row r="520">
          <cell r="T520" t="str">
            <v>BFLV-15</v>
          </cell>
          <cell r="U520">
            <v>0</v>
          </cell>
        </row>
        <row r="521">
          <cell r="T521" t="str">
            <v>BFLV-25</v>
          </cell>
          <cell r="U521">
            <v>0</v>
          </cell>
        </row>
        <row r="522">
          <cell r="T522" t="str">
            <v>GRS-25x15</v>
          </cell>
          <cell r="U522">
            <v>0</v>
          </cell>
        </row>
        <row r="523">
          <cell r="T523" t="str">
            <v>GRS-32x25</v>
          </cell>
          <cell r="U523">
            <v>0</v>
          </cell>
        </row>
        <row r="524">
          <cell r="T524" t="str">
            <v>GRS-40x25</v>
          </cell>
          <cell r="U524">
            <v>0</v>
          </cell>
        </row>
        <row r="525">
          <cell r="T525" t="str">
            <v>GRS-50x25</v>
          </cell>
          <cell r="U525">
            <v>0</v>
          </cell>
        </row>
        <row r="526">
          <cell r="T526" t="str">
            <v>GRS-63x25</v>
          </cell>
          <cell r="U526">
            <v>0</v>
          </cell>
        </row>
        <row r="527">
          <cell r="T527" t="str">
            <v>GRS-75x25</v>
          </cell>
          <cell r="U527">
            <v>0</v>
          </cell>
        </row>
        <row r="528">
          <cell r="T528" t="str">
            <v>GEC-40</v>
          </cell>
          <cell r="U528">
            <v>0</v>
          </cell>
        </row>
        <row r="529">
          <cell r="T529" t="str">
            <v>BU-20</v>
          </cell>
          <cell r="U529">
            <v>0</v>
          </cell>
        </row>
        <row r="530">
          <cell r="T530" t="str">
            <v>BU-25</v>
          </cell>
          <cell r="U530">
            <v>0</v>
          </cell>
        </row>
        <row r="531">
          <cell r="T531" t="str">
            <v>BU-32</v>
          </cell>
          <cell r="U531">
            <v>0</v>
          </cell>
        </row>
        <row r="532">
          <cell r="T532" t="str">
            <v>BU-40</v>
          </cell>
          <cell r="U532">
            <v>0</v>
          </cell>
        </row>
        <row r="533">
          <cell r="T533" t="str">
            <v>GHF-50</v>
          </cell>
          <cell r="U533">
            <v>0</v>
          </cell>
        </row>
        <row r="534">
          <cell r="T534" t="str">
            <v>GHF-63</v>
          </cell>
          <cell r="U534">
            <v>0</v>
          </cell>
        </row>
        <row r="535">
          <cell r="T535" t="str">
            <v>GHF-75</v>
          </cell>
          <cell r="U535">
            <v>0</v>
          </cell>
        </row>
        <row r="536">
          <cell r="T536" t="str">
            <v>GHF-90</v>
          </cell>
          <cell r="U536">
            <v>0</v>
          </cell>
        </row>
        <row r="539">
          <cell r="T539" t="str">
            <v>GEL-25</v>
          </cell>
        </row>
        <row r="557">
          <cell r="T557" t="str">
            <v>HP10-20</v>
          </cell>
          <cell r="U557">
            <v>0</v>
          </cell>
        </row>
        <row r="558">
          <cell r="T558" t="str">
            <v>HP10-25</v>
          </cell>
          <cell r="U558">
            <v>0</v>
          </cell>
        </row>
        <row r="559">
          <cell r="T559" t="str">
            <v>HP10-32</v>
          </cell>
          <cell r="U559">
            <v>0</v>
          </cell>
        </row>
        <row r="560">
          <cell r="T560" t="str">
            <v>HP10-40</v>
          </cell>
          <cell r="U560">
            <v>0</v>
          </cell>
        </row>
        <row r="561">
          <cell r="T561" t="str">
            <v>HP10-50</v>
          </cell>
          <cell r="U561">
            <v>0</v>
          </cell>
        </row>
        <row r="562">
          <cell r="T562" t="str">
            <v>HP10-63</v>
          </cell>
          <cell r="U562">
            <v>0</v>
          </cell>
        </row>
        <row r="563">
          <cell r="T563" t="str">
            <v>HP6-75</v>
          </cell>
          <cell r="U563">
            <v>0</v>
          </cell>
        </row>
        <row r="564">
          <cell r="T564" t="str">
            <v>HP4-90</v>
          </cell>
          <cell r="U564">
            <v>0</v>
          </cell>
        </row>
        <row r="565">
          <cell r="T565" t="str">
            <v>HP2.5-90</v>
          </cell>
        </row>
        <row r="567">
          <cell r="T567" t="str">
            <v>HEL-20</v>
          </cell>
          <cell r="U567">
            <v>0</v>
          </cell>
        </row>
        <row r="568">
          <cell r="T568" t="str">
            <v>HEL-25</v>
          </cell>
          <cell r="U568">
            <v>0</v>
          </cell>
        </row>
        <row r="569">
          <cell r="T569" t="str">
            <v>HEL-32</v>
          </cell>
          <cell r="U569">
            <v>0</v>
          </cell>
        </row>
        <row r="570">
          <cell r="T570" t="str">
            <v>HEL-40</v>
          </cell>
          <cell r="U570">
            <v>0</v>
          </cell>
        </row>
        <row r="571">
          <cell r="T571" t="str">
            <v>HEL-50</v>
          </cell>
          <cell r="U571">
            <v>0</v>
          </cell>
        </row>
        <row r="572">
          <cell r="T572" t="str">
            <v>HEL-63</v>
          </cell>
          <cell r="U572">
            <v>0</v>
          </cell>
        </row>
        <row r="573">
          <cell r="T573" t="str">
            <v>HEL-75</v>
          </cell>
          <cell r="U573">
            <v>0</v>
          </cell>
        </row>
        <row r="574">
          <cell r="T574" t="str">
            <v>HEL-90</v>
          </cell>
          <cell r="U574">
            <v>0</v>
          </cell>
        </row>
        <row r="575">
          <cell r="T575" t="str">
            <v>GSO-15</v>
          </cell>
          <cell r="U575">
            <v>0</v>
          </cell>
        </row>
        <row r="576">
          <cell r="T576" t="str">
            <v>PSO-25</v>
          </cell>
          <cell r="U576">
            <v>0</v>
          </cell>
        </row>
        <row r="577">
          <cell r="T577" t="str">
            <v>GSO-25</v>
          </cell>
          <cell r="U577">
            <v>0</v>
          </cell>
        </row>
        <row r="578">
          <cell r="T578" t="str">
            <v>PSO-40</v>
          </cell>
          <cell r="U578">
            <v>0</v>
          </cell>
        </row>
        <row r="579">
          <cell r="T579" t="str">
            <v>PSO-50</v>
          </cell>
          <cell r="U579">
            <v>0</v>
          </cell>
        </row>
        <row r="580">
          <cell r="T580" t="str">
            <v>PSO-63</v>
          </cell>
          <cell r="U580">
            <v>0</v>
          </cell>
        </row>
        <row r="581">
          <cell r="T581" t="str">
            <v>PSO-75</v>
          </cell>
          <cell r="U581">
            <v>0</v>
          </cell>
        </row>
        <row r="582">
          <cell r="T582" t="str">
            <v>PSO-90</v>
          </cell>
          <cell r="U582">
            <v>0</v>
          </cell>
        </row>
        <row r="583">
          <cell r="T583" t="str">
            <v>GBN-15</v>
          </cell>
          <cell r="U583">
            <v>0</v>
          </cell>
        </row>
        <row r="584">
          <cell r="T584" t="str">
            <v>PBN-25</v>
          </cell>
          <cell r="U584">
            <v>0</v>
          </cell>
        </row>
        <row r="585">
          <cell r="T585" t="str">
            <v>GBN-25</v>
          </cell>
          <cell r="U585">
            <v>0</v>
          </cell>
        </row>
        <row r="586">
          <cell r="T586" t="str">
            <v>PBN-40</v>
          </cell>
          <cell r="U586">
            <v>0</v>
          </cell>
        </row>
        <row r="587">
          <cell r="T587" t="str">
            <v>PBN-50</v>
          </cell>
          <cell r="U587">
            <v>0</v>
          </cell>
        </row>
        <row r="588">
          <cell r="T588" t="str">
            <v>PBN-63</v>
          </cell>
          <cell r="U588">
            <v>0</v>
          </cell>
        </row>
        <row r="589">
          <cell r="T589" t="str">
            <v>PBN-75</v>
          </cell>
          <cell r="U589">
            <v>0</v>
          </cell>
        </row>
        <row r="590">
          <cell r="T590" t="str">
            <v>PBN-90</v>
          </cell>
          <cell r="U590">
            <v>0</v>
          </cell>
        </row>
        <row r="591">
          <cell r="T591" t="str">
            <v>PRS-25x20</v>
          </cell>
          <cell r="U591">
            <v>0</v>
          </cell>
        </row>
        <row r="592">
          <cell r="T592" t="str">
            <v>PRS-32x20</v>
          </cell>
          <cell r="U592">
            <v>0</v>
          </cell>
        </row>
        <row r="593">
          <cell r="T593" t="str">
            <v>PRS-40x32</v>
          </cell>
          <cell r="U593">
            <v>0</v>
          </cell>
        </row>
        <row r="594">
          <cell r="T594" t="str">
            <v>PRS-50x32</v>
          </cell>
          <cell r="U594">
            <v>0</v>
          </cell>
        </row>
        <row r="595">
          <cell r="T595" t="str">
            <v>PRS-63x32</v>
          </cell>
          <cell r="U595">
            <v>0</v>
          </cell>
        </row>
        <row r="596">
          <cell r="T596" t="str">
            <v>PRS-75x32</v>
          </cell>
          <cell r="U596">
            <v>0</v>
          </cell>
        </row>
        <row r="597">
          <cell r="T597" t="str">
            <v>PRS-90x32</v>
          </cell>
          <cell r="U597">
            <v>0</v>
          </cell>
        </row>
        <row r="598">
          <cell r="T598" t="str">
            <v>RW-20</v>
          </cell>
          <cell r="U598">
            <v>0</v>
          </cell>
        </row>
        <row r="599">
          <cell r="T599" t="str">
            <v>RW-25</v>
          </cell>
          <cell r="U599">
            <v>0</v>
          </cell>
        </row>
        <row r="600">
          <cell r="T600" t="str">
            <v>RW-32</v>
          </cell>
          <cell r="U600">
            <v>0</v>
          </cell>
        </row>
        <row r="601">
          <cell r="T601" t="str">
            <v>RW-40</v>
          </cell>
          <cell r="U601">
            <v>0</v>
          </cell>
        </row>
        <row r="602">
          <cell r="T602" t="str">
            <v>RW-50</v>
          </cell>
          <cell r="U602">
            <v>0</v>
          </cell>
        </row>
        <row r="603">
          <cell r="T603" t="str">
            <v>RW-63</v>
          </cell>
          <cell r="U603">
            <v>0</v>
          </cell>
        </row>
        <row r="604">
          <cell r="T604" t="str">
            <v>RW-75</v>
          </cell>
          <cell r="U604">
            <v>0</v>
          </cell>
        </row>
        <row r="605">
          <cell r="T605" t="str">
            <v>RW-90</v>
          </cell>
          <cell r="U605">
            <v>0</v>
          </cell>
        </row>
        <row r="606">
          <cell r="T606" t="str">
            <v>PNI-20</v>
          </cell>
          <cell r="U606">
            <v>0</v>
          </cell>
        </row>
        <row r="607">
          <cell r="T607" t="str">
            <v>GNI-25</v>
          </cell>
          <cell r="U607">
            <v>0</v>
          </cell>
        </row>
        <row r="608">
          <cell r="T608" t="str">
            <v>PNI-32</v>
          </cell>
          <cell r="U608">
            <v>0</v>
          </cell>
        </row>
        <row r="609">
          <cell r="T609" t="str">
            <v>PNI-40</v>
          </cell>
          <cell r="U609">
            <v>0</v>
          </cell>
        </row>
        <row r="610">
          <cell r="T610" t="str">
            <v>PNI-50</v>
          </cell>
          <cell r="U610">
            <v>0</v>
          </cell>
        </row>
        <row r="611">
          <cell r="T611" t="str">
            <v>PNI-63</v>
          </cell>
          <cell r="U611">
            <v>0</v>
          </cell>
        </row>
        <row r="612">
          <cell r="T612" t="str">
            <v>PNI-75</v>
          </cell>
          <cell r="U612">
            <v>0</v>
          </cell>
        </row>
        <row r="613">
          <cell r="T613" t="str">
            <v>PNI-90</v>
          </cell>
          <cell r="U613">
            <v>0</v>
          </cell>
        </row>
        <row r="614">
          <cell r="T614" t="str">
            <v>PNI-20FT</v>
          </cell>
          <cell r="U614">
            <v>0</v>
          </cell>
        </row>
        <row r="615">
          <cell r="T615" t="str">
            <v>PNI-25FT</v>
          </cell>
          <cell r="U615">
            <v>0</v>
          </cell>
        </row>
        <row r="616">
          <cell r="T616" t="str">
            <v>PNI-32FT</v>
          </cell>
          <cell r="U616">
            <v>0</v>
          </cell>
        </row>
        <row r="617">
          <cell r="T617" t="str">
            <v>PNI-40FT</v>
          </cell>
          <cell r="U617">
            <v>0</v>
          </cell>
        </row>
        <row r="618">
          <cell r="T618" t="str">
            <v>PNI-50FT</v>
          </cell>
          <cell r="U618">
            <v>0</v>
          </cell>
        </row>
        <row r="619">
          <cell r="T619" t="str">
            <v>PNI-63FT</v>
          </cell>
          <cell r="U619">
            <v>0</v>
          </cell>
        </row>
        <row r="620">
          <cell r="T620" t="str">
            <v>PNI-75FT</v>
          </cell>
          <cell r="U620">
            <v>0</v>
          </cell>
        </row>
        <row r="621">
          <cell r="T621" t="str">
            <v>PNI-90FT</v>
          </cell>
          <cell r="U621">
            <v>0</v>
          </cell>
        </row>
        <row r="622">
          <cell r="T622" t="str">
            <v>BFLV-15</v>
          </cell>
          <cell r="U622">
            <v>0</v>
          </cell>
        </row>
        <row r="623">
          <cell r="T623" t="str">
            <v>BFLV-25</v>
          </cell>
          <cell r="U623">
            <v>0</v>
          </cell>
        </row>
        <row r="624">
          <cell r="T624" t="str">
            <v>PEL-63</v>
          </cell>
          <cell r="U624">
            <v>0</v>
          </cell>
        </row>
        <row r="625">
          <cell r="T625" t="str">
            <v>GEC-25</v>
          </cell>
          <cell r="U625">
            <v>0</v>
          </cell>
        </row>
        <row r="626">
          <cell r="T626" t="str">
            <v>BU-20</v>
          </cell>
          <cell r="U626">
            <v>0</v>
          </cell>
        </row>
        <row r="627">
          <cell r="T627" t="str">
            <v>BU-25</v>
          </cell>
          <cell r="U627">
            <v>0</v>
          </cell>
        </row>
        <row r="628">
          <cell r="T628" t="str">
            <v>BU-32</v>
          </cell>
          <cell r="U628">
            <v>0</v>
          </cell>
        </row>
        <row r="629">
          <cell r="T629" t="str">
            <v>PHF-40</v>
          </cell>
          <cell r="U629">
            <v>0</v>
          </cell>
        </row>
        <row r="630">
          <cell r="T630" t="str">
            <v>PHF-50</v>
          </cell>
          <cell r="U630">
            <v>0</v>
          </cell>
        </row>
        <row r="631">
          <cell r="T631" t="str">
            <v>PHF-63</v>
          </cell>
          <cell r="U631">
            <v>0</v>
          </cell>
        </row>
        <row r="632">
          <cell r="T632" t="str">
            <v>PHF-75</v>
          </cell>
          <cell r="U632">
            <v>0</v>
          </cell>
        </row>
        <row r="633">
          <cell r="T633" t="str">
            <v>PHF-90</v>
          </cell>
          <cell r="U633">
            <v>0</v>
          </cell>
        </row>
        <row r="636">
          <cell r="T636" t="str">
            <v>GEL-25</v>
          </cell>
        </row>
        <row r="654">
          <cell r="T654" t="str">
            <v>HP2.5-90</v>
          </cell>
          <cell r="U654">
            <v>0</v>
          </cell>
        </row>
        <row r="656">
          <cell r="T656" t="str">
            <v>GPM-15</v>
          </cell>
          <cell r="U656">
            <v>0</v>
          </cell>
        </row>
        <row r="657">
          <cell r="T657" t="str">
            <v>GPM-20</v>
          </cell>
          <cell r="U657">
            <v>0</v>
          </cell>
        </row>
        <row r="658">
          <cell r="T658" t="str">
            <v>GPM-25</v>
          </cell>
          <cell r="U658">
            <v>0</v>
          </cell>
        </row>
        <row r="659">
          <cell r="T659" t="str">
            <v>GPM-32</v>
          </cell>
          <cell r="U659">
            <v>0</v>
          </cell>
        </row>
        <row r="660">
          <cell r="T660" t="str">
            <v>GPM-40</v>
          </cell>
          <cell r="U660">
            <v>0</v>
          </cell>
        </row>
        <row r="661">
          <cell r="T661" t="str">
            <v>GPM-50</v>
          </cell>
          <cell r="U661">
            <v>0</v>
          </cell>
        </row>
        <row r="662">
          <cell r="T662" t="str">
            <v>GPM-63</v>
          </cell>
          <cell r="U662">
            <v>0</v>
          </cell>
        </row>
        <row r="663">
          <cell r="T663" t="str">
            <v>GPM-75</v>
          </cell>
          <cell r="U663">
            <v>0</v>
          </cell>
        </row>
        <row r="665">
          <cell r="T665" t="str">
            <v>GET-15</v>
          </cell>
          <cell r="U665">
            <v>0</v>
          </cell>
        </row>
        <row r="666">
          <cell r="T666" t="str">
            <v>GET-20</v>
          </cell>
          <cell r="U666">
            <v>0</v>
          </cell>
        </row>
        <row r="667">
          <cell r="T667" t="str">
            <v>GET-25</v>
          </cell>
          <cell r="U667">
            <v>0</v>
          </cell>
        </row>
        <row r="668">
          <cell r="T668" t="str">
            <v>GET-32</v>
          </cell>
          <cell r="U668">
            <v>0</v>
          </cell>
        </row>
        <row r="669">
          <cell r="T669" t="str">
            <v>GET-40</v>
          </cell>
          <cell r="U669">
            <v>0</v>
          </cell>
        </row>
        <row r="670">
          <cell r="T670" t="str">
            <v>GET-50</v>
          </cell>
          <cell r="U670">
            <v>0</v>
          </cell>
        </row>
        <row r="671">
          <cell r="T671" t="str">
            <v>GET-63</v>
          </cell>
          <cell r="U671">
            <v>0</v>
          </cell>
        </row>
        <row r="672">
          <cell r="T672" t="str">
            <v>GET-75</v>
          </cell>
          <cell r="U672">
            <v>0</v>
          </cell>
        </row>
        <row r="673">
          <cell r="T673" t="str">
            <v>GEL-15</v>
          </cell>
          <cell r="U673">
            <v>0</v>
          </cell>
        </row>
        <row r="674">
          <cell r="T674" t="str">
            <v>GEL-20</v>
          </cell>
          <cell r="U674">
            <v>0</v>
          </cell>
        </row>
        <row r="675">
          <cell r="T675" t="str">
            <v>GEL-25</v>
          </cell>
          <cell r="U675">
            <v>0</v>
          </cell>
        </row>
        <row r="676">
          <cell r="T676" t="str">
            <v>GEL-32</v>
          </cell>
          <cell r="U676">
            <v>0</v>
          </cell>
        </row>
        <row r="677">
          <cell r="T677" t="str">
            <v>GEL-40</v>
          </cell>
          <cell r="U677">
            <v>0</v>
          </cell>
        </row>
        <row r="678">
          <cell r="T678" t="str">
            <v>GEL-50</v>
          </cell>
          <cell r="U678">
            <v>0</v>
          </cell>
        </row>
        <row r="679">
          <cell r="T679" t="str">
            <v>GEL-63</v>
          </cell>
          <cell r="U679">
            <v>0</v>
          </cell>
        </row>
        <row r="680">
          <cell r="T680" t="str">
            <v>GEL-75</v>
          </cell>
          <cell r="U680">
            <v>0</v>
          </cell>
        </row>
        <row r="681">
          <cell r="T681" t="str">
            <v>GBR-15</v>
          </cell>
          <cell r="U681">
            <v>0</v>
          </cell>
        </row>
        <row r="682">
          <cell r="T682" t="str">
            <v>GBR-20</v>
          </cell>
          <cell r="U682">
            <v>0</v>
          </cell>
        </row>
        <row r="683">
          <cell r="T683" t="str">
            <v>GBR-25</v>
          </cell>
          <cell r="U683">
            <v>0</v>
          </cell>
        </row>
        <row r="684">
          <cell r="T684" t="str">
            <v>GBR-32</v>
          </cell>
          <cell r="U684">
            <v>0</v>
          </cell>
        </row>
        <row r="685">
          <cell r="T685" t="str">
            <v>GBR-40</v>
          </cell>
          <cell r="U685">
            <v>0</v>
          </cell>
        </row>
        <row r="686">
          <cell r="T686" t="str">
            <v>GBR-50</v>
          </cell>
          <cell r="U686">
            <v>0</v>
          </cell>
        </row>
        <row r="687">
          <cell r="T687" t="str">
            <v>GBR-63</v>
          </cell>
          <cell r="U687">
            <v>0</v>
          </cell>
        </row>
        <row r="688">
          <cell r="T688" t="str">
            <v>GBR-75</v>
          </cell>
          <cell r="U688">
            <v>0</v>
          </cell>
        </row>
        <row r="689">
          <cell r="T689" t="str">
            <v>GUN-15</v>
          </cell>
          <cell r="U689">
            <v>0</v>
          </cell>
        </row>
        <row r="690">
          <cell r="T690" t="str">
            <v>GUN-20</v>
          </cell>
          <cell r="U690">
            <v>0</v>
          </cell>
        </row>
        <row r="691">
          <cell r="T691" t="str">
            <v>GUN-25</v>
          </cell>
          <cell r="U691">
            <v>0</v>
          </cell>
        </row>
        <row r="692">
          <cell r="T692" t="str">
            <v>GUN-32</v>
          </cell>
          <cell r="U692">
            <v>0</v>
          </cell>
        </row>
        <row r="693">
          <cell r="T693" t="str">
            <v>GUN-40</v>
          </cell>
          <cell r="U693">
            <v>0</v>
          </cell>
        </row>
        <row r="694">
          <cell r="T694" t="str">
            <v>GUN-50</v>
          </cell>
          <cell r="U694">
            <v>0</v>
          </cell>
        </row>
        <row r="695">
          <cell r="T695" t="str">
            <v>GUN-63</v>
          </cell>
          <cell r="U695">
            <v>0</v>
          </cell>
        </row>
        <row r="696">
          <cell r="T696" t="str">
            <v>GUN-75</v>
          </cell>
          <cell r="U696">
            <v>0</v>
          </cell>
        </row>
        <row r="697">
          <cell r="T697" t="str">
            <v>GNI-15</v>
          </cell>
          <cell r="U697">
            <v>0</v>
          </cell>
        </row>
        <row r="698">
          <cell r="T698" t="str">
            <v>GNI-20</v>
          </cell>
          <cell r="U698">
            <v>0</v>
          </cell>
        </row>
        <row r="699">
          <cell r="T699" t="str">
            <v>GNI-25</v>
          </cell>
          <cell r="U699">
            <v>0</v>
          </cell>
        </row>
        <row r="700">
          <cell r="T700" t="str">
            <v>GNI-32</v>
          </cell>
          <cell r="U700">
            <v>0</v>
          </cell>
        </row>
        <row r="701">
          <cell r="T701" t="str">
            <v>GNI-40</v>
          </cell>
          <cell r="U701">
            <v>0</v>
          </cell>
        </row>
        <row r="702">
          <cell r="T702" t="str">
            <v>GNI-50</v>
          </cell>
          <cell r="U702">
            <v>0</v>
          </cell>
        </row>
        <row r="703">
          <cell r="T703" t="str">
            <v>GNI-63</v>
          </cell>
          <cell r="U703">
            <v>0</v>
          </cell>
        </row>
        <row r="704">
          <cell r="T704" t="str">
            <v>GNI-75</v>
          </cell>
          <cell r="U704">
            <v>0</v>
          </cell>
        </row>
        <row r="705">
          <cell r="T705" t="str">
            <v>BGAV-15</v>
          </cell>
          <cell r="U705">
            <v>0</v>
          </cell>
        </row>
        <row r="706">
          <cell r="T706" t="str">
            <v>BGAV-20</v>
          </cell>
          <cell r="U706">
            <v>0</v>
          </cell>
        </row>
        <row r="707">
          <cell r="T707" t="str">
            <v>BGAV-25</v>
          </cell>
          <cell r="U707">
            <v>0</v>
          </cell>
        </row>
        <row r="708">
          <cell r="T708" t="str">
            <v>BGAV-32</v>
          </cell>
          <cell r="U708">
            <v>0</v>
          </cell>
        </row>
        <row r="709">
          <cell r="T709" t="str">
            <v>BGAV-40</v>
          </cell>
          <cell r="U709">
            <v>0</v>
          </cell>
        </row>
        <row r="710">
          <cell r="T710" t="str">
            <v>BGAV-50</v>
          </cell>
          <cell r="U710">
            <v>0</v>
          </cell>
        </row>
        <row r="711">
          <cell r="T711" t="str">
            <v>BGAV-63</v>
          </cell>
          <cell r="U711">
            <v>0</v>
          </cell>
        </row>
        <row r="712">
          <cell r="T712" t="str">
            <v>BGAV-75</v>
          </cell>
          <cell r="U712">
            <v>0</v>
          </cell>
        </row>
        <row r="713">
          <cell r="T713" t="str">
            <v>GUT-20x15</v>
          </cell>
          <cell r="U713">
            <v>0</v>
          </cell>
        </row>
        <row r="714">
          <cell r="T714" t="str">
            <v>GUT-25x15</v>
          </cell>
          <cell r="U714">
            <v>0</v>
          </cell>
        </row>
        <row r="715">
          <cell r="T715" t="str">
            <v>GUT-32x15</v>
          </cell>
          <cell r="U715">
            <v>0</v>
          </cell>
        </row>
        <row r="716">
          <cell r="T716" t="str">
            <v>GUT-40x15</v>
          </cell>
          <cell r="U716">
            <v>0</v>
          </cell>
        </row>
        <row r="717">
          <cell r="T717" t="str">
            <v>GUT-50x15</v>
          </cell>
          <cell r="U717">
            <v>0</v>
          </cell>
        </row>
        <row r="718">
          <cell r="T718" t="str">
            <v>GUT-63x15</v>
          </cell>
          <cell r="U718">
            <v>0</v>
          </cell>
        </row>
        <row r="719">
          <cell r="T719" t="str">
            <v>GUT-75x15</v>
          </cell>
          <cell r="U719">
            <v>0</v>
          </cell>
        </row>
        <row r="720">
          <cell r="T720" t="str">
            <v>GEC-50</v>
          </cell>
          <cell r="U720">
            <v>0</v>
          </cell>
        </row>
        <row r="721">
          <cell r="T721" t="str">
            <v>BU-20</v>
          </cell>
          <cell r="U721">
            <v>0</v>
          </cell>
        </row>
        <row r="722">
          <cell r="T722" t="str">
            <v>BU-25</v>
          </cell>
          <cell r="U722">
            <v>0</v>
          </cell>
        </row>
        <row r="723">
          <cell r="T723" t="str">
            <v>BU-32</v>
          </cell>
          <cell r="U723">
            <v>0</v>
          </cell>
        </row>
        <row r="724">
          <cell r="T724" t="str">
            <v>BU-40</v>
          </cell>
          <cell r="U724">
            <v>0</v>
          </cell>
        </row>
        <row r="725">
          <cell r="T725" t="str">
            <v>GHF-50</v>
          </cell>
          <cell r="U725">
            <v>0</v>
          </cell>
        </row>
        <row r="726">
          <cell r="T726" t="str">
            <v>GHF-63</v>
          </cell>
          <cell r="U726">
            <v>0</v>
          </cell>
        </row>
        <row r="727">
          <cell r="T727" t="str">
            <v>GHF-75</v>
          </cell>
          <cell r="U727">
            <v>0</v>
          </cell>
        </row>
        <row r="728">
          <cell r="T728" t="str">
            <v>GHF-90</v>
          </cell>
          <cell r="U728">
            <v>0</v>
          </cell>
        </row>
        <row r="731">
          <cell r="T731" t="str">
            <v>GEL-25</v>
          </cell>
        </row>
        <row r="749">
          <cell r="T749" t="str">
            <v>HP10-20</v>
          </cell>
          <cell r="U749">
            <v>0</v>
          </cell>
        </row>
        <row r="750">
          <cell r="T750" t="str">
            <v>HP10-25</v>
          </cell>
          <cell r="U750">
            <v>0</v>
          </cell>
        </row>
        <row r="751">
          <cell r="T751" t="str">
            <v>HP10-32</v>
          </cell>
          <cell r="U751">
            <v>0</v>
          </cell>
        </row>
        <row r="752">
          <cell r="T752" t="str">
            <v>HP10-40</v>
          </cell>
          <cell r="U752">
            <v>0</v>
          </cell>
        </row>
        <row r="753">
          <cell r="T753" t="str">
            <v>HP10-50</v>
          </cell>
          <cell r="U753">
            <v>0</v>
          </cell>
        </row>
        <row r="754">
          <cell r="T754" t="str">
            <v>HP10-63</v>
          </cell>
          <cell r="U754">
            <v>0</v>
          </cell>
        </row>
        <row r="755">
          <cell r="T755" t="str">
            <v>HP6-75</v>
          </cell>
          <cell r="U755">
            <v>0</v>
          </cell>
        </row>
        <row r="756">
          <cell r="T756" t="str">
            <v>HP4-90</v>
          </cell>
          <cell r="U756">
            <v>0</v>
          </cell>
        </row>
        <row r="757">
          <cell r="T757" t="str">
            <v>HP2.5-90</v>
          </cell>
        </row>
        <row r="759">
          <cell r="T759" t="str">
            <v>HEL-20</v>
          </cell>
          <cell r="U759">
            <v>0</v>
          </cell>
        </row>
        <row r="760">
          <cell r="T760" t="str">
            <v>HEL-25</v>
          </cell>
          <cell r="U760">
            <v>0</v>
          </cell>
        </row>
        <row r="761">
          <cell r="T761" t="str">
            <v>HEL-32</v>
          </cell>
          <cell r="U761">
            <v>0</v>
          </cell>
        </row>
        <row r="762">
          <cell r="T762" t="str">
            <v>HEL-40</v>
          </cell>
          <cell r="U762">
            <v>0</v>
          </cell>
        </row>
        <row r="763">
          <cell r="T763" t="str">
            <v>HEL-50</v>
          </cell>
          <cell r="U763">
            <v>0</v>
          </cell>
        </row>
        <row r="764">
          <cell r="T764" t="str">
            <v>HEL-63</v>
          </cell>
          <cell r="U764">
            <v>0</v>
          </cell>
        </row>
        <row r="765">
          <cell r="T765" t="str">
            <v>HEL-75</v>
          </cell>
          <cell r="U765">
            <v>0</v>
          </cell>
        </row>
        <row r="766">
          <cell r="T766" t="str">
            <v>HEL-90</v>
          </cell>
          <cell r="U766">
            <v>0</v>
          </cell>
        </row>
        <row r="767">
          <cell r="T767" t="str">
            <v>HET-20</v>
          </cell>
          <cell r="U767">
            <v>0</v>
          </cell>
        </row>
        <row r="768">
          <cell r="T768" t="str">
            <v>HET-25</v>
          </cell>
          <cell r="U768">
            <v>0</v>
          </cell>
        </row>
        <row r="769">
          <cell r="T769" t="str">
            <v>HET-32</v>
          </cell>
          <cell r="U769">
            <v>0</v>
          </cell>
        </row>
        <row r="770">
          <cell r="T770" t="str">
            <v>HET-40</v>
          </cell>
          <cell r="U770">
            <v>0</v>
          </cell>
        </row>
        <row r="771">
          <cell r="T771" t="str">
            <v>HET-50</v>
          </cell>
          <cell r="U771">
            <v>0</v>
          </cell>
        </row>
        <row r="772">
          <cell r="T772" t="str">
            <v>HET-63</v>
          </cell>
          <cell r="U772">
            <v>0</v>
          </cell>
        </row>
        <row r="773">
          <cell r="T773" t="str">
            <v>HET-75</v>
          </cell>
          <cell r="U773">
            <v>0</v>
          </cell>
        </row>
        <row r="774">
          <cell r="T774" t="str">
            <v>HET-90</v>
          </cell>
          <cell r="U774">
            <v>0</v>
          </cell>
        </row>
        <row r="775">
          <cell r="T775" t="str">
            <v>GSO-15</v>
          </cell>
          <cell r="U775">
            <v>0</v>
          </cell>
        </row>
        <row r="776">
          <cell r="T776" t="str">
            <v>GSO-20</v>
          </cell>
          <cell r="U776">
            <v>0</v>
          </cell>
        </row>
        <row r="777">
          <cell r="T777" t="str">
            <v>GSO-25</v>
          </cell>
          <cell r="U777">
            <v>0</v>
          </cell>
        </row>
        <row r="778">
          <cell r="T778" t="str">
            <v>PSO-40</v>
          </cell>
          <cell r="U778">
            <v>0</v>
          </cell>
        </row>
        <row r="779">
          <cell r="T779" t="str">
            <v>PSO-50</v>
          </cell>
          <cell r="U779">
            <v>0</v>
          </cell>
        </row>
        <row r="780">
          <cell r="T780" t="str">
            <v>PSO-63</v>
          </cell>
          <cell r="U780">
            <v>0</v>
          </cell>
        </row>
        <row r="781">
          <cell r="T781" t="str">
            <v>PSO-75</v>
          </cell>
          <cell r="U781">
            <v>0</v>
          </cell>
        </row>
        <row r="782">
          <cell r="T782" t="str">
            <v>PSO-90</v>
          </cell>
          <cell r="U782">
            <v>0</v>
          </cell>
        </row>
        <row r="783">
          <cell r="T783" t="str">
            <v>GNI-15</v>
          </cell>
          <cell r="U783">
            <v>0</v>
          </cell>
        </row>
        <row r="784">
          <cell r="T784" t="str">
            <v>GNI-20</v>
          </cell>
          <cell r="U784">
            <v>0</v>
          </cell>
        </row>
        <row r="785">
          <cell r="T785" t="str">
            <v>GNI-25</v>
          </cell>
          <cell r="U785">
            <v>0</v>
          </cell>
        </row>
        <row r="786">
          <cell r="T786" t="str">
            <v>PNI-40</v>
          </cell>
          <cell r="U786">
            <v>0</v>
          </cell>
        </row>
        <row r="787">
          <cell r="T787" t="str">
            <v>PNI-50</v>
          </cell>
          <cell r="U787">
            <v>0</v>
          </cell>
        </row>
        <row r="788">
          <cell r="T788" t="str">
            <v>PNI-63</v>
          </cell>
          <cell r="U788">
            <v>0</v>
          </cell>
        </row>
        <row r="789">
          <cell r="T789" t="str">
            <v>PNI-75</v>
          </cell>
          <cell r="U789">
            <v>0</v>
          </cell>
        </row>
        <row r="790">
          <cell r="T790" t="str">
            <v>PNI-90</v>
          </cell>
          <cell r="U790">
            <v>0</v>
          </cell>
        </row>
        <row r="791">
          <cell r="T791" t="str">
            <v>BGAV-15</v>
          </cell>
          <cell r="U791">
            <v>0</v>
          </cell>
        </row>
        <row r="792">
          <cell r="T792" t="str">
            <v>BGAV-20</v>
          </cell>
          <cell r="U792">
            <v>0</v>
          </cell>
        </row>
        <row r="793">
          <cell r="T793" t="str">
            <v>BGAV-25</v>
          </cell>
          <cell r="U793">
            <v>0</v>
          </cell>
        </row>
        <row r="794">
          <cell r="T794" t="str">
            <v>PGAV-40</v>
          </cell>
          <cell r="U794">
            <v>0</v>
          </cell>
        </row>
        <row r="795">
          <cell r="T795" t="str">
            <v>PGAV-50</v>
          </cell>
          <cell r="U795">
            <v>0</v>
          </cell>
        </row>
        <row r="796">
          <cell r="T796" t="str">
            <v>PGAV-63</v>
          </cell>
          <cell r="U796">
            <v>0</v>
          </cell>
        </row>
        <row r="797">
          <cell r="T797" t="str">
            <v>PGAV-75</v>
          </cell>
          <cell r="U797">
            <v>0</v>
          </cell>
        </row>
        <row r="798">
          <cell r="T798" t="str">
            <v>PGAV-90</v>
          </cell>
          <cell r="U798">
            <v>0</v>
          </cell>
        </row>
        <row r="799">
          <cell r="T799" t="str">
            <v>PGAV-63</v>
          </cell>
          <cell r="U799">
            <v>0</v>
          </cell>
        </row>
        <row r="800">
          <cell r="T800" t="str">
            <v>PET-20</v>
          </cell>
          <cell r="U800">
            <v>0</v>
          </cell>
        </row>
        <row r="801">
          <cell r="T801" t="str">
            <v>PUT-25x20</v>
          </cell>
          <cell r="U801">
            <v>0</v>
          </cell>
        </row>
        <row r="802">
          <cell r="T802" t="str">
            <v>PUT-32x20</v>
          </cell>
          <cell r="U802">
            <v>0</v>
          </cell>
        </row>
        <row r="803">
          <cell r="T803" t="str">
            <v>PUT-40x20</v>
          </cell>
          <cell r="U803">
            <v>0</v>
          </cell>
        </row>
        <row r="804">
          <cell r="T804" t="str">
            <v>PUT-50x20</v>
          </cell>
          <cell r="U804">
            <v>0</v>
          </cell>
        </row>
        <row r="805">
          <cell r="T805" t="str">
            <v>PUT-63x20</v>
          </cell>
          <cell r="U805">
            <v>0</v>
          </cell>
        </row>
        <row r="806">
          <cell r="T806" t="str">
            <v>PUT-75x20</v>
          </cell>
          <cell r="U806">
            <v>0</v>
          </cell>
        </row>
        <row r="807">
          <cell r="T807" t="str">
            <v>PUT-90x20</v>
          </cell>
          <cell r="U807">
            <v>0</v>
          </cell>
        </row>
        <row r="808">
          <cell r="T808" t="str">
            <v>PUT-63x32</v>
          </cell>
          <cell r="U808">
            <v>0</v>
          </cell>
        </row>
        <row r="809">
          <cell r="T809" t="str">
            <v>BFLV-15</v>
          </cell>
          <cell r="U809">
            <v>0</v>
          </cell>
        </row>
        <row r="810">
          <cell r="T810" t="str">
            <v>BFLV-20</v>
          </cell>
          <cell r="U810">
            <v>0</v>
          </cell>
        </row>
        <row r="811">
          <cell r="T811" t="str">
            <v>BFLV-25</v>
          </cell>
          <cell r="U811">
            <v>0</v>
          </cell>
        </row>
        <row r="812">
          <cell r="T812" t="str">
            <v>BFLV-32</v>
          </cell>
          <cell r="U812">
            <v>0</v>
          </cell>
        </row>
        <row r="813">
          <cell r="T813" t="str">
            <v>BFLV-40</v>
          </cell>
          <cell r="U813">
            <v>0</v>
          </cell>
        </row>
        <row r="814">
          <cell r="T814" t="str">
            <v>BFLV-50</v>
          </cell>
          <cell r="U814">
            <v>0</v>
          </cell>
        </row>
        <row r="815">
          <cell r="T815" t="str">
            <v>BFLV-63</v>
          </cell>
          <cell r="U815">
            <v>0</v>
          </cell>
        </row>
        <row r="816">
          <cell r="T816" t="str">
            <v>BFLV-75</v>
          </cell>
          <cell r="U816">
            <v>0</v>
          </cell>
        </row>
        <row r="817">
          <cell r="T817" t="str">
            <v>PEL-63</v>
          </cell>
          <cell r="U817">
            <v>0</v>
          </cell>
        </row>
        <row r="818">
          <cell r="T818" t="str">
            <v>PEC-63</v>
          </cell>
          <cell r="U818">
            <v>0</v>
          </cell>
        </row>
        <row r="819">
          <cell r="T819" t="str">
            <v>BU-20</v>
          </cell>
          <cell r="U819">
            <v>0</v>
          </cell>
        </row>
        <row r="820">
          <cell r="T820" t="str">
            <v>BU-25</v>
          </cell>
          <cell r="U820">
            <v>0</v>
          </cell>
        </row>
        <row r="821">
          <cell r="T821" t="str">
            <v>BU-32</v>
          </cell>
          <cell r="U821">
            <v>0</v>
          </cell>
        </row>
        <row r="822">
          <cell r="T822" t="str">
            <v>PHF-40</v>
          </cell>
          <cell r="U822">
            <v>0</v>
          </cell>
        </row>
        <row r="823">
          <cell r="T823" t="str">
            <v>PHF-50</v>
          </cell>
          <cell r="U823">
            <v>0</v>
          </cell>
        </row>
        <row r="824">
          <cell r="T824" t="str">
            <v>PHF-63</v>
          </cell>
          <cell r="U824">
            <v>0</v>
          </cell>
        </row>
        <row r="825">
          <cell r="T825" t="str">
            <v>PHF-75</v>
          </cell>
          <cell r="U825">
            <v>0</v>
          </cell>
        </row>
        <row r="826">
          <cell r="T826" t="str">
            <v>PHF-90</v>
          </cell>
          <cell r="U826">
            <v>0</v>
          </cell>
        </row>
        <row r="829">
          <cell r="T829" t="str">
            <v>GEL-25</v>
          </cell>
        </row>
        <row r="847">
          <cell r="T847" t="str">
            <v>HP2.5-75</v>
          </cell>
          <cell r="U847">
            <v>0</v>
          </cell>
        </row>
        <row r="848">
          <cell r="T848" t="str">
            <v>HP6-50</v>
          </cell>
          <cell r="U848">
            <v>0</v>
          </cell>
        </row>
        <row r="850">
          <cell r="T850" t="str">
            <v>GPM-15</v>
          </cell>
          <cell r="U850">
            <v>0</v>
          </cell>
        </row>
        <row r="851">
          <cell r="T851" t="str">
            <v>GPM-20</v>
          </cell>
          <cell r="U851">
            <v>0</v>
          </cell>
        </row>
        <row r="852">
          <cell r="T852" t="str">
            <v>GPM-25</v>
          </cell>
          <cell r="U852">
            <v>0</v>
          </cell>
        </row>
        <row r="853">
          <cell r="T853" t="str">
            <v>GPM-32</v>
          </cell>
          <cell r="U853">
            <v>0</v>
          </cell>
        </row>
        <row r="854">
          <cell r="T854" t="str">
            <v>GPM-40</v>
          </cell>
          <cell r="U854">
            <v>0</v>
          </cell>
        </row>
        <row r="855">
          <cell r="T855" t="str">
            <v>GPM-50</v>
          </cell>
          <cell r="U855">
            <v>0</v>
          </cell>
        </row>
        <row r="856">
          <cell r="T856" t="str">
            <v>GPM-63</v>
          </cell>
          <cell r="U856">
            <v>0</v>
          </cell>
        </row>
        <row r="857">
          <cell r="T857" t="str">
            <v>GPM-75</v>
          </cell>
          <cell r="U857">
            <v>0</v>
          </cell>
        </row>
        <row r="859">
          <cell r="T859" t="str">
            <v>GET-15</v>
          </cell>
          <cell r="U859">
            <v>0</v>
          </cell>
        </row>
        <row r="860">
          <cell r="T860" t="str">
            <v>GET-20</v>
          </cell>
          <cell r="U860">
            <v>0</v>
          </cell>
        </row>
        <row r="861">
          <cell r="T861" t="str">
            <v>GET-25</v>
          </cell>
          <cell r="U861">
            <v>0</v>
          </cell>
        </row>
        <row r="862">
          <cell r="T862" t="str">
            <v>GET-32</v>
          </cell>
          <cell r="U862">
            <v>0</v>
          </cell>
        </row>
        <row r="863">
          <cell r="T863" t="str">
            <v>GET-40</v>
          </cell>
          <cell r="U863">
            <v>0</v>
          </cell>
        </row>
        <row r="864">
          <cell r="T864" t="str">
            <v>GET-50</v>
          </cell>
          <cell r="U864">
            <v>0</v>
          </cell>
        </row>
        <row r="865">
          <cell r="T865" t="str">
            <v>GET-63</v>
          </cell>
          <cell r="U865">
            <v>0</v>
          </cell>
        </row>
        <row r="866">
          <cell r="T866" t="str">
            <v>GET-75</v>
          </cell>
          <cell r="U866">
            <v>0</v>
          </cell>
        </row>
        <row r="867">
          <cell r="T867" t="str">
            <v>GEL-15</v>
          </cell>
          <cell r="U867">
            <v>0</v>
          </cell>
        </row>
        <row r="868">
          <cell r="T868" t="str">
            <v>GEL-20</v>
          </cell>
          <cell r="U868">
            <v>0</v>
          </cell>
        </row>
        <row r="869">
          <cell r="T869" t="str">
            <v>GEL-25</v>
          </cell>
          <cell r="U869">
            <v>0</v>
          </cell>
        </row>
        <row r="870">
          <cell r="T870" t="str">
            <v>GEL-32</v>
          </cell>
          <cell r="U870">
            <v>0</v>
          </cell>
        </row>
        <row r="871">
          <cell r="T871" t="str">
            <v>GEL-40</v>
          </cell>
          <cell r="U871">
            <v>0</v>
          </cell>
        </row>
        <row r="872">
          <cell r="T872" t="str">
            <v>GEL-50</v>
          </cell>
          <cell r="U872">
            <v>0</v>
          </cell>
        </row>
        <row r="873">
          <cell r="T873" t="str">
            <v>GEL-63</v>
          </cell>
          <cell r="U873">
            <v>0</v>
          </cell>
        </row>
        <row r="874">
          <cell r="T874" t="str">
            <v>GEL-75</v>
          </cell>
          <cell r="U874">
            <v>0</v>
          </cell>
        </row>
        <row r="875">
          <cell r="T875" t="str">
            <v>GBN-15</v>
          </cell>
          <cell r="U875">
            <v>0</v>
          </cell>
        </row>
        <row r="876">
          <cell r="T876" t="str">
            <v>GBN-20</v>
          </cell>
          <cell r="U876">
            <v>0</v>
          </cell>
        </row>
        <row r="877">
          <cell r="T877" t="str">
            <v>GBN-25</v>
          </cell>
          <cell r="U877">
            <v>0</v>
          </cell>
        </row>
        <row r="878">
          <cell r="T878" t="str">
            <v>GBN-32</v>
          </cell>
          <cell r="U878">
            <v>0</v>
          </cell>
        </row>
        <row r="879">
          <cell r="T879" t="str">
            <v>GBN-40</v>
          </cell>
          <cell r="U879">
            <v>0</v>
          </cell>
        </row>
        <row r="880">
          <cell r="T880" t="str">
            <v>GBN-50</v>
          </cell>
          <cell r="U880">
            <v>0</v>
          </cell>
        </row>
        <row r="881">
          <cell r="T881" t="str">
            <v>GBN-63</v>
          </cell>
          <cell r="U881">
            <v>0</v>
          </cell>
        </row>
        <row r="882">
          <cell r="T882" t="str">
            <v>GBN-75</v>
          </cell>
          <cell r="U882">
            <v>0</v>
          </cell>
        </row>
        <row r="883">
          <cell r="T883" t="str">
            <v>GSO-15</v>
          </cell>
          <cell r="U883">
            <v>0</v>
          </cell>
        </row>
        <row r="884">
          <cell r="T884" t="str">
            <v>GSO-20</v>
          </cell>
          <cell r="U884">
            <v>0</v>
          </cell>
        </row>
        <row r="885">
          <cell r="T885" t="str">
            <v>GSO-25</v>
          </cell>
          <cell r="U885">
            <v>0</v>
          </cell>
        </row>
        <row r="886">
          <cell r="T886" t="str">
            <v>GSO-32</v>
          </cell>
          <cell r="U886">
            <v>0</v>
          </cell>
        </row>
        <row r="887">
          <cell r="T887" t="str">
            <v>GSO-40</v>
          </cell>
          <cell r="U887">
            <v>0</v>
          </cell>
        </row>
        <row r="888">
          <cell r="T888" t="str">
            <v>GSO-50</v>
          </cell>
          <cell r="U888">
            <v>0</v>
          </cell>
        </row>
        <row r="889">
          <cell r="T889" t="str">
            <v>GSO-63</v>
          </cell>
          <cell r="U889">
            <v>0</v>
          </cell>
        </row>
        <row r="890">
          <cell r="T890" t="str">
            <v>GSO-75</v>
          </cell>
          <cell r="U890">
            <v>0</v>
          </cell>
        </row>
        <row r="891">
          <cell r="T891" t="str">
            <v>GNI-15</v>
          </cell>
          <cell r="U891">
            <v>0</v>
          </cell>
        </row>
        <row r="892">
          <cell r="T892" t="str">
            <v>GNI-20</v>
          </cell>
          <cell r="U892">
            <v>0</v>
          </cell>
        </row>
        <row r="893">
          <cell r="T893" t="str">
            <v>GNI-25</v>
          </cell>
          <cell r="U893">
            <v>0</v>
          </cell>
        </row>
        <row r="894">
          <cell r="T894" t="str">
            <v>GNI-32</v>
          </cell>
          <cell r="U894">
            <v>0</v>
          </cell>
        </row>
        <row r="895">
          <cell r="T895" t="str">
            <v>GNI-40</v>
          </cell>
          <cell r="U895">
            <v>0</v>
          </cell>
        </row>
        <row r="896">
          <cell r="T896" t="str">
            <v>GNI-50</v>
          </cell>
          <cell r="U896">
            <v>0</v>
          </cell>
        </row>
        <row r="897">
          <cell r="T897" t="str">
            <v>GNI-63</v>
          </cell>
          <cell r="U897">
            <v>0</v>
          </cell>
        </row>
        <row r="898">
          <cell r="T898" t="str">
            <v>GNI-75</v>
          </cell>
          <cell r="U898">
            <v>0</v>
          </cell>
        </row>
        <row r="899">
          <cell r="T899" t="str">
            <v>GUT-20x15</v>
          </cell>
          <cell r="U899">
            <v>0</v>
          </cell>
        </row>
        <row r="900">
          <cell r="T900" t="str">
            <v>GUT-25x15</v>
          </cell>
          <cell r="U900">
            <v>0</v>
          </cell>
        </row>
        <row r="901">
          <cell r="T901" t="str">
            <v>GUT-32x15</v>
          </cell>
          <cell r="U901">
            <v>0</v>
          </cell>
        </row>
        <row r="902">
          <cell r="T902" t="str">
            <v>GUT-40x15</v>
          </cell>
          <cell r="U902">
            <v>0</v>
          </cell>
        </row>
        <row r="903">
          <cell r="T903" t="str">
            <v>GUT-50x15</v>
          </cell>
          <cell r="U903">
            <v>0</v>
          </cell>
        </row>
        <row r="904">
          <cell r="T904" t="str">
            <v>GUT-63x15</v>
          </cell>
          <cell r="U904">
            <v>0</v>
          </cell>
        </row>
        <row r="905">
          <cell r="T905" t="str">
            <v>GUT-75x15</v>
          </cell>
          <cell r="U905">
            <v>0</v>
          </cell>
        </row>
        <row r="906">
          <cell r="T906" t="str">
            <v>GRS-25x15</v>
          </cell>
          <cell r="U906">
            <v>0</v>
          </cell>
        </row>
        <row r="907">
          <cell r="T907" t="str">
            <v>GEC-40</v>
          </cell>
          <cell r="U907">
            <v>0</v>
          </cell>
        </row>
        <row r="908">
          <cell r="T908" t="str">
            <v>BU-20</v>
          </cell>
          <cell r="U908">
            <v>0</v>
          </cell>
        </row>
        <row r="909">
          <cell r="T909" t="str">
            <v>BU-25</v>
          </cell>
          <cell r="U909">
            <v>0</v>
          </cell>
        </row>
        <row r="910">
          <cell r="T910" t="str">
            <v>BU-32</v>
          </cell>
          <cell r="U910">
            <v>0</v>
          </cell>
        </row>
        <row r="911">
          <cell r="T911" t="str">
            <v>BU-40</v>
          </cell>
          <cell r="U911">
            <v>0</v>
          </cell>
        </row>
        <row r="912">
          <cell r="T912" t="str">
            <v>GHF-50</v>
          </cell>
          <cell r="U912">
            <v>0</v>
          </cell>
        </row>
        <row r="913">
          <cell r="T913" t="str">
            <v>GHF-63</v>
          </cell>
          <cell r="U913">
            <v>0</v>
          </cell>
        </row>
        <row r="914">
          <cell r="T914" t="str">
            <v>GHF-75</v>
          </cell>
          <cell r="U914">
            <v>0</v>
          </cell>
        </row>
        <row r="915">
          <cell r="T915" t="str">
            <v>GHF-90</v>
          </cell>
          <cell r="U915">
            <v>0</v>
          </cell>
        </row>
        <row r="918">
          <cell r="T918" t="str">
            <v>GEL-25</v>
          </cell>
        </row>
        <row r="936">
          <cell r="T936" t="str">
            <v>HP10-20</v>
          </cell>
          <cell r="U936">
            <v>0</v>
          </cell>
        </row>
        <row r="937">
          <cell r="T937" t="str">
            <v>HP10-25</v>
          </cell>
          <cell r="U937">
            <v>0</v>
          </cell>
        </row>
        <row r="938">
          <cell r="T938" t="str">
            <v>HP10-32</v>
          </cell>
          <cell r="U938">
            <v>0</v>
          </cell>
        </row>
        <row r="939">
          <cell r="T939" t="str">
            <v>HP10-40</v>
          </cell>
          <cell r="U939">
            <v>0</v>
          </cell>
        </row>
        <row r="940">
          <cell r="T940" t="str">
            <v>HP10-50</v>
          </cell>
          <cell r="U940">
            <v>0</v>
          </cell>
        </row>
        <row r="941">
          <cell r="T941" t="str">
            <v>HP10-63</v>
          </cell>
          <cell r="U941">
            <v>0</v>
          </cell>
        </row>
        <row r="942">
          <cell r="T942" t="str">
            <v>HP6-75</v>
          </cell>
          <cell r="U942">
            <v>0</v>
          </cell>
        </row>
        <row r="943">
          <cell r="T943" t="str">
            <v>HP4-90</v>
          </cell>
          <cell r="U943">
            <v>0</v>
          </cell>
        </row>
        <row r="944">
          <cell r="T944" t="str">
            <v>HP2.5-90</v>
          </cell>
        </row>
        <row r="946">
          <cell r="T946" t="str">
            <v>HEL-20</v>
          </cell>
          <cell r="U946">
            <v>0</v>
          </cell>
        </row>
        <row r="947">
          <cell r="T947" t="str">
            <v>HEL-25</v>
          </cell>
          <cell r="U947">
            <v>0</v>
          </cell>
        </row>
        <row r="948">
          <cell r="T948" t="str">
            <v>HEL-32</v>
          </cell>
          <cell r="U948">
            <v>0</v>
          </cell>
        </row>
        <row r="949">
          <cell r="T949" t="str">
            <v>HEL-40</v>
          </cell>
          <cell r="U949">
            <v>0</v>
          </cell>
        </row>
        <row r="950">
          <cell r="T950" t="str">
            <v>HEL-50</v>
          </cell>
          <cell r="U950">
            <v>0</v>
          </cell>
        </row>
        <row r="951">
          <cell r="T951" t="str">
            <v>HEL-63</v>
          </cell>
          <cell r="U951">
            <v>0</v>
          </cell>
        </row>
        <row r="952">
          <cell r="T952" t="str">
            <v>HEL-75</v>
          </cell>
          <cell r="U952">
            <v>0</v>
          </cell>
        </row>
        <row r="953">
          <cell r="T953" t="str">
            <v>HEL-90</v>
          </cell>
          <cell r="U953">
            <v>0</v>
          </cell>
        </row>
        <row r="954">
          <cell r="T954" t="str">
            <v>GSO-15</v>
          </cell>
          <cell r="U954">
            <v>0</v>
          </cell>
        </row>
        <row r="955">
          <cell r="T955" t="str">
            <v>GSO-20</v>
          </cell>
          <cell r="U955">
            <v>0</v>
          </cell>
        </row>
        <row r="956">
          <cell r="T956" t="str">
            <v>GSO-25</v>
          </cell>
          <cell r="U956">
            <v>0</v>
          </cell>
        </row>
        <row r="957">
          <cell r="T957" t="str">
            <v>PSO-40</v>
          </cell>
          <cell r="U957">
            <v>0</v>
          </cell>
        </row>
        <row r="958">
          <cell r="T958" t="str">
            <v>PSO-50</v>
          </cell>
          <cell r="U958">
            <v>0</v>
          </cell>
        </row>
        <row r="959">
          <cell r="T959" t="str">
            <v>PSO-63</v>
          </cell>
          <cell r="U959">
            <v>0</v>
          </cell>
        </row>
        <row r="960">
          <cell r="T960" t="str">
            <v>PSO-75</v>
          </cell>
          <cell r="U960">
            <v>0</v>
          </cell>
        </row>
        <row r="961">
          <cell r="T961" t="str">
            <v>PSO-90</v>
          </cell>
          <cell r="U961">
            <v>0</v>
          </cell>
        </row>
        <row r="962">
          <cell r="T962" t="str">
            <v>GBN-15</v>
          </cell>
          <cell r="U962">
            <v>0</v>
          </cell>
        </row>
        <row r="963">
          <cell r="T963" t="str">
            <v>GBN-20</v>
          </cell>
          <cell r="U963">
            <v>0</v>
          </cell>
        </row>
        <row r="964">
          <cell r="T964" t="str">
            <v>GBN-25</v>
          </cell>
          <cell r="U964">
            <v>0</v>
          </cell>
        </row>
        <row r="965">
          <cell r="T965" t="str">
            <v>PBN-40</v>
          </cell>
          <cell r="U965">
            <v>0</v>
          </cell>
        </row>
        <row r="966">
          <cell r="T966" t="str">
            <v>PBN-50</v>
          </cell>
          <cell r="U966">
            <v>0</v>
          </cell>
        </row>
        <row r="967">
          <cell r="T967" t="str">
            <v>PBN-63</v>
          </cell>
          <cell r="U967">
            <v>0</v>
          </cell>
        </row>
        <row r="968">
          <cell r="T968" t="str">
            <v>PBN-75</v>
          </cell>
          <cell r="U968">
            <v>0</v>
          </cell>
        </row>
        <row r="969">
          <cell r="T969" t="str">
            <v>PBN-90</v>
          </cell>
          <cell r="U969">
            <v>0</v>
          </cell>
        </row>
        <row r="970">
          <cell r="T970" t="str">
            <v>RW-20</v>
          </cell>
          <cell r="U970">
            <v>0</v>
          </cell>
        </row>
        <row r="971">
          <cell r="T971" t="str">
            <v>RW-25</v>
          </cell>
          <cell r="U971">
            <v>0</v>
          </cell>
        </row>
        <row r="972">
          <cell r="T972" t="str">
            <v>RW-32</v>
          </cell>
          <cell r="U972">
            <v>0</v>
          </cell>
        </row>
        <row r="973">
          <cell r="T973" t="str">
            <v>RW-40</v>
          </cell>
          <cell r="U973">
            <v>0</v>
          </cell>
        </row>
        <row r="974">
          <cell r="T974" t="str">
            <v>RW-50</v>
          </cell>
          <cell r="U974">
            <v>0</v>
          </cell>
        </row>
        <row r="975">
          <cell r="T975" t="str">
            <v>RW-63</v>
          </cell>
          <cell r="U975">
            <v>0</v>
          </cell>
        </row>
        <row r="976">
          <cell r="T976" t="str">
            <v>RW-75</v>
          </cell>
          <cell r="U976">
            <v>0</v>
          </cell>
        </row>
        <row r="977">
          <cell r="T977" t="str">
            <v>RW-90</v>
          </cell>
          <cell r="U977">
            <v>0</v>
          </cell>
        </row>
        <row r="978">
          <cell r="T978" t="str">
            <v>GNI-25</v>
          </cell>
          <cell r="U978">
            <v>0</v>
          </cell>
        </row>
        <row r="979">
          <cell r="T979" t="str">
            <v>PNI-20FT</v>
          </cell>
          <cell r="U979">
            <v>0</v>
          </cell>
        </row>
        <row r="980">
          <cell r="T980" t="str">
            <v>PNI-25FT</v>
          </cell>
          <cell r="U980">
            <v>0</v>
          </cell>
        </row>
        <row r="981">
          <cell r="T981" t="str">
            <v>PNI-32FT</v>
          </cell>
          <cell r="U981">
            <v>0</v>
          </cell>
        </row>
        <row r="982">
          <cell r="T982" t="str">
            <v>PNI-40FT</v>
          </cell>
          <cell r="U982">
            <v>0</v>
          </cell>
        </row>
        <row r="983">
          <cell r="T983" t="str">
            <v>PNI-50FT</v>
          </cell>
          <cell r="U983">
            <v>0</v>
          </cell>
        </row>
        <row r="984">
          <cell r="T984" t="str">
            <v>PNI-63FT</v>
          </cell>
          <cell r="U984">
            <v>0</v>
          </cell>
        </row>
        <row r="985">
          <cell r="T985" t="str">
            <v>PNI-75FT</v>
          </cell>
          <cell r="U985">
            <v>0</v>
          </cell>
        </row>
        <row r="986">
          <cell r="T986" t="str">
            <v>PNI-90FT</v>
          </cell>
          <cell r="U986">
            <v>0</v>
          </cell>
        </row>
        <row r="987">
          <cell r="T987" t="str">
            <v>GEC-25</v>
          </cell>
          <cell r="U987">
            <v>0</v>
          </cell>
        </row>
        <row r="988">
          <cell r="T988" t="str">
            <v>BU-20</v>
          </cell>
          <cell r="U988">
            <v>0</v>
          </cell>
        </row>
        <row r="989">
          <cell r="T989" t="str">
            <v>BU-25</v>
          </cell>
          <cell r="U989">
            <v>0</v>
          </cell>
        </row>
        <row r="990">
          <cell r="T990" t="str">
            <v>BU-32</v>
          </cell>
          <cell r="U990">
            <v>0</v>
          </cell>
        </row>
        <row r="991">
          <cell r="T991" t="str">
            <v>PHF-40</v>
          </cell>
          <cell r="U991">
            <v>0</v>
          </cell>
        </row>
        <row r="992">
          <cell r="T992" t="str">
            <v>PHF-50</v>
          </cell>
          <cell r="U992">
            <v>0</v>
          </cell>
        </row>
        <row r="993">
          <cell r="T993" t="str">
            <v>PHF-63</v>
          </cell>
          <cell r="U993">
            <v>0</v>
          </cell>
        </row>
        <row r="994">
          <cell r="T994" t="str">
            <v>PHF-75</v>
          </cell>
          <cell r="U994">
            <v>0</v>
          </cell>
        </row>
        <row r="995">
          <cell r="T995" t="str">
            <v>PHF-90</v>
          </cell>
          <cell r="U995">
            <v>0</v>
          </cell>
        </row>
        <row r="998">
          <cell r="T998" t="str">
            <v>GEL-25</v>
          </cell>
        </row>
        <row r="1016">
          <cell r="T1016" t="str">
            <v>HP2.5-75</v>
          </cell>
          <cell r="U1016">
            <v>6</v>
          </cell>
        </row>
        <row r="1018">
          <cell r="T1018" t="str">
            <v>GPM-15</v>
          </cell>
          <cell r="U1018">
            <v>5.3</v>
          </cell>
        </row>
        <row r="1019">
          <cell r="T1019" t="str">
            <v>GPM-20</v>
          </cell>
          <cell r="U1019">
            <v>0</v>
          </cell>
        </row>
        <row r="1020">
          <cell r="T1020" t="str">
            <v>GPM-25</v>
          </cell>
          <cell r="U1020">
            <v>4.68</v>
          </cell>
        </row>
        <row r="1021">
          <cell r="T1021" t="str">
            <v>GPM-32</v>
          </cell>
          <cell r="U1021">
            <v>0</v>
          </cell>
        </row>
        <row r="1022">
          <cell r="T1022" t="str">
            <v>GPM-40</v>
          </cell>
          <cell r="U1022">
            <v>0</v>
          </cell>
        </row>
        <row r="1023">
          <cell r="T1023" t="str">
            <v>GPM-50</v>
          </cell>
          <cell r="U1023">
            <v>11.7</v>
          </cell>
        </row>
        <row r="1024">
          <cell r="T1024" t="str">
            <v>GPM-63</v>
          </cell>
          <cell r="U1024">
            <v>0</v>
          </cell>
        </row>
        <row r="1025">
          <cell r="T1025" t="str">
            <v>GPM-75</v>
          </cell>
          <cell r="U1025">
            <v>0</v>
          </cell>
        </row>
        <row r="1027">
          <cell r="T1027" t="str">
            <v>GET-15</v>
          </cell>
          <cell r="U1027">
            <v>4</v>
          </cell>
        </row>
        <row r="1028">
          <cell r="T1028" t="str">
            <v>GEL-15</v>
          </cell>
          <cell r="U1028">
            <v>0</v>
          </cell>
        </row>
        <row r="1029">
          <cell r="T1029" t="str">
            <v>GEL-20</v>
          </cell>
          <cell r="U1029">
            <v>0</v>
          </cell>
        </row>
        <row r="1030">
          <cell r="T1030" t="str">
            <v>GEL-25</v>
          </cell>
          <cell r="U1030">
            <v>6</v>
          </cell>
        </row>
        <row r="1031">
          <cell r="T1031" t="str">
            <v>GEL-32</v>
          </cell>
          <cell r="U1031">
            <v>0</v>
          </cell>
        </row>
        <row r="1032">
          <cell r="T1032" t="str">
            <v>GEL-40</v>
          </cell>
          <cell r="U1032">
            <v>0</v>
          </cell>
        </row>
        <row r="1033">
          <cell r="T1033" t="str">
            <v>GEL-50</v>
          </cell>
          <cell r="U1033">
            <v>8</v>
          </cell>
        </row>
        <row r="1034">
          <cell r="T1034" t="str">
            <v>GEL-63</v>
          </cell>
          <cell r="U1034">
            <v>0</v>
          </cell>
        </row>
        <row r="1035">
          <cell r="T1035" t="str">
            <v>GEL-75</v>
          </cell>
          <cell r="U1035">
            <v>0</v>
          </cell>
        </row>
        <row r="1036">
          <cell r="T1036" t="str">
            <v>GBR-15</v>
          </cell>
          <cell r="U1036">
            <v>4</v>
          </cell>
        </row>
        <row r="1037">
          <cell r="T1037" t="str">
            <v>GBR-20</v>
          </cell>
          <cell r="U1037">
            <v>0</v>
          </cell>
        </row>
        <row r="1038">
          <cell r="T1038" t="str">
            <v>GBR-25</v>
          </cell>
          <cell r="U1038">
            <v>2</v>
          </cell>
        </row>
        <row r="1039">
          <cell r="T1039" t="str">
            <v>GBR-32</v>
          </cell>
          <cell r="U1039">
            <v>0</v>
          </cell>
        </row>
        <row r="1040">
          <cell r="T1040" t="str">
            <v>GBR-40</v>
          </cell>
          <cell r="U1040">
            <v>0</v>
          </cell>
        </row>
        <row r="1041">
          <cell r="T1041" t="str">
            <v>GBR-50</v>
          </cell>
          <cell r="U1041">
            <v>0</v>
          </cell>
        </row>
        <row r="1042">
          <cell r="T1042" t="str">
            <v>GBR-63</v>
          </cell>
          <cell r="U1042">
            <v>0</v>
          </cell>
        </row>
        <row r="1043">
          <cell r="T1043" t="str">
            <v>GBR-75</v>
          </cell>
          <cell r="U1043">
            <v>0</v>
          </cell>
        </row>
        <row r="1044">
          <cell r="T1044" t="str">
            <v>GSO-50</v>
          </cell>
          <cell r="U1044">
            <v>4</v>
          </cell>
        </row>
        <row r="1045">
          <cell r="T1045" t="str">
            <v>GSO-75</v>
          </cell>
          <cell r="U1045">
            <v>0</v>
          </cell>
        </row>
        <row r="1046">
          <cell r="T1046" t="str">
            <v>GRS-75x63</v>
          </cell>
          <cell r="U1046">
            <v>0</v>
          </cell>
        </row>
        <row r="1047">
          <cell r="T1047" t="str">
            <v>GRS-75x50</v>
          </cell>
          <cell r="U1047">
            <v>0</v>
          </cell>
        </row>
        <row r="1048">
          <cell r="T1048" t="str">
            <v>GRS-75x40</v>
          </cell>
          <cell r="U1048">
            <v>0</v>
          </cell>
        </row>
        <row r="1049">
          <cell r="T1049" t="str">
            <v>GRS-50x32</v>
          </cell>
          <cell r="U1049">
            <v>0</v>
          </cell>
        </row>
        <row r="1050">
          <cell r="T1050" t="str">
            <v>GRS-50x25</v>
          </cell>
          <cell r="U1050">
            <v>0</v>
          </cell>
        </row>
        <row r="1051">
          <cell r="T1051" t="str">
            <v>GRS-50x20</v>
          </cell>
          <cell r="U1051">
            <v>0</v>
          </cell>
        </row>
        <row r="1052">
          <cell r="T1052" t="str">
            <v>GRS-50x15</v>
          </cell>
          <cell r="U1052">
            <v>0</v>
          </cell>
        </row>
        <row r="1053">
          <cell r="T1053" t="str">
            <v>GUN-50</v>
          </cell>
          <cell r="U1053">
            <v>4</v>
          </cell>
        </row>
        <row r="1054">
          <cell r="T1054" t="str">
            <v>GUN-75</v>
          </cell>
          <cell r="U1054">
            <v>0</v>
          </cell>
        </row>
        <row r="1055">
          <cell r="T1055" t="str">
            <v>GNI-50</v>
          </cell>
          <cell r="U1055">
            <v>4</v>
          </cell>
        </row>
        <row r="1056">
          <cell r="T1056" t="str">
            <v>GNI-75</v>
          </cell>
          <cell r="U1056">
            <v>0</v>
          </cell>
        </row>
        <row r="1057">
          <cell r="T1057" t="str">
            <v>BGAV-15</v>
          </cell>
          <cell r="U1057">
            <v>0</v>
          </cell>
        </row>
        <row r="1058">
          <cell r="T1058" t="str">
            <v>BGAV-20</v>
          </cell>
          <cell r="U1058">
            <v>0</v>
          </cell>
        </row>
        <row r="1059">
          <cell r="T1059" t="str">
            <v>BGAV-25</v>
          </cell>
          <cell r="U1059">
            <v>2</v>
          </cell>
        </row>
        <row r="1060">
          <cell r="T1060" t="str">
            <v>BGAV-32</v>
          </cell>
          <cell r="U1060">
            <v>0</v>
          </cell>
        </row>
        <row r="1061">
          <cell r="T1061" t="str">
            <v>BGAV-40</v>
          </cell>
          <cell r="U1061">
            <v>0</v>
          </cell>
        </row>
        <row r="1062">
          <cell r="T1062" t="str">
            <v>BGAV-50</v>
          </cell>
          <cell r="U1062">
            <v>0</v>
          </cell>
        </row>
        <row r="1063">
          <cell r="T1063" t="str">
            <v>BGAV-63</v>
          </cell>
          <cell r="U1063">
            <v>0</v>
          </cell>
        </row>
        <row r="1064">
          <cell r="T1064" t="str">
            <v>BGAV-75</v>
          </cell>
          <cell r="U1064">
            <v>0</v>
          </cell>
        </row>
        <row r="1065">
          <cell r="T1065" t="str">
            <v>GUT-50x15</v>
          </cell>
          <cell r="U1065">
            <v>4</v>
          </cell>
        </row>
        <row r="1066">
          <cell r="T1066" t="str">
            <v>GUT-75x15</v>
          </cell>
          <cell r="U1066">
            <v>0</v>
          </cell>
        </row>
        <row r="1067">
          <cell r="T1067" t="str">
            <v>GEC-50</v>
          </cell>
          <cell r="U1067">
            <v>2</v>
          </cell>
        </row>
        <row r="1068">
          <cell r="T1068" t="str">
            <v>GEC-75</v>
          </cell>
          <cell r="U1068">
            <v>0</v>
          </cell>
        </row>
        <row r="1069">
          <cell r="T1069" t="str">
            <v>BU-20</v>
          </cell>
          <cell r="U1069">
            <v>0</v>
          </cell>
        </row>
        <row r="1070">
          <cell r="T1070" t="str">
            <v>BU-25</v>
          </cell>
          <cell r="U1070">
            <v>0</v>
          </cell>
        </row>
        <row r="1071">
          <cell r="T1071" t="str">
            <v>BU-32</v>
          </cell>
          <cell r="U1071">
            <v>2</v>
          </cell>
        </row>
        <row r="1072">
          <cell r="T1072" t="str">
            <v>BU-40</v>
          </cell>
          <cell r="U1072">
            <v>0</v>
          </cell>
        </row>
        <row r="1073">
          <cell r="T1073" t="str">
            <v>GHF-50</v>
          </cell>
          <cell r="U1073">
            <v>0</v>
          </cell>
        </row>
        <row r="1074">
          <cell r="T1074" t="str">
            <v>GHF-63</v>
          </cell>
          <cell r="U1074">
            <v>4</v>
          </cell>
        </row>
        <row r="1075">
          <cell r="T1075" t="str">
            <v>GHF-75</v>
          </cell>
          <cell r="U1075">
            <v>0</v>
          </cell>
        </row>
        <row r="1076">
          <cell r="T1076" t="str">
            <v>GHF-90</v>
          </cell>
          <cell r="U1076">
            <v>0</v>
          </cell>
        </row>
        <row r="1079">
          <cell r="T1079" t="str">
            <v>GMP-63</v>
          </cell>
          <cell r="U1079">
            <v>4</v>
          </cell>
        </row>
        <row r="1080">
          <cell r="T1080" t="str">
            <v>HP6-63</v>
          </cell>
          <cell r="U1080">
            <v>5</v>
          </cell>
        </row>
        <row r="1081">
          <cell r="T1081" t="str">
            <v>HP6-50</v>
          </cell>
          <cell r="U1081">
            <v>2</v>
          </cell>
        </row>
        <row r="1082">
          <cell r="T1082" t="str">
            <v>HP6-40</v>
          </cell>
          <cell r="U1082">
            <v>2</v>
          </cell>
        </row>
        <row r="1097">
          <cell r="T1097" t="str">
            <v>HP10-20</v>
          </cell>
          <cell r="U1097">
            <v>0</v>
          </cell>
        </row>
        <row r="1098">
          <cell r="T1098" t="str">
            <v>HP10-25</v>
          </cell>
          <cell r="U1098">
            <v>0</v>
          </cell>
        </row>
        <row r="1099">
          <cell r="T1099" t="str">
            <v>HP10-32</v>
          </cell>
          <cell r="U1099">
            <v>0</v>
          </cell>
        </row>
        <row r="1100">
          <cell r="T1100" t="str">
            <v>HP10-40</v>
          </cell>
          <cell r="U1100">
            <v>0</v>
          </cell>
        </row>
        <row r="1101">
          <cell r="T1101" t="str">
            <v>HP10-50</v>
          </cell>
          <cell r="U1101">
            <v>0</v>
          </cell>
        </row>
        <row r="1102">
          <cell r="T1102" t="str">
            <v>HP10-63</v>
          </cell>
          <cell r="U1102">
            <v>0</v>
          </cell>
        </row>
        <row r="1103">
          <cell r="T1103" t="str">
            <v>HP6-75</v>
          </cell>
          <cell r="U1103">
            <v>0</v>
          </cell>
        </row>
        <row r="1104">
          <cell r="T1104" t="str">
            <v>HP4-90</v>
          </cell>
          <cell r="U1104">
            <v>0</v>
          </cell>
        </row>
        <row r="1105">
          <cell r="T1105" t="str">
            <v>HP2.5-90</v>
          </cell>
        </row>
        <row r="1107">
          <cell r="T1107" t="str">
            <v>HEL-20</v>
          </cell>
          <cell r="U1107">
            <v>0</v>
          </cell>
        </row>
        <row r="1108">
          <cell r="T1108" t="str">
            <v>HEL-25</v>
          </cell>
          <cell r="U1108">
            <v>0</v>
          </cell>
        </row>
        <row r="1109">
          <cell r="T1109" t="str">
            <v>HEL-32</v>
          </cell>
          <cell r="U1109">
            <v>0</v>
          </cell>
        </row>
        <row r="1110">
          <cell r="T1110" t="str">
            <v>HEL-40</v>
          </cell>
          <cell r="U1110">
            <v>0</v>
          </cell>
        </row>
        <row r="1111">
          <cell r="T1111" t="str">
            <v>HEL-50</v>
          </cell>
          <cell r="U1111">
            <v>0</v>
          </cell>
        </row>
        <row r="1112">
          <cell r="T1112" t="str">
            <v>HEL-63</v>
          </cell>
          <cell r="U1112">
            <v>0</v>
          </cell>
        </row>
        <row r="1113">
          <cell r="T1113" t="str">
            <v>HEL-75</v>
          </cell>
          <cell r="U1113">
            <v>0</v>
          </cell>
        </row>
        <row r="1114">
          <cell r="T1114" t="str">
            <v>HEL-90</v>
          </cell>
          <cell r="U1114">
            <v>0</v>
          </cell>
        </row>
        <row r="1115">
          <cell r="T1115" t="str">
            <v>HET-20</v>
          </cell>
          <cell r="U1115">
            <v>0</v>
          </cell>
        </row>
        <row r="1116">
          <cell r="T1116" t="str">
            <v>HET-25</v>
          </cell>
          <cell r="U1116">
            <v>0</v>
          </cell>
        </row>
        <row r="1117">
          <cell r="T1117" t="str">
            <v>HET-32</v>
          </cell>
          <cell r="U1117">
            <v>0</v>
          </cell>
        </row>
        <row r="1118">
          <cell r="T1118" t="str">
            <v>HET-40</v>
          </cell>
          <cell r="U1118">
            <v>0</v>
          </cell>
        </row>
        <row r="1119">
          <cell r="T1119" t="str">
            <v>HET-50</v>
          </cell>
          <cell r="U1119">
            <v>0</v>
          </cell>
        </row>
        <row r="1120">
          <cell r="T1120" t="str">
            <v>HET-63</v>
          </cell>
          <cell r="U1120">
            <v>0</v>
          </cell>
        </row>
        <row r="1121">
          <cell r="T1121" t="str">
            <v>HET-75</v>
          </cell>
          <cell r="U1121">
            <v>0</v>
          </cell>
        </row>
        <row r="1122">
          <cell r="T1122" t="str">
            <v>HET-90</v>
          </cell>
          <cell r="U1122">
            <v>0</v>
          </cell>
        </row>
        <row r="1123">
          <cell r="T1123" t="str">
            <v>HR-63x20</v>
          </cell>
          <cell r="U1123">
            <v>0</v>
          </cell>
        </row>
        <row r="1124">
          <cell r="T1124" t="str">
            <v>HR-63x25</v>
          </cell>
          <cell r="U1124">
            <v>0</v>
          </cell>
        </row>
        <row r="1125">
          <cell r="T1125" t="str">
            <v>HR-63x32</v>
          </cell>
          <cell r="U1125">
            <v>0</v>
          </cell>
        </row>
        <row r="1126">
          <cell r="T1126" t="str">
            <v>HR-90x40</v>
          </cell>
          <cell r="U1126">
            <v>0</v>
          </cell>
        </row>
        <row r="1127">
          <cell r="T1127" t="str">
            <v>HR-90x20</v>
          </cell>
          <cell r="U1127">
            <v>0</v>
          </cell>
        </row>
        <row r="1128">
          <cell r="T1128" t="str">
            <v>HR-90x63</v>
          </cell>
          <cell r="U1128">
            <v>0</v>
          </cell>
        </row>
        <row r="1129">
          <cell r="T1129" t="str">
            <v>HR-90x75</v>
          </cell>
          <cell r="U1129">
            <v>0</v>
          </cell>
        </row>
        <row r="1130">
          <cell r="T1130" t="str">
            <v>GNI-15</v>
          </cell>
          <cell r="U1130">
            <v>0</v>
          </cell>
        </row>
        <row r="1131">
          <cell r="T1131" t="str">
            <v>GNI-20</v>
          </cell>
          <cell r="U1131">
            <v>0</v>
          </cell>
        </row>
        <row r="1132">
          <cell r="T1132" t="str">
            <v>GNI-25</v>
          </cell>
          <cell r="U1132">
            <v>0</v>
          </cell>
        </row>
        <row r="1133">
          <cell r="T1133" t="str">
            <v>PNI-40</v>
          </cell>
          <cell r="U1133">
            <v>0</v>
          </cell>
        </row>
        <row r="1134">
          <cell r="T1134" t="str">
            <v>PNI-50</v>
          </cell>
          <cell r="U1134">
            <v>0</v>
          </cell>
        </row>
        <row r="1135">
          <cell r="T1135" t="str">
            <v>PNI-63</v>
          </cell>
          <cell r="U1135">
            <v>0</v>
          </cell>
        </row>
        <row r="1136">
          <cell r="T1136" t="str">
            <v>PNI-75</v>
          </cell>
          <cell r="U1136">
            <v>0</v>
          </cell>
        </row>
        <row r="1137">
          <cell r="T1137" t="str">
            <v>PNI-90</v>
          </cell>
          <cell r="U1137">
            <v>0</v>
          </cell>
        </row>
        <row r="1138">
          <cell r="T1138" t="str">
            <v>BGAV-15</v>
          </cell>
          <cell r="U1138">
            <v>0</v>
          </cell>
        </row>
        <row r="1139">
          <cell r="T1139" t="str">
            <v>BGAV-20</v>
          </cell>
          <cell r="U1139">
            <v>0</v>
          </cell>
        </row>
        <row r="1140">
          <cell r="T1140" t="str">
            <v>BGAV-25</v>
          </cell>
          <cell r="U1140">
            <v>0</v>
          </cell>
        </row>
        <row r="1141">
          <cell r="T1141" t="str">
            <v>PGAV-40</v>
          </cell>
          <cell r="U1141">
            <v>0</v>
          </cell>
        </row>
        <row r="1142">
          <cell r="T1142" t="str">
            <v>PGAV-50</v>
          </cell>
          <cell r="U1142">
            <v>0</v>
          </cell>
        </row>
        <row r="1143">
          <cell r="T1143" t="str">
            <v>PGAV-63</v>
          </cell>
          <cell r="U1143">
            <v>0</v>
          </cell>
        </row>
        <row r="1144">
          <cell r="T1144" t="str">
            <v>PGAV-75</v>
          </cell>
          <cell r="U1144">
            <v>0</v>
          </cell>
        </row>
        <row r="1145">
          <cell r="T1145" t="str">
            <v>PGAV-90</v>
          </cell>
          <cell r="U1145">
            <v>0</v>
          </cell>
        </row>
        <row r="1146">
          <cell r="T1146" t="str">
            <v>PGAV-63</v>
          </cell>
          <cell r="U1146">
            <v>0</v>
          </cell>
        </row>
        <row r="1147">
          <cell r="T1147" t="str">
            <v>PET-20</v>
          </cell>
          <cell r="U1147">
            <v>0</v>
          </cell>
        </row>
        <row r="1148">
          <cell r="T1148" t="str">
            <v>PUT-25x20</v>
          </cell>
          <cell r="U1148">
            <v>0</v>
          </cell>
        </row>
        <row r="1149">
          <cell r="T1149" t="str">
            <v>PUT-32x20</v>
          </cell>
          <cell r="U1149">
            <v>0</v>
          </cell>
        </row>
        <row r="1150">
          <cell r="T1150" t="str">
            <v>PUT-40x20</v>
          </cell>
          <cell r="U1150">
            <v>0</v>
          </cell>
        </row>
        <row r="1151">
          <cell r="T1151" t="str">
            <v>PUT-50x20</v>
          </cell>
          <cell r="U1151">
            <v>0</v>
          </cell>
        </row>
        <row r="1152">
          <cell r="T1152" t="str">
            <v>PUT-63x20</v>
          </cell>
          <cell r="U1152">
            <v>0</v>
          </cell>
        </row>
        <row r="1153">
          <cell r="T1153" t="str">
            <v>PUT-75x20</v>
          </cell>
          <cell r="U1153">
            <v>0</v>
          </cell>
        </row>
        <row r="1154">
          <cell r="T1154" t="str">
            <v>PUT-90x20</v>
          </cell>
          <cell r="U1154">
            <v>0</v>
          </cell>
        </row>
        <row r="1155">
          <cell r="T1155" t="str">
            <v>PEC-63</v>
          </cell>
          <cell r="U1155">
            <v>0</v>
          </cell>
        </row>
        <row r="1156">
          <cell r="T1156" t="str">
            <v>BU-20</v>
          </cell>
          <cell r="U1156">
            <v>0</v>
          </cell>
        </row>
        <row r="1157">
          <cell r="T1157" t="str">
            <v>BU-25</v>
          </cell>
          <cell r="U1157">
            <v>0</v>
          </cell>
        </row>
        <row r="1158">
          <cell r="T1158" t="str">
            <v>BU-32</v>
          </cell>
          <cell r="U1158">
            <v>0</v>
          </cell>
        </row>
        <row r="1159">
          <cell r="T1159" t="str">
            <v>PHF-40</v>
          </cell>
          <cell r="U1159">
            <v>0</v>
          </cell>
        </row>
        <row r="1160">
          <cell r="T1160" t="str">
            <v>PHF-50</v>
          </cell>
          <cell r="U1160">
            <v>0</v>
          </cell>
        </row>
        <row r="1161">
          <cell r="T1161" t="str">
            <v>PHF-63</v>
          </cell>
          <cell r="U1161">
            <v>0</v>
          </cell>
        </row>
        <row r="1162">
          <cell r="T1162" t="str">
            <v>PHF-75</v>
          </cell>
          <cell r="U1162">
            <v>0</v>
          </cell>
        </row>
        <row r="1163">
          <cell r="T1163" t="str">
            <v>PHF-90</v>
          </cell>
          <cell r="U1163">
            <v>0</v>
          </cell>
        </row>
        <row r="1166">
          <cell r="T1166" t="str">
            <v>GEL-25</v>
          </cell>
        </row>
      </sheetData>
      <sheetData sheetId="33" refreshError="1">
        <row r="7">
          <cell r="D7" t="str">
            <v>M-01</v>
          </cell>
          <cell r="F7">
            <v>0</v>
          </cell>
          <cell r="G7">
            <v>0</v>
          </cell>
          <cell r="H7">
            <v>4</v>
          </cell>
          <cell r="I7">
            <v>0</v>
          </cell>
          <cell r="J7">
            <v>0</v>
          </cell>
          <cell r="K7">
            <v>0</v>
          </cell>
          <cell r="L7">
            <v>4</v>
          </cell>
          <cell r="M7">
            <v>0</v>
          </cell>
        </row>
        <row r="8">
          <cell r="D8" t="str">
            <v>M-02</v>
          </cell>
          <cell r="F8">
            <v>0</v>
          </cell>
          <cell r="G8">
            <v>0</v>
          </cell>
          <cell r="H8">
            <v>1.06</v>
          </cell>
          <cell r="I8">
            <v>0</v>
          </cell>
          <cell r="J8">
            <v>0</v>
          </cell>
          <cell r="K8">
            <v>0</v>
          </cell>
          <cell r="L8">
            <v>1.06</v>
          </cell>
          <cell r="M8">
            <v>0</v>
          </cell>
        </row>
        <row r="9">
          <cell r="D9" t="str">
            <v>M-03</v>
          </cell>
          <cell r="F9">
            <v>0</v>
          </cell>
          <cell r="G9">
            <v>0</v>
          </cell>
          <cell r="H9">
            <v>1.8</v>
          </cell>
          <cell r="I9">
            <v>0</v>
          </cell>
          <cell r="J9">
            <v>0</v>
          </cell>
          <cell r="K9">
            <v>0</v>
          </cell>
          <cell r="L9">
            <v>1.8</v>
          </cell>
          <cell r="M9">
            <v>0</v>
          </cell>
        </row>
        <row r="10">
          <cell r="D10" t="str">
            <v>M-04</v>
          </cell>
          <cell r="F10">
            <v>0</v>
          </cell>
          <cell r="G10">
            <v>0</v>
          </cell>
          <cell r="H10">
            <v>0.2</v>
          </cell>
          <cell r="I10">
            <v>0</v>
          </cell>
          <cell r="J10">
            <v>0</v>
          </cell>
          <cell r="K10">
            <v>0</v>
          </cell>
          <cell r="L10">
            <v>0.2</v>
          </cell>
          <cell r="M10">
            <v>0</v>
          </cell>
        </row>
        <row r="11">
          <cell r="D11" t="str">
            <v>M-05</v>
          </cell>
          <cell r="F11">
            <v>0</v>
          </cell>
          <cell r="G11">
            <v>0</v>
          </cell>
          <cell r="H11">
            <v>0.03</v>
          </cell>
          <cell r="I11">
            <v>0</v>
          </cell>
          <cell r="J11">
            <v>0</v>
          </cell>
          <cell r="K11">
            <v>0</v>
          </cell>
          <cell r="L11">
            <v>0.03</v>
          </cell>
          <cell r="M11">
            <v>0</v>
          </cell>
        </row>
        <row r="12">
          <cell r="D12" t="str">
            <v>M-06</v>
          </cell>
          <cell r="F12">
            <v>0</v>
          </cell>
          <cell r="G12">
            <v>0</v>
          </cell>
          <cell r="H12">
            <v>0.06</v>
          </cell>
          <cell r="I12">
            <v>0</v>
          </cell>
          <cell r="J12">
            <v>0</v>
          </cell>
          <cell r="K12">
            <v>0</v>
          </cell>
          <cell r="L12">
            <v>0.06</v>
          </cell>
          <cell r="M12">
            <v>0</v>
          </cell>
        </row>
        <row r="13">
          <cell r="D13" t="str">
            <v>M-07</v>
          </cell>
          <cell r="F13">
            <v>0</v>
          </cell>
          <cell r="G13">
            <v>0</v>
          </cell>
          <cell r="H13">
            <v>0.15</v>
          </cell>
          <cell r="I13">
            <v>0</v>
          </cell>
          <cell r="J13">
            <v>0</v>
          </cell>
          <cell r="K13">
            <v>0</v>
          </cell>
          <cell r="L13">
            <v>0.15</v>
          </cell>
          <cell r="M13">
            <v>0</v>
          </cell>
        </row>
        <row r="14">
          <cell r="D14" t="str">
            <v>M-08</v>
          </cell>
          <cell r="F14">
            <v>0</v>
          </cell>
          <cell r="G14">
            <v>0</v>
          </cell>
          <cell r="H14">
            <v>0</v>
          </cell>
          <cell r="I14">
            <v>0</v>
          </cell>
          <cell r="J14">
            <v>0</v>
          </cell>
          <cell r="K14">
            <v>0</v>
          </cell>
          <cell r="L14">
            <v>0</v>
          </cell>
          <cell r="M14">
            <v>0</v>
          </cell>
        </row>
        <row r="15">
          <cell r="D15" t="str">
            <v>M-09</v>
          </cell>
          <cell r="F15">
            <v>0</v>
          </cell>
          <cell r="G15">
            <v>0</v>
          </cell>
          <cell r="H15">
            <v>0</v>
          </cell>
          <cell r="I15">
            <v>0</v>
          </cell>
          <cell r="J15">
            <v>0</v>
          </cell>
          <cell r="K15">
            <v>0</v>
          </cell>
          <cell r="L15">
            <v>0</v>
          </cell>
          <cell r="M15">
            <v>0</v>
          </cell>
        </row>
        <row r="16">
          <cell r="D16" t="str">
            <v>M-10</v>
          </cell>
          <cell r="F16">
            <v>0</v>
          </cell>
          <cell r="G16">
            <v>0</v>
          </cell>
          <cell r="H16">
            <v>0</v>
          </cell>
          <cell r="I16">
            <v>0</v>
          </cell>
          <cell r="J16">
            <v>0</v>
          </cell>
          <cell r="K16">
            <v>0</v>
          </cell>
          <cell r="L16">
            <v>0</v>
          </cell>
          <cell r="M16">
            <v>0</v>
          </cell>
        </row>
        <row r="17">
          <cell r="D17" t="str">
            <v>M-11</v>
          </cell>
          <cell r="F17">
            <v>0</v>
          </cell>
          <cell r="G17">
            <v>0</v>
          </cell>
          <cell r="H17">
            <v>0</v>
          </cell>
          <cell r="I17">
            <v>0</v>
          </cell>
          <cell r="J17">
            <v>0</v>
          </cell>
          <cell r="K17">
            <v>0</v>
          </cell>
          <cell r="L17">
            <v>0</v>
          </cell>
          <cell r="M17">
            <v>0</v>
          </cell>
        </row>
        <row r="18">
          <cell r="D18" t="str">
            <v>M-12</v>
          </cell>
          <cell r="F18">
            <v>0</v>
          </cell>
          <cell r="G18">
            <v>0</v>
          </cell>
          <cell r="H18">
            <v>0</v>
          </cell>
          <cell r="I18">
            <v>0</v>
          </cell>
          <cell r="J18">
            <v>0</v>
          </cell>
          <cell r="K18">
            <v>0</v>
          </cell>
          <cell r="L18">
            <v>0</v>
          </cell>
          <cell r="M18">
            <v>0</v>
          </cell>
        </row>
        <row r="19">
          <cell r="D19" t="str">
            <v>M-13</v>
          </cell>
          <cell r="F19">
            <v>0</v>
          </cell>
          <cell r="G19">
            <v>0</v>
          </cell>
          <cell r="H19">
            <v>0</v>
          </cell>
          <cell r="I19">
            <v>0</v>
          </cell>
          <cell r="J19">
            <v>0</v>
          </cell>
          <cell r="K19">
            <v>0</v>
          </cell>
          <cell r="L19">
            <v>0</v>
          </cell>
          <cell r="M19">
            <v>0</v>
          </cell>
        </row>
        <row r="20">
          <cell r="D20" t="str">
            <v>M-14</v>
          </cell>
          <cell r="F20">
            <v>0</v>
          </cell>
          <cell r="G20">
            <v>0</v>
          </cell>
          <cell r="H20">
            <v>0</v>
          </cell>
          <cell r="I20">
            <v>0</v>
          </cell>
          <cell r="J20">
            <v>0</v>
          </cell>
          <cell r="K20">
            <v>0</v>
          </cell>
          <cell r="L20">
            <v>0</v>
          </cell>
          <cell r="M20">
            <v>0</v>
          </cell>
        </row>
        <row r="21">
          <cell r="D21" t="str">
            <v>M-15</v>
          </cell>
          <cell r="F21">
            <v>0</v>
          </cell>
          <cell r="G21">
            <v>0</v>
          </cell>
          <cell r="H21">
            <v>0</v>
          </cell>
          <cell r="I21">
            <v>0</v>
          </cell>
          <cell r="J21">
            <v>0</v>
          </cell>
          <cell r="K21">
            <v>0</v>
          </cell>
          <cell r="L21">
            <v>0</v>
          </cell>
          <cell r="M21">
            <v>0</v>
          </cell>
        </row>
        <row r="22">
          <cell r="D22" t="str">
            <v>M-16</v>
          </cell>
          <cell r="F22">
            <v>0</v>
          </cell>
          <cell r="G22">
            <v>0</v>
          </cell>
          <cell r="H22">
            <v>0</v>
          </cell>
          <cell r="I22">
            <v>0</v>
          </cell>
          <cell r="J22">
            <v>0</v>
          </cell>
          <cell r="K22">
            <v>0</v>
          </cell>
          <cell r="L22">
            <v>0</v>
          </cell>
          <cell r="M22">
            <v>0</v>
          </cell>
        </row>
        <row r="23">
          <cell r="D23" t="str">
            <v>M-17</v>
          </cell>
          <cell r="F23">
            <v>0</v>
          </cell>
          <cell r="G23">
            <v>0</v>
          </cell>
          <cell r="H23">
            <v>0</v>
          </cell>
          <cell r="I23">
            <v>0</v>
          </cell>
          <cell r="J23">
            <v>0</v>
          </cell>
          <cell r="K23">
            <v>0</v>
          </cell>
          <cell r="L23">
            <v>0</v>
          </cell>
          <cell r="M23">
            <v>0</v>
          </cell>
        </row>
        <row r="24">
          <cell r="D24" t="str">
            <v>M-18</v>
          </cell>
          <cell r="F24">
            <v>0</v>
          </cell>
          <cell r="G24">
            <v>0</v>
          </cell>
          <cell r="H24">
            <v>0</v>
          </cell>
          <cell r="I24">
            <v>0</v>
          </cell>
          <cell r="J24">
            <v>0</v>
          </cell>
          <cell r="K24">
            <v>0</v>
          </cell>
          <cell r="L24">
            <v>0</v>
          </cell>
          <cell r="M24">
            <v>0</v>
          </cell>
        </row>
        <row r="25">
          <cell r="D25" t="str">
            <v>M-19</v>
          </cell>
          <cell r="F25">
            <v>0</v>
          </cell>
          <cell r="G25">
            <v>0</v>
          </cell>
          <cell r="H25">
            <v>0</v>
          </cell>
          <cell r="I25">
            <v>0</v>
          </cell>
          <cell r="J25">
            <v>0</v>
          </cell>
          <cell r="K25">
            <v>0</v>
          </cell>
          <cell r="L25">
            <v>0</v>
          </cell>
          <cell r="M25">
            <v>0</v>
          </cell>
        </row>
        <row r="26">
          <cell r="D26" t="str">
            <v>M-20</v>
          </cell>
          <cell r="F26">
            <v>0</v>
          </cell>
          <cell r="G26">
            <v>0</v>
          </cell>
          <cell r="H26">
            <v>1</v>
          </cell>
          <cell r="I26">
            <v>0</v>
          </cell>
          <cell r="J26">
            <v>0</v>
          </cell>
          <cell r="K26">
            <v>0</v>
          </cell>
          <cell r="L26">
            <v>1</v>
          </cell>
          <cell r="M26">
            <v>0</v>
          </cell>
        </row>
        <row r="27">
          <cell r="D27" t="str">
            <v>M-21</v>
          </cell>
          <cell r="F27">
            <v>0</v>
          </cell>
          <cell r="G27">
            <v>0</v>
          </cell>
          <cell r="H27">
            <v>0</v>
          </cell>
          <cell r="I27">
            <v>0</v>
          </cell>
          <cell r="J27">
            <v>0</v>
          </cell>
          <cell r="K27">
            <v>0</v>
          </cell>
          <cell r="L27">
            <v>0</v>
          </cell>
          <cell r="M27">
            <v>0</v>
          </cell>
        </row>
        <row r="28">
          <cell r="D28" t="str">
            <v>M-22</v>
          </cell>
          <cell r="F28">
            <v>0</v>
          </cell>
          <cell r="G28">
            <v>0</v>
          </cell>
          <cell r="H28">
            <v>0</v>
          </cell>
          <cell r="I28">
            <v>0</v>
          </cell>
          <cell r="J28">
            <v>0</v>
          </cell>
          <cell r="K28">
            <v>0</v>
          </cell>
          <cell r="L28">
            <v>0</v>
          </cell>
          <cell r="M28">
            <v>0</v>
          </cell>
        </row>
        <row r="29">
          <cell r="D29" t="str">
            <v>M-23</v>
          </cell>
          <cell r="F29">
            <v>0</v>
          </cell>
          <cell r="G29">
            <v>0</v>
          </cell>
          <cell r="H29">
            <v>0</v>
          </cell>
          <cell r="I29">
            <v>0</v>
          </cell>
          <cell r="J29">
            <v>0</v>
          </cell>
          <cell r="K29">
            <v>0</v>
          </cell>
          <cell r="L29">
            <v>0</v>
          </cell>
          <cell r="M29">
            <v>0</v>
          </cell>
        </row>
        <row r="30">
          <cell r="D30" t="str">
            <v>M-24</v>
          </cell>
          <cell r="F30">
            <v>0</v>
          </cell>
          <cell r="G30">
            <v>0</v>
          </cell>
          <cell r="H30">
            <v>0</v>
          </cell>
          <cell r="I30">
            <v>0</v>
          </cell>
          <cell r="J30">
            <v>0</v>
          </cell>
          <cell r="K30">
            <v>0</v>
          </cell>
          <cell r="L30">
            <v>0</v>
          </cell>
          <cell r="M30">
            <v>0</v>
          </cell>
        </row>
        <row r="31">
          <cell r="D31" t="str">
            <v>M-25</v>
          </cell>
          <cell r="F31">
            <v>0</v>
          </cell>
          <cell r="G31">
            <v>0</v>
          </cell>
          <cell r="H31">
            <v>0</v>
          </cell>
          <cell r="I31">
            <v>0</v>
          </cell>
          <cell r="J31">
            <v>0</v>
          </cell>
          <cell r="K31">
            <v>0</v>
          </cell>
          <cell r="L31">
            <v>0</v>
          </cell>
          <cell r="M31">
            <v>0</v>
          </cell>
        </row>
        <row r="32">
          <cell r="D32" t="str">
            <v>M-26</v>
          </cell>
          <cell r="F32">
            <v>0</v>
          </cell>
          <cell r="G32">
            <v>0</v>
          </cell>
          <cell r="H32">
            <v>0</v>
          </cell>
          <cell r="I32">
            <v>0</v>
          </cell>
          <cell r="J32">
            <v>0</v>
          </cell>
          <cell r="K32">
            <v>0</v>
          </cell>
          <cell r="L32">
            <v>0</v>
          </cell>
          <cell r="M32">
            <v>0</v>
          </cell>
        </row>
        <row r="33">
          <cell r="D33" t="str">
            <v>M-27</v>
          </cell>
          <cell r="F33">
            <v>0</v>
          </cell>
          <cell r="G33">
            <v>0</v>
          </cell>
          <cell r="H33">
            <v>0</v>
          </cell>
          <cell r="I33">
            <v>0</v>
          </cell>
          <cell r="J33">
            <v>0</v>
          </cell>
          <cell r="K33">
            <v>0</v>
          </cell>
          <cell r="L33">
            <v>0</v>
          </cell>
          <cell r="M33">
            <v>0</v>
          </cell>
        </row>
        <row r="34">
          <cell r="D34" t="str">
            <v>M-28</v>
          </cell>
          <cell r="F34">
            <v>0</v>
          </cell>
          <cell r="G34">
            <v>0</v>
          </cell>
          <cell r="H34">
            <v>0</v>
          </cell>
          <cell r="I34">
            <v>0</v>
          </cell>
          <cell r="J34">
            <v>0</v>
          </cell>
          <cell r="K34">
            <v>0</v>
          </cell>
          <cell r="L34">
            <v>0</v>
          </cell>
          <cell r="M34">
            <v>0</v>
          </cell>
        </row>
        <row r="35">
          <cell r="D35" t="str">
            <v>M-29</v>
          </cell>
          <cell r="F35">
            <v>0</v>
          </cell>
          <cell r="G35">
            <v>0</v>
          </cell>
          <cell r="H35">
            <v>0</v>
          </cell>
          <cell r="I35">
            <v>0</v>
          </cell>
          <cell r="J35">
            <v>0</v>
          </cell>
          <cell r="K35">
            <v>0</v>
          </cell>
          <cell r="L35">
            <v>0</v>
          </cell>
          <cell r="M35">
            <v>0</v>
          </cell>
        </row>
        <row r="36">
          <cell r="D36" t="str">
            <v>M-30</v>
          </cell>
          <cell r="F36">
            <v>0</v>
          </cell>
          <cell r="G36">
            <v>0</v>
          </cell>
          <cell r="H36">
            <v>0</v>
          </cell>
          <cell r="I36">
            <v>0</v>
          </cell>
          <cell r="J36">
            <v>0</v>
          </cell>
          <cell r="K36">
            <v>0</v>
          </cell>
          <cell r="L36">
            <v>0</v>
          </cell>
          <cell r="M36">
            <v>0</v>
          </cell>
        </row>
        <row r="37">
          <cell r="D37" t="str">
            <v>M-31</v>
          </cell>
          <cell r="F37">
            <v>0</v>
          </cell>
          <cell r="G37">
            <v>0</v>
          </cell>
          <cell r="H37">
            <v>0</v>
          </cell>
          <cell r="I37">
            <v>0</v>
          </cell>
          <cell r="J37">
            <v>0</v>
          </cell>
          <cell r="K37">
            <v>0</v>
          </cell>
          <cell r="L37">
            <v>0</v>
          </cell>
          <cell r="M37">
            <v>0</v>
          </cell>
        </row>
        <row r="38">
          <cell r="D38" t="str">
            <v>M-32</v>
          </cell>
          <cell r="F38">
            <v>0</v>
          </cell>
          <cell r="G38">
            <v>0</v>
          </cell>
          <cell r="H38">
            <v>0</v>
          </cell>
          <cell r="I38">
            <v>0</v>
          </cell>
          <cell r="J38">
            <v>0</v>
          </cell>
          <cell r="K38">
            <v>0</v>
          </cell>
          <cell r="L38">
            <v>0</v>
          </cell>
          <cell r="M38">
            <v>0</v>
          </cell>
        </row>
        <row r="39">
          <cell r="D39" t="str">
            <v>M-33</v>
          </cell>
          <cell r="F39">
            <v>0</v>
          </cell>
          <cell r="G39">
            <v>0</v>
          </cell>
          <cell r="H39">
            <v>0</v>
          </cell>
          <cell r="I39">
            <v>0</v>
          </cell>
          <cell r="J39">
            <v>0</v>
          </cell>
          <cell r="K39">
            <v>0</v>
          </cell>
          <cell r="L39">
            <v>0</v>
          </cell>
          <cell r="M39">
            <v>0</v>
          </cell>
        </row>
        <row r="40">
          <cell r="D40" t="str">
            <v>M-34</v>
          </cell>
          <cell r="F40">
            <v>0</v>
          </cell>
          <cell r="G40">
            <v>0</v>
          </cell>
          <cell r="H40">
            <v>1</v>
          </cell>
          <cell r="I40">
            <v>0</v>
          </cell>
          <cell r="J40">
            <v>0</v>
          </cell>
          <cell r="K40">
            <v>0</v>
          </cell>
          <cell r="L40">
            <v>1</v>
          </cell>
          <cell r="M40">
            <v>0</v>
          </cell>
        </row>
        <row r="41">
          <cell r="D41" t="str">
            <v>M-35</v>
          </cell>
          <cell r="F41">
            <v>0</v>
          </cell>
          <cell r="G41">
            <v>0</v>
          </cell>
          <cell r="H41">
            <v>0</v>
          </cell>
          <cell r="I41">
            <v>0</v>
          </cell>
          <cell r="J41">
            <v>0</v>
          </cell>
          <cell r="K41">
            <v>0</v>
          </cell>
          <cell r="L41">
            <v>0</v>
          </cell>
          <cell r="M41">
            <v>0</v>
          </cell>
        </row>
        <row r="42">
          <cell r="D42" t="str">
            <v>M-36</v>
          </cell>
          <cell r="F42">
            <v>0</v>
          </cell>
          <cell r="G42">
            <v>0</v>
          </cell>
          <cell r="H42">
            <v>0</v>
          </cell>
          <cell r="I42">
            <v>0</v>
          </cell>
          <cell r="J42">
            <v>0</v>
          </cell>
          <cell r="K42">
            <v>0</v>
          </cell>
          <cell r="L42">
            <v>0</v>
          </cell>
          <cell r="M42">
            <v>0</v>
          </cell>
        </row>
        <row r="43">
          <cell r="D43" t="str">
            <v>M-37</v>
          </cell>
          <cell r="F43">
            <v>0</v>
          </cell>
          <cell r="G43">
            <v>0</v>
          </cell>
          <cell r="H43">
            <v>0</v>
          </cell>
          <cell r="I43">
            <v>0</v>
          </cell>
          <cell r="J43">
            <v>0</v>
          </cell>
          <cell r="K43">
            <v>0</v>
          </cell>
          <cell r="L43">
            <v>0</v>
          </cell>
          <cell r="M43">
            <v>0</v>
          </cell>
        </row>
        <row r="44">
          <cell r="D44" t="str">
            <v>M-38</v>
          </cell>
          <cell r="F44">
            <v>0</v>
          </cell>
          <cell r="G44">
            <v>0</v>
          </cell>
          <cell r="H44">
            <v>0</v>
          </cell>
          <cell r="I44">
            <v>0</v>
          </cell>
          <cell r="J44">
            <v>0</v>
          </cell>
          <cell r="K44">
            <v>0</v>
          </cell>
          <cell r="L44">
            <v>0</v>
          </cell>
          <cell r="M44">
            <v>0</v>
          </cell>
        </row>
        <row r="45">
          <cell r="D45" t="str">
            <v>M-39</v>
          </cell>
          <cell r="F45">
            <v>0</v>
          </cell>
          <cell r="G45">
            <v>0</v>
          </cell>
          <cell r="H45">
            <v>0.08</v>
          </cell>
          <cell r="I45">
            <v>0</v>
          </cell>
          <cell r="J45">
            <v>0</v>
          </cell>
          <cell r="K45">
            <v>0</v>
          </cell>
          <cell r="L45">
            <v>0.08</v>
          </cell>
          <cell r="M45">
            <v>0</v>
          </cell>
        </row>
        <row r="46">
          <cell r="D46" t="str">
            <v>M-40</v>
          </cell>
          <cell r="F46">
            <v>0</v>
          </cell>
          <cell r="G46">
            <v>0</v>
          </cell>
          <cell r="H46">
            <v>0</v>
          </cell>
          <cell r="I46">
            <v>0</v>
          </cell>
          <cell r="J46">
            <v>0</v>
          </cell>
          <cell r="K46">
            <v>0</v>
          </cell>
          <cell r="L46">
            <v>0</v>
          </cell>
          <cell r="M46">
            <v>0</v>
          </cell>
        </row>
        <row r="47">
          <cell r="D47" t="str">
            <v>M-41</v>
          </cell>
          <cell r="F47">
            <v>0</v>
          </cell>
          <cell r="G47">
            <v>0</v>
          </cell>
          <cell r="H47">
            <v>0</v>
          </cell>
          <cell r="I47">
            <v>0</v>
          </cell>
          <cell r="J47">
            <v>0</v>
          </cell>
          <cell r="K47">
            <v>0</v>
          </cell>
          <cell r="L47">
            <v>0</v>
          </cell>
          <cell r="M47">
            <v>0</v>
          </cell>
        </row>
        <row r="48">
          <cell r="D48" t="str">
            <v>M-42</v>
          </cell>
          <cell r="F48">
            <v>0</v>
          </cell>
          <cell r="G48">
            <v>0</v>
          </cell>
          <cell r="H48">
            <v>0</v>
          </cell>
          <cell r="I48">
            <v>0</v>
          </cell>
          <cell r="J48">
            <v>0</v>
          </cell>
          <cell r="K48">
            <v>0</v>
          </cell>
          <cell r="L48">
            <v>0</v>
          </cell>
          <cell r="M48">
            <v>0</v>
          </cell>
        </row>
        <row r="49">
          <cell r="D49" t="str">
            <v>M-43</v>
          </cell>
          <cell r="F49">
            <v>0</v>
          </cell>
          <cell r="G49">
            <v>0</v>
          </cell>
          <cell r="H49">
            <v>0</v>
          </cell>
          <cell r="I49">
            <v>0</v>
          </cell>
          <cell r="J49">
            <v>0</v>
          </cell>
          <cell r="K49">
            <v>0</v>
          </cell>
          <cell r="L49">
            <v>0</v>
          </cell>
          <cell r="M49">
            <v>0</v>
          </cell>
        </row>
        <row r="50">
          <cell r="D50" t="str">
            <v>M-44</v>
          </cell>
          <cell r="F50">
            <v>0</v>
          </cell>
          <cell r="G50">
            <v>0</v>
          </cell>
          <cell r="H50">
            <v>0</v>
          </cell>
          <cell r="I50">
            <v>0</v>
          </cell>
          <cell r="J50">
            <v>0</v>
          </cell>
          <cell r="K50">
            <v>0</v>
          </cell>
          <cell r="L50">
            <v>0</v>
          </cell>
          <cell r="M50">
            <v>0</v>
          </cell>
        </row>
        <row r="51">
          <cell r="D51" t="str">
            <v>M-45</v>
          </cell>
          <cell r="F51">
            <v>0</v>
          </cell>
          <cell r="G51">
            <v>0</v>
          </cell>
          <cell r="H51">
            <v>0</v>
          </cell>
          <cell r="I51">
            <v>0</v>
          </cell>
          <cell r="J51">
            <v>0</v>
          </cell>
          <cell r="K51">
            <v>0</v>
          </cell>
          <cell r="L51">
            <v>0</v>
          </cell>
          <cell r="M51">
            <v>0</v>
          </cell>
        </row>
        <row r="54">
          <cell r="D54" t="str">
            <v>L-1</v>
          </cell>
          <cell r="F54">
            <v>0</v>
          </cell>
          <cell r="G54">
            <v>0</v>
          </cell>
          <cell r="H54">
            <v>3.1</v>
          </cell>
          <cell r="I54">
            <v>0</v>
          </cell>
          <cell r="J54">
            <v>0</v>
          </cell>
          <cell r="K54">
            <v>0</v>
          </cell>
          <cell r="L54">
            <v>3.1</v>
          </cell>
          <cell r="M54">
            <v>0</v>
          </cell>
        </row>
        <row r="55">
          <cell r="D55" t="str">
            <v>L-2</v>
          </cell>
          <cell r="F55">
            <v>0</v>
          </cell>
          <cell r="G55">
            <v>0</v>
          </cell>
          <cell r="H55">
            <v>15.1</v>
          </cell>
          <cell r="I55">
            <v>0</v>
          </cell>
          <cell r="J55">
            <v>0</v>
          </cell>
          <cell r="K55">
            <v>0</v>
          </cell>
          <cell r="L55">
            <v>15.1</v>
          </cell>
          <cell r="M55">
            <v>0</v>
          </cell>
        </row>
        <row r="58">
          <cell r="D58" t="str">
            <v>M-01</v>
          </cell>
        </row>
        <row r="59">
          <cell r="D59" t="str">
            <v>M-02</v>
          </cell>
        </row>
        <row r="60">
          <cell r="D60" t="str">
            <v>M-03</v>
          </cell>
        </row>
        <row r="61">
          <cell r="D61" t="str">
            <v>M-04</v>
          </cell>
        </row>
        <row r="62">
          <cell r="D62" t="str">
            <v>M-05</v>
          </cell>
        </row>
        <row r="63">
          <cell r="D63" t="str">
            <v>M-06</v>
          </cell>
        </row>
        <row r="64">
          <cell r="D64" t="str">
            <v>M-57</v>
          </cell>
        </row>
        <row r="77">
          <cell r="S77" t="str">
            <v>GNI-15</v>
          </cell>
          <cell r="T77">
            <v>0</v>
          </cell>
        </row>
        <row r="78">
          <cell r="S78" t="str">
            <v>GNI-20</v>
          </cell>
          <cell r="T78">
            <v>0</v>
          </cell>
        </row>
        <row r="79">
          <cell r="S79" t="str">
            <v>GNI-25</v>
          </cell>
          <cell r="T79">
            <v>0</v>
          </cell>
        </row>
        <row r="80">
          <cell r="S80" t="str">
            <v>GNI-32</v>
          </cell>
          <cell r="T80">
            <v>0</v>
          </cell>
        </row>
        <row r="81">
          <cell r="S81" t="str">
            <v>GNI-40</v>
          </cell>
          <cell r="T81">
            <v>0</v>
          </cell>
        </row>
        <row r="82">
          <cell r="S82" t="str">
            <v>GNI-50</v>
          </cell>
          <cell r="T82">
            <v>0</v>
          </cell>
        </row>
        <row r="83">
          <cell r="S83" t="str">
            <v>GNI-63</v>
          </cell>
          <cell r="T83">
            <v>0</v>
          </cell>
        </row>
        <row r="84">
          <cell r="S84" t="str">
            <v>GNI-75</v>
          </cell>
          <cell r="T84">
            <v>0</v>
          </cell>
        </row>
        <row r="85">
          <cell r="S85" t="str">
            <v>GET-15</v>
          </cell>
          <cell r="T85">
            <v>0</v>
          </cell>
        </row>
        <row r="86">
          <cell r="S86" t="str">
            <v>GUT-20x15</v>
          </cell>
          <cell r="T86">
            <v>0</v>
          </cell>
        </row>
        <row r="87">
          <cell r="S87" t="str">
            <v>GUT-25x15</v>
          </cell>
          <cell r="T87">
            <v>0</v>
          </cell>
        </row>
        <row r="88">
          <cell r="S88" t="str">
            <v>GUT-32x15</v>
          </cell>
          <cell r="T88">
            <v>0</v>
          </cell>
        </row>
        <row r="89">
          <cell r="S89" t="str">
            <v>GUT-40x15</v>
          </cell>
          <cell r="T89">
            <v>0</v>
          </cell>
        </row>
        <row r="90">
          <cell r="S90" t="str">
            <v>GUT-50x20</v>
          </cell>
          <cell r="T90">
            <v>0</v>
          </cell>
        </row>
        <row r="91">
          <cell r="S91" t="str">
            <v>GUT-63x20</v>
          </cell>
          <cell r="T91">
            <v>0</v>
          </cell>
        </row>
        <row r="92">
          <cell r="S92" t="str">
            <v>GUT-75x20</v>
          </cell>
          <cell r="T92">
            <v>0</v>
          </cell>
        </row>
        <row r="93">
          <cell r="S93" t="str">
            <v>BU-20</v>
          </cell>
          <cell r="T93">
            <v>0</v>
          </cell>
        </row>
        <row r="94">
          <cell r="S94" t="str">
            <v>BU-25</v>
          </cell>
          <cell r="T94">
            <v>0</v>
          </cell>
        </row>
        <row r="95">
          <cell r="S95" t="str">
            <v>BU-32</v>
          </cell>
          <cell r="T95">
            <v>0</v>
          </cell>
        </row>
        <row r="96">
          <cell r="S96" t="str">
            <v>BU-40</v>
          </cell>
          <cell r="T96">
            <v>0</v>
          </cell>
        </row>
        <row r="97">
          <cell r="S97" t="str">
            <v>GHF-50</v>
          </cell>
          <cell r="T97">
            <v>0</v>
          </cell>
        </row>
        <row r="98">
          <cell r="S98" t="str">
            <v>GHF-63</v>
          </cell>
          <cell r="T98">
            <v>0</v>
          </cell>
        </row>
        <row r="99">
          <cell r="S99" t="str">
            <v>GHF-75</v>
          </cell>
          <cell r="T99">
            <v>0</v>
          </cell>
        </row>
        <row r="100">
          <cell r="S100" t="str">
            <v>GHF-90</v>
          </cell>
          <cell r="T100">
            <v>0</v>
          </cell>
        </row>
        <row r="101">
          <cell r="S101" t="str">
            <v>AV-20</v>
          </cell>
          <cell r="T101">
            <v>0</v>
          </cell>
        </row>
        <row r="102">
          <cell r="S102" t="str">
            <v>AV-15</v>
          </cell>
          <cell r="T102">
            <v>0</v>
          </cell>
        </row>
        <row r="105">
          <cell r="S105" t="str">
            <v>GNI150-15</v>
          </cell>
          <cell r="T105">
            <v>0</v>
          </cell>
        </row>
        <row r="106">
          <cell r="S106" t="str">
            <v>PEL-20</v>
          </cell>
        </row>
        <row r="123">
          <cell r="S123" t="str">
            <v>HP10-20</v>
          </cell>
          <cell r="T123">
            <v>0</v>
          </cell>
        </row>
        <row r="124">
          <cell r="S124" t="str">
            <v>HP10-25</v>
          </cell>
          <cell r="T124">
            <v>0</v>
          </cell>
        </row>
        <row r="125">
          <cell r="S125" t="str">
            <v>HP10-32</v>
          </cell>
          <cell r="T125">
            <v>0</v>
          </cell>
        </row>
        <row r="126">
          <cell r="S126" t="str">
            <v>HP10-40</v>
          </cell>
          <cell r="T126">
            <v>0</v>
          </cell>
        </row>
        <row r="127">
          <cell r="S127" t="str">
            <v>HP10-50</v>
          </cell>
          <cell r="T127">
            <v>0</v>
          </cell>
        </row>
        <row r="128">
          <cell r="S128" t="str">
            <v>HP10-63</v>
          </cell>
          <cell r="T128">
            <v>0</v>
          </cell>
        </row>
        <row r="129">
          <cell r="S129" t="str">
            <v>HP6-75</v>
          </cell>
          <cell r="T129">
            <v>0</v>
          </cell>
        </row>
        <row r="130">
          <cell r="S130" t="str">
            <v>HP4-90</v>
          </cell>
          <cell r="T130">
            <v>0</v>
          </cell>
        </row>
        <row r="132">
          <cell r="S132" t="str">
            <v>GNI-15</v>
          </cell>
          <cell r="T132">
            <v>0</v>
          </cell>
        </row>
        <row r="133">
          <cell r="S133" t="str">
            <v>GNI-20</v>
          </cell>
          <cell r="T133">
            <v>0</v>
          </cell>
        </row>
        <row r="134">
          <cell r="S134" t="str">
            <v>GNI-25</v>
          </cell>
          <cell r="T134">
            <v>0</v>
          </cell>
        </row>
        <row r="135">
          <cell r="S135" t="str">
            <v>PNI-40</v>
          </cell>
          <cell r="T135">
            <v>0</v>
          </cell>
        </row>
        <row r="136">
          <cell r="S136" t="str">
            <v>PNI-50</v>
          </cell>
          <cell r="T136">
            <v>0</v>
          </cell>
        </row>
        <row r="137">
          <cell r="S137" t="str">
            <v>PNI-63</v>
          </cell>
          <cell r="T137">
            <v>0</v>
          </cell>
        </row>
        <row r="138">
          <cell r="S138" t="str">
            <v>PNI-75</v>
          </cell>
          <cell r="T138">
            <v>0</v>
          </cell>
        </row>
        <row r="139">
          <cell r="S139" t="str">
            <v>PNI-90</v>
          </cell>
          <cell r="T139">
            <v>0</v>
          </cell>
        </row>
        <row r="140">
          <cell r="S140" t="str">
            <v>PNI25-25</v>
          </cell>
          <cell r="T140">
            <v>0</v>
          </cell>
        </row>
        <row r="141">
          <cell r="S141" t="str">
            <v>PUT-32x20</v>
          </cell>
          <cell r="T141">
            <v>0</v>
          </cell>
        </row>
        <row r="142">
          <cell r="S142" t="str">
            <v>PUT-32x25</v>
          </cell>
          <cell r="T142">
            <v>0</v>
          </cell>
        </row>
        <row r="143">
          <cell r="S143" t="str">
            <v>PET-32</v>
          </cell>
          <cell r="T143">
            <v>0</v>
          </cell>
        </row>
        <row r="144">
          <cell r="S144" t="str">
            <v>PUT-40x32</v>
          </cell>
          <cell r="T144">
            <v>0</v>
          </cell>
        </row>
        <row r="145">
          <cell r="S145" t="str">
            <v>PUT-50x32</v>
          </cell>
          <cell r="T145">
            <v>0</v>
          </cell>
        </row>
        <row r="146">
          <cell r="S146" t="str">
            <v>PUT-63x32</v>
          </cell>
          <cell r="T146">
            <v>0</v>
          </cell>
        </row>
        <row r="147">
          <cell r="S147" t="str">
            <v>PUT-75x32</v>
          </cell>
          <cell r="T147">
            <v>0</v>
          </cell>
        </row>
        <row r="148">
          <cell r="S148" t="str">
            <v>PUT-90x32</v>
          </cell>
          <cell r="T148">
            <v>0</v>
          </cell>
        </row>
        <row r="149">
          <cell r="S149" t="str">
            <v>BU-20</v>
          </cell>
          <cell r="T149">
            <v>0</v>
          </cell>
        </row>
        <row r="150">
          <cell r="S150" t="str">
            <v>BU-25</v>
          </cell>
          <cell r="T150">
            <v>0</v>
          </cell>
        </row>
        <row r="151">
          <cell r="S151" t="str">
            <v>BU-32</v>
          </cell>
          <cell r="T151">
            <v>0</v>
          </cell>
        </row>
        <row r="152">
          <cell r="S152" t="str">
            <v>PHF-40</v>
          </cell>
          <cell r="T152">
            <v>0</v>
          </cell>
        </row>
        <row r="153">
          <cell r="S153" t="str">
            <v>PHF-50</v>
          </cell>
          <cell r="T153">
            <v>0</v>
          </cell>
        </row>
        <row r="154">
          <cell r="S154" t="str">
            <v>PHF-63</v>
          </cell>
          <cell r="T154">
            <v>0</v>
          </cell>
        </row>
        <row r="155">
          <cell r="S155" t="str">
            <v>PHF-75</v>
          </cell>
          <cell r="T155">
            <v>0</v>
          </cell>
        </row>
        <row r="156">
          <cell r="S156" t="str">
            <v>PHF-90</v>
          </cell>
          <cell r="T156">
            <v>0</v>
          </cell>
        </row>
        <row r="157">
          <cell r="S157" t="str">
            <v>AV-20</v>
          </cell>
          <cell r="T157">
            <v>0</v>
          </cell>
        </row>
        <row r="159">
          <cell r="T159" t="str">
            <v>Nos</v>
          </cell>
        </row>
        <row r="160">
          <cell r="S160" t="str">
            <v>GET-25</v>
          </cell>
        </row>
        <row r="161">
          <cell r="S161" t="str">
            <v>GNI-25</v>
          </cell>
        </row>
        <row r="162">
          <cell r="S162" t="str">
            <v>GET-15</v>
          </cell>
        </row>
        <row r="163">
          <cell r="S163" t="str">
            <v>GNI150-15</v>
          </cell>
        </row>
        <row r="164">
          <cell r="S164" t="str">
            <v>AV-15</v>
          </cell>
        </row>
        <row r="178">
          <cell r="S178" t="str">
            <v>GNI-15</v>
          </cell>
          <cell r="T178">
            <v>2</v>
          </cell>
        </row>
        <row r="179">
          <cell r="S179" t="str">
            <v>GNI-20</v>
          </cell>
          <cell r="T179">
            <v>0</v>
          </cell>
        </row>
        <row r="180">
          <cell r="S180" t="str">
            <v>GNI-25</v>
          </cell>
          <cell r="T180">
            <v>0</v>
          </cell>
        </row>
        <row r="181">
          <cell r="S181" t="str">
            <v>GNI-32</v>
          </cell>
          <cell r="T181">
            <v>0</v>
          </cell>
        </row>
        <row r="182">
          <cell r="S182" t="str">
            <v>GNI-40</v>
          </cell>
          <cell r="T182">
            <v>0</v>
          </cell>
        </row>
        <row r="183">
          <cell r="S183" t="str">
            <v>GNI-50</v>
          </cell>
          <cell r="T183">
            <v>0</v>
          </cell>
        </row>
        <row r="184">
          <cell r="S184" t="str">
            <v>GNI-63</v>
          </cell>
          <cell r="T184">
            <v>0</v>
          </cell>
        </row>
        <row r="185">
          <cell r="S185" t="str">
            <v>GNI-75</v>
          </cell>
          <cell r="T185">
            <v>0</v>
          </cell>
        </row>
        <row r="186">
          <cell r="S186" t="str">
            <v>BU-20</v>
          </cell>
          <cell r="T186">
            <v>2</v>
          </cell>
        </row>
        <row r="187">
          <cell r="S187" t="str">
            <v>BU-25</v>
          </cell>
          <cell r="T187">
            <v>0</v>
          </cell>
        </row>
        <row r="188">
          <cell r="S188" t="str">
            <v>BU-32</v>
          </cell>
          <cell r="T188">
            <v>0</v>
          </cell>
        </row>
        <row r="189">
          <cell r="S189" t="str">
            <v>BU-40</v>
          </cell>
          <cell r="T189">
            <v>0</v>
          </cell>
        </row>
        <row r="190">
          <cell r="S190" t="str">
            <v>GHF-50</v>
          </cell>
          <cell r="T190">
            <v>0</v>
          </cell>
        </row>
        <row r="191">
          <cell r="S191" t="str">
            <v>GHF-63</v>
          </cell>
          <cell r="T191">
            <v>0</v>
          </cell>
        </row>
        <row r="192">
          <cell r="S192" t="str">
            <v>GHF-75</v>
          </cell>
          <cell r="T192">
            <v>0</v>
          </cell>
        </row>
        <row r="193">
          <cell r="S193" t="str">
            <v>GHF-90</v>
          </cell>
          <cell r="T193">
            <v>0</v>
          </cell>
        </row>
        <row r="194">
          <cell r="S194" t="str">
            <v>BGAV-15</v>
          </cell>
          <cell r="T194">
            <v>1</v>
          </cell>
        </row>
        <row r="195">
          <cell r="S195" t="str">
            <v>BGAV-20</v>
          </cell>
          <cell r="T195">
            <v>0</v>
          </cell>
        </row>
        <row r="196">
          <cell r="S196" t="str">
            <v>BGAV-25</v>
          </cell>
          <cell r="T196">
            <v>0</v>
          </cell>
        </row>
        <row r="197">
          <cell r="S197" t="str">
            <v>BGAV-32</v>
          </cell>
          <cell r="T197">
            <v>0</v>
          </cell>
        </row>
        <row r="198">
          <cell r="S198" t="str">
            <v>BGAV-40</v>
          </cell>
          <cell r="T198">
            <v>0</v>
          </cell>
        </row>
        <row r="199">
          <cell r="S199" t="str">
            <v>BGAV-50</v>
          </cell>
          <cell r="T199">
            <v>0</v>
          </cell>
        </row>
        <row r="200">
          <cell r="S200" t="str">
            <v>BGAV-63</v>
          </cell>
          <cell r="T200">
            <v>0</v>
          </cell>
        </row>
        <row r="201">
          <cell r="S201" t="str">
            <v>BGAV-75</v>
          </cell>
          <cell r="T201">
            <v>0</v>
          </cell>
        </row>
        <row r="204">
          <cell r="S204" t="str">
            <v>GEL-25</v>
          </cell>
        </row>
        <row r="222">
          <cell r="S222" t="str">
            <v>HP10-20</v>
          </cell>
          <cell r="T222">
            <v>0</v>
          </cell>
        </row>
        <row r="223">
          <cell r="S223" t="str">
            <v>HP10-25</v>
          </cell>
          <cell r="T223">
            <v>0</v>
          </cell>
        </row>
        <row r="224">
          <cell r="S224" t="str">
            <v>HP10-32</v>
          </cell>
          <cell r="T224">
            <v>0</v>
          </cell>
        </row>
        <row r="225">
          <cell r="S225" t="str">
            <v>HP10-40</v>
          </cell>
          <cell r="T225">
            <v>0</v>
          </cell>
        </row>
        <row r="226">
          <cell r="S226" t="str">
            <v>HP10-50</v>
          </cell>
          <cell r="T226">
            <v>0</v>
          </cell>
        </row>
        <row r="227">
          <cell r="S227" t="str">
            <v>HP10-63</v>
          </cell>
          <cell r="T227">
            <v>0</v>
          </cell>
        </row>
        <row r="228">
          <cell r="S228" t="str">
            <v>HP6-75</v>
          </cell>
          <cell r="T228">
            <v>0</v>
          </cell>
        </row>
        <row r="229">
          <cell r="S229" t="str">
            <v>HP4-90</v>
          </cell>
          <cell r="T229">
            <v>0</v>
          </cell>
        </row>
        <row r="231">
          <cell r="S231" t="str">
            <v>PNI-20</v>
          </cell>
          <cell r="T231">
            <v>0</v>
          </cell>
        </row>
        <row r="232">
          <cell r="S232" t="str">
            <v>PNI-25</v>
          </cell>
          <cell r="T232">
            <v>0</v>
          </cell>
        </row>
        <row r="233">
          <cell r="S233" t="str">
            <v>PNI-32</v>
          </cell>
          <cell r="T233">
            <v>0</v>
          </cell>
        </row>
        <row r="234">
          <cell r="S234" t="str">
            <v>PNI-40</v>
          </cell>
          <cell r="T234">
            <v>0</v>
          </cell>
        </row>
        <row r="235">
          <cell r="S235" t="str">
            <v>PNI-50</v>
          </cell>
          <cell r="T235">
            <v>0</v>
          </cell>
        </row>
        <row r="236">
          <cell r="S236" t="str">
            <v>PNI-63</v>
          </cell>
          <cell r="T236">
            <v>0</v>
          </cell>
        </row>
        <row r="237">
          <cell r="S237" t="str">
            <v>PNI-75</v>
          </cell>
          <cell r="T237">
            <v>0</v>
          </cell>
        </row>
        <row r="238">
          <cell r="S238" t="str">
            <v>PNI-90</v>
          </cell>
          <cell r="T238">
            <v>0</v>
          </cell>
        </row>
        <row r="239">
          <cell r="S239" t="str">
            <v>PHF-20</v>
          </cell>
          <cell r="T239">
            <v>0</v>
          </cell>
        </row>
        <row r="240">
          <cell r="S240" t="str">
            <v>PHF-25</v>
          </cell>
          <cell r="T240">
            <v>0</v>
          </cell>
        </row>
        <row r="241">
          <cell r="S241" t="str">
            <v>PHF-32</v>
          </cell>
          <cell r="T241">
            <v>0</v>
          </cell>
        </row>
        <row r="242">
          <cell r="S242" t="str">
            <v>PHF-40</v>
          </cell>
          <cell r="T242">
            <v>0</v>
          </cell>
        </row>
        <row r="243">
          <cell r="S243" t="str">
            <v>PHF-50</v>
          </cell>
          <cell r="T243">
            <v>0</v>
          </cell>
        </row>
        <row r="244">
          <cell r="S244" t="str">
            <v>PHF-63</v>
          </cell>
          <cell r="T244">
            <v>0</v>
          </cell>
        </row>
        <row r="245">
          <cell r="S245" t="str">
            <v>PHF-75</v>
          </cell>
          <cell r="T245">
            <v>0</v>
          </cell>
        </row>
        <row r="246">
          <cell r="S246" t="str">
            <v>PHF-90</v>
          </cell>
          <cell r="T246">
            <v>0</v>
          </cell>
        </row>
        <row r="247">
          <cell r="S247" t="str">
            <v>PGAV-20</v>
          </cell>
          <cell r="T247">
            <v>0</v>
          </cell>
        </row>
        <row r="248">
          <cell r="S248" t="str">
            <v>PGAV-25</v>
          </cell>
          <cell r="T248">
            <v>0</v>
          </cell>
        </row>
        <row r="249">
          <cell r="S249" t="str">
            <v>PGAV-32</v>
          </cell>
          <cell r="T249">
            <v>0</v>
          </cell>
        </row>
        <row r="250">
          <cell r="S250" t="str">
            <v>PGAV-40</v>
          </cell>
          <cell r="T250">
            <v>0</v>
          </cell>
        </row>
        <row r="251">
          <cell r="S251" t="str">
            <v>PGAV-50</v>
          </cell>
          <cell r="T251">
            <v>0</v>
          </cell>
        </row>
        <row r="252">
          <cell r="S252" t="str">
            <v>PGAV-63</v>
          </cell>
          <cell r="T252">
            <v>0</v>
          </cell>
        </row>
        <row r="253">
          <cell r="S253" t="str">
            <v>PGAV-75</v>
          </cell>
          <cell r="T253">
            <v>0</v>
          </cell>
        </row>
        <row r="254">
          <cell r="S254" t="str">
            <v>PGAV-90</v>
          </cell>
          <cell r="T254">
            <v>0</v>
          </cell>
        </row>
        <row r="257">
          <cell r="S257" t="str">
            <v>GEL-25</v>
          </cell>
        </row>
        <row r="275">
          <cell r="S275" t="str">
            <v>HP2.5-110</v>
          </cell>
          <cell r="T275">
            <v>0</v>
          </cell>
        </row>
        <row r="276">
          <cell r="S276" t="str">
            <v>HP2.5-140</v>
          </cell>
          <cell r="T276">
            <v>0</v>
          </cell>
        </row>
        <row r="277">
          <cell r="S277" t="str">
            <v>HP2.5-160</v>
          </cell>
          <cell r="T277">
            <v>0</v>
          </cell>
        </row>
        <row r="279">
          <cell r="S279" t="str">
            <v>GNI150-15</v>
          </cell>
          <cell r="T279">
            <v>0</v>
          </cell>
        </row>
        <row r="280">
          <cell r="S280" t="str">
            <v>GNI-15</v>
          </cell>
          <cell r="T280">
            <v>0</v>
          </cell>
        </row>
        <row r="281">
          <cell r="S281" t="str">
            <v>GNI-20</v>
          </cell>
          <cell r="T281">
            <v>0</v>
          </cell>
        </row>
        <row r="282">
          <cell r="S282" t="str">
            <v>GNI-25</v>
          </cell>
          <cell r="T282">
            <v>0</v>
          </cell>
        </row>
        <row r="283">
          <cell r="S283" t="str">
            <v>GNI-32</v>
          </cell>
          <cell r="T283">
            <v>0</v>
          </cell>
        </row>
        <row r="284">
          <cell r="S284" t="str">
            <v>GNI-40</v>
          </cell>
          <cell r="T284">
            <v>0</v>
          </cell>
        </row>
        <row r="285">
          <cell r="S285" t="str">
            <v>GNI-50</v>
          </cell>
          <cell r="T285">
            <v>0</v>
          </cell>
        </row>
        <row r="286">
          <cell r="S286" t="str">
            <v>GSO-15</v>
          </cell>
          <cell r="T286">
            <v>0</v>
          </cell>
        </row>
        <row r="287">
          <cell r="S287" t="str">
            <v>BU-20</v>
          </cell>
          <cell r="T287">
            <v>0</v>
          </cell>
        </row>
        <row r="288">
          <cell r="S288" t="str">
            <v>BU-25</v>
          </cell>
          <cell r="T288">
            <v>0</v>
          </cell>
        </row>
        <row r="289">
          <cell r="S289" t="str">
            <v>BU-32</v>
          </cell>
          <cell r="T289">
            <v>0</v>
          </cell>
        </row>
        <row r="290">
          <cell r="S290" t="str">
            <v>BU-40</v>
          </cell>
          <cell r="T290">
            <v>0</v>
          </cell>
        </row>
        <row r="291">
          <cell r="S291" t="str">
            <v>GHF-50</v>
          </cell>
          <cell r="T291">
            <v>0</v>
          </cell>
        </row>
        <row r="292">
          <cell r="S292" t="str">
            <v>GHF-63</v>
          </cell>
          <cell r="T292">
            <v>0</v>
          </cell>
        </row>
        <row r="293">
          <cell r="S293" t="str">
            <v>BGLV-15</v>
          </cell>
          <cell r="T293">
            <v>0</v>
          </cell>
        </row>
        <row r="294">
          <cell r="S294" t="str">
            <v>BGLV-20</v>
          </cell>
          <cell r="T294">
            <v>0</v>
          </cell>
        </row>
        <row r="295">
          <cell r="S295" t="str">
            <v>BGLV-25</v>
          </cell>
          <cell r="T295">
            <v>0</v>
          </cell>
        </row>
        <row r="296">
          <cell r="S296" t="str">
            <v>BGLV-32</v>
          </cell>
          <cell r="T296">
            <v>0</v>
          </cell>
        </row>
        <row r="297">
          <cell r="S297" t="str">
            <v>BGLV-40</v>
          </cell>
          <cell r="T297">
            <v>0</v>
          </cell>
        </row>
        <row r="298">
          <cell r="S298" t="str">
            <v>BGLV-50</v>
          </cell>
          <cell r="T298">
            <v>0</v>
          </cell>
        </row>
        <row r="301">
          <cell r="S301" t="str">
            <v>GEL-25</v>
          </cell>
        </row>
        <row r="319">
          <cell r="S319" t="str">
            <v>HP2.5-110</v>
          </cell>
          <cell r="T319">
            <v>0</v>
          </cell>
        </row>
        <row r="320">
          <cell r="S320" t="str">
            <v>HP2.5-140</v>
          </cell>
          <cell r="T320">
            <v>0</v>
          </cell>
        </row>
        <row r="321">
          <cell r="S321" t="str">
            <v>HP2.5-160</v>
          </cell>
          <cell r="T321">
            <v>0</v>
          </cell>
        </row>
        <row r="323">
          <cell r="S323" t="str">
            <v>GNI150-15</v>
          </cell>
          <cell r="T323">
            <v>0</v>
          </cell>
        </row>
        <row r="324">
          <cell r="S324" t="str">
            <v>GSO-15</v>
          </cell>
          <cell r="T324">
            <v>0</v>
          </cell>
        </row>
        <row r="325">
          <cell r="S325" t="str">
            <v>PHF-20</v>
          </cell>
          <cell r="T325">
            <v>0</v>
          </cell>
        </row>
        <row r="326">
          <cell r="S326" t="str">
            <v>PHF-25</v>
          </cell>
          <cell r="T326">
            <v>0</v>
          </cell>
        </row>
        <row r="327">
          <cell r="S327" t="str">
            <v>PHF-32</v>
          </cell>
          <cell r="T327">
            <v>0</v>
          </cell>
        </row>
        <row r="328">
          <cell r="S328" t="str">
            <v>PHF-40</v>
          </cell>
          <cell r="T328">
            <v>0</v>
          </cell>
        </row>
        <row r="329">
          <cell r="S329" t="str">
            <v>PHF-50</v>
          </cell>
          <cell r="T329">
            <v>0</v>
          </cell>
        </row>
        <row r="330">
          <cell r="S330" t="str">
            <v>PHF-63</v>
          </cell>
          <cell r="T330">
            <v>0</v>
          </cell>
        </row>
        <row r="331">
          <cell r="S331" t="str">
            <v>PNI-20</v>
          </cell>
          <cell r="T331">
            <v>0</v>
          </cell>
        </row>
        <row r="332">
          <cell r="S332" t="str">
            <v>PNI-25</v>
          </cell>
          <cell r="T332">
            <v>0</v>
          </cell>
        </row>
        <row r="333">
          <cell r="S333" t="str">
            <v>PNI-32</v>
          </cell>
          <cell r="T333">
            <v>0</v>
          </cell>
        </row>
        <row r="334">
          <cell r="S334" t="str">
            <v>PNI-40</v>
          </cell>
          <cell r="T334">
            <v>0</v>
          </cell>
        </row>
        <row r="335">
          <cell r="S335" t="str">
            <v>PNI-50</v>
          </cell>
          <cell r="T335">
            <v>0</v>
          </cell>
        </row>
        <row r="336">
          <cell r="S336" t="str">
            <v>PNI-63</v>
          </cell>
          <cell r="T336">
            <v>0</v>
          </cell>
        </row>
        <row r="337">
          <cell r="S337" t="str">
            <v>PGAV-20</v>
          </cell>
          <cell r="T337">
            <v>0</v>
          </cell>
        </row>
        <row r="338">
          <cell r="S338" t="str">
            <v>PGAV-25</v>
          </cell>
          <cell r="T338">
            <v>0</v>
          </cell>
        </row>
        <row r="339">
          <cell r="S339" t="str">
            <v>PGAV-32</v>
          </cell>
          <cell r="T339">
            <v>0</v>
          </cell>
        </row>
        <row r="340">
          <cell r="S340" t="str">
            <v>PGAV-40</v>
          </cell>
          <cell r="T340">
            <v>0</v>
          </cell>
        </row>
        <row r="341">
          <cell r="S341" t="str">
            <v>PGAV-50</v>
          </cell>
          <cell r="T341">
            <v>0</v>
          </cell>
        </row>
        <row r="342">
          <cell r="S342" t="str">
            <v>PGAV-63</v>
          </cell>
          <cell r="T342">
            <v>0</v>
          </cell>
        </row>
        <row r="345">
          <cell r="S345" t="str">
            <v>GEL-25</v>
          </cell>
        </row>
        <row r="358">
          <cell r="T358">
            <v>1</v>
          </cell>
        </row>
        <row r="363">
          <cell r="S363" t="str">
            <v>HP2.5-90</v>
          </cell>
          <cell r="T363">
            <v>0</v>
          </cell>
        </row>
        <row r="365">
          <cell r="S365" t="str">
            <v>GNI-15</v>
          </cell>
          <cell r="T365">
            <v>2</v>
          </cell>
        </row>
        <row r="366">
          <cell r="S366" t="str">
            <v>GNI-20</v>
          </cell>
          <cell r="T366">
            <v>0</v>
          </cell>
        </row>
        <row r="367">
          <cell r="S367" t="str">
            <v>GNI-25</v>
          </cell>
          <cell r="T367">
            <v>0</v>
          </cell>
        </row>
        <row r="368">
          <cell r="S368" t="str">
            <v>GNI-32</v>
          </cell>
          <cell r="T368">
            <v>0</v>
          </cell>
        </row>
        <row r="369">
          <cell r="S369" t="str">
            <v>GNI-40</v>
          </cell>
          <cell r="T369">
            <v>0</v>
          </cell>
        </row>
        <row r="370">
          <cell r="S370" t="str">
            <v>GNI-50</v>
          </cell>
          <cell r="T370">
            <v>0</v>
          </cell>
        </row>
        <row r="371">
          <cell r="S371" t="str">
            <v>GNI-63</v>
          </cell>
          <cell r="T371">
            <v>0</v>
          </cell>
        </row>
        <row r="372">
          <cell r="S372" t="str">
            <v>GNI-75</v>
          </cell>
          <cell r="T372">
            <v>0</v>
          </cell>
        </row>
        <row r="373">
          <cell r="S373" t="str">
            <v>GET-15</v>
          </cell>
          <cell r="T373">
            <v>0</v>
          </cell>
        </row>
        <row r="374">
          <cell r="S374" t="str">
            <v>GET-20</v>
          </cell>
          <cell r="T374">
            <v>0</v>
          </cell>
        </row>
        <row r="375">
          <cell r="S375" t="str">
            <v>GET-25</v>
          </cell>
          <cell r="T375">
            <v>0</v>
          </cell>
        </row>
        <row r="376">
          <cell r="S376" t="str">
            <v>GET-32</v>
          </cell>
          <cell r="T376">
            <v>0</v>
          </cell>
        </row>
        <row r="377">
          <cell r="S377" t="str">
            <v>GET-40</v>
          </cell>
          <cell r="T377">
            <v>0</v>
          </cell>
        </row>
        <row r="378">
          <cell r="S378" t="str">
            <v>GET-50</v>
          </cell>
          <cell r="T378">
            <v>0</v>
          </cell>
        </row>
        <row r="379">
          <cell r="S379" t="str">
            <v>GET-63</v>
          </cell>
          <cell r="T379">
            <v>0</v>
          </cell>
        </row>
        <row r="380">
          <cell r="S380" t="str">
            <v>GET-75</v>
          </cell>
          <cell r="T380">
            <v>0</v>
          </cell>
        </row>
        <row r="381">
          <cell r="S381" t="str">
            <v>BU-20</v>
          </cell>
          <cell r="T381">
            <v>2</v>
          </cell>
        </row>
        <row r="382">
          <cell r="S382" t="str">
            <v>BU-25</v>
          </cell>
          <cell r="T382">
            <v>0</v>
          </cell>
        </row>
        <row r="383">
          <cell r="S383" t="str">
            <v>BU-32</v>
          </cell>
          <cell r="T383">
            <v>0</v>
          </cell>
        </row>
        <row r="384">
          <cell r="S384" t="str">
            <v>BU-40</v>
          </cell>
          <cell r="T384">
            <v>0</v>
          </cell>
        </row>
        <row r="385">
          <cell r="S385" t="str">
            <v>GHF-50</v>
          </cell>
          <cell r="T385">
            <v>0</v>
          </cell>
        </row>
        <row r="386">
          <cell r="S386" t="str">
            <v>GHF-63</v>
          </cell>
          <cell r="T386">
            <v>0</v>
          </cell>
        </row>
        <row r="387">
          <cell r="S387" t="str">
            <v>GHF-75</v>
          </cell>
          <cell r="T387">
            <v>0</v>
          </cell>
        </row>
        <row r="388">
          <cell r="S388" t="str">
            <v>GHF-90</v>
          </cell>
          <cell r="T388">
            <v>0</v>
          </cell>
        </row>
        <row r="389">
          <cell r="S389" t="str">
            <v>BGAV-15</v>
          </cell>
          <cell r="T389">
            <v>1</v>
          </cell>
        </row>
        <row r="390">
          <cell r="S390" t="str">
            <v>BGAV-20</v>
          </cell>
          <cell r="T390">
            <v>0</v>
          </cell>
        </row>
        <row r="391">
          <cell r="S391" t="str">
            <v>BGAV-25</v>
          </cell>
          <cell r="T391">
            <v>0</v>
          </cell>
        </row>
        <row r="392">
          <cell r="S392" t="str">
            <v>BGAV-32</v>
          </cell>
          <cell r="T392">
            <v>0</v>
          </cell>
        </row>
        <row r="393">
          <cell r="S393" t="str">
            <v>BGAV-40</v>
          </cell>
          <cell r="T393">
            <v>0</v>
          </cell>
        </row>
        <row r="394">
          <cell r="S394" t="str">
            <v>BGAV-50</v>
          </cell>
          <cell r="T394">
            <v>0</v>
          </cell>
        </row>
        <row r="395">
          <cell r="S395" t="str">
            <v>BGAV-63</v>
          </cell>
          <cell r="T395">
            <v>0</v>
          </cell>
        </row>
        <row r="396">
          <cell r="S396" t="str">
            <v>BGAV-75</v>
          </cell>
          <cell r="T396">
            <v>0</v>
          </cell>
        </row>
        <row r="399">
          <cell r="S399" t="str">
            <v>HP6-32</v>
          </cell>
          <cell r="T399">
            <v>10</v>
          </cell>
        </row>
        <row r="417">
          <cell r="S417" t="str">
            <v>HP10-20</v>
          </cell>
          <cell r="T417">
            <v>0</v>
          </cell>
        </row>
        <row r="418">
          <cell r="S418" t="str">
            <v>HP10-25</v>
          </cell>
          <cell r="T418">
            <v>0</v>
          </cell>
        </row>
        <row r="419">
          <cell r="S419" t="str">
            <v>HP10-32</v>
          </cell>
          <cell r="T419">
            <v>0</v>
          </cell>
        </row>
        <row r="420">
          <cell r="S420" t="str">
            <v>HP10-40</v>
          </cell>
          <cell r="T420">
            <v>0</v>
          </cell>
        </row>
        <row r="421">
          <cell r="S421" t="str">
            <v>HP10-50</v>
          </cell>
          <cell r="T421">
            <v>0</v>
          </cell>
        </row>
        <row r="422">
          <cell r="S422" t="str">
            <v>HP10-63</v>
          </cell>
          <cell r="T422">
            <v>0</v>
          </cell>
        </row>
        <row r="423">
          <cell r="S423" t="str">
            <v>HP6-75</v>
          </cell>
          <cell r="T423">
            <v>0</v>
          </cell>
        </row>
        <row r="424">
          <cell r="S424" t="str">
            <v>HP4-90</v>
          </cell>
          <cell r="T424">
            <v>0</v>
          </cell>
        </row>
        <row r="426">
          <cell r="S426" t="str">
            <v>HET-20</v>
          </cell>
          <cell r="T426">
            <v>0</v>
          </cell>
        </row>
        <row r="427">
          <cell r="S427" t="str">
            <v>HET-25</v>
          </cell>
          <cell r="T427">
            <v>0</v>
          </cell>
        </row>
        <row r="428">
          <cell r="S428" t="str">
            <v>HET-32</v>
          </cell>
          <cell r="T428">
            <v>0</v>
          </cell>
        </row>
        <row r="429">
          <cell r="S429" t="str">
            <v>HET-40</v>
          </cell>
          <cell r="T429">
            <v>0</v>
          </cell>
        </row>
        <row r="430">
          <cell r="S430" t="str">
            <v>HET-50</v>
          </cell>
          <cell r="T430">
            <v>0</v>
          </cell>
        </row>
        <row r="431">
          <cell r="S431" t="str">
            <v>HET-63</v>
          </cell>
          <cell r="T431">
            <v>0</v>
          </cell>
        </row>
        <row r="432">
          <cell r="S432" t="str">
            <v>HET-75</v>
          </cell>
          <cell r="T432">
            <v>0</v>
          </cell>
        </row>
        <row r="433">
          <cell r="S433" t="str">
            <v>HET-90</v>
          </cell>
          <cell r="T433">
            <v>0</v>
          </cell>
        </row>
        <row r="434">
          <cell r="S434" t="str">
            <v>GNI-15</v>
          </cell>
          <cell r="T434">
            <v>0</v>
          </cell>
        </row>
        <row r="435">
          <cell r="S435" t="str">
            <v>GNI-20</v>
          </cell>
          <cell r="T435">
            <v>0</v>
          </cell>
        </row>
        <row r="436">
          <cell r="S436" t="str">
            <v>GNI-25</v>
          </cell>
          <cell r="T436">
            <v>0</v>
          </cell>
        </row>
        <row r="437">
          <cell r="S437" t="str">
            <v>PNI-40</v>
          </cell>
          <cell r="T437">
            <v>0</v>
          </cell>
        </row>
        <row r="438">
          <cell r="S438" t="str">
            <v>PNI-50</v>
          </cell>
          <cell r="T438">
            <v>0</v>
          </cell>
        </row>
        <row r="439">
          <cell r="S439" t="str">
            <v>PNI-63</v>
          </cell>
          <cell r="T439">
            <v>0</v>
          </cell>
        </row>
        <row r="440">
          <cell r="S440" t="str">
            <v>PNI-75</v>
          </cell>
          <cell r="T440">
            <v>0</v>
          </cell>
        </row>
        <row r="441">
          <cell r="S441" t="str">
            <v>PNI-90</v>
          </cell>
          <cell r="T441">
            <v>0</v>
          </cell>
        </row>
        <row r="442">
          <cell r="S442" t="str">
            <v>PHF-20</v>
          </cell>
          <cell r="T442">
            <v>0</v>
          </cell>
        </row>
        <row r="443">
          <cell r="S443" t="str">
            <v>PHF-25</v>
          </cell>
          <cell r="T443">
            <v>0</v>
          </cell>
        </row>
        <row r="444">
          <cell r="S444" t="str">
            <v>PHF-32</v>
          </cell>
          <cell r="T444">
            <v>0</v>
          </cell>
        </row>
        <row r="445">
          <cell r="S445" t="str">
            <v>PHF-40</v>
          </cell>
          <cell r="T445">
            <v>0</v>
          </cell>
        </row>
        <row r="446">
          <cell r="S446" t="str">
            <v>PHF-50</v>
          </cell>
          <cell r="T446">
            <v>0</v>
          </cell>
        </row>
        <row r="447">
          <cell r="S447" t="str">
            <v>PHF-63</v>
          </cell>
          <cell r="T447">
            <v>0</v>
          </cell>
        </row>
        <row r="448">
          <cell r="S448" t="str">
            <v>PHF-75</v>
          </cell>
          <cell r="T448">
            <v>0</v>
          </cell>
        </row>
        <row r="449">
          <cell r="S449" t="str">
            <v>PHF-90</v>
          </cell>
          <cell r="T449">
            <v>0</v>
          </cell>
        </row>
        <row r="450">
          <cell r="S450" t="str">
            <v>BGAV-15</v>
          </cell>
          <cell r="T450">
            <v>0</v>
          </cell>
        </row>
        <row r="451">
          <cell r="S451" t="str">
            <v>BGAV-20</v>
          </cell>
          <cell r="T451">
            <v>0</v>
          </cell>
        </row>
        <row r="452">
          <cell r="S452" t="str">
            <v>BGAV-25</v>
          </cell>
          <cell r="T452">
            <v>0</v>
          </cell>
        </row>
        <row r="453">
          <cell r="S453" t="str">
            <v>PGAV-40</v>
          </cell>
          <cell r="T453">
            <v>0</v>
          </cell>
        </row>
        <row r="454">
          <cell r="S454" t="str">
            <v>PGAV-50</v>
          </cell>
          <cell r="T454">
            <v>0</v>
          </cell>
        </row>
        <row r="455">
          <cell r="S455" t="str">
            <v>PGAV-63</v>
          </cell>
          <cell r="T455">
            <v>0</v>
          </cell>
        </row>
        <row r="456">
          <cell r="S456" t="str">
            <v>PGAV-75</v>
          </cell>
          <cell r="T456">
            <v>0</v>
          </cell>
        </row>
        <row r="457">
          <cell r="S457" t="str">
            <v>PGAV-90</v>
          </cell>
          <cell r="T457">
            <v>0</v>
          </cell>
        </row>
        <row r="461">
          <cell r="S461" t="str">
            <v>GEL-25</v>
          </cell>
        </row>
        <row r="479">
          <cell r="S479" t="str">
            <v>HP2.5-90</v>
          </cell>
          <cell r="T479">
            <v>0</v>
          </cell>
        </row>
        <row r="481">
          <cell r="S481" t="str">
            <v>GNI-15</v>
          </cell>
          <cell r="T481">
            <v>0</v>
          </cell>
        </row>
        <row r="482">
          <cell r="S482" t="str">
            <v>GNI-20</v>
          </cell>
          <cell r="T482">
            <v>0</v>
          </cell>
        </row>
        <row r="483">
          <cell r="S483" t="str">
            <v>GNI-25</v>
          </cell>
          <cell r="T483">
            <v>0</v>
          </cell>
        </row>
        <row r="484">
          <cell r="S484" t="str">
            <v>GNI-32</v>
          </cell>
          <cell r="T484">
            <v>0</v>
          </cell>
        </row>
        <row r="485">
          <cell r="S485" t="str">
            <v>GNI-40</v>
          </cell>
          <cell r="T485">
            <v>0</v>
          </cell>
        </row>
        <row r="486">
          <cell r="S486" t="str">
            <v>GNI-50</v>
          </cell>
          <cell r="T486">
            <v>0</v>
          </cell>
        </row>
        <row r="487">
          <cell r="S487" t="str">
            <v>GNI-63</v>
          </cell>
          <cell r="T487">
            <v>0</v>
          </cell>
        </row>
        <row r="488">
          <cell r="S488" t="str">
            <v>GNI-75</v>
          </cell>
          <cell r="T488">
            <v>0</v>
          </cell>
        </row>
        <row r="489">
          <cell r="S489" t="str">
            <v>GET-15</v>
          </cell>
          <cell r="T489">
            <v>0</v>
          </cell>
        </row>
        <row r="490">
          <cell r="S490" t="str">
            <v>GET-20</v>
          </cell>
          <cell r="T490">
            <v>0</v>
          </cell>
        </row>
        <row r="491">
          <cell r="S491" t="str">
            <v>GET-25</v>
          </cell>
          <cell r="T491">
            <v>0</v>
          </cell>
        </row>
        <row r="492">
          <cell r="S492" t="str">
            <v>GET-32</v>
          </cell>
          <cell r="T492">
            <v>0</v>
          </cell>
        </row>
        <row r="493">
          <cell r="S493" t="str">
            <v>GET-40</v>
          </cell>
          <cell r="T493">
            <v>0</v>
          </cell>
        </row>
        <row r="494">
          <cell r="S494" t="str">
            <v>GET-50</v>
          </cell>
          <cell r="T494">
            <v>0</v>
          </cell>
        </row>
        <row r="495">
          <cell r="S495" t="str">
            <v>GET-63</v>
          </cell>
          <cell r="T495">
            <v>0</v>
          </cell>
        </row>
        <row r="496">
          <cell r="S496" t="str">
            <v>GET-75</v>
          </cell>
          <cell r="T496">
            <v>0</v>
          </cell>
        </row>
        <row r="497">
          <cell r="S497" t="str">
            <v>BU-20</v>
          </cell>
          <cell r="T497">
            <v>0</v>
          </cell>
        </row>
        <row r="498">
          <cell r="S498" t="str">
            <v>BU-25</v>
          </cell>
          <cell r="T498">
            <v>0</v>
          </cell>
        </row>
        <row r="499">
          <cell r="S499" t="str">
            <v>BU-32</v>
          </cell>
          <cell r="T499">
            <v>0</v>
          </cell>
        </row>
        <row r="500">
          <cell r="S500" t="str">
            <v>BU-40</v>
          </cell>
          <cell r="T500">
            <v>0</v>
          </cell>
        </row>
        <row r="501">
          <cell r="S501" t="str">
            <v>GHF-50</v>
          </cell>
          <cell r="T501">
            <v>0</v>
          </cell>
        </row>
        <row r="502">
          <cell r="S502" t="str">
            <v>GHF-63</v>
          </cell>
          <cell r="T502">
            <v>0</v>
          </cell>
        </row>
        <row r="503">
          <cell r="S503" t="str">
            <v>GHF-75</v>
          </cell>
          <cell r="T503">
            <v>0</v>
          </cell>
        </row>
        <row r="504">
          <cell r="S504" t="str">
            <v>GHF-90</v>
          </cell>
          <cell r="T504">
            <v>0</v>
          </cell>
        </row>
        <row r="505">
          <cell r="S505" t="str">
            <v>BGAV-15</v>
          </cell>
          <cell r="T505">
            <v>0</v>
          </cell>
        </row>
        <row r="506">
          <cell r="S506" t="str">
            <v>BGAV-20</v>
          </cell>
          <cell r="T506">
            <v>0</v>
          </cell>
        </row>
        <row r="507">
          <cell r="S507" t="str">
            <v>BGAV-25</v>
          </cell>
          <cell r="T507">
            <v>0</v>
          </cell>
        </row>
        <row r="508">
          <cell r="S508" t="str">
            <v>BGAV-32</v>
          </cell>
          <cell r="T508">
            <v>0</v>
          </cell>
        </row>
        <row r="509">
          <cell r="S509" t="str">
            <v>BGAV-40</v>
          </cell>
          <cell r="T509">
            <v>0</v>
          </cell>
        </row>
        <row r="510">
          <cell r="S510" t="str">
            <v>BGAV-50</v>
          </cell>
          <cell r="T510">
            <v>0</v>
          </cell>
        </row>
        <row r="511">
          <cell r="S511" t="str">
            <v>BGAV-63</v>
          </cell>
          <cell r="T511">
            <v>0</v>
          </cell>
        </row>
        <row r="512">
          <cell r="S512" t="str">
            <v>BGAV-75</v>
          </cell>
          <cell r="T512">
            <v>0</v>
          </cell>
        </row>
        <row r="515">
          <cell r="S515" t="str">
            <v>GEL-25</v>
          </cell>
        </row>
        <row r="533">
          <cell r="S533" t="str">
            <v>HP10-20</v>
          </cell>
          <cell r="T533">
            <v>0</v>
          </cell>
        </row>
        <row r="534">
          <cell r="S534" t="str">
            <v>HP10-25</v>
          </cell>
          <cell r="T534">
            <v>0</v>
          </cell>
        </row>
        <row r="535">
          <cell r="S535" t="str">
            <v>HP10-32</v>
          </cell>
          <cell r="T535">
            <v>0</v>
          </cell>
        </row>
        <row r="536">
          <cell r="S536" t="str">
            <v>HP10-40</v>
          </cell>
          <cell r="T536">
            <v>0</v>
          </cell>
        </row>
        <row r="537">
          <cell r="S537" t="str">
            <v>HP10-50</v>
          </cell>
          <cell r="T537">
            <v>0</v>
          </cell>
        </row>
        <row r="538">
          <cell r="S538" t="str">
            <v>HP10-63</v>
          </cell>
          <cell r="T538">
            <v>0</v>
          </cell>
        </row>
        <row r="539">
          <cell r="S539" t="str">
            <v>HP6-75</v>
          </cell>
          <cell r="T539">
            <v>0</v>
          </cell>
        </row>
        <row r="540">
          <cell r="S540" t="str">
            <v>HP4-90</v>
          </cell>
          <cell r="T540">
            <v>0</v>
          </cell>
        </row>
        <row r="542">
          <cell r="S542" t="str">
            <v>HET-20</v>
          </cell>
          <cell r="T542">
            <v>0</v>
          </cell>
        </row>
        <row r="543">
          <cell r="S543" t="str">
            <v>HET-25</v>
          </cell>
          <cell r="T543">
            <v>0</v>
          </cell>
        </row>
        <row r="544">
          <cell r="S544" t="str">
            <v>HET-32</v>
          </cell>
          <cell r="T544">
            <v>0</v>
          </cell>
        </row>
        <row r="545">
          <cell r="S545" t="str">
            <v>HET-40</v>
          </cell>
          <cell r="T545">
            <v>0</v>
          </cell>
        </row>
        <row r="546">
          <cell r="S546" t="str">
            <v>HET-50</v>
          </cell>
          <cell r="T546">
            <v>0</v>
          </cell>
        </row>
        <row r="547">
          <cell r="S547" t="str">
            <v>HET-63</v>
          </cell>
          <cell r="T547">
            <v>0</v>
          </cell>
        </row>
        <row r="548">
          <cell r="S548" t="str">
            <v>HET-75</v>
          </cell>
          <cell r="T548">
            <v>0</v>
          </cell>
        </row>
        <row r="549">
          <cell r="S549" t="str">
            <v>HET-90</v>
          </cell>
          <cell r="T549">
            <v>0</v>
          </cell>
        </row>
        <row r="550">
          <cell r="S550" t="str">
            <v>GNI-15</v>
          </cell>
          <cell r="T550">
            <v>0</v>
          </cell>
        </row>
        <row r="551">
          <cell r="S551" t="str">
            <v>GNI-20</v>
          </cell>
          <cell r="T551">
            <v>0</v>
          </cell>
        </row>
        <row r="552">
          <cell r="S552" t="str">
            <v>GNI-25</v>
          </cell>
          <cell r="T552">
            <v>0</v>
          </cell>
        </row>
        <row r="553">
          <cell r="S553" t="str">
            <v>PNI-40</v>
          </cell>
          <cell r="T553">
            <v>0</v>
          </cell>
        </row>
        <row r="554">
          <cell r="S554" t="str">
            <v>PNI-50</v>
          </cell>
          <cell r="T554">
            <v>0</v>
          </cell>
        </row>
        <row r="555">
          <cell r="S555" t="str">
            <v>PNI-63</v>
          </cell>
          <cell r="T555">
            <v>0</v>
          </cell>
        </row>
        <row r="556">
          <cell r="S556" t="str">
            <v>PNI-75</v>
          </cell>
          <cell r="T556">
            <v>0</v>
          </cell>
        </row>
        <row r="557">
          <cell r="S557" t="str">
            <v>PNI-90</v>
          </cell>
          <cell r="T557">
            <v>0</v>
          </cell>
        </row>
        <row r="558">
          <cell r="S558" t="str">
            <v>BU-20</v>
          </cell>
          <cell r="T558">
            <v>0</v>
          </cell>
        </row>
        <row r="559">
          <cell r="S559" t="str">
            <v>BU-25</v>
          </cell>
          <cell r="T559">
            <v>0</v>
          </cell>
        </row>
        <row r="560">
          <cell r="S560" t="str">
            <v>BU-32</v>
          </cell>
          <cell r="T560">
            <v>0</v>
          </cell>
        </row>
        <row r="561">
          <cell r="S561" t="str">
            <v>PHF-40</v>
          </cell>
          <cell r="T561">
            <v>0</v>
          </cell>
        </row>
        <row r="562">
          <cell r="S562" t="str">
            <v>PHF-50</v>
          </cell>
          <cell r="T562">
            <v>0</v>
          </cell>
        </row>
        <row r="563">
          <cell r="S563" t="str">
            <v>PHF-63</v>
          </cell>
          <cell r="T563">
            <v>0</v>
          </cell>
        </row>
        <row r="564">
          <cell r="S564" t="str">
            <v>PHF-75</v>
          </cell>
          <cell r="T564">
            <v>0</v>
          </cell>
        </row>
        <row r="565">
          <cell r="S565" t="str">
            <v>PHF-90</v>
          </cell>
          <cell r="T565">
            <v>0</v>
          </cell>
        </row>
        <row r="566">
          <cell r="S566" t="str">
            <v>BGAV-15</v>
          </cell>
          <cell r="T566">
            <v>0</v>
          </cell>
        </row>
        <row r="567">
          <cell r="S567" t="str">
            <v>BGAV-20</v>
          </cell>
          <cell r="T567">
            <v>0</v>
          </cell>
        </row>
        <row r="568">
          <cell r="S568" t="str">
            <v>BGAV-25</v>
          </cell>
          <cell r="T568">
            <v>0</v>
          </cell>
        </row>
        <row r="569">
          <cell r="S569" t="str">
            <v>PGAV-40</v>
          </cell>
          <cell r="T569">
            <v>0</v>
          </cell>
        </row>
        <row r="570">
          <cell r="S570" t="str">
            <v>PGAV-50</v>
          </cell>
          <cell r="T570">
            <v>0</v>
          </cell>
        </row>
        <row r="571">
          <cell r="S571" t="str">
            <v>PGAV-63</v>
          </cell>
          <cell r="T571">
            <v>0</v>
          </cell>
        </row>
        <row r="572">
          <cell r="S572" t="str">
            <v>PGAV-75</v>
          </cell>
          <cell r="T572">
            <v>0</v>
          </cell>
        </row>
        <row r="573">
          <cell r="S573" t="str">
            <v>PGAV-90</v>
          </cell>
          <cell r="T573">
            <v>0</v>
          </cell>
        </row>
        <row r="577">
          <cell r="S577" t="str">
            <v>HP2.5-110</v>
          </cell>
        </row>
      </sheetData>
      <sheetData sheetId="34" refreshError="1">
        <row r="7">
          <cell r="D7" t="str">
            <v>M-01</v>
          </cell>
          <cell r="F7">
            <v>104</v>
          </cell>
          <cell r="G7">
            <v>0</v>
          </cell>
          <cell r="H7">
            <v>0</v>
          </cell>
          <cell r="I7">
            <v>0</v>
          </cell>
          <cell r="J7">
            <v>0</v>
          </cell>
          <cell r="K7">
            <v>0</v>
          </cell>
          <cell r="L7">
            <v>0</v>
          </cell>
          <cell r="M7">
            <v>0</v>
          </cell>
          <cell r="N7">
            <v>0</v>
          </cell>
          <cell r="O7">
            <v>0</v>
          </cell>
        </row>
        <row r="8">
          <cell r="D8" t="str">
            <v>M-02</v>
          </cell>
          <cell r="F8">
            <v>20.64</v>
          </cell>
          <cell r="G8">
            <v>0</v>
          </cell>
          <cell r="H8">
            <v>0</v>
          </cell>
          <cell r="I8">
            <v>0</v>
          </cell>
          <cell r="J8">
            <v>0</v>
          </cell>
          <cell r="K8">
            <v>0</v>
          </cell>
          <cell r="L8">
            <v>0</v>
          </cell>
          <cell r="M8">
            <v>0</v>
          </cell>
          <cell r="N8">
            <v>0</v>
          </cell>
          <cell r="O8">
            <v>0</v>
          </cell>
        </row>
        <row r="9">
          <cell r="D9" t="str">
            <v>M-03</v>
          </cell>
          <cell r="F9">
            <v>29.12</v>
          </cell>
          <cell r="G9">
            <v>0</v>
          </cell>
          <cell r="H9">
            <v>0</v>
          </cell>
          <cell r="I9">
            <v>0</v>
          </cell>
          <cell r="J9">
            <v>0</v>
          </cell>
          <cell r="K9">
            <v>0</v>
          </cell>
          <cell r="L9">
            <v>0</v>
          </cell>
          <cell r="M9">
            <v>0</v>
          </cell>
          <cell r="N9">
            <v>0</v>
          </cell>
          <cell r="O9">
            <v>0</v>
          </cell>
        </row>
        <row r="10">
          <cell r="D10" t="str">
            <v>M-04</v>
          </cell>
          <cell r="F10">
            <v>3.2</v>
          </cell>
          <cell r="G10">
            <v>0</v>
          </cell>
          <cell r="H10">
            <v>0</v>
          </cell>
          <cell r="I10">
            <v>0</v>
          </cell>
          <cell r="J10">
            <v>0</v>
          </cell>
          <cell r="K10">
            <v>0</v>
          </cell>
          <cell r="L10">
            <v>0</v>
          </cell>
          <cell r="M10">
            <v>0</v>
          </cell>
          <cell r="N10">
            <v>0</v>
          </cell>
          <cell r="O10">
            <v>0</v>
          </cell>
        </row>
        <row r="11">
          <cell r="D11" t="str">
            <v>M-05</v>
          </cell>
          <cell r="F11">
            <v>1.1200000000000001</v>
          </cell>
          <cell r="G11">
            <v>0</v>
          </cell>
          <cell r="H11">
            <v>0</v>
          </cell>
          <cell r="I11">
            <v>0</v>
          </cell>
          <cell r="J11">
            <v>0</v>
          </cell>
          <cell r="K11">
            <v>0</v>
          </cell>
          <cell r="L11">
            <v>0</v>
          </cell>
          <cell r="M11">
            <v>0</v>
          </cell>
          <cell r="N11">
            <v>0</v>
          </cell>
          <cell r="O11">
            <v>0</v>
          </cell>
        </row>
        <row r="12">
          <cell r="D12" t="str">
            <v>M-06</v>
          </cell>
          <cell r="F12">
            <v>2.08</v>
          </cell>
          <cell r="G12">
            <v>0</v>
          </cell>
          <cell r="H12">
            <v>0</v>
          </cell>
          <cell r="I12">
            <v>0</v>
          </cell>
          <cell r="J12">
            <v>0</v>
          </cell>
          <cell r="K12">
            <v>0</v>
          </cell>
          <cell r="L12">
            <v>0</v>
          </cell>
          <cell r="M12">
            <v>0</v>
          </cell>
          <cell r="N12">
            <v>0</v>
          </cell>
          <cell r="O12">
            <v>0</v>
          </cell>
        </row>
        <row r="13">
          <cell r="D13" t="str">
            <v>M-07</v>
          </cell>
          <cell r="F13">
            <v>4.96</v>
          </cell>
          <cell r="G13">
            <v>0</v>
          </cell>
          <cell r="H13">
            <v>0</v>
          </cell>
          <cell r="I13">
            <v>0</v>
          </cell>
          <cell r="J13">
            <v>0</v>
          </cell>
          <cell r="K13">
            <v>0</v>
          </cell>
          <cell r="L13">
            <v>0</v>
          </cell>
          <cell r="M13">
            <v>0</v>
          </cell>
          <cell r="N13">
            <v>0</v>
          </cell>
          <cell r="O13">
            <v>0</v>
          </cell>
        </row>
        <row r="14">
          <cell r="D14" t="str">
            <v>M-08</v>
          </cell>
          <cell r="F14">
            <v>0</v>
          </cell>
          <cell r="G14">
            <v>0</v>
          </cell>
          <cell r="H14">
            <v>0</v>
          </cell>
          <cell r="I14">
            <v>0</v>
          </cell>
          <cell r="J14">
            <v>0</v>
          </cell>
          <cell r="K14">
            <v>0</v>
          </cell>
          <cell r="L14">
            <v>0</v>
          </cell>
          <cell r="M14">
            <v>0</v>
          </cell>
          <cell r="N14">
            <v>0</v>
          </cell>
          <cell r="O14">
            <v>0</v>
          </cell>
        </row>
        <row r="15">
          <cell r="D15" t="str">
            <v>M-09</v>
          </cell>
          <cell r="F15">
            <v>0</v>
          </cell>
          <cell r="G15">
            <v>0</v>
          </cell>
          <cell r="H15">
            <v>0</v>
          </cell>
          <cell r="I15">
            <v>0</v>
          </cell>
          <cell r="J15">
            <v>0</v>
          </cell>
          <cell r="K15">
            <v>0</v>
          </cell>
          <cell r="L15">
            <v>0</v>
          </cell>
          <cell r="M15">
            <v>0</v>
          </cell>
          <cell r="N15">
            <v>0</v>
          </cell>
          <cell r="O15">
            <v>0</v>
          </cell>
        </row>
        <row r="16">
          <cell r="D16" t="str">
            <v>M-10</v>
          </cell>
          <cell r="F16">
            <v>0</v>
          </cell>
          <cell r="G16">
            <v>0</v>
          </cell>
          <cell r="H16">
            <v>0</v>
          </cell>
          <cell r="I16">
            <v>0</v>
          </cell>
          <cell r="J16">
            <v>0</v>
          </cell>
          <cell r="K16">
            <v>0</v>
          </cell>
          <cell r="L16">
            <v>0</v>
          </cell>
          <cell r="M16">
            <v>0</v>
          </cell>
          <cell r="N16">
            <v>0</v>
          </cell>
          <cell r="O16">
            <v>0</v>
          </cell>
        </row>
        <row r="17">
          <cell r="D17" t="str">
            <v>M-11</v>
          </cell>
          <cell r="F17">
            <v>0</v>
          </cell>
          <cell r="G17">
            <v>0</v>
          </cell>
          <cell r="H17">
            <v>0</v>
          </cell>
          <cell r="I17">
            <v>0</v>
          </cell>
          <cell r="J17">
            <v>0</v>
          </cell>
          <cell r="K17">
            <v>0</v>
          </cell>
          <cell r="L17">
            <v>0</v>
          </cell>
          <cell r="M17">
            <v>0</v>
          </cell>
          <cell r="N17">
            <v>0</v>
          </cell>
          <cell r="O17">
            <v>0</v>
          </cell>
        </row>
        <row r="18">
          <cell r="D18" t="str">
            <v>M-12</v>
          </cell>
          <cell r="F18">
            <v>0</v>
          </cell>
          <cell r="G18">
            <v>0</v>
          </cell>
          <cell r="H18">
            <v>0</v>
          </cell>
          <cell r="I18">
            <v>0</v>
          </cell>
          <cell r="J18">
            <v>0</v>
          </cell>
          <cell r="K18">
            <v>0</v>
          </cell>
          <cell r="L18">
            <v>0</v>
          </cell>
          <cell r="M18">
            <v>0</v>
          </cell>
          <cell r="N18">
            <v>0</v>
          </cell>
          <cell r="O18">
            <v>0</v>
          </cell>
        </row>
        <row r="19">
          <cell r="D19" t="str">
            <v>M-13</v>
          </cell>
          <cell r="F19">
            <v>0</v>
          </cell>
          <cell r="G19">
            <v>0</v>
          </cell>
          <cell r="H19">
            <v>0</v>
          </cell>
          <cell r="I19">
            <v>0</v>
          </cell>
          <cell r="J19">
            <v>0</v>
          </cell>
          <cell r="K19">
            <v>0</v>
          </cell>
          <cell r="L19">
            <v>0</v>
          </cell>
          <cell r="M19">
            <v>0</v>
          </cell>
          <cell r="N19">
            <v>0</v>
          </cell>
          <cell r="O19">
            <v>0</v>
          </cell>
        </row>
        <row r="20">
          <cell r="D20" t="str">
            <v>M-14</v>
          </cell>
          <cell r="F20">
            <v>0</v>
          </cell>
          <cell r="G20">
            <v>0</v>
          </cell>
          <cell r="H20">
            <v>0</v>
          </cell>
          <cell r="I20">
            <v>0</v>
          </cell>
          <cell r="J20">
            <v>0</v>
          </cell>
          <cell r="K20">
            <v>0</v>
          </cell>
          <cell r="L20">
            <v>0</v>
          </cell>
          <cell r="M20">
            <v>0</v>
          </cell>
          <cell r="N20">
            <v>0</v>
          </cell>
          <cell r="O20">
            <v>0</v>
          </cell>
        </row>
        <row r="21">
          <cell r="D21" t="str">
            <v>M-15</v>
          </cell>
          <cell r="F21">
            <v>0</v>
          </cell>
          <cell r="G21">
            <v>0</v>
          </cell>
          <cell r="H21">
            <v>0</v>
          </cell>
          <cell r="I21">
            <v>0</v>
          </cell>
          <cell r="J21">
            <v>0</v>
          </cell>
          <cell r="K21">
            <v>0</v>
          </cell>
          <cell r="L21">
            <v>0</v>
          </cell>
          <cell r="M21">
            <v>0</v>
          </cell>
          <cell r="N21">
            <v>0</v>
          </cell>
          <cell r="O21">
            <v>0</v>
          </cell>
        </row>
        <row r="22">
          <cell r="D22" t="str">
            <v>M-16</v>
          </cell>
          <cell r="F22">
            <v>0</v>
          </cell>
          <cell r="G22">
            <v>0</v>
          </cell>
          <cell r="H22">
            <v>0</v>
          </cell>
          <cell r="I22">
            <v>0</v>
          </cell>
          <cell r="J22">
            <v>0</v>
          </cell>
          <cell r="K22">
            <v>0</v>
          </cell>
          <cell r="L22">
            <v>0</v>
          </cell>
          <cell r="M22">
            <v>0</v>
          </cell>
          <cell r="N22">
            <v>0</v>
          </cell>
          <cell r="O22">
            <v>0</v>
          </cell>
        </row>
        <row r="23">
          <cell r="D23" t="str">
            <v>M-17</v>
          </cell>
          <cell r="F23">
            <v>0</v>
          </cell>
          <cell r="G23">
            <v>0</v>
          </cell>
          <cell r="H23">
            <v>0</v>
          </cell>
          <cell r="I23">
            <v>0</v>
          </cell>
          <cell r="J23">
            <v>0</v>
          </cell>
          <cell r="K23">
            <v>0</v>
          </cell>
          <cell r="L23">
            <v>0</v>
          </cell>
          <cell r="M23">
            <v>0</v>
          </cell>
          <cell r="N23">
            <v>0</v>
          </cell>
          <cell r="O23">
            <v>0</v>
          </cell>
        </row>
        <row r="24">
          <cell r="D24" t="str">
            <v>M-18</v>
          </cell>
          <cell r="F24">
            <v>0</v>
          </cell>
          <cell r="G24">
            <v>0</v>
          </cell>
          <cell r="H24">
            <v>0</v>
          </cell>
          <cell r="I24">
            <v>0</v>
          </cell>
          <cell r="J24">
            <v>0</v>
          </cell>
          <cell r="K24">
            <v>0</v>
          </cell>
          <cell r="L24">
            <v>0</v>
          </cell>
          <cell r="M24">
            <v>0</v>
          </cell>
          <cell r="N24">
            <v>0</v>
          </cell>
          <cell r="O24">
            <v>0</v>
          </cell>
        </row>
        <row r="25">
          <cell r="D25" t="str">
            <v>M-19</v>
          </cell>
          <cell r="F25">
            <v>0</v>
          </cell>
          <cell r="G25">
            <v>0</v>
          </cell>
          <cell r="H25">
            <v>0</v>
          </cell>
          <cell r="I25">
            <v>0</v>
          </cell>
          <cell r="J25">
            <v>0</v>
          </cell>
          <cell r="K25">
            <v>0</v>
          </cell>
          <cell r="L25">
            <v>0</v>
          </cell>
          <cell r="M25">
            <v>0</v>
          </cell>
          <cell r="N25">
            <v>0</v>
          </cell>
          <cell r="O25">
            <v>0</v>
          </cell>
        </row>
        <row r="26">
          <cell r="D26" t="str">
            <v>M-20</v>
          </cell>
          <cell r="F26">
            <v>0</v>
          </cell>
          <cell r="G26">
            <v>0</v>
          </cell>
          <cell r="H26">
            <v>0</v>
          </cell>
          <cell r="I26">
            <v>0</v>
          </cell>
          <cell r="J26">
            <v>0</v>
          </cell>
          <cell r="K26">
            <v>0</v>
          </cell>
          <cell r="L26">
            <v>0</v>
          </cell>
          <cell r="M26">
            <v>0</v>
          </cell>
          <cell r="N26">
            <v>0</v>
          </cell>
          <cell r="O26">
            <v>0</v>
          </cell>
        </row>
        <row r="27">
          <cell r="D27" t="str">
            <v>M-21</v>
          </cell>
          <cell r="F27">
            <v>0</v>
          </cell>
          <cell r="G27">
            <v>0</v>
          </cell>
          <cell r="H27">
            <v>0</v>
          </cell>
          <cell r="I27">
            <v>0</v>
          </cell>
          <cell r="J27">
            <v>0</v>
          </cell>
          <cell r="K27">
            <v>0</v>
          </cell>
          <cell r="L27">
            <v>0</v>
          </cell>
          <cell r="M27">
            <v>0</v>
          </cell>
          <cell r="N27">
            <v>0</v>
          </cell>
          <cell r="O27">
            <v>0</v>
          </cell>
        </row>
        <row r="28">
          <cell r="D28" t="str">
            <v>M-22</v>
          </cell>
          <cell r="F28">
            <v>0</v>
          </cell>
          <cell r="G28">
            <v>0</v>
          </cell>
          <cell r="H28">
            <v>0</v>
          </cell>
          <cell r="I28">
            <v>0</v>
          </cell>
          <cell r="J28">
            <v>0</v>
          </cell>
          <cell r="K28">
            <v>0</v>
          </cell>
          <cell r="L28">
            <v>0</v>
          </cell>
          <cell r="M28">
            <v>0</v>
          </cell>
          <cell r="N28">
            <v>0</v>
          </cell>
          <cell r="O28">
            <v>0</v>
          </cell>
        </row>
        <row r="29">
          <cell r="D29" t="str">
            <v>M-23</v>
          </cell>
          <cell r="F29">
            <v>0</v>
          </cell>
          <cell r="G29">
            <v>0</v>
          </cell>
          <cell r="H29">
            <v>0</v>
          </cell>
          <cell r="I29">
            <v>0</v>
          </cell>
          <cell r="J29">
            <v>0</v>
          </cell>
          <cell r="K29">
            <v>0</v>
          </cell>
          <cell r="L29">
            <v>0</v>
          </cell>
          <cell r="M29">
            <v>0</v>
          </cell>
          <cell r="N29">
            <v>0</v>
          </cell>
          <cell r="O29">
            <v>0</v>
          </cell>
        </row>
        <row r="30">
          <cell r="D30" t="str">
            <v>M-24</v>
          </cell>
          <cell r="F30">
            <v>0</v>
          </cell>
          <cell r="G30">
            <v>0</v>
          </cell>
          <cell r="H30">
            <v>0</v>
          </cell>
          <cell r="I30">
            <v>0</v>
          </cell>
          <cell r="J30">
            <v>0</v>
          </cell>
          <cell r="K30">
            <v>0</v>
          </cell>
          <cell r="L30">
            <v>0</v>
          </cell>
          <cell r="M30">
            <v>0</v>
          </cell>
          <cell r="N30">
            <v>0</v>
          </cell>
          <cell r="O30">
            <v>0</v>
          </cell>
        </row>
        <row r="31">
          <cell r="D31" t="str">
            <v>M-25</v>
          </cell>
          <cell r="F31">
            <v>0</v>
          </cell>
          <cell r="G31">
            <v>0</v>
          </cell>
          <cell r="H31">
            <v>0</v>
          </cell>
          <cell r="I31">
            <v>0</v>
          </cell>
          <cell r="J31">
            <v>0</v>
          </cell>
          <cell r="K31">
            <v>0</v>
          </cell>
          <cell r="L31">
            <v>0</v>
          </cell>
          <cell r="M31">
            <v>0</v>
          </cell>
          <cell r="N31">
            <v>0</v>
          </cell>
          <cell r="O31">
            <v>0</v>
          </cell>
        </row>
        <row r="32">
          <cell r="D32" t="str">
            <v>M-26</v>
          </cell>
          <cell r="F32">
            <v>0</v>
          </cell>
          <cell r="G32">
            <v>0</v>
          </cell>
          <cell r="H32">
            <v>0</v>
          </cell>
          <cell r="I32">
            <v>0</v>
          </cell>
          <cell r="J32">
            <v>0</v>
          </cell>
          <cell r="K32">
            <v>0</v>
          </cell>
          <cell r="L32">
            <v>0</v>
          </cell>
          <cell r="M32">
            <v>0</v>
          </cell>
          <cell r="N32">
            <v>0</v>
          </cell>
          <cell r="O32">
            <v>0</v>
          </cell>
        </row>
        <row r="33">
          <cell r="D33" t="str">
            <v>M-27</v>
          </cell>
          <cell r="F33">
            <v>0</v>
          </cell>
          <cell r="G33">
            <v>0</v>
          </cell>
          <cell r="H33">
            <v>0</v>
          </cell>
          <cell r="I33">
            <v>0</v>
          </cell>
          <cell r="J33">
            <v>0</v>
          </cell>
          <cell r="K33">
            <v>0</v>
          </cell>
          <cell r="L33">
            <v>0</v>
          </cell>
          <cell r="M33">
            <v>0</v>
          </cell>
          <cell r="N33">
            <v>0</v>
          </cell>
          <cell r="O33">
            <v>0</v>
          </cell>
        </row>
        <row r="34">
          <cell r="D34" t="str">
            <v>M-28</v>
          </cell>
          <cell r="F34">
            <v>0</v>
          </cell>
          <cell r="G34">
            <v>0</v>
          </cell>
          <cell r="H34">
            <v>0</v>
          </cell>
          <cell r="I34">
            <v>0</v>
          </cell>
          <cell r="J34">
            <v>0</v>
          </cell>
          <cell r="K34">
            <v>0</v>
          </cell>
          <cell r="L34">
            <v>0</v>
          </cell>
          <cell r="M34">
            <v>0</v>
          </cell>
          <cell r="N34">
            <v>0</v>
          </cell>
          <cell r="O34">
            <v>0</v>
          </cell>
        </row>
        <row r="35">
          <cell r="D35" t="str">
            <v>M-29</v>
          </cell>
          <cell r="F35">
            <v>0</v>
          </cell>
          <cell r="G35">
            <v>0</v>
          </cell>
          <cell r="H35">
            <v>0</v>
          </cell>
          <cell r="I35">
            <v>0</v>
          </cell>
          <cell r="J35">
            <v>0</v>
          </cell>
          <cell r="K35">
            <v>0</v>
          </cell>
          <cell r="L35">
            <v>0</v>
          </cell>
          <cell r="M35">
            <v>0</v>
          </cell>
          <cell r="N35">
            <v>0</v>
          </cell>
          <cell r="O35">
            <v>0</v>
          </cell>
        </row>
        <row r="36">
          <cell r="D36" t="str">
            <v>M-30</v>
          </cell>
          <cell r="F36">
            <v>0</v>
          </cell>
          <cell r="G36">
            <v>0</v>
          </cell>
          <cell r="H36">
            <v>0</v>
          </cell>
          <cell r="I36">
            <v>0</v>
          </cell>
          <cell r="J36">
            <v>0</v>
          </cell>
          <cell r="K36">
            <v>0</v>
          </cell>
          <cell r="L36">
            <v>0</v>
          </cell>
          <cell r="M36">
            <v>0</v>
          </cell>
          <cell r="N36">
            <v>0</v>
          </cell>
          <cell r="O36">
            <v>0</v>
          </cell>
        </row>
        <row r="37">
          <cell r="D37" t="str">
            <v>M-31</v>
          </cell>
          <cell r="F37">
            <v>0</v>
          </cell>
          <cell r="G37">
            <v>0</v>
          </cell>
          <cell r="H37">
            <v>0</v>
          </cell>
          <cell r="I37">
            <v>0</v>
          </cell>
          <cell r="J37">
            <v>0</v>
          </cell>
          <cell r="K37">
            <v>0</v>
          </cell>
          <cell r="L37">
            <v>0</v>
          </cell>
          <cell r="M37">
            <v>0</v>
          </cell>
          <cell r="N37">
            <v>0</v>
          </cell>
          <cell r="O37">
            <v>0</v>
          </cell>
        </row>
        <row r="38">
          <cell r="D38" t="str">
            <v>M-32</v>
          </cell>
          <cell r="F38">
            <v>0</v>
          </cell>
          <cell r="G38">
            <v>0</v>
          </cell>
          <cell r="H38">
            <v>0</v>
          </cell>
          <cell r="I38">
            <v>0</v>
          </cell>
          <cell r="J38">
            <v>0</v>
          </cell>
          <cell r="K38">
            <v>0</v>
          </cell>
          <cell r="L38">
            <v>0</v>
          </cell>
          <cell r="M38">
            <v>0</v>
          </cell>
          <cell r="N38">
            <v>0</v>
          </cell>
          <cell r="O38">
            <v>0</v>
          </cell>
        </row>
        <row r="39">
          <cell r="D39" t="str">
            <v>M-33</v>
          </cell>
          <cell r="F39">
            <v>0</v>
          </cell>
          <cell r="G39">
            <v>0</v>
          </cell>
          <cell r="H39">
            <v>0</v>
          </cell>
          <cell r="I39">
            <v>0</v>
          </cell>
          <cell r="J39">
            <v>0</v>
          </cell>
          <cell r="K39">
            <v>0</v>
          </cell>
          <cell r="L39">
            <v>0</v>
          </cell>
          <cell r="M39">
            <v>0</v>
          </cell>
          <cell r="N39">
            <v>0</v>
          </cell>
          <cell r="O39">
            <v>0</v>
          </cell>
        </row>
        <row r="40">
          <cell r="D40" t="str">
            <v>M-34</v>
          </cell>
          <cell r="F40">
            <v>0</v>
          </cell>
          <cell r="G40">
            <v>0</v>
          </cell>
          <cell r="H40">
            <v>0</v>
          </cell>
          <cell r="I40">
            <v>0</v>
          </cell>
          <cell r="J40">
            <v>0</v>
          </cell>
          <cell r="K40">
            <v>0</v>
          </cell>
          <cell r="L40">
            <v>0</v>
          </cell>
          <cell r="M40">
            <v>0</v>
          </cell>
          <cell r="N40">
            <v>0</v>
          </cell>
          <cell r="O40">
            <v>0</v>
          </cell>
        </row>
        <row r="41">
          <cell r="D41" t="str">
            <v>M-35</v>
          </cell>
          <cell r="F41">
            <v>0</v>
          </cell>
          <cell r="G41">
            <v>0</v>
          </cell>
          <cell r="H41">
            <v>0</v>
          </cell>
          <cell r="I41">
            <v>0</v>
          </cell>
          <cell r="J41">
            <v>0</v>
          </cell>
          <cell r="K41">
            <v>0</v>
          </cell>
          <cell r="L41">
            <v>0</v>
          </cell>
          <cell r="M41">
            <v>0</v>
          </cell>
          <cell r="N41">
            <v>0</v>
          </cell>
          <cell r="O41">
            <v>0</v>
          </cell>
        </row>
        <row r="42">
          <cell r="D42" t="str">
            <v>M-36</v>
          </cell>
          <cell r="F42">
            <v>0</v>
          </cell>
          <cell r="G42">
            <v>0</v>
          </cell>
          <cell r="H42">
            <v>0</v>
          </cell>
          <cell r="I42">
            <v>0</v>
          </cell>
          <cell r="J42">
            <v>0</v>
          </cell>
          <cell r="K42">
            <v>0</v>
          </cell>
          <cell r="L42">
            <v>0</v>
          </cell>
          <cell r="M42">
            <v>0</v>
          </cell>
          <cell r="N42">
            <v>0</v>
          </cell>
          <cell r="O42">
            <v>0</v>
          </cell>
        </row>
        <row r="43">
          <cell r="D43" t="str">
            <v>M-37</v>
          </cell>
          <cell r="F43">
            <v>0</v>
          </cell>
          <cell r="G43">
            <v>0</v>
          </cell>
          <cell r="H43">
            <v>0</v>
          </cell>
          <cell r="I43">
            <v>0</v>
          </cell>
          <cell r="J43">
            <v>0</v>
          </cell>
          <cell r="K43">
            <v>0</v>
          </cell>
          <cell r="L43">
            <v>0</v>
          </cell>
          <cell r="M43">
            <v>0</v>
          </cell>
          <cell r="N43">
            <v>0</v>
          </cell>
          <cell r="O43">
            <v>0</v>
          </cell>
        </row>
        <row r="44">
          <cell r="D44" t="str">
            <v>M-38</v>
          </cell>
          <cell r="F44">
            <v>0</v>
          </cell>
          <cell r="G44">
            <v>0</v>
          </cell>
          <cell r="H44">
            <v>0</v>
          </cell>
          <cell r="I44">
            <v>0</v>
          </cell>
          <cell r="J44">
            <v>0</v>
          </cell>
          <cell r="K44">
            <v>0</v>
          </cell>
          <cell r="L44">
            <v>0</v>
          </cell>
          <cell r="M44">
            <v>0</v>
          </cell>
          <cell r="N44">
            <v>0</v>
          </cell>
          <cell r="O44">
            <v>0</v>
          </cell>
        </row>
        <row r="45">
          <cell r="D45" t="str">
            <v>M-39</v>
          </cell>
          <cell r="F45">
            <v>2.08</v>
          </cell>
          <cell r="G45">
            <v>0</v>
          </cell>
          <cell r="H45">
            <v>0</v>
          </cell>
          <cell r="I45">
            <v>0</v>
          </cell>
          <cell r="J45">
            <v>0</v>
          </cell>
          <cell r="K45">
            <v>0</v>
          </cell>
          <cell r="L45">
            <v>0</v>
          </cell>
          <cell r="M45">
            <v>0</v>
          </cell>
          <cell r="N45">
            <v>0</v>
          </cell>
          <cell r="O45">
            <v>0</v>
          </cell>
        </row>
        <row r="46">
          <cell r="D46" t="str">
            <v>M-40</v>
          </cell>
          <cell r="F46">
            <v>0</v>
          </cell>
          <cell r="G46">
            <v>0</v>
          </cell>
          <cell r="H46">
            <v>0</v>
          </cell>
          <cell r="I46">
            <v>0</v>
          </cell>
          <cell r="J46">
            <v>0</v>
          </cell>
          <cell r="K46">
            <v>0</v>
          </cell>
          <cell r="L46">
            <v>0</v>
          </cell>
          <cell r="M46">
            <v>0</v>
          </cell>
          <cell r="N46">
            <v>0</v>
          </cell>
          <cell r="O46">
            <v>0</v>
          </cell>
        </row>
        <row r="47">
          <cell r="D47" t="str">
            <v>M-41</v>
          </cell>
          <cell r="F47">
            <v>0</v>
          </cell>
          <cell r="G47">
            <v>0</v>
          </cell>
          <cell r="H47">
            <v>0</v>
          </cell>
          <cell r="I47">
            <v>0</v>
          </cell>
          <cell r="J47">
            <v>0</v>
          </cell>
          <cell r="K47">
            <v>0</v>
          </cell>
          <cell r="L47">
            <v>0</v>
          </cell>
          <cell r="M47">
            <v>0</v>
          </cell>
          <cell r="N47">
            <v>0</v>
          </cell>
          <cell r="O47">
            <v>0</v>
          </cell>
        </row>
        <row r="48">
          <cell r="D48" t="str">
            <v>M-42</v>
          </cell>
          <cell r="F48">
            <v>0</v>
          </cell>
          <cell r="G48">
            <v>0</v>
          </cell>
          <cell r="H48">
            <v>0</v>
          </cell>
          <cell r="I48">
            <v>0</v>
          </cell>
          <cell r="J48">
            <v>0</v>
          </cell>
          <cell r="K48">
            <v>0</v>
          </cell>
          <cell r="L48">
            <v>0</v>
          </cell>
          <cell r="M48">
            <v>0</v>
          </cell>
          <cell r="N48">
            <v>0</v>
          </cell>
          <cell r="O48">
            <v>0</v>
          </cell>
        </row>
        <row r="49">
          <cell r="D49" t="str">
            <v>M-43</v>
          </cell>
          <cell r="F49">
            <v>0</v>
          </cell>
          <cell r="G49">
            <v>0</v>
          </cell>
          <cell r="H49">
            <v>0</v>
          </cell>
          <cell r="I49">
            <v>0</v>
          </cell>
          <cell r="J49">
            <v>0</v>
          </cell>
          <cell r="K49">
            <v>0</v>
          </cell>
          <cell r="L49">
            <v>0</v>
          </cell>
          <cell r="M49">
            <v>0</v>
          </cell>
          <cell r="N49">
            <v>0</v>
          </cell>
          <cell r="O49">
            <v>0</v>
          </cell>
        </row>
        <row r="50">
          <cell r="D50" t="str">
            <v>M-44</v>
          </cell>
          <cell r="F50">
            <v>0</v>
          </cell>
          <cell r="G50">
            <v>0</v>
          </cell>
          <cell r="H50">
            <v>0</v>
          </cell>
          <cell r="I50">
            <v>0</v>
          </cell>
          <cell r="J50">
            <v>0</v>
          </cell>
          <cell r="K50">
            <v>0</v>
          </cell>
          <cell r="L50">
            <v>0</v>
          </cell>
          <cell r="M50">
            <v>0</v>
          </cell>
          <cell r="N50">
            <v>0</v>
          </cell>
          <cell r="O50">
            <v>0</v>
          </cell>
        </row>
        <row r="51">
          <cell r="D51" t="str">
            <v>M-45</v>
          </cell>
          <cell r="F51">
            <v>0</v>
          </cell>
          <cell r="G51">
            <v>0</v>
          </cell>
          <cell r="H51">
            <v>0</v>
          </cell>
          <cell r="I51">
            <v>0</v>
          </cell>
          <cell r="J51">
            <v>0</v>
          </cell>
          <cell r="K51">
            <v>0</v>
          </cell>
          <cell r="L51">
            <v>0</v>
          </cell>
          <cell r="M51">
            <v>0</v>
          </cell>
          <cell r="N51">
            <v>0</v>
          </cell>
          <cell r="O51">
            <v>0</v>
          </cell>
        </row>
        <row r="52">
          <cell r="D52" t="str">
            <v>M-46</v>
          </cell>
          <cell r="F52">
            <v>16</v>
          </cell>
          <cell r="G52">
            <v>0</v>
          </cell>
          <cell r="H52">
            <v>0</v>
          </cell>
          <cell r="I52">
            <v>0</v>
          </cell>
          <cell r="J52">
            <v>0</v>
          </cell>
          <cell r="K52">
            <v>0</v>
          </cell>
          <cell r="L52">
            <v>0</v>
          </cell>
          <cell r="M52">
            <v>0</v>
          </cell>
          <cell r="N52">
            <v>0</v>
          </cell>
          <cell r="O52">
            <v>0</v>
          </cell>
        </row>
        <row r="55">
          <cell r="D55" t="str">
            <v>L-1</v>
          </cell>
          <cell r="F55">
            <v>74.400000000000006</v>
          </cell>
          <cell r="G55">
            <v>0</v>
          </cell>
          <cell r="H55">
            <v>0</v>
          </cell>
          <cell r="I55">
            <v>0</v>
          </cell>
          <cell r="J55">
            <v>0</v>
          </cell>
          <cell r="K55">
            <v>0</v>
          </cell>
          <cell r="L55">
            <v>0</v>
          </cell>
          <cell r="M55">
            <v>0</v>
          </cell>
          <cell r="N55">
            <v>0</v>
          </cell>
          <cell r="O55">
            <v>0</v>
          </cell>
        </row>
        <row r="56">
          <cell r="D56" t="str">
            <v>L-2</v>
          </cell>
          <cell r="F56">
            <v>245.76</v>
          </cell>
          <cell r="G56">
            <v>0</v>
          </cell>
          <cell r="H56">
            <v>0</v>
          </cell>
          <cell r="I56">
            <v>0</v>
          </cell>
          <cell r="J56">
            <v>0</v>
          </cell>
          <cell r="K56">
            <v>0</v>
          </cell>
          <cell r="L56">
            <v>0</v>
          </cell>
          <cell r="M56">
            <v>0</v>
          </cell>
          <cell r="N56">
            <v>0</v>
          </cell>
          <cell r="O56">
            <v>0</v>
          </cell>
        </row>
        <row r="59">
          <cell r="D59" t="str">
            <v>M-01</v>
          </cell>
        </row>
        <row r="78">
          <cell r="R78" t="str">
            <v>HP2.5-75</v>
          </cell>
          <cell r="S78">
            <v>80</v>
          </cell>
        </row>
        <row r="80">
          <cell r="R80" t="str">
            <v>GPM-15</v>
          </cell>
          <cell r="S80">
            <v>64</v>
          </cell>
        </row>
        <row r="82">
          <cell r="R82" t="str">
            <v>GEL-15</v>
          </cell>
          <cell r="S82">
            <v>32</v>
          </cell>
        </row>
        <row r="83">
          <cell r="R83" t="str">
            <v>GSO-15</v>
          </cell>
          <cell r="S83">
            <v>16</v>
          </cell>
        </row>
        <row r="84">
          <cell r="R84" t="str">
            <v>BT400-15</v>
          </cell>
          <cell r="S84">
            <v>16</v>
          </cell>
        </row>
        <row r="85">
          <cell r="R85" t="str">
            <v>BU-20</v>
          </cell>
          <cell r="S85">
            <v>16</v>
          </cell>
        </row>
        <row r="86">
          <cell r="R86" t="str">
            <v>BRT-15</v>
          </cell>
          <cell r="S86">
            <v>0</v>
          </cell>
        </row>
        <row r="89">
          <cell r="R89" t="str">
            <v>GEL-25</v>
          </cell>
        </row>
        <row r="90">
          <cell r="R90" t="str">
            <v>PEL-20</v>
          </cell>
        </row>
        <row r="107">
          <cell r="R107" t="str">
            <v>HP2.5-75</v>
          </cell>
          <cell r="S107">
            <v>0</v>
          </cell>
        </row>
        <row r="109">
          <cell r="R109" t="str">
            <v>GPM-15</v>
          </cell>
          <cell r="S109">
            <v>0</v>
          </cell>
        </row>
        <row r="111">
          <cell r="R111" t="str">
            <v>GEL-15</v>
          </cell>
          <cell r="S111">
            <v>0</v>
          </cell>
        </row>
        <row r="112">
          <cell r="R112" t="str">
            <v>GSO-15</v>
          </cell>
          <cell r="S112">
            <v>0</v>
          </cell>
        </row>
        <row r="113">
          <cell r="R113" t="str">
            <v>BT400-15</v>
          </cell>
          <cell r="S113">
            <v>0</v>
          </cell>
        </row>
        <row r="114">
          <cell r="R114" t="str">
            <v>BU-20</v>
          </cell>
          <cell r="S114">
            <v>0</v>
          </cell>
        </row>
        <row r="115">
          <cell r="R115" t="str">
            <v>BRT-15</v>
          </cell>
          <cell r="S115">
            <v>0</v>
          </cell>
        </row>
        <row r="118">
          <cell r="R118" t="str">
            <v>GEL-25</v>
          </cell>
        </row>
        <row r="136">
          <cell r="R136" t="str">
            <v>HP2.5-75</v>
          </cell>
          <cell r="S136">
            <v>0</v>
          </cell>
        </row>
        <row r="138">
          <cell r="R138" t="str">
            <v>GPM-15</v>
          </cell>
          <cell r="S138">
            <v>0</v>
          </cell>
        </row>
        <row r="140">
          <cell r="R140" t="str">
            <v>GEL-15</v>
          </cell>
          <cell r="S140">
            <v>0</v>
          </cell>
        </row>
        <row r="141">
          <cell r="R141" t="str">
            <v>GSO-15</v>
          </cell>
          <cell r="S141">
            <v>0</v>
          </cell>
        </row>
        <row r="142">
          <cell r="R142" t="str">
            <v>BT400-15</v>
          </cell>
          <cell r="S142">
            <v>0</v>
          </cell>
        </row>
        <row r="143">
          <cell r="R143" t="str">
            <v>BU-20</v>
          </cell>
          <cell r="S143">
            <v>0</v>
          </cell>
        </row>
        <row r="144">
          <cell r="R144" t="str">
            <v>BRT-15</v>
          </cell>
          <cell r="S144">
            <v>0</v>
          </cell>
        </row>
        <row r="147">
          <cell r="R147" t="str">
            <v>GEL-25</v>
          </cell>
        </row>
        <row r="165">
          <cell r="R165" t="str">
            <v>HP2.5-75</v>
          </cell>
          <cell r="S165">
            <v>0</v>
          </cell>
        </row>
        <row r="167">
          <cell r="R167" t="str">
            <v>GPM-15</v>
          </cell>
          <cell r="S167">
            <v>0</v>
          </cell>
        </row>
        <row r="169">
          <cell r="R169" t="str">
            <v>GEL-15</v>
          </cell>
          <cell r="S169">
            <v>0</v>
          </cell>
        </row>
        <row r="170">
          <cell r="R170" t="str">
            <v>GSO-15</v>
          </cell>
          <cell r="S170">
            <v>0</v>
          </cell>
        </row>
        <row r="171">
          <cell r="R171" t="str">
            <v>BT400-15</v>
          </cell>
          <cell r="S171">
            <v>0</v>
          </cell>
        </row>
        <row r="172">
          <cell r="R172" t="str">
            <v>BU-20</v>
          </cell>
          <cell r="S172">
            <v>0</v>
          </cell>
        </row>
        <row r="173">
          <cell r="R173" t="str">
            <v>BRT-15</v>
          </cell>
          <cell r="S173">
            <v>0</v>
          </cell>
        </row>
        <row r="176">
          <cell r="R176" t="str">
            <v>GEL-25</v>
          </cell>
        </row>
        <row r="194">
          <cell r="R194" t="str">
            <v>HP10-20</v>
          </cell>
          <cell r="S194">
            <v>0</v>
          </cell>
        </row>
        <row r="195">
          <cell r="R195" t="str">
            <v>HP2.5-75</v>
          </cell>
          <cell r="S195">
            <v>0</v>
          </cell>
        </row>
        <row r="197">
          <cell r="R197" t="str">
            <v>PSO-20</v>
          </cell>
          <cell r="S197">
            <v>0</v>
          </cell>
        </row>
        <row r="198">
          <cell r="R198" t="str">
            <v>HEL-20</v>
          </cell>
          <cell r="S198">
            <v>0</v>
          </cell>
        </row>
        <row r="199">
          <cell r="R199" t="str">
            <v>PNI25-20</v>
          </cell>
          <cell r="S199">
            <v>0</v>
          </cell>
        </row>
        <row r="200">
          <cell r="R200" t="str">
            <v>BT400-15</v>
          </cell>
          <cell r="S200">
            <v>0</v>
          </cell>
        </row>
        <row r="201">
          <cell r="R201" t="str">
            <v>PHF-20</v>
          </cell>
          <cell r="S201">
            <v>0</v>
          </cell>
        </row>
        <row r="202">
          <cell r="R202" t="str">
            <v>PRT-20</v>
          </cell>
          <cell r="S202">
            <v>0</v>
          </cell>
        </row>
        <row r="205">
          <cell r="R205" t="str">
            <v>GEL-25</v>
          </cell>
        </row>
        <row r="223">
          <cell r="R223" t="str">
            <v>HP10-20</v>
          </cell>
          <cell r="S223">
            <v>0</v>
          </cell>
        </row>
        <row r="224">
          <cell r="R224" t="str">
            <v>HP2.5-75</v>
          </cell>
          <cell r="S224">
            <v>0</v>
          </cell>
        </row>
        <row r="226">
          <cell r="R226" t="str">
            <v>PSO-20</v>
          </cell>
          <cell r="S226">
            <v>0</v>
          </cell>
        </row>
        <row r="227">
          <cell r="R227" t="str">
            <v>HEL-20</v>
          </cell>
          <cell r="S227">
            <v>0</v>
          </cell>
        </row>
        <row r="228">
          <cell r="R228" t="str">
            <v>PNI25-20</v>
          </cell>
          <cell r="S228">
            <v>0</v>
          </cell>
        </row>
        <row r="229">
          <cell r="R229" t="str">
            <v>BT400-15</v>
          </cell>
          <cell r="S229">
            <v>0</v>
          </cell>
        </row>
        <row r="230">
          <cell r="R230" t="str">
            <v>PHF-20</v>
          </cell>
          <cell r="S230">
            <v>0</v>
          </cell>
        </row>
        <row r="231">
          <cell r="R231" t="str">
            <v>PRT-20</v>
          </cell>
          <cell r="S231">
            <v>0</v>
          </cell>
        </row>
        <row r="234">
          <cell r="R234" t="str">
            <v>GEL-25</v>
          </cell>
        </row>
        <row r="247">
          <cell r="S247">
            <v>0</v>
          </cell>
        </row>
        <row r="252">
          <cell r="R252" t="str">
            <v>HP10-20</v>
          </cell>
          <cell r="S252">
            <v>0</v>
          </cell>
        </row>
        <row r="253">
          <cell r="R253" t="str">
            <v>HP2.5-75</v>
          </cell>
          <cell r="S253">
            <v>0</v>
          </cell>
        </row>
        <row r="256">
          <cell r="R256" t="str">
            <v>GSO-15</v>
          </cell>
          <cell r="S256">
            <v>0</v>
          </cell>
        </row>
        <row r="257">
          <cell r="R257" t="str">
            <v>HEL-20</v>
          </cell>
          <cell r="S257">
            <v>0</v>
          </cell>
        </row>
        <row r="258">
          <cell r="R258" t="str">
            <v>GNI150-15</v>
          </cell>
          <cell r="S258">
            <v>0</v>
          </cell>
        </row>
        <row r="259">
          <cell r="R259" t="str">
            <v>BT400-15</v>
          </cell>
          <cell r="S259">
            <v>0</v>
          </cell>
        </row>
        <row r="260">
          <cell r="R260" t="str">
            <v>BU-20</v>
          </cell>
          <cell r="S260">
            <v>0</v>
          </cell>
        </row>
        <row r="261">
          <cell r="R261" t="str">
            <v>BRT-15</v>
          </cell>
          <cell r="S261">
            <v>0</v>
          </cell>
        </row>
        <row r="263">
          <cell r="R263" t="str">
            <v>GPM-15</v>
          </cell>
          <cell r="S263">
            <v>0</v>
          </cell>
        </row>
        <row r="276">
          <cell r="S276">
            <v>0</v>
          </cell>
        </row>
        <row r="281">
          <cell r="R281" t="str">
            <v>HP10-20</v>
          </cell>
          <cell r="S281">
            <v>0</v>
          </cell>
        </row>
        <row r="282">
          <cell r="R282" t="str">
            <v>HP2.5-75</v>
          </cell>
          <cell r="S282">
            <v>0</v>
          </cell>
        </row>
        <row r="284">
          <cell r="R284" t="str">
            <v>GSO-15</v>
          </cell>
          <cell r="S284">
            <v>0</v>
          </cell>
        </row>
        <row r="285">
          <cell r="R285" t="str">
            <v>HEL-20</v>
          </cell>
          <cell r="S285">
            <v>0</v>
          </cell>
        </row>
        <row r="286">
          <cell r="R286" t="str">
            <v>GNI150-15</v>
          </cell>
          <cell r="S286">
            <v>0</v>
          </cell>
        </row>
        <row r="287">
          <cell r="R287" t="str">
            <v>BT400-15</v>
          </cell>
          <cell r="S287">
            <v>0</v>
          </cell>
        </row>
        <row r="288">
          <cell r="R288" t="str">
            <v>BU-20</v>
          </cell>
          <cell r="S288">
            <v>0</v>
          </cell>
        </row>
        <row r="289">
          <cell r="R289" t="str">
            <v>BRT-15</v>
          </cell>
          <cell r="S289">
            <v>0</v>
          </cell>
        </row>
        <row r="292">
          <cell r="R292" t="str">
            <v>Gpm-15</v>
          </cell>
          <cell r="S292">
            <v>0</v>
          </cell>
        </row>
        <row r="310">
          <cell r="R310" t="str">
            <v>HP2.5-75</v>
          </cell>
          <cell r="S310">
            <v>0</v>
          </cell>
        </row>
        <row r="312">
          <cell r="R312" t="str">
            <v>GPM-15</v>
          </cell>
          <cell r="S312">
            <v>0</v>
          </cell>
        </row>
        <row r="314">
          <cell r="R314" t="str">
            <v>GEL-15</v>
          </cell>
          <cell r="S314">
            <v>0</v>
          </cell>
        </row>
        <row r="315">
          <cell r="R315" t="str">
            <v>GSO-15</v>
          </cell>
          <cell r="S315">
            <v>0</v>
          </cell>
        </row>
        <row r="316">
          <cell r="R316" t="str">
            <v>BT400-15</v>
          </cell>
          <cell r="S316">
            <v>0</v>
          </cell>
        </row>
        <row r="317">
          <cell r="R317" t="str">
            <v>BU-20</v>
          </cell>
          <cell r="S317">
            <v>0</v>
          </cell>
        </row>
        <row r="318">
          <cell r="R318" t="str">
            <v>BRT-15</v>
          </cell>
          <cell r="S318">
            <v>0</v>
          </cell>
        </row>
        <row r="321">
          <cell r="R321" t="str">
            <v>GEL-25</v>
          </cell>
        </row>
        <row r="339">
          <cell r="R339" t="str">
            <v>HP10-20</v>
          </cell>
          <cell r="S339">
            <v>0</v>
          </cell>
        </row>
        <row r="340">
          <cell r="R340" t="str">
            <v>HP2.5-75</v>
          </cell>
          <cell r="S340">
            <v>0</v>
          </cell>
        </row>
        <row r="342">
          <cell r="R342" t="str">
            <v>PSO-20</v>
          </cell>
          <cell r="S342">
            <v>0</v>
          </cell>
        </row>
        <row r="343">
          <cell r="R343" t="str">
            <v>HEL-20</v>
          </cell>
          <cell r="S343">
            <v>0</v>
          </cell>
        </row>
        <row r="344">
          <cell r="R344" t="str">
            <v>PNI25-20</v>
          </cell>
          <cell r="S344">
            <v>0</v>
          </cell>
        </row>
        <row r="345">
          <cell r="R345" t="str">
            <v>BT400-15</v>
          </cell>
          <cell r="S345">
            <v>0</v>
          </cell>
        </row>
        <row r="346">
          <cell r="R346" t="str">
            <v>PHF-20</v>
          </cell>
          <cell r="S346">
            <v>0</v>
          </cell>
        </row>
        <row r="347">
          <cell r="R347" t="str">
            <v>PRT-20</v>
          </cell>
          <cell r="S347">
            <v>0</v>
          </cell>
        </row>
        <row r="350">
          <cell r="R350" t="str">
            <v>GEL-25</v>
          </cell>
        </row>
      </sheetData>
      <sheetData sheetId="35" refreshError="1"/>
      <sheetData sheetId="36" refreshError="1"/>
      <sheetData sheetId="37" refreshError="1"/>
      <sheetData sheetId="38" refreshError="1"/>
      <sheetData sheetId="39" refreshError="1">
        <row r="8">
          <cell r="D8" t="str">
            <v>M-01</v>
          </cell>
          <cell r="F8">
            <v>0</v>
          </cell>
          <cell r="G8">
            <v>0</v>
          </cell>
          <cell r="H8">
            <v>0</v>
          </cell>
          <cell r="I8">
            <v>0</v>
          </cell>
          <cell r="J8">
            <v>0</v>
          </cell>
          <cell r="K8">
            <v>0</v>
          </cell>
          <cell r="L8">
            <v>0</v>
          </cell>
          <cell r="M8">
            <v>0</v>
          </cell>
          <cell r="N8">
            <v>0</v>
          </cell>
          <cell r="O8">
            <v>0</v>
          </cell>
        </row>
        <row r="9">
          <cell r="D9" t="str">
            <v>M-02</v>
          </cell>
          <cell r="F9">
            <v>0</v>
          </cell>
          <cell r="G9">
            <v>0</v>
          </cell>
          <cell r="H9">
            <v>0</v>
          </cell>
          <cell r="I9">
            <v>0</v>
          </cell>
          <cell r="J9">
            <v>0</v>
          </cell>
          <cell r="K9">
            <v>0</v>
          </cell>
          <cell r="L9">
            <v>0</v>
          </cell>
          <cell r="M9">
            <v>0</v>
          </cell>
          <cell r="N9">
            <v>0</v>
          </cell>
          <cell r="O9">
            <v>0</v>
          </cell>
        </row>
        <row r="10">
          <cell r="D10" t="str">
            <v>M-03</v>
          </cell>
          <cell r="F10">
            <v>0</v>
          </cell>
          <cell r="G10">
            <v>0</v>
          </cell>
          <cell r="H10">
            <v>0</v>
          </cell>
          <cell r="I10">
            <v>0</v>
          </cell>
          <cell r="J10">
            <v>0</v>
          </cell>
          <cell r="K10">
            <v>0</v>
          </cell>
          <cell r="L10">
            <v>0</v>
          </cell>
          <cell r="M10">
            <v>0</v>
          </cell>
          <cell r="N10">
            <v>0</v>
          </cell>
          <cell r="O10">
            <v>0</v>
          </cell>
        </row>
        <row r="11">
          <cell r="D11" t="str">
            <v>M-04</v>
          </cell>
          <cell r="F11">
            <v>0</v>
          </cell>
          <cell r="G11">
            <v>0</v>
          </cell>
          <cell r="H11">
            <v>0</v>
          </cell>
          <cell r="I11">
            <v>0</v>
          </cell>
          <cell r="J11">
            <v>0</v>
          </cell>
          <cell r="K11">
            <v>0</v>
          </cell>
          <cell r="L11">
            <v>0</v>
          </cell>
          <cell r="M11">
            <v>0</v>
          </cell>
          <cell r="N11">
            <v>0</v>
          </cell>
          <cell r="O11">
            <v>0</v>
          </cell>
        </row>
        <row r="12">
          <cell r="D12" t="str">
            <v>M-05</v>
          </cell>
          <cell r="F12">
            <v>0</v>
          </cell>
          <cell r="G12">
            <v>0</v>
          </cell>
          <cell r="H12">
            <v>0</v>
          </cell>
          <cell r="I12">
            <v>0</v>
          </cell>
          <cell r="J12">
            <v>0</v>
          </cell>
          <cell r="K12">
            <v>0</v>
          </cell>
          <cell r="L12">
            <v>0</v>
          </cell>
          <cell r="M12">
            <v>0</v>
          </cell>
          <cell r="N12">
            <v>0</v>
          </cell>
          <cell r="O12">
            <v>0</v>
          </cell>
        </row>
        <row r="13">
          <cell r="D13" t="str">
            <v>M-06</v>
          </cell>
          <cell r="F13">
            <v>0</v>
          </cell>
          <cell r="G13">
            <v>0</v>
          </cell>
          <cell r="H13">
            <v>0</v>
          </cell>
          <cell r="I13">
            <v>0</v>
          </cell>
          <cell r="J13">
            <v>0</v>
          </cell>
          <cell r="K13">
            <v>0</v>
          </cell>
          <cell r="L13">
            <v>0</v>
          </cell>
          <cell r="M13">
            <v>0</v>
          </cell>
          <cell r="N13">
            <v>0</v>
          </cell>
          <cell r="O13">
            <v>0</v>
          </cell>
        </row>
        <row r="14">
          <cell r="D14" t="str">
            <v>M-07</v>
          </cell>
          <cell r="F14">
            <v>0</v>
          </cell>
          <cell r="G14">
            <v>0</v>
          </cell>
          <cell r="H14">
            <v>0</v>
          </cell>
          <cell r="I14">
            <v>0</v>
          </cell>
          <cell r="J14">
            <v>0</v>
          </cell>
          <cell r="K14">
            <v>0</v>
          </cell>
          <cell r="L14">
            <v>0</v>
          </cell>
          <cell r="M14">
            <v>0</v>
          </cell>
          <cell r="N14">
            <v>0</v>
          </cell>
          <cell r="O14">
            <v>0</v>
          </cell>
        </row>
        <row r="15">
          <cell r="D15" t="str">
            <v>M-08</v>
          </cell>
          <cell r="F15">
            <v>0</v>
          </cell>
          <cell r="G15">
            <v>0</v>
          </cell>
          <cell r="H15">
            <v>0</v>
          </cell>
          <cell r="I15">
            <v>0</v>
          </cell>
          <cell r="J15">
            <v>0</v>
          </cell>
          <cell r="K15">
            <v>0</v>
          </cell>
          <cell r="L15">
            <v>0</v>
          </cell>
          <cell r="M15">
            <v>0</v>
          </cell>
          <cell r="N15">
            <v>0</v>
          </cell>
          <cell r="O15">
            <v>0</v>
          </cell>
        </row>
        <row r="16">
          <cell r="D16" t="str">
            <v>M-09</v>
          </cell>
          <cell r="F16">
            <v>0</v>
          </cell>
          <cell r="G16">
            <v>0</v>
          </cell>
          <cell r="H16">
            <v>0</v>
          </cell>
          <cell r="I16">
            <v>0</v>
          </cell>
          <cell r="J16">
            <v>0</v>
          </cell>
          <cell r="K16">
            <v>0</v>
          </cell>
          <cell r="L16">
            <v>0</v>
          </cell>
          <cell r="M16">
            <v>0</v>
          </cell>
          <cell r="N16">
            <v>0</v>
          </cell>
          <cell r="O16">
            <v>0</v>
          </cell>
        </row>
        <row r="17">
          <cell r="D17" t="str">
            <v>M-10</v>
          </cell>
          <cell r="F17">
            <v>0</v>
          </cell>
          <cell r="G17">
            <v>0</v>
          </cell>
          <cell r="H17">
            <v>0</v>
          </cell>
          <cell r="I17">
            <v>0</v>
          </cell>
          <cell r="J17">
            <v>0</v>
          </cell>
          <cell r="K17">
            <v>0</v>
          </cell>
          <cell r="L17">
            <v>0</v>
          </cell>
          <cell r="M17">
            <v>0</v>
          </cell>
          <cell r="N17">
            <v>0</v>
          </cell>
          <cell r="O17">
            <v>0</v>
          </cell>
        </row>
        <row r="18">
          <cell r="D18" t="str">
            <v>M-11</v>
          </cell>
          <cell r="F18">
            <v>0</v>
          </cell>
          <cell r="G18">
            <v>0</v>
          </cell>
          <cell r="H18">
            <v>0</v>
          </cell>
          <cell r="I18">
            <v>0</v>
          </cell>
          <cell r="J18">
            <v>0</v>
          </cell>
          <cell r="K18">
            <v>0</v>
          </cell>
          <cell r="L18">
            <v>0</v>
          </cell>
          <cell r="M18">
            <v>0</v>
          </cell>
          <cell r="N18">
            <v>0</v>
          </cell>
          <cell r="O18">
            <v>0</v>
          </cell>
        </row>
        <row r="19">
          <cell r="D19" t="str">
            <v>M-12</v>
          </cell>
          <cell r="F19">
            <v>0</v>
          </cell>
          <cell r="G19">
            <v>0</v>
          </cell>
          <cell r="H19">
            <v>0</v>
          </cell>
          <cell r="I19">
            <v>0</v>
          </cell>
          <cell r="J19">
            <v>0</v>
          </cell>
          <cell r="K19">
            <v>0</v>
          </cell>
          <cell r="L19">
            <v>0</v>
          </cell>
          <cell r="M19">
            <v>0</v>
          </cell>
          <cell r="N19">
            <v>0</v>
          </cell>
          <cell r="O19">
            <v>0</v>
          </cell>
        </row>
        <row r="20">
          <cell r="D20" t="str">
            <v>M-13</v>
          </cell>
          <cell r="F20">
            <v>0</v>
          </cell>
          <cell r="G20">
            <v>0</v>
          </cell>
          <cell r="H20">
            <v>0</v>
          </cell>
          <cell r="I20">
            <v>0</v>
          </cell>
          <cell r="J20">
            <v>0</v>
          </cell>
          <cell r="K20">
            <v>0</v>
          </cell>
          <cell r="L20">
            <v>0</v>
          </cell>
          <cell r="M20">
            <v>0</v>
          </cell>
          <cell r="N20">
            <v>0</v>
          </cell>
          <cell r="O20">
            <v>0</v>
          </cell>
        </row>
        <row r="21">
          <cell r="D21" t="str">
            <v>M-14</v>
          </cell>
          <cell r="F21">
            <v>0</v>
          </cell>
          <cell r="G21">
            <v>0</v>
          </cell>
          <cell r="H21">
            <v>0</v>
          </cell>
          <cell r="I21">
            <v>0</v>
          </cell>
          <cell r="J21">
            <v>0</v>
          </cell>
          <cell r="K21">
            <v>0</v>
          </cell>
          <cell r="L21">
            <v>0</v>
          </cell>
          <cell r="M21">
            <v>0</v>
          </cell>
          <cell r="N21">
            <v>0</v>
          </cell>
          <cell r="O21">
            <v>0</v>
          </cell>
        </row>
        <row r="22">
          <cell r="D22" t="str">
            <v>M-15</v>
          </cell>
          <cell r="F22">
            <v>0</v>
          </cell>
          <cell r="G22">
            <v>0</v>
          </cell>
          <cell r="H22">
            <v>0</v>
          </cell>
          <cell r="I22">
            <v>0</v>
          </cell>
          <cell r="J22">
            <v>0</v>
          </cell>
          <cell r="K22">
            <v>0</v>
          </cell>
          <cell r="L22">
            <v>0</v>
          </cell>
          <cell r="M22">
            <v>0</v>
          </cell>
          <cell r="N22">
            <v>0</v>
          </cell>
          <cell r="O22">
            <v>0</v>
          </cell>
        </row>
        <row r="23">
          <cell r="D23" t="str">
            <v>M-16</v>
          </cell>
          <cell r="F23">
            <v>0</v>
          </cell>
          <cell r="G23">
            <v>0</v>
          </cell>
          <cell r="H23">
            <v>0</v>
          </cell>
          <cell r="I23">
            <v>0</v>
          </cell>
          <cell r="J23">
            <v>0</v>
          </cell>
          <cell r="K23">
            <v>0</v>
          </cell>
          <cell r="L23">
            <v>0</v>
          </cell>
          <cell r="M23">
            <v>0</v>
          </cell>
          <cell r="N23">
            <v>0</v>
          </cell>
          <cell r="O23">
            <v>0</v>
          </cell>
        </row>
        <row r="24">
          <cell r="D24" t="str">
            <v>M-17</v>
          </cell>
          <cell r="F24">
            <v>0</v>
          </cell>
          <cell r="G24">
            <v>0</v>
          </cell>
          <cell r="H24">
            <v>0</v>
          </cell>
          <cell r="I24">
            <v>0</v>
          </cell>
          <cell r="J24">
            <v>0</v>
          </cell>
          <cell r="K24">
            <v>0</v>
          </cell>
          <cell r="L24">
            <v>0</v>
          </cell>
          <cell r="M24">
            <v>0</v>
          </cell>
          <cell r="N24">
            <v>0</v>
          </cell>
          <cell r="O24">
            <v>0</v>
          </cell>
        </row>
        <row r="25">
          <cell r="D25" t="str">
            <v>M-18</v>
          </cell>
          <cell r="F25">
            <v>0</v>
          </cell>
          <cell r="G25">
            <v>0</v>
          </cell>
          <cell r="H25">
            <v>0</v>
          </cell>
          <cell r="I25">
            <v>0</v>
          </cell>
          <cell r="J25">
            <v>0</v>
          </cell>
          <cell r="K25">
            <v>0</v>
          </cell>
          <cell r="L25">
            <v>0</v>
          </cell>
          <cell r="M25">
            <v>0</v>
          </cell>
          <cell r="N25">
            <v>0</v>
          </cell>
          <cell r="O25">
            <v>0</v>
          </cell>
        </row>
        <row r="26">
          <cell r="D26" t="str">
            <v>M-19</v>
          </cell>
          <cell r="F26">
            <v>0</v>
          </cell>
          <cell r="G26">
            <v>0</v>
          </cell>
          <cell r="H26">
            <v>0</v>
          </cell>
          <cell r="I26">
            <v>0</v>
          </cell>
          <cell r="J26">
            <v>0</v>
          </cell>
          <cell r="K26">
            <v>0</v>
          </cell>
          <cell r="L26">
            <v>0</v>
          </cell>
          <cell r="M26">
            <v>0</v>
          </cell>
          <cell r="N26">
            <v>0</v>
          </cell>
          <cell r="O26">
            <v>0</v>
          </cell>
        </row>
        <row r="27">
          <cell r="D27" t="str">
            <v>M-20</v>
          </cell>
          <cell r="F27">
            <v>0</v>
          </cell>
          <cell r="G27">
            <v>0</v>
          </cell>
          <cell r="H27">
            <v>0</v>
          </cell>
          <cell r="I27">
            <v>0</v>
          </cell>
          <cell r="J27">
            <v>0</v>
          </cell>
          <cell r="K27">
            <v>0</v>
          </cell>
          <cell r="L27">
            <v>0</v>
          </cell>
          <cell r="M27">
            <v>0</v>
          </cell>
          <cell r="N27">
            <v>0</v>
          </cell>
          <cell r="O27">
            <v>0</v>
          </cell>
        </row>
        <row r="28">
          <cell r="D28" t="str">
            <v>M-21</v>
          </cell>
          <cell r="F28">
            <v>0</v>
          </cell>
          <cell r="G28">
            <v>0</v>
          </cell>
          <cell r="H28">
            <v>0</v>
          </cell>
          <cell r="I28">
            <v>0</v>
          </cell>
          <cell r="J28">
            <v>0</v>
          </cell>
          <cell r="K28">
            <v>0</v>
          </cell>
          <cell r="L28">
            <v>0</v>
          </cell>
          <cell r="M28">
            <v>0</v>
          </cell>
          <cell r="N28">
            <v>0</v>
          </cell>
          <cell r="O28">
            <v>0</v>
          </cell>
        </row>
        <row r="29">
          <cell r="D29" t="str">
            <v>M-22</v>
          </cell>
          <cell r="F29">
            <v>0</v>
          </cell>
          <cell r="G29">
            <v>0</v>
          </cell>
          <cell r="H29">
            <v>0</v>
          </cell>
          <cell r="I29">
            <v>0</v>
          </cell>
          <cell r="J29">
            <v>0</v>
          </cell>
          <cell r="K29">
            <v>0</v>
          </cell>
          <cell r="L29">
            <v>0</v>
          </cell>
          <cell r="M29">
            <v>0</v>
          </cell>
          <cell r="N29">
            <v>0</v>
          </cell>
          <cell r="O29">
            <v>0</v>
          </cell>
        </row>
        <row r="30">
          <cell r="D30" t="str">
            <v>M-23</v>
          </cell>
          <cell r="F30">
            <v>0</v>
          </cell>
          <cell r="G30">
            <v>0</v>
          </cell>
          <cell r="H30">
            <v>0</v>
          </cell>
          <cell r="I30">
            <v>0</v>
          </cell>
          <cell r="J30">
            <v>0</v>
          </cell>
          <cell r="K30">
            <v>0</v>
          </cell>
          <cell r="L30">
            <v>0</v>
          </cell>
          <cell r="M30">
            <v>0</v>
          </cell>
          <cell r="N30">
            <v>0</v>
          </cell>
          <cell r="O30">
            <v>0</v>
          </cell>
        </row>
        <row r="31">
          <cell r="D31" t="str">
            <v>M-24</v>
          </cell>
          <cell r="F31">
            <v>0</v>
          </cell>
          <cell r="G31">
            <v>0</v>
          </cell>
          <cell r="H31">
            <v>0</v>
          </cell>
          <cell r="I31">
            <v>0</v>
          </cell>
          <cell r="J31">
            <v>0</v>
          </cell>
          <cell r="K31">
            <v>0</v>
          </cell>
          <cell r="L31">
            <v>0</v>
          </cell>
          <cell r="M31">
            <v>0</v>
          </cell>
          <cell r="N31">
            <v>0</v>
          </cell>
          <cell r="O31">
            <v>0</v>
          </cell>
        </row>
        <row r="32">
          <cell r="D32" t="str">
            <v>M-25</v>
          </cell>
          <cell r="F32">
            <v>0</v>
          </cell>
          <cell r="G32">
            <v>0</v>
          </cell>
          <cell r="H32">
            <v>0</v>
          </cell>
          <cell r="I32">
            <v>0</v>
          </cell>
          <cell r="J32">
            <v>0</v>
          </cell>
          <cell r="K32">
            <v>0</v>
          </cell>
          <cell r="L32">
            <v>0</v>
          </cell>
          <cell r="M32">
            <v>0</v>
          </cell>
          <cell r="N32">
            <v>0</v>
          </cell>
          <cell r="O32">
            <v>0</v>
          </cell>
        </row>
        <row r="33">
          <cell r="D33" t="str">
            <v>M-26</v>
          </cell>
          <cell r="F33">
            <v>0</v>
          </cell>
          <cell r="G33">
            <v>0</v>
          </cell>
          <cell r="H33">
            <v>0</v>
          </cell>
          <cell r="I33">
            <v>0</v>
          </cell>
          <cell r="J33">
            <v>0</v>
          </cell>
          <cell r="K33">
            <v>0</v>
          </cell>
          <cell r="L33">
            <v>0</v>
          </cell>
          <cell r="M33">
            <v>0</v>
          </cell>
          <cell r="N33">
            <v>0</v>
          </cell>
          <cell r="O33">
            <v>0</v>
          </cell>
        </row>
        <row r="34">
          <cell r="D34" t="str">
            <v>M-27</v>
          </cell>
          <cell r="F34">
            <v>0</v>
          </cell>
          <cell r="G34">
            <v>0</v>
          </cell>
          <cell r="H34">
            <v>0</v>
          </cell>
          <cell r="I34">
            <v>0</v>
          </cell>
          <cell r="J34">
            <v>0</v>
          </cell>
          <cell r="K34">
            <v>0</v>
          </cell>
          <cell r="L34">
            <v>0</v>
          </cell>
          <cell r="M34">
            <v>0</v>
          </cell>
          <cell r="N34">
            <v>0</v>
          </cell>
          <cell r="O34">
            <v>0</v>
          </cell>
        </row>
        <row r="35">
          <cell r="D35" t="str">
            <v>M-28</v>
          </cell>
          <cell r="F35">
            <v>0</v>
          </cell>
          <cell r="G35">
            <v>0</v>
          </cell>
          <cell r="H35">
            <v>0</v>
          </cell>
          <cell r="I35">
            <v>0</v>
          </cell>
          <cell r="J35">
            <v>0</v>
          </cell>
          <cell r="K35">
            <v>0</v>
          </cell>
          <cell r="L35">
            <v>0</v>
          </cell>
          <cell r="M35">
            <v>0</v>
          </cell>
          <cell r="N35">
            <v>0</v>
          </cell>
          <cell r="O35">
            <v>0</v>
          </cell>
        </row>
        <row r="36">
          <cell r="D36" t="str">
            <v>M-29</v>
          </cell>
          <cell r="F36">
            <v>0</v>
          </cell>
          <cell r="G36">
            <v>0</v>
          </cell>
          <cell r="H36">
            <v>0</v>
          </cell>
          <cell r="I36">
            <v>0</v>
          </cell>
          <cell r="J36">
            <v>0</v>
          </cell>
          <cell r="K36">
            <v>0</v>
          </cell>
          <cell r="L36">
            <v>0</v>
          </cell>
          <cell r="M36">
            <v>0</v>
          </cell>
          <cell r="N36">
            <v>0</v>
          </cell>
          <cell r="O36">
            <v>0</v>
          </cell>
        </row>
        <row r="37">
          <cell r="D37" t="str">
            <v>M-30</v>
          </cell>
          <cell r="F37">
            <v>0</v>
          </cell>
          <cell r="G37">
            <v>0</v>
          </cell>
          <cell r="H37">
            <v>0</v>
          </cell>
          <cell r="I37">
            <v>0</v>
          </cell>
          <cell r="J37">
            <v>0</v>
          </cell>
          <cell r="K37">
            <v>0</v>
          </cell>
          <cell r="L37">
            <v>0</v>
          </cell>
          <cell r="M37">
            <v>0</v>
          </cell>
          <cell r="N37">
            <v>0</v>
          </cell>
          <cell r="O37">
            <v>0</v>
          </cell>
        </row>
        <row r="38">
          <cell r="D38" t="str">
            <v>M-31</v>
          </cell>
          <cell r="F38">
            <v>0</v>
          </cell>
          <cell r="G38">
            <v>0</v>
          </cell>
          <cell r="H38">
            <v>0</v>
          </cell>
          <cell r="I38">
            <v>0</v>
          </cell>
          <cell r="J38">
            <v>0</v>
          </cell>
          <cell r="K38">
            <v>0</v>
          </cell>
          <cell r="L38">
            <v>0</v>
          </cell>
          <cell r="M38">
            <v>0</v>
          </cell>
          <cell r="N38">
            <v>0</v>
          </cell>
          <cell r="O38">
            <v>0</v>
          </cell>
        </row>
        <row r="39">
          <cell r="D39" t="str">
            <v>M-32</v>
          </cell>
          <cell r="F39">
            <v>0</v>
          </cell>
          <cell r="G39">
            <v>0</v>
          </cell>
          <cell r="H39">
            <v>0</v>
          </cell>
          <cell r="I39">
            <v>0</v>
          </cell>
          <cell r="J39">
            <v>0</v>
          </cell>
          <cell r="K39">
            <v>0</v>
          </cell>
          <cell r="L39">
            <v>0</v>
          </cell>
          <cell r="M39">
            <v>0</v>
          </cell>
          <cell r="N39">
            <v>0</v>
          </cell>
          <cell r="O39">
            <v>0</v>
          </cell>
        </row>
        <row r="40">
          <cell r="D40" t="str">
            <v>M-33</v>
          </cell>
          <cell r="F40">
            <v>0</v>
          </cell>
          <cell r="G40">
            <v>0</v>
          </cell>
          <cell r="H40">
            <v>0</v>
          </cell>
          <cell r="I40">
            <v>0</v>
          </cell>
          <cell r="J40">
            <v>0</v>
          </cell>
          <cell r="K40">
            <v>0</v>
          </cell>
          <cell r="L40">
            <v>0</v>
          </cell>
          <cell r="M40">
            <v>0</v>
          </cell>
          <cell r="N40">
            <v>0</v>
          </cell>
          <cell r="O40">
            <v>0</v>
          </cell>
        </row>
        <row r="41">
          <cell r="D41" t="str">
            <v>M-34</v>
          </cell>
          <cell r="F41">
            <v>0</v>
          </cell>
          <cell r="G41">
            <v>0</v>
          </cell>
          <cell r="H41">
            <v>0</v>
          </cell>
          <cell r="I41">
            <v>0</v>
          </cell>
          <cell r="J41">
            <v>0</v>
          </cell>
          <cell r="K41">
            <v>0</v>
          </cell>
          <cell r="L41">
            <v>0</v>
          </cell>
          <cell r="M41">
            <v>0</v>
          </cell>
          <cell r="N41">
            <v>0</v>
          </cell>
          <cell r="O41">
            <v>0</v>
          </cell>
        </row>
        <row r="42">
          <cell r="D42" t="str">
            <v>M-35</v>
          </cell>
          <cell r="F42">
            <v>0</v>
          </cell>
          <cell r="G42">
            <v>0</v>
          </cell>
          <cell r="H42">
            <v>0</v>
          </cell>
          <cell r="I42">
            <v>0</v>
          </cell>
          <cell r="J42">
            <v>0</v>
          </cell>
          <cell r="K42">
            <v>0</v>
          </cell>
          <cell r="L42">
            <v>0</v>
          </cell>
          <cell r="M42">
            <v>0</v>
          </cell>
          <cell r="N42">
            <v>0</v>
          </cell>
          <cell r="O42">
            <v>0</v>
          </cell>
        </row>
        <row r="43">
          <cell r="D43" t="str">
            <v>M-36</v>
          </cell>
          <cell r="F43">
            <v>0</v>
          </cell>
          <cell r="G43">
            <v>0</v>
          </cell>
          <cell r="H43">
            <v>0</v>
          </cell>
          <cell r="I43">
            <v>0</v>
          </cell>
          <cell r="J43">
            <v>0</v>
          </cell>
          <cell r="K43">
            <v>0</v>
          </cell>
          <cell r="L43">
            <v>0</v>
          </cell>
          <cell r="M43">
            <v>0</v>
          </cell>
          <cell r="N43">
            <v>0</v>
          </cell>
          <cell r="O43">
            <v>0</v>
          </cell>
        </row>
        <row r="44">
          <cell r="D44" t="str">
            <v>M-37</v>
          </cell>
          <cell r="F44">
            <v>0</v>
          </cell>
          <cell r="G44">
            <v>0</v>
          </cell>
          <cell r="H44">
            <v>0</v>
          </cell>
          <cell r="I44">
            <v>0</v>
          </cell>
          <cell r="J44">
            <v>0</v>
          </cell>
          <cell r="K44">
            <v>0</v>
          </cell>
          <cell r="L44">
            <v>0</v>
          </cell>
          <cell r="M44">
            <v>0</v>
          </cell>
          <cell r="N44">
            <v>0</v>
          </cell>
          <cell r="O44">
            <v>0</v>
          </cell>
        </row>
        <row r="45">
          <cell r="D45" t="str">
            <v>M-38</v>
          </cell>
          <cell r="F45">
            <v>0</v>
          </cell>
          <cell r="G45">
            <v>0</v>
          </cell>
          <cell r="H45">
            <v>0</v>
          </cell>
          <cell r="I45">
            <v>0</v>
          </cell>
          <cell r="J45">
            <v>0</v>
          </cell>
          <cell r="K45">
            <v>0</v>
          </cell>
          <cell r="L45">
            <v>0</v>
          </cell>
          <cell r="M45">
            <v>0</v>
          </cell>
          <cell r="N45">
            <v>0</v>
          </cell>
          <cell r="O45">
            <v>0</v>
          </cell>
        </row>
        <row r="46">
          <cell r="D46" t="str">
            <v>M-39</v>
          </cell>
          <cell r="F46">
            <v>0</v>
          </cell>
          <cell r="G46">
            <v>0</v>
          </cell>
          <cell r="H46">
            <v>0</v>
          </cell>
          <cell r="I46">
            <v>0</v>
          </cell>
          <cell r="J46">
            <v>0</v>
          </cell>
          <cell r="K46">
            <v>0</v>
          </cell>
          <cell r="L46">
            <v>0</v>
          </cell>
          <cell r="M46">
            <v>0</v>
          </cell>
          <cell r="N46">
            <v>0</v>
          </cell>
          <cell r="O46">
            <v>0</v>
          </cell>
        </row>
        <row r="47">
          <cell r="D47" t="str">
            <v>M-40</v>
          </cell>
          <cell r="F47">
            <v>0</v>
          </cell>
          <cell r="G47">
            <v>0</v>
          </cell>
          <cell r="H47">
            <v>0</v>
          </cell>
          <cell r="I47">
            <v>0</v>
          </cell>
          <cell r="J47">
            <v>0</v>
          </cell>
          <cell r="K47">
            <v>0</v>
          </cell>
          <cell r="L47">
            <v>0</v>
          </cell>
          <cell r="M47">
            <v>0</v>
          </cell>
          <cell r="N47">
            <v>0</v>
          </cell>
          <cell r="O47">
            <v>0</v>
          </cell>
        </row>
        <row r="48">
          <cell r="D48" t="str">
            <v>M-41</v>
          </cell>
          <cell r="F48">
            <v>0</v>
          </cell>
          <cell r="G48">
            <v>0</v>
          </cell>
          <cell r="H48">
            <v>0</v>
          </cell>
          <cell r="I48">
            <v>0</v>
          </cell>
          <cell r="J48">
            <v>0</v>
          </cell>
          <cell r="K48">
            <v>0</v>
          </cell>
          <cell r="L48">
            <v>0</v>
          </cell>
          <cell r="M48">
            <v>0</v>
          </cell>
          <cell r="N48">
            <v>0</v>
          </cell>
          <cell r="O48">
            <v>0</v>
          </cell>
        </row>
        <row r="49">
          <cell r="D49" t="str">
            <v>M-42</v>
          </cell>
          <cell r="F49">
            <v>0</v>
          </cell>
          <cell r="G49">
            <v>0</v>
          </cell>
          <cell r="H49">
            <v>0</v>
          </cell>
          <cell r="I49">
            <v>0</v>
          </cell>
          <cell r="J49">
            <v>0</v>
          </cell>
          <cell r="K49">
            <v>0</v>
          </cell>
          <cell r="L49">
            <v>0</v>
          </cell>
          <cell r="M49">
            <v>0</v>
          </cell>
          <cell r="N49">
            <v>0</v>
          </cell>
          <cell r="O49">
            <v>0</v>
          </cell>
        </row>
        <row r="50">
          <cell r="D50" t="str">
            <v>M-43</v>
          </cell>
          <cell r="F50">
            <v>0</v>
          </cell>
          <cell r="G50">
            <v>0</v>
          </cell>
          <cell r="H50">
            <v>0</v>
          </cell>
          <cell r="I50">
            <v>0</v>
          </cell>
          <cell r="J50">
            <v>0</v>
          </cell>
          <cell r="K50">
            <v>0</v>
          </cell>
          <cell r="L50">
            <v>0</v>
          </cell>
          <cell r="M50">
            <v>0</v>
          </cell>
          <cell r="N50">
            <v>0</v>
          </cell>
          <cell r="O50">
            <v>0</v>
          </cell>
        </row>
        <row r="51">
          <cell r="D51" t="str">
            <v>M-44</v>
          </cell>
          <cell r="F51">
            <v>0</v>
          </cell>
          <cell r="G51">
            <v>0</v>
          </cell>
          <cell r="H51">
            <v>0</v>
          </cell>
          <cell r="I51">
            <v>0</v>
          </cell>
          <cell r="J51">
            <v>0</v>
          </cell>
          <cell r="K51">
            <v>0</v>
          </cell>
          <cell r="L51">
            <v>0</v>
          </cell>
          <cell r="M51">
            <v>0</v>
          </cell>
          <cell r="N51">
            <v>0</v>
          </cell>
          <cell r="O51">
            <v>0</v>
          </cell>
        </row>
        <row r="52">
          <cell r="D52" t="str">
            <v>M-45</v>
          </cell>
          <cell r="F52">
            <v>0</v>
          </cell>
          <cell r="G52">
            <v>0</v>
          </cell>
          <cell r="H52">
            <v>0</v>
          </cell>
          <cell r="I52">
            <v>0</v>
          </cell>
          <cell r="J52">
            <v>0</v>
          </cell>
          <cell r="K52">
            <v>0</v>
          </cell>
          <cell r="L52">
            <v>0</v>
          </cell>
          <cell r="M52">
            <v>0</v>
          </cell>
          <cell r="N52">
            <v>0</v>
          </cell>
          <cell r="O52">
            <v>0</v>
          </cell>
        </row>
        <row r="55">
          <cell r="D55" t="str">
            <v>L-1</v>
          </cell>
          <cell r="F55">
            <v>0</v>
          </cell>
          <cell r="G55">
            <v>0</v>
          </cell>
          <cell r="H55">
            <v>0</v>
          </cell>
          <cell r="I55">
            <v>0</v>
          </cell>
          <cell r="J55">
            <v>0</v>
          </cell>
          <cell r="K55">
            <v>0</v>
          </cell>
          <cell r="L55">
            <v>0</v>
          </cell>
          <cell r="M55">
            <v>0</v>
          </cell>
          <cell r="N55">
            <v>0</v>
          </cell>
          <cell r="O55">
            <v>0</v>
          </cell>
        </row>
        <row r="56">
          <cell r="D56" t="str">
            <v>L-2</v>
          </cell>
          <cell r="F56">
            <v>0</v>
          </cell>
          <cell r="G56">
            <v>0</v>
          </cell>
          <cell r="H56">
            <v>0</v>
          </cell>
          <cell r="I56">
            <v>0</v>
          </cell>
          <cell r="J56">
            <v>0</v>
          </cell>
          <cell r="K56">
            <v>0</v>
          </cell>
          <cell r="L56">
            <v>0</v>
          </cell>
          <cell r="M56">
            <v>0</v>
          </cell>
          <cell r="N56">
            <v>0</v>
          </cell>
          <cell r="O56">
            <v>0</v>
          </cell>
        </row>
        <row r="59">
          <cell r="D59" t="str">
            <v>M-13</v>
          </cell>
        </row>
        <row r="60">
          <cell r="D60" t="str">
            <v>M-53</v>
          </cell>
        </row>
        <row r="61">
          <cell r="D61" t="str">
            <v>M-03</v>
          </cell>
        </row>
        <row r="62">
          <cell r="D62" t="str">
            <v>M-04</v>
          </cell>
        </row>
        <row r="63">
          <cell r="D63" t="str">
            <v>M-05</v>
          </cell>
        </row>
        <row r="64">
          <cell r="D64" t="str">
            <v>M-06</v>
          </cell>
        </row>
        <row r="65">
          <cell r="D65" t="str">
            <v>M-07</v>
          </cell>
        </row>
      </sheetData>
      <sheetData sheetId="40" refreshError="1">
        <row r="7">
          <cell r="D7" t="str">
            <v>M-01</v>
          </cell>
          <cell r="F7">
            <v>16.638272499999999</v>
          </cell>
          <cell r="G7">
            <v>0</v>
          </cell>
          <cell r="H7">
            <v>0</v>
          </cell>
          <cell r="I7">
            <v>0</v>
          </cell>
          <cell r="J7">
            <v>0</v>
          </cell>
          <cell r="K7">
            <v>0</v>
          </cell>
          <cell r="L7">
            <v>0</v>
          </cell>
          <cell r="M7">
            <v>0</v>
          </cell>
          <cell r="N7">
            <v>0</v>
          </cell>
          <cell r="O7">
            <v>0</v>
          </cell>
          <cell r="P7">
            <v>0</v>
          </cell>
          <cell r="Q7">
            <v>0</v>
          </cell>
          <cell r="R7">
            <v>0</v>
          </cell>
          <cell r="S7">
            <v>0</v>
          </cell>
          <cell r="T7">
            <v>0</v>
          </cell>
        </row>
        <row r="8">
          <cell r="D8" t="str">
            <v>M-02</v>
          </cell>
          <cell r="F8">
            <v>1.5793075000000001</v>
          </cell>
          <cell r="G8">
            <v>0</v>
          </cell>
          <cell r="H8">
            <v>0</v>
          </cell>
          <cell r="I8">
            <v>0</v>
          </cell>
          <cell r="J8">
            <v>0</v>
          </cell>
          <cell r="K8">
            <v>0</v>
          </cell>
          <cell r="L8">
            <v>0</v>
          </cell>
          <cell r="M8">
            <v>0</v>
          </cell>
          <cell r="N8">
            <v>0</v>
          </cell>
          <cell r="O8">
            <v>0</v>
          </cell>
          <cell r="P8">
            <v>0</v>
          </cell>
          <cell r="Q8">
            <v>0</v>
          </cell>
          <cell r="R8">
            <v>0</v>
          </cell>
          <cell r="S8">
            <v>0</v>
          </cell>
          <cell r="T8">
            <v>0</v>
          </cell>
        </row>
        <row r="9">
          <cell r="D9" t="str">
            <v>M-03</v>
          </cell>
          <cell r="F9">
            <v>8.5052500000000002</v>
          </cell>
          <cell r="G9">
            <v>0</v>
          </cell>
          <cell r="H9">
            <v>0</v>
          </cell>
          <cell r="I9">
            <v>0</v>
          </cell>
          <cell r="J9">
            <v>0</v>
          </cell>
          <cell r="K9">
            <v>0</v>
          </cell>
          <cell r="L9">
            <v>0</v>
          </cell>
          <cell r="M9">
            <v>0</v>
          </cell>
          <cell r="N9">
            <v>0</v>
          </cell>
          <cell r="O9">
            <v>0</v>
          </cell>
          <cell r="P9">
            <v>0</v>
          </cell>
          <cell r="Q9">
            <v>0</v>
          </cell>
          <cell r="R9">
            <v>0</v>
          </cell>
          <cell r="S9">
            <v>0</v>
          </cell>
          <cell r="T9">
            <v>0</v>
          </cell>
        </row>
        <row r="10">
          <cell r="D10" t="str">
            <v>M-04</v>
          </cell>
          <cell r="F10">
            <v>0.30052499999999999</v>
          </cell>
          <cell r="G10">
            <v>0</v>
          </cell>
          <cell r="H10">
            <v>0</v>
          </cell>
          <cell r="I10">
            <v>0</v>
          </cell>
          <cell r="J10">
            <v>0</v>
          </cell>
          <cell r="K10">
            <v>0</v>
          </cell>
          <cell r="L10">
            <v>0</v>
          </cell>
          <cell r="M10">
            <v>0</v>
          </cell>
          <cell r="N10">
            <v>0</v>
          </cell>
          <cell r="O10">
            <v>0</v>
          </cell>
          <cell r="P10">
            <v>0</v>
          </cell>
          <cell r="Q10">
            <v>0</v>
          </cell>
          <cell r="R10">
            <v>0</v>
          </cell>
          <cell r="S10">
            <v>0</v>
          </cell>
          <cell r="T10">
            <v>0</v>
          </cell>
        </row>
        <row r="11">
          <cell r="D11" t="str">
            <v>M-05</v>
          </cell>
          <cell r="F11">
            <v>0.12587999999999999</v>
          </cell>
          <cell r="G11">
            <v>0</v>
          </cell>
          <cell r="H11">
            <v>0</v>
          </cell>
          <cell r="I11">
            <v>0</v>
          </cell>
          <cell r="J11">
            <v>0</v>
          </cell>
          <cell r="K11">
            <v>0</v>
          </cell>
          <cell r="L11">
            <v>0</v>
          </cell>
          <cell r="M11">
            <v>0</v>
          </cell>
          <cell r="N11">
            <v>0</v>
          </cell>
          <cell r="O11">
            <v>0</v>
          </cell>
          <cell r="P11">
            <v>0</v>
          </cell>
          <cell r="Q11">
            <v>0</v>
          </cell>
          <cell r="R11">
            <v>0</v>
          </cell>
          <cell r="S11">
            <v>0</v>
          </cell>
          <cell r="T11">
            <v>0</v>
          </cell>
        </row>
        <row r="12">
          <cell r="D12" t="str">
            <v>M-06</v>
          </cell>
          <cell r="F12">
            <v>0.25175999999999998</v>
          </cell>
          <cell r="G12">
            <v>0</v>
          </cell>
          <cell r="H12">
            <v>0</v>
          </cell>
          <cell r="I12">
            <v>0</v>
          </cell>
          <cell r="J12">
            <v>0</v>
          </cell>
          <cell r="K12">
            <v>0</v>
          </cell>
          <cell r="L12">
            <v>0</v>
          </cell>
          <cell r="M12">
            <v>0</v>
          </cell>
          <cell r="N12">
            <v>0</v>
          </cell>
          <cell r="O12">
            <v>0</v>
          </cell>
          <cell r="P12">
            <v>0</v>
          </cell>
          <cell r="Q12">
            <v>0</v>
          </cell>
          <cell r="R12">
            <v>0</v>
          </cell>
          <cell r="S12">
            <v>0</v>
          </cell>
          <cell r="T12">
            <v>0</v>
          </cell>
        </row>
        <row r="13">
          <cell r="D13" t="str">
            <v>M-07</v>
          </cell>
          <cell r="F13">
            <v>0.51401000000000008</v>
          </cell>
          <cell r="G13">
            <v>0</v>
          </cell>
          <cell r="H13">
            <v>0</v>
          </cell>
          <cell r="I13">
            <v>0</v>
          </cell>
          <cell r="J13">
            <v>0</v>
          </cell>
          <cell r="K13">
            <v>0</v>
          </cell>
          <cell r="L13">
            <v>0</v>
          </cell>
          <cell r="M13">
            <v>0</v>
          </cell>
          <cell r="N13">
            <v>0</v>
          </cell>
          <cell r="O13">
            <v>0</v>
          </cell>
          <cell r="P13">
            <v>0</v>
          </cell>
          <cell r="Q13">
            <v>0</v>
          </cell>
          <cell r="R13">
            <v>0</v>
          </cell>
          <cell r="S13">
            <v>0</v>
          </cell>
          <cell r="T13">
            <v>0</v>
          </cell>
        </row>
        <row r="14">
          <cell r="D14" t="str">
            <v>M-08</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row>
        <row r="15">
          <cell r="D15" t="str">
            <v>M-09</v>
          </cell>
          <cell r="F15">
            <v>4.2</v>
          </cell>
          <cell r="G15">
            <v>0</v>
          </cell>
          <cell r="H15">
            <v>0</v>
          </cell>
          <cell r="I15">
            <v>0</v>
          </cell>
          <cell r="J15">
            <v>0</v>
          </cell>
          <cell r="K15">
            <v>0</v>
          </cell>
          <cell r="L15">
            <v>0</v>
          </cell>
          <cell r="M15">
            <v>0</v>
          </cell>
          <cell r="N15">
            <v>0</v>
          </cell>
          <cell r="O15">
            <v>0</v>
          </cell>
          <cell r="P15">
            <v>0</v>
          </cell>
          <cell r="Q15">
            <v>0</v>
          </cell>
          <cell r="R15">
            <v>0</v>
          </cell>
          <cell r="S15">
            <v>0</v>
          </cell>
          <cell r="T15">
            <v>0</v>
          </cell>
        </row>
        <row r="16">
          <cell r="D16" t="str">
            <v>M-10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row>
        <row r="17">
          <cell r="D17" t="str">
            <v>M-11</v>
          </cell>
          <cell r="F17">
            <v>14.700000000000001</v>
          </cell>
          <cell r="G17">
            <v>0</v>
          </cell>
          <cell r="H17">
            <v>0</v>
          </cell>
          <cell r="I17">
            <v>0</v>
          </cell>
          <cell r="J17">
            <v>0</v>
          </cell>
          <cell r="K17">
            <v>0</v>
          </cell>
          <cell r="L17">
            <v>0</v>
          </cell>
          <cell r="M17">
            <v>0</v>
          </cell>
          <cell r="N17">
            <v>0</v>
          </cell>
          <cell r="O17">
            <v>0</v>
          </cell>
          <cell r="P17">
            <v>0</v>
          </cell>
          <cell r="Q17">
            <v>0</v>
          </cell>
          <cell r="R17">
            <v>0</v>
          </cell>
          <cell r="S17">
            <v>0</v>
          </cell>
          <cell r="T17">
            <v>0</v>
          </cell>
        </row>
        <row r="18">
          <cell r="D18" t="str">
            <v>M-12</v>
          </cell>
          <cell r="F18">
            <v>0.18000000000000002</v>
          </cell>
          <cell r="G18">
            <v>0</v>
          </cell>
          <cell r="H18">
            <v>0</v>
          </cell>
          <cell r="I18">
            <v>0</v>
          </cell>
          <cell r="J18">
            <v>0</v>
          </cell>
          <cell r="K18">
            <v>0</v>
          </cell>
          <cell r="L18">
            <v>0</v>
          </cell>
          <cell r="M18">
            <v>0</v>
          </cell>
          <cell r="N18">
            <v>0</v>
          </cell>
          <cell r="O18">
            <v>0</v>
          </cell>
          <cell r="P18">
            <v>0</v>
          </cell>
          <cell r="Q18">
            <v>0</v>
          </cell>
          <cell r="R18">
            <v>0</v>
          </cell>
          <cell r="S18">
            <v>0</v>
          </cell>
          <cell r="T18">
            <v>0</v>
          </cell>
        </row>
        <row r="19">
          <cell r="D19" t="str">
            <v>M-13</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row>
        <row r="20">
          <cell r="D20" t="str">
            <v>M-14</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row>
        <row r="21">
          <cell r="D21" t="str">
            <v>M-15</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row>
        <row r="22">
          <cell r="D22" t="str">
            <v>M-16</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row>
        <row r="23">
          <cell r="D23" t="str">
            <v>M-17</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row>
        <row r="24">
          <cell r="D24" t="str">
            <v>M-18</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row>
        <row r="25">
          <cell r="D25" t="str">
            <v>M-19</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row>
        <row r="26">
          <cell r="D26" t="str">
            <v>M-20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row>
        <row r="27">
          <cell r="D27" t="str">
            <v>M-21</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row>
        <row r="28">
          <cell r="D28" t="str">
            <v>M-22</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row>
        <row r="29">
          <cell r="D29" t="str">
            <v>M-23</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row>
        <row r="30">
          <cell r="D30" t="str">
            <v>M-24</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row>
        <row r="31">
          <cell r="D31" t="str">
            <v>M-25</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row>
        <row r="32">
          <cell r="D32" t="str">
            <v>M-26</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row>
        <row r="33">
          <cell r="D33" t="str">
            <v>M-27</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row>
        <row r="34">
          <cell r="D34" t="str">
            <v>M-28</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row>
        <row r="35">
          <cell r="D35" t="str">
            <v>M-29</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row>
        <row r="36">
          <cell r="D36" t="str">
            <v>M-30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row>
        <row r="37">
          <cell r="D37" t="str">
            <v>M-31</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row>
        <row r="38">
          <cell r="D38" t="str">
            <v>M-32</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row>
        <row r="39">
          <cell r="D39" t="str">
            <v>M-33</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row>
        <row r="40">
          <cell r="D40" t="str">
            <v>M-34</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row>
        <row r="41">
          <cell r="D41" t="str">
            <v>M-35</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row>
        <row r="42">
          <cell r="D42" t="str">
            <v>M-36</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row>
        <row r="43">
          <cell r="D43" t="str">
            <v>M-37</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row>
        <row r="44">
          <cell r="D44" t="str">
            <v>M-38</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row>
        <row r="45">
          <cell r="D45" t="str">
            <v>M-39</v>
          </cell>
          <cell r="F45">
            <v>0.18975</v>
          </cell>
          <cell r="G45">
            <v>0</v>
          </cell>
          <cell r="H45">
            <v>0</v>
          </cell>
          <cell r="I45">
            <v>0</v>
          </cell>
          <cell r="J45">
            <v>0</v>
          </cell>
          <cell r="K45">
            <v>0</v>
          </cell>
          <cell r="L45">
            <v>0</v>
          </cell>
          <cell r="M45">
            <v>0</v>
          </cell>
          <cell r="N45">
            <v>0</v>
          </cell>
          <cell r="O45">
            <v>0</v>
          </cell>
          <cell r="P45">
            <v>0</v>
          </cell>
          <cell r="Q45">
            <v>0</v>
          </cell>
          <cell r="R45">
            <v>0</v>
          </cell>
          <cell r="S45">
            <v>0</v>
          </cell>
          <cell r="T45">
            <v>0</v>
          </cell>
        </row>
        <row r="46">
          <cell r="D46" t="str">
            <v>M-40</v>
          </cell>
          <cell r="F46">
            <v>0.1875</v>
          </cell>
          <cell r="G46">
            <v>0</v>
          </cell>
          <cell r="H46">
            <v>0</v>
          </cell>
          <cell r="I46">
            <v>0</v>
          </cell>
          <cell r="J46">
            <v>0</v>
          </cell>
          <cell r="K46">
            <v>0</v>
          </cell>
          <cell r="L46">
            <v>0</v>
          </cell>
          <cell r="M46">
            <v>0</v>
          </cell>
          <cell r="N46">
            <v>0</v>
          </cell>
          <cell r="O46">
            <v>0</v>
          </cell>
          <cell r="P46">
            <v>0</v>
          </cell>
          <cell r="Q46">
            <v>0</v>
          </cell>
          <cell r="R46">
            <v>0</v>
          </cell>
          <cell r="S46">
            <v>0</v>
          </cell>
          <cell r="T46">
            <v>0</v>
          </cell>
        </row>
        <row r="47">
          <cell r="D47" t="str">
            <v>M-41</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row>
        <row r="48">
          <cell r="D48" t="str">
            <v>M-42</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row>
        <row r="49">
          <cell r="D49" t="str">
            <v>M-43</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row>
        <row r="50">
          <cell r="D50" t="str">
            <v>M-44</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row>
        <row r="51">
          <cell r="D51" t="str">
            <v>M-45</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row>
        <row r="53">
          <cell r="F53">
            <v>49.326667083333334</v>
          </cell>
        </row>
        <row r="54">
          <cell r="D54" t="str">
            <v>L-1</v>
          </cell>
          <cell r="F54">
            <v>12.285641666666667</v>
          </cell>
          <cell r="G54">
            <v>0</v>
          </cell>
          <cell r="H54">
            <v>0</v>
          </cell>
          <cell r="I54">
            <v>0</v>
          </cell>
          <cell r="J54">
            <v>0</v>
          </cell>
          <cell r="K54">
            <v>0</v>
          </cell>
          <cell r="L54">
            <v>0</v>
          </cell>
          <cell r="M54">
            <v>0</v>
          </cell>
          <cell r="N54">
            <v>0</v>
          </cell>
          <cell r="O54">
            <v>0</v>
          </cell>
          <cell r="P54">
            <v>0</v>
          </cell>
          <cell r="Q54">
            <v>0</v>
          </cell>
          <cell r="R54">
            <v>0</v>
          </cell>
          <cell r="S54">
            <v>0</v>
          </cell>
          <cell r="T54">
            <v>0</v>
          </cell>
        </row>
        <row r="55">
          <cell r="D55" t="str">
            <v>L-2</v>
          </cell>
          <cell r="F55">
            <v>37.041025416666663</v>
          </cell>
          <cell r="G55">
            <v>0</v>
          </cell>
          <cell r="H55">
            <v>0</v>
          </cell>
          <cell r="I55">
            <v>0</v>
          </cell>
          <cell r="J55">
            <v>0</v>
          </cell>
          <cell r="K55">
            <v>0</v>
          </cell>
          <cell r="L55">
            <v>0</v>
          </cell>
          <cell r="M55">
            <v>0</v>
          </cell>
          <cell r="N55">
            <v>0</v>
          </cell>
          <cell r="O55">
            <v>0</v>
          </cell>
          <cell r="P55">
            <v>0</v>
          </cell>
          <cell r="Q55">
            <v>0</v>
          </cell>
          <cell r="R55">
            <v>0</v>
          </cell>
          <cell r="S55">
            <v>0</v>
          </cell>
          <cell r="T55">
            <v>0</v>
          </cell>
        </row>
        <row r="57">
          <cell r="F57">
            <v>0</v>
          </cell>
        </row>
        <row r="58">
          <cell r="D58" t="str">
            <v>M-20</v>
          </cell>
        </row>
        <row r="59">
          <cell r="D59" t="str">
            <v>M-02</v>
          </cell>
        </row>
        <row r="60">
          <cell r="D60" t="str">
            <v>M-03</v>
          </cell>
        </row>
        <row r="61">
          <cell r="D61" t="str">
            <v>M-04</v>
          </cell>
        </row>
        <row r="62">
          <cell r="D62" t="str">
            <v>M-05</v>
          </cell>
        </row>
        <row r="63">
          <cell r="D63" t="str">
            <v>M-06</v>
          </cell>
        </row>
        <row r="64">
          <cell r="D64" t="str">
            <v>M-45</v>
          </cell>
        </row>
      </sheetData>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ev ADP Summary"/>
      <sheetName val="ADP Summary"/>
      <sheetName val="PPR Summary"/>
      <sheetName val="Luitel-San"/>
      <sheetName val="NMIP"/>
      <sheetName val="Maintenance"/>
      <sheetName val="Spcl Monitored"/>
      <sheetName val="Gaikhur-San"/>
      <sheetName val="OUTPUT"/>
      <sheetName val="Karapu"/>
      <sheetName val="Pratal"/>
      <sheetName val="Survey"/>
      <sheetName val="Trial"/>
      <sheetName val="Ishane"/>
      <sheetName val="Data"/>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Equipment"/>
      <sheetName val="Lab Establishment"/>
      <sheetName val="Lab Equipment"/>
      <sheetName val="Running Cost "/>
      <sheetName val="Furniture for Accomodation"/>
      <sheetName val="Furniture Office &amp; lab"/>
      <sheetName val="Vehicle_Cost"/>
      <sheetName val="Labour Rates_BB"/>
      <sheetName val="Dayworks"/>
      <sheetName val="Support staff wage"/>
      <sheetName val="Equipment Rates"/>
      <sheetName val="Material_Tax"/>
      <sheetName val="Material collection equipment"/>
      <sheetName val="Haulage dist"/>
      <sheetName val="Haulage items"/>
      <sheetName val="Transport Cost final"/>
      <sheetName val="Transport_Cost_F"/>
      <sheetName val="Qtty  for Storm Drain "/>
      <sheetName val="Rate Analysis"/>
      <sheetName val="Insurance"/>
      <sheetName val="Summary_Sheet_M"/>
      <sheetName val="PS"/>
      <sheetName val="Qtty Summary"/>
      <sheetName val="BoQ BB-01"/>
      <sheetName val="Sum-BB-01"/>
      <sheetName val="Road Qty"/>
      <sheetName val="Neighbourhood"/>
      <sheetName val="Neigh Qtty"/>
      <sheetName val="Cover Slab Qtty"/>
      <sheetName val="Inlet detail"/>
    </sheetNames>
    <sheetDataSet>
      <sheetData sheetId="0"/>
      <sheetData sheetId="1"/>
      <sheetData sheetId="2"/>
      <sheetData sheetId="3"/>
      <sheetData sheetId="4"/>
      <sheetData sheetId="5"/>
      <sheetData sheetId="6"/>
      <sheetData sheetId="7">
        <row r="9">
          <cell r="E9">
            <v>350</v>
          </cell>
        </row>
      </sheetData>
      <sheetData sheetId="8">
        <row r="9">
          <cell r="C9" t="str">
            <v xml:space="preserve">Work shall be excuted as Dayworks only under the written instructions of the Engineer. </v>
          </cell>
        </row>
        <row r="10">
          <cell r="B10">
            <v>6.01</v>
          </cell>
          <cell r="C10" t="str">
            <v xml:space="preserve">Labour </v>
          </cell>
        </row>
        <row r="11">
          <cell r="C11" t="str">
            <v xml:space="preserve">The rates inserted shall include all costs of labour such as insurance, accommodation, travelling, hand tools, supervision, overhead and profits. </v>
          </cell>
        </row>
        <row r="12">
          <cell r="B12" t="str">
            <v>6.01a</v>
          </cell>
          <cell r="C12" t="str">
            <v>Foreman / Supervisor</v>
          </cell>
          <cell r="D12" t="str">
            <v>md</v>
          </cell>
          <cell r="E12">
            <v>500</v>
          </cell>
          <cell r="F12">
            <v>75</v>
          </cell>
          <cell r="G12">
            <v>580</v>
          </cell>
        </row>
        <row r="13">
          <cell r="B13" t="str">
            <v>6.01b</v>
          </cell>
          <cell r="C13" t="str">
            <v>Skilled labour (Mason, Carpenter, mechanics etc.)</v>
          </cell>
          <cell r="D13" t="str">
            <v>md</v>
          </cell>
          <cell r="E13">
            <v>500</v>
          </cell>
          <cell r="F13">
            <v>75</v>
          </cell>
          <cell r="G13">
            <v>580</v>
          </cell>
        </row>
        <row r="14">
          <cell r="B14" t="str">
            <v>6.01c</v>
          </cell>
          <cell r="C14" t="str">
            <v>Operators</v>
          </cell>
          <cell r="D14" t="str">
            <v>md</v>
          </cell>
          <cell r="E14">
            <v>500</v>
          </cell>
          <cell r="F14">
            <v>75</v>
          </cell>
          <cell r="G14">
            <v>580</v>
          </cell>
        </row>
        <row r="15">
          <cell r="B15" t="str">
            <v>6.01d</v>
          </cell>
          <cell r="C15" t="str">
            <v>General labour (Unskilled, helpers, assistant operators etc.))</v>
          </cell>
          <cell r="D15" t="str">
            <v>md</v>
          </cell>
          <cell r="E15">
            <v>350</v>
          </cell>
          <cell r="F15">
            <v>52.5</v>
          </cell>
          <cell r="G15">
            <v>410</v>
          </cell>
        </row>
        <row r="16">
          <cell r="B16" t="str">
            <v>6.01e</v>
          </cell>
          <cell r="C16" t="str">
            <v>Administrative Personnel</v>
          </cell>
          <cell r="D16" t="str">
            <v>md</v>
          </cell>
          <cell r="E16">
            <v>365</v>
          </cell>
          <cell r="F16">
            <v>54.75</v>
          </cell>
          <cell r="G16">
            <v>420</v>
          </cell>
        </row>
        <row r="17">
          <cell r="B17">
            <v>6.02</v>
          </cell>
          <cell r="C17" t="str">
            <v>Materials</v>
          </cell>
          <cell r="G17">
            <v>0</v>
          </cell>
        </row>
        <row r="18">
          <cell r="B18" t="str">
            <v>6.02a</v>
          </cell>
          <cell r="C18" t="str">
            <v>Concrete NP3 Pipe 600mm Diameter</v>
          </cell>
          <cell r="D18" t="str">
            <v>m</v>
          </cell>
          <cell r="E18">
            <v>4280</v>
          </cell>
          <cell r="F18">
            <v>642</v>
          </cell>
          <cell r="G18">
            <v>4930</v>
          </cell>
        </row>
        <row r="19">
          <cell r="B19" t="str">
            <v>6.02b</v>
          </cell>
          <cell r="C19" t="str">
            <v>Concrete NP3 Pipe 900mm Diameter</v>
          </cell>
          <cell r="D19" t="str">
            <v>m</v>
          </cell>
          <cell r="E19">
            <v>6880</v>
          </cell>
          <cell r="F19">
            <v>1032</v>
          </cell>
          <cell r="G19">
            <v>7920</v>
          </cell>
        </row>
        <row r="20">
          <cell r="B20" t="str">
            <v>6.02c</v>
          </cell>
          <cell r="C20" t="str">
            <v>Concrete NP3 Pipe 1200mm Diameter</v>
          </cell>
          <cell r="D20" t="str">
            <v>m</v>
          </cell>
          <cell r="E20">
            <v>11880</v>
          </cell>
          <cell r="F20">
            <v>1782</v>
          </cell>
          <cell r="G20">
            <v>13670</v>
          </cell>
        </row>
        <row r="21">
          <cell r="B21" t="str">
            <v>6.02d</v>
          </cell>
          <cell r="C21" t="str">
            <v>Cement</v>
          </cell>
          <cell r="D21" t="str">
            <v>ton</v>
          </cell>
          <cell r="E21">
            <v>12800</v>
          </cell>
          <cell r="F21">
            <v>1920</v>
          </cell>
          <cell r="G21">
            <v>14720</v>
          </cell>
        </row>
        <row r="22">
          <cell r="B22" t="str">
            <v>6.02e</v>
          </cell>
          <cell r="C22" t="str">
            <v>Sand</v>
          </cell>
          <cell r="D22" t="str">
            <v>m3</v>
          </cell>
          <cell r="E22">
            <v>500</v>
          </cell>
          <cell r="F22">
            <v>75</v>
          </cell>
          <cell r="G22">
            <v>580</v>
          </cell>
        </row>
        <row r="23">
          <cell r="B23" t="str">
            <v>6.02f</v>
          </cell>
          <cell r="C23" t="str">
            <v>Aggregate</v>
          </cell>
          <cell r="D23" t="str">
            <v>m3</v>
          </cell>
          <cell r="E23">
            <v>1983.33</v>
          </cell>
          <cell r="F23">
            <v>297.49949999999995</v>
          </cell>
          <cell r="G23">
            <v>2290</v>
          </cell>
        </row>
        <row r="24">
          <cell r="B24" t="str">
            <v>6.02g</v>
          </cell>
          <cell r="C24" t="str">
            <v>Reinforceing Steel (Fe 415)</v>
          </cell>
          <cell r="D24" t="str">
            <v>ton</v>
          </cell>
          <cell r="E24">
            <v>89950</v>
          </cell>
          <cell r="F24">
            <v>13492.5</v>
          </cell>
          <cell r="G24">
            <v>103450</v>
          </cell>
        </row>
        <row r="25">
          <cell r="B25" t="str">
            <v>6.02h</v>
          </cell>
          <cell r="C25" t="str">
            <v>Formwork F2 Class</v>
          </cell>
          <cell r="D25" t="str">
            <v>m2</v>
          </cell>
          <cell r="E25">
            <v>489.54949999999997</v>
          </cell>
          <cell r="F25">
            <v>73.432424999999995</v>
          </cell>
          <cell r="G25">
            <v>570</v>
          </cell>
        </row>
        <row r="26">
          <cell r="B26" t="str">
            <v>6.02i</v>
          </cell>
          <cell r="C26" t="str">
            <v>Diesel</v>
          </cell>
          <cell r="D26" t="str">
            <v>Ltr.</v>
          </cell>
          <cell r="E26">
            <v>87</v>
          </cell>
          <cell r="F26">
            <v>13.049999999999999</v>
          </cell>
          <cell r="G26">
            <v>110</v>
          </cell>
        </row>
        <row r="27">
          <cell r="B27" t="str">
            <v>6.02j</v>
          </cell>
          <cell r="C27" t="str">
            <v>Petrol</v>
          </cell>
          <cell r="D27" t="str">
            <v>Ltr.</v>
          </cell>
          <cell r="E27">
            <v>125</v>
          </cell>
          <cell r="F27">
            <v>18.75</v>
          </cell>
          <cell r="G27">
            <v>150</v>
          </cell>
        </row>
        <row r="28">
          <cell r="B28" t="str">
            <v>6.02k</v>
          </cell>
          <cell r="C28" t="str">
            <v>Bitumen</v>
          </cell>
          <cell r="D28" t="str">
            <v>Ltr.</v>
          </cell>
          <cell r="E28">
            <v>61.38</v>
          </cell>
          <cell r="F28">
            <v>9.2070000000000007</v>
          </cell>
          <cell r="G28">
            <v>80</v>
          </cell>
        </row>
        <row r="29">
          <cell r="B29">
            <v>6.03</v>
          </cell>
          <cell r="C29" t="str">
            <v>Equipment</v>
          </cell>
        </row>
        <row r="30">
          <cell r="B30" t="str">
            <v>6.03a</v>
          </cell>
          <cell r="C30" t="str">
            <v>Tipper Truck 4-6 tonne capacity</v>
          </cell>
          <cell r="D30" t="str">
            <v>hour</v>
          </cell>
          <cell r="E30">
            <v>450</v>
          </cell>
          <cell r="F30">
            <v>67.5</v>
          </cell>
          <cell r="G30">
            <v>520</v>
          </cell>
        </row>
        <row r="31">
          <cell r="B31" t="str">
            <v>6.03b</v>
          </cell>
          <cell r="C31" t="str">
            <v>Tipper Truck 8-10 tonne capacity</v>
          </cell>
          <cell r="D31" t="str">
            <v>hour</v>
          </cell>
          <cell r="E31">
            <v>800</v>
          </cell>
          <cell r="F31">
            <v>120</v>
          </cell>
          <cell r="G31">
            <v>920</v>
          </cell>
        </row>
        <row r="32">
          <cell r="B32" t="str">
            <v>6.03c</v>
          </cell>
          <cell r="C32" t="str">
            <v>Water Tanker 4000 - 6000 lit Capacity</v>
          </cell>
          <cell r="D32" t="str">
            <v>hour</v>
          </cell>
          <cell r="E32">
            <v>550</v>
          </cell>
          <cell r="F32">
            <v>82.5</v>
          </cell>
          <cell r="G32">
            <v>640</v>
          </cell>
        </row>
        <row r="33">
          <cell r="B33" t="str">
            <v>6.03d</v>
          </cell>
          <cell r="C33" t="str">
            <v>Front End loader 1-1.5m3</v>
          </cell>
          <cell r="D33" t="str">
            <v>hour</v>
          </cell>
          <cell r="E33">
            <v>1200</v>
          </cell>
          <cell r="F33">
            <v>180</v>
          </cell>
          <cell r="G33">
            <v>1380</v>
          </cell>
        </row>
        <row r="34">
          <cell r="B34" t="str">
            <v>6.03e</v>
          </cell>
          <cell r="C34" t="str">
            <v>Excavator - 135hp</v>
          </cell>
          <cell r="D34" t="str">
            <v>hour</v>
          </cell>
          <cell r="E34">
            <v>1800</v>
          </cell>
          <cell r="F34">
            <v>270</v>
          </cell>
          <cell r="G34">
            <v>2070</v>
          </cell>
        </row>
        <row r="35">
          <cell r="B35" t="str">
            <v>6.03f</v>
          </cell>
          <cell r="C35" t="str">
            <v>Motor Grader - 135hp</v>
          </cell>
          <cell r="D35" t="str">
            <v>hour</v>
          </cell>
          <cell r="E35">
            <v>1600</v>
          </cell>
          <cell r="F35">
            <v>240</v>
          </cell>
          <cell r="G35">
            <v>1840</v>
          </cell>
        </row>
        <row r="36">
          <cell r="B36" t="str">
            <v>6.03g</v>
          </cell>
          <cell r="C36" t="str">
            <v>Vibratory Roller static weight 8-10 tonnes</v>
          </cell>
          <cell r="D36" t="str">
            <v>hour</v>
          </cell>
          <cell r="E36">
            <v>900</v>
          </cell>
          <cell r="F36">
            <v>135</v>
          </cell>
          <cell r="G36">
            <v>1040</v>
          </cell>
        </row>
        <row r="37">
          <cell r="B37" t="str">
            <v>6.03h</v>
          </cell>
          <cell r="C37" t="str">
            <v>Concrete Mixer 0.4m3</v>
          </cell>
          <cell r="D37" t="str">
            <v>hour</v>
          </cell>
          <cell r="E37">
            <v>470</v>
          </cell>
          <cell r="F37">
            <v>70.5</v>
          </cell>
          <cell r="G37">
            <v>550</v>
          </cell>
        </row>
        <row r="38">
          <cell r="B38" t="str">
            <v>6.03i</v>
          </cell>
          <cell r="C38" t="str">
            <v>Concrete needle vibrator</v>
          </cell>
          <cell r="D38" t="str">
            <v>hour</v>
          </cell>
          <cell r="E38">
            <v>100</v>
          </cell>
          <cell r="F38">
            <v>15</v>
          </cell>
          <cell r="G38">
            <v>120</v>
          </cell>
        </row>
        <row r="39">
          <cell r="B39" t="str">
            <v>6.03j</v>
          </cell>
          <cell r="C39" t="str">
            <v>Bulldozer D-6 or equivalent or larger</v>
          </cell>
          <cell r="D39" t="str">
            <v>hour</v>
          </cell>
          <cell r="E39">
            <v>3000</v>
          </cell>
          <cell r="F39">
            <v>450</v>
          </cell>
          <cell r="G39">
            <v>3450</v>
          </cell>
        </row>
        <row r="40">
          <cell r="C40" t="str">
            <v>Total of Part 6 - Carried to Summary</v>
          </cell>
        </row>
      </sheetData>
      <sheetData sheetId="9"/>
      <sheetData sheetId="10">
        <row r="10">
          <cell r="D10">
            <v>800</v>
          </cell>
        </row>
      </sheetData>
      <sheetData sheetId="11"/>
      <sheetData sheetId="12"/>
      <sheetData sheetId="13">
        <row r="9">
          <cell r="K9">
            <v>8.6</v>
          </cell>
        </row>
      </sheetData>
      <sheetData sheetId="14"/>
      <sheetData sheetId="15"/>
      <sheetData sheetId="16">
        <row r="10">
          <cell r="D10">
            <v>12</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301"/>
      <sheetName val="Ta304"/>
      <sheetName val="Ta403"/>
      <sheetName val="R-150M"/>
      <sheetName val="Summary of COst"/>
      <sheetName val="General "/>
      <sheetName val="A.detailed estimate of bhairabi"/>
      <sheetName val="A. abstract of cost"/>
      <sheetName val="B.detailed estimate of bhairab"/>
      <sheetName val="B. abstract of cost"/>
      <sheetName val="C. temple periphery"/>
      <sheetName val="C. abstract of cost"/>
      <sheetName val="D. Entrance Gate three no."/>
      <sheetName val="D. abstract of cost Entrance Ga"/>
      <sheetName val="Toilet"/>
      <sheetName val="Abstract for toilet"/>
      <sheetName val="Mandir"/>
      <sheetName val="Abstract of Mandir"/>
      <sheetName val="Rate analysis 1"/>
      <sheetName val="Rate analysis 2"/>
      <sheetName val="Dhading Rate"/>
      <sheetName val="DATA INPUT"/>
      <sheetName val="Summary of RT"/>
      <sheetName val="RT sizing"/>
      <sheetName val="SOFTWEL"/>
      <sheetName val="DATA ENTRY"/>
      <sheetName val="GroundProfile"/>
      <sheetName val="Water Demand"/>
      <sheetName val="Water Demand-1"/>
      <sheetName val="HL-Data"/>
      <sheetName val="RVT Size 1"/>
      <sheetName val="RVT Size 2"/>
      <sheetName val="RVT Size3"/>
      <sheetName val="RVT Size4"/>
      <sheetName val="RVT Size5"/>
      <sheetName val="RVT Size7"/>
      <sheetName val="RVT Size8"/>
      <sheetName val="PD-CW-Sample"/>
      <sheetName val="Pipe_estimate"/>
      <sheetName val="Sheet1"/>
      <sheetName val="Itterate"/>
      <sheetName val="Source"/>
      <sheetName val="AbneySurvey"/>
      <sheetName val="Levelsurvey"/>
      <sheetName val="cost_Summary"/>
      <sheetName val="Salient_Features"/>
      <sheetName val="Sheet4"/>
      <sheetName val="Rates"/>
      <sheetName val="Equipment Rates"/>
      <sheetName val="Labour Rates_BB"/>
      <sheetName val="Transport_Cost_F"/>
      <sheetName val="Other Data"/>
      <sheetName val="material rate"/>
      <sheetName val="Rate analysis"/>
      <sheetName val="URG CIVIL"/>
      <sheetName val="Pipe Cost"/>
      <sheetName val="P-Qnt-Ext"/>
      <sheetName val="District Rate"/>
      <sheetName val="PD_Design"/>
      <sheetName val="Measu3.2"/>
      <sheetName val="Measu9.0"/>
      <sheetName val="Criteria"/>
      <sheetName val="CheckList"/>
      <sheetName val="Dmand 4"/>
      <sheetName val="Dmand 3"/>
      <sheetName val="Dmand 2"/>
      <sheetName val="Dmand 1"/>
      <sheetName val="PD-TMPLT"/>
      <sheetName val="ProfileData"/>
      <sheetName val="PipeDesign"/>
      <sheetName val="PLOT"/>
      <sheetName val="Profile"/>
      <sheetName val="FlowDiagram"/>
      <sheetName val="PipeList"/>
      <sheetName val="PipeLineWork"/>
      <sheetName val="Features"/>
      <sheetName val="T&amp;P"/>
      <sheetName val="Summary"/>
    </sheetNames>
    <sheetDataSet>
      <sheetData sheetId="0" refreshError="1">
        <row r="7">
          <cell r="I7">
            <v>2238</v>
          </cell>
          <cell r="K7">
            <v>2926</v>
          </cell>
        </row>
      </sheetData>
      <sheetData sheetId="1" refreshError="1">
        <row r="6">
          <cell r="F6">
            <v>9943</v>
          </cell>
        </row>
      </sheetData>
      <sheetData sheetId="2" refreshError="1"/>
      <sheetData sheetId="3" refreshError="1"/>
      <sheetData sheetId="4">
        <row r="8">
          <cell r="J8">
            <v>1</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7">
          <cell r="K7" t="str">
            <v>Jumla</v>
          </cell>
        </row>
      </sheetData>
      <sheetData sheetId="19">
        <row r="7">
          <cell r="K7" t="str">
            <v>Jumla</v>
          </cell>
        </row>
      </sheetData>
      <sheetData sheetId="20">
        <row r="7">
          <cell r="K7" t="str">
            <v>Jumla</v>
          </cell>
        </row>
      </sheetData>
      <sheetData sheetId="21">
        <row r="8">
          <cell r="J8">
            <v>1</v>
          </cell>
        </row>
      </sheetData>
      <sheetData sheetId="22">
        <row r="8">
          <cell r="J8">
            <v>1</v>
          </cell>
        </row>
      </sheetData>
      <sheetData sheetId="23">
        <row r="8">
          <cell r="J8">
            <v>1</v>
          </cell>
        </row>
      </sheetData>
      <sheetData sheetId="24"/>
      <sheetData sheetId="25"/>
      <sheetData sheetId="26"/>
      <sheetData sheetId="27"/>
      <sheetData sheetId="28"/>
      <sheetData sheetId="29"/>
      <sheetData sheetId="30"/>
      <sheetData sheetId="31"/>
      <sheetData sheetId="32"/>
      <sheetData sheetId="33"/>
      <sheetData sheetId="34">
        <row r="7">
          <cell r="K7" t="str">
            <v>Jumla</v>
          </cell>
        </row>
      </sheetData>
      <sheetData sheetId="35">
        <row r="7">
          <cell r="K7" t="str">
            <v>Jumla</v>
          </cell>
        </row>
      </sheetData>
      <sheetData sheetId="36">
        <row r="7">
          <cell r="K7" t="str">
            <v>Jumla</v>
          </cell>
        </row>
      </sheetData>
      <sheetData sheetId="37">
        <row r="7">
          <cell r="K7" t="str">
            <v>Jumla</v>
          </cell>
        </row>
      </sheetData>
      <sheetData sheetId="38">
        <row r="7">
          <cell r="K7" t="str">
            <v>Jumla</v>
          </cell>
        </row>
      </sheetData>
      <sheetData sheetId="39">
        <row r="7">
          <cell r="K7" t="str">
            <v>Jumla</v>
          </cell>
        </row>
      </sheetData>
      <sheetData sheetId="40" refreshError="1"/>
      <sheetData sheetId="41"/>
      <sheetData sheetId="42"/>
      <sheetData sheetId="43"/>
      <sheetData sheetId="44"/>
      <sheetData sheetId="45">
        <row r="8">
          <cell r="J8">
            <v>1</v>
          </cell>
        </row>
      </sheetData>
      <sheetData sheetId="46"/>
      <sheetData sheetId="47">
        <row r="8">
          <cell r="J8">
            <v>1</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ow r="8">
          <cell r="J8">
            <v>1</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_Birendranagar"/>
      <sheetName val="Breakdown_Material"/>
      <sheetName val="BOQ_WUSC"/>
      <sheetName val="BOQ"/>
      <sheetName val="Sheet1"/>
      <sheetName val="TOC"/>
      <sheetName val="Cost Extract"/>
      <sheetName val="Summary of Cost"/>
      <sheetName val="F_Pipesdetails"/>
      <sheetName val="F_Pipes"/>
      <sheetName val="TRANS_dist_pipework_Contractor"/>
      <sheetName val="Earhwork_pipe_WUC"/>
      <sheetName val="F_TransPL"/>
      <sheetName val="Pipecosttrans"/>
      <sheetName val="F_Pipecostdist"/>
      <sheetName val="Pipelaycost"/>
      <sheetName val="F_SA_1APL"/>
      <sheetName val="F_SA_1BPL"/>
      <sheetName val="RVT_FENCING"/>
      <sheetName val="RVT_20"/>
      <sheetName val="RVT_50"/>
      <sheetName val="RVT_125"/>
      <sheetName val="RVT_200"/>
      <sheetName val="F_SA_2PL"/>
      <sheetName val="F_SA_3APL"/>
      <sheetName val="F_SA_3BPL"/>
      <sheetName val="F_SA_4PL"/>
      <sheetName val="F_SA_5PL"/>
      <sheetName val="F_SA_6PL"/>
      <sheetName val="F_SA_7PL"/>
      <sheetName val="F_SA_8PL"/>
      <sheetName val="F_SA_9PL"/>
      <sheetName val="F_SA_10PL"/>
      <sheetName val="F_AppTrack"/>
      <sheetName val="Major Cross"/>
      <sheetName val="SCross"/>
      <sheetName val="F_RVT_All"/>
      <sheetName val="sum_F_RVT_ALL"/>
      <sheetName val="F_Box"/>
      <sheetName val="F_Box Sum"/>
      <sheetName val="F_Guard House"/>
      <sheetName val="F_Public Toilet"/>
      <sheetName val="Misc"/>
      <sheetName val="Mitigation"/>
      <sheetName val="F_Drain"/>
      <sheetName val="F_Piperate"/>
      <sheetName val="LabMatRate"/>
      <sheetName val="RateAnalysis"/>
      <sheetName val="TruckAna"/>
      <sheetName val="F_treatment NRQ"/>
      <sheetName val="PipeCostComp"/>
      <sheetName val="SCrossData"/>
      <sheetName val="Summary of Pipe Work"/>
      <sheetName val="F_Earth Work"/>
      <sheetName val="LocalMat"/>
      <sheetName val="F_Office building"/>
      <sheetName val="SumRate"/>
      <sheetName val="F_Intake"/>
      <sheetName val="F_Grit Chamber"/>
      <sheetName val="F_Treatment"/>
      <sheetName val="Estimate"/>
      <sheetName val="Codes"/>
      <sheetName val="Summary of rate "/>
      <sheetName val="MatInput"/>
      <sheetName val="DataS"/>
      <sheetName val="DataP"/>
      <sheetName val="Co pa"/>
      <sheetName val="PLD"/>
      <sheetName val="PLD rate "/>
      <sheetName val="cost "/>
      <sheetName val="drw"/>
      <sheetName val="dis rt"/>
      <sheetName val="Rate analy"/>
      <sheetName val="SalFeat (E)"/>
      <sheetName val="Sumcost"/>
      <sheetName val=" intake  st"/>
      <sheetName val="COM-COST"/>
      <sheetName val="COM-COST (E)"/>
      <sheetName val="Spring intake "/>
      <sheetName val=" intake  maint"/>
      <sheetName val="psp  (2)"/>
      <sheetName val="Str.Intake"/>
      <sheetName val="psp "/>
      <sheetName val="BPT "/>
      <sheetName val="BPT  main"/>
      <sheetName val="DC"/>
      <sheetName val="Ma rt1"/>
      <sheetName val="Ma rt 3"/>
      <sheetName val="psp mainte"/>
      <sheetName val="DC,IC,CC,BPT"/>
      <sheetName val="FRC-1"/>
      <sheetName val="FRC-2"/>
      <sheetName val="fvt4"/>
      <sheetName val="fvt6"/>
      <sheetName val="fvt7"/>
      <sheetName val="fvt8"/>
      <sheetName val="fvt10"/>
      <sheetName val="fvt20"/>
      <sheetName val="fvt18"/>
      <sheetName val="fvt12"/>
      <sheetName val="fvt14"/>
      <sheetName val="BWF and gate intake dhara "/>
      <sheetName val="Int. Protect"/>
      <sheetName val="CR 15mm- 60m"/>
      <sheetName val="CR 32mm- 30m "/>
      <sheetName val="T-PVT"/>
      <sheetName val="S.Crossing"/>
      <sheetName val="PIPE"/>
      <sheetName val="PIPELINE"/>
      <sheetName val="PIPELAY"/>
      <sheetName val="PipeFittings"/>
      <sheetName val="ItemQty"/>
      <sheetName val="MatQty"/>
      <sheetName val="intake with cc"/>
      <sheetName val="Str. fencing"/>
      <sheetName val="fvt5"/>
      <sheetName val="BWF and gate  rvt"/>
      <sheetName val="Avc "/>
      <sheetName val="wvc "/>
      <sheetName val="wvc_G"/>
      <sheetName val="G. Cross"/>
      <sheetName val="TOOLS"/>
      <sheetName val="Trans rate"/>
      <sheetName val="MatRates"/>
      <sheetName val="FctO"/>
      <sheetName val="CC BPT DC IC"/>
      <sheetName val="VC"/>
      <sheetName val="Taps"/>
      <sheetName val="Norms"/>
      <sheetName val="Earth for exca. and Back f"/>
      <sheetName val="stone &amp; conctreting"/>
      <sheetName val="Steel,ferr,wood"/>
      <sheetName val="Pointing, punning "/>
      <sheetName val="HDPE pipe joining "/>
      <sheetName val="Gravel packing &amp; door shutter"/>
      <sheetName val="Data Input"/>
      <sheetName val="Abstract"/>
      <sheetName val="Kolenika estimate"/>
      <sheetName val="Estimate road Constn "/>
      <sheetName val="HL-Data"/>
      <sheetName val="Summary of CostHalf"/>
    </sheetNames>
    <sheetDataSet>
      <sheetData sheetId="0"/>
      <sheetData sheetId="1"/>
      <sheetData sheetId="2"/>
      <sheetData sheetId="3">
        <row r="11">
          <cell r="A11" t="str">
            <v>1.1.a</v>
          </cell>
          <cell r="B11" t="str">
            <v>1-1(a)</v>
          </cell>
          <cell r="C11" t="str">
            <v>Cutting of Trees including cutting of branches and hauling to 15 m distance (12-30 cm dia.)</v>
          </cell>
          <cell r="D11" t="str">
            <v>Cutting of Trees (12-30 cm dia.)</v>
          </cell>
          <cell r="E11" t="str">
            <v>no</v>
          </cell>
          <cell r="F11">
            <v>11.96</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BD11">
            <v>0</v>
          </cell>
        </row>
        <row r="12">
          <cell r="A12" t="str">
            <v>1.1.b</v>
          </cell>
          <cell r="B12" t="str">
            <v>1-1(b)</v>
          </cell>
          <cell r="C12" t="str">
            <v>Cutting of Trees including cutting of branches and hauling to 15 m distance (21-60 cm dia.)</v>
          </cell>
          <cell r="D12" t="str">
            <v>Cutting of Trees (21-60 cm dia.)</v>
          </cell>
          <cell r="E12" t="str">
            <v>no</v>
          </cell>
          <cell r="F12">
            <v>35.880000000000003</v>
          </cell>
          <cell r="G12">
            <v>42</v>
          </cell>
          <cell r="H12">
            <v>1506.96</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40</v>
          </cell>
          <cell r="X12">
            <v>1435.2</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2</v>
          </cell>
          <cell r="AT12">
            <v>71.760000000000005</v>
          </cell>
          <cell r="AU12">
            <v>0</v>
          </cell>
          <cell r="AV12">
            <v>0</v>
          </cell>
          <cell r="AW12">
            <v>0</v>
          </cell>
          <cell r="AX12">
            <v>0</v>
          </cell>
          <cell r="BD12">
            <v>40</v>
          </cell>
        </row>
        <row r="13">
          <cell r="A13" t="str">
            <v>1.1.c</v>
          </cell>
          <cell r="B13" t="str">
            <v>1-1(c)</v>
          </cell>
          <cell r="C13" t="str">
            <v>Cutting of Trees including cutting of branches and hauling to 15 m distance (61-90 cm dia.)</v>
          </cell>
          <cell r="D13" t="str">
            <v>Cutting of Trees (61-90 cm dia.)</v>
          </cell>
          <cell r="E13" t="str">
            <v>no</v>
          </cell>
          <cell r="F13">
            <v>90.160000000000011</v>
          </cell>
          <cell r="G13">
            <v>850</v>
          </cell>
          <cell r="H13">
            <v>76636.000000000015</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850</v>
          </cell>
          <cell r="AB13">
            <v>76636.000000000015</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BD13">
            <v>0</v>
          </cell>
        </row>
        <row r="14">
          <cell r="A14" t="str">
            <v>1.1.d</v>
          </cell>
          <cell r="B14" t="str">
            <v>1-1(d)</v>
          </cell>
          <cell r="C14" t="str">
            <v>Cutting of Trees including cutting of branches and hauling to 15 m distance (91-120 cm dia.)</v>
          </cell>
          <cell r="D14" t="str">
            <v>Cutting of Trees (91-120 cm dia.)</v>
          </cell>
          <cell r="E14" t="str">
            <v>no</v>
          </cell>
          <cell r="F14">
            <v>90.160000000000011</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BD14">
            <v>0</v>
          </cell>
        </row>
        <row r="15">
          <cell r="A15" t="str">
            <v>1.1.e</v>
          </cell>
          <cell r="B15" t="str">
            <v>1-1(e)</v>
          </cell>
          <cell r="C15" t="str">
            <v>Cutting of Trees including cutting of branches and hauling to 15 m distance (121-180 cm dia.)</v>
          </cell>
          <cell r="D15" t="str">
            <v>Cutting of Trees (121-180 cm dia.)</v>
          </cell>
          <cell r="E15" t="str">
            <v>no</v>
          </cell>
          <cell r="F15">
            <v>368</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BD15">
            <v>0</v>
          </cell>
        </row>
        <row r="16">
          <cell r="A16" t="str">
            <v>1.1.f</v>
          </cell>
          <cell r="B16" t="str">
            <v>1-1(f)</v>
          </cell>
          <cell r="C16" t="str">
            <v>Cutting of Trees including cutting of branches and hauling to 15 m distance (181-240 cm dia.)</v>
          </cell>
          <cell r="D16" t="str">
            <v>Cutting of Trees (181-240 cm dia.)</v>
          </cell>
          <cell r="E16" t="str">
            <v>no</v>
          </cell>
          <cell r="F16">
            <v>368</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BD16">
            <v>0</v>
          </cell>
        </row>
        <row r="17">
          <cell r="A17" t="str">
            <v>1.1.g</v>
          </cell>
          <cell r="B17" t="str">
            <v>1-1(g)</v>
          </cell>
          <cell r="C17" t="str">
            <v>Cutting of Trees including cutting of branches and hauling to 15 m distance (241-300 cm dia.)</v>
          </cell>
          <cell r="D17" t="str">
            <v>Cutting of Trees (241-300 cm dia.)</v>
          </cell>
          <cell r="E17" t="str">
            <v>no</v>
          </cell>
          <cell r="F17">
            <v>956.8</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BD17">
            <v>0</v>
          </cell>
        </row>
        <row r="18">
          <cell r="A18" t="str">
            <v>1.1.h</v>
          </cell>
          <cell r="B18" t="str">
            <v>1-1(h)</v>
          </cell>
          <cell r="C18" t="str">
            <v>Cutting of Trees including cutting of branches and hauling to 15 m distance (301- cm dia.)</v>
          </cell>
          <cell r="D18" t="str">
            <v>Cutting of Trees (301- cm dia.)</v>
          </cell>
          <cell r="E18" t="str">
            <v>no</v>
          </cell>
          <cell r="F18">
            <v>3833.6400000000003</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BD18">
            <v>0</v>
          </cell>
        </row>
        <row r="19">
          <cell r="A19" t="str">
            <v>1.2.a</v>
          </cell>
          <cell r="B19" t="str">
            <v>1-2(a)</v>
          </cell>
          <cell r="C19" t="str">
            <v>Removal of Tree roots and hauling to 15 m distance (12-30 cm dia.)</v>
          </cell>
          <cell r="D19" t="str">
            <v>Removal of Tree roots (12-30 cm dia.)</v>
          </cell>
          <cell r="E19" t="str">
            <v>no</v>
          </cell>
          <cell r="F19">
            <v>36.799999999999997</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BD19">
            <v>0</v>
          </cell>
        </row>
        <row r="20">
          <cell r="A20" t="str">
            <v>1.2.b</v>
          </cell>
          <cell r="B20" t="str">
            <v>1-2(b)</v>
          </cell>
          <cell r="C20" t="str">
            <v>Removal of Tree roots and hauling to 15 m distance (21-60 cm dia.)</v>
          </cell>
          <cell r="D20" t="str">
            <v>Removal of Tree roots (21-60 cm dia.)</v>
          </cell>
          <cell r="E20" t="str">
            <v>no</v>
          </cell>
          <cell r="F20">
            <v>48.760000000000005</v>
          </cell>
          <cell r="G20">
            <v>42</v>
          </cell>
          <cell r="H20">
            <v>2047.9200000000003</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40</v>
          </cell>
          <cell r="X20">
            <v>1950.4</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2</v>
          </cell>
          <cell r="AT20">
            <v>97.52000000000001</v>
          </cell>
          <cell r="AU20">
            <v>0</v>
          </cell>
          <cell r="AV20">
            <v>0</v>
          </cell>
          <cell r="AW20">
            <v>0</v>
          </cell>
          <cell r="AX20">
            <v>0</v>
          </cell>
          <cell r="BD20">
            <v>40</v>
          </cell>
        </row>
        <row r="21">
          <cell r="A21" t="str">
            <v>1.2.c</v>
          </cell>
          <cell r="B21" t="str">
            <v>1-2(c)</v>
          </cell>
          <cell r="C21" t="str">
            <v>Removal of Tree roots and hauling to 15 m distance (61-90 cm dia.)</v>
          </cell>
          <cell r="D21" t="str">
            <v>Removal of Tree roots (61-90 cm dia.)</v>
          </cell>
          <cell r="E21" t="str">
            <v>no</v>
          </cell>
          <cell r="F21">
            <v>231.84</v>
          </cell>
          <cell r="G21">
            <v>850</v>
          </cell>
          <cell r="H21">
            <v>197064</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850</v>
          </cell>
          <cell r="AB21">
            <v>197064</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BD21">
            <v>0</v>
          </cell>
        </row>
        <row r="22">
          <cell r="A22" t="str">
            <v>1.2.d</v>
          </cell>
          <cell r="B22" t="str">
            <v>1-2(d)</v>
          </cell>
          <cell r="C22" t="str">
            <v>Removal of Tree roots and hauling to 15 m distance (91-120 cm dia.)</v>
          </cell>
          <cell r="D22" t="str">
            <v>Removal of Tree roots (91-120 cm dia.)</v>
          </cell>
          <cell r="E22" t="str">
            <v>no</v>
          </cell>
          <cell r="F22">
            <v>231.84</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BD22">
            <v>0</v>
          </cell>
        </row>
        <row r="23">
          <cell r="A23" t="str">
            <v>1.2.e</v>
          </cell>
          <cell r="B23" t="str">
            <v>1-2(e)</v>
          </cell>
          <cell r="C23" t="str">
            <v>Removal of Tree roots and hauling to 15 m distance (121-180 cm dia.)</v>
          </cell>
          <cell r="D23" t="str">
            <v>Removal of Tree roots (121-180 cm dia.)</v>
          </cell>
          <cell r="E23" t="str">
            <v>no</v>
          </cell>
          <cell r="F23">
            <v>1104</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BD23">
            <v>0</v>
          </cell>
        </row>
        <row r="24">
          <cell r="A24" t="str">
            <v>1.2.f</v>
          </cell>
          <cell r="B24" t="str">
            <v>1-2(f)</v>
          </cell>
          <cell r="C24" t="str">
            <v>Removal of Tree roots and hauling to 15 m distance (181-240 cm dia.)</v>
          </cell>
          <cell r="D24" t="str">
            <v>Removal of Tree roots (181-240 cm dia.)</v>
          </cell>
          <cell r="E24" t="str">
            <v>no</v>
          </cell>
          <cell r="F24">
            <v>1104</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BD24">
            <v>0</v>
          </cell>
        </row>
        <row r="25">
          <cell r="A25" t="str">
            <v>1.2.g</v>
          </cell>
          <cell r="B25" t="str">
            <v>1-2(g)</v>
          </cell>
          <cell r="C25" t="str">
            <v>Removal of Tree roots and hauling to 15 m distance (241-300 cm dia.)</v>
          </cell>
          <cell r="D25" t="str">
            <v>Removal of Tree roots (241-300 cm dia.)</v>
          </cell>
          <cell r="E25" t="str">
            <v>no</v>
          </cell>
          <cell r="F25">
            <v>2723.2</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BD25">
            <v>0</v>
          </cell>
        </row>
        <row r="26">
          <cell r="A26" t="str">
            <v>1.3</v>
          </cell>
          <cell r="B26" t="str">
            <v>1-3</v>
          </cell>
          <cell r="C26" t="str">
            <v>Cutting thick vegetation, grubbing their roots and disposal 25m far from the construction site [Vegetation circumference &lt;=30 cm and density &gt;15nos/100 sqm)]</v>
          </cell>
          <cell r="D26" t="str">
            <v>Site Clearance in thick vegetation area</v>
          </cell>
          <cell r="E26" t="str">
            <v>sqm</v>
          </cell>
          <cell r="F26">
            <v>3.68</v>
          </cell>
          <cell r="G26">
            <v>33120.5</v>
          </cell>
          <cell r="H26">
            <v>121883.44</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32750</v>
          </cell>
          <cell r="AB26">
            <v>120520</v>
          </cell>
          <cell r="AC26">
            <v>0</v>
          </cell>
          <cell r="AD26">
            <v>0</v>
          </cell>
          <cell r="AE26">
            <v>0</v>
          </cell>
          <cell r="AF26">
            <v>0</v>
          </cell>
          <cell r="AG26">
            <v>0</v>
          </cell>
          <cell r="AH26">
            <v>0</v>
          </cell>
          <cell r="AI26">
            <v>333</v>
          </cell>
          <cell r="AJ26">
            <v>1225.44</v>
          </cell>
          <cell r="AK26">
            <v>0</v>
          </cell>
          <cell r="AL26">
            <v>0</v>
          </cell>
          <cell r="AM26">
            <v>0</v>
          </cell>
          <cell r="AN26">
            <v>0</v>
          </cell>
          <cell r="AO26">
            <v>0</v>
          </cell>
          <cell r="AP26">
            <v>0</v>
          </cell>
          <cell r="AQ26">
            <v>37.5</v>
          </cell>
          <cell r="AR26">
            <v>138</v>
          </cell>
          <cell r="AS26">
            <v>0</v>
          </cell>
          <cell r="AT26">
            <v>0</v>
          </cell>
          <cell r="AU26">
            <v>0</v>
          </cell>
          <cell r="AV26">
            <v>0</v>
          </cell>
          <cell r="AW26">
            <v>0</v>
          </cell>
          <cell r="AX26">
            <v>0</v>
          </cell>
          <cell r="BD26">
            <v>0</v>
          </cell>
        </row>
        <row r="27">
          <cell r="A27" t="str">
            <v>1.4</v>
          </cell>
          <cell r="B27" t="str">
            <v>1-4</v>
          </cell>
          <cell r="C27" t="str">
            <v>Cutting thin vegetation, grubbing their roots and disposal 25m far from the construction site [Vegetation dia &lt;=30 cm and density &gt;15nos/100 sqm)]</v>
          </cell>
          <cell r="D27" t="str">
            <v>Site Clearance in thin vegetation area</v>
          </cell>
          <cell r="E27" t="str">
            <v>sqm</v>
          </cell>
          <cell r="F27">
            <v>2.76</v>
          </cell>
          <cell r="G27">
            <v>76434.21875</v>
          </cell>
          <cell r="H27">
            <v>210958.44374999998</v>
          </cell>
          <cell r="I27">
            <v>0</v>
          </cell>
          <cell r="J27">
            <v>0</v>
          </cell>
          <cell r="K27">
            <v>450</v>
          </cell>
          <cell r="L27">
            <v>1242</v>
          </cell>
          <cell r="M27">
            <v>1250</v>
          </cell>
          <cell r="N27">
            <v>3449.9999999999995</v>
          </cell>
          <cell r="O27">
            <v>3750</v>
          </cell>
          <cell r="P27">
            <v>10350</v>
          </cell>
          <cell r="Q27">
            <v>5625</v>
          </cell>
          <cell r="R27">
            <v>15524.999999999998</v>
          </cell>
          <cell r="S27">
            <v>7500</v>
          </cell>
          <cell r="T27">
            <v>20700</v>
          </cell>
          <cell r="U27">
            <v>15000</v>
          </cell>
          <cell r="V27">
            <v>41400</v>
          </cell>
          <cell r="W27">
            <v>6750</v>
          </cell>
          <cell r="X27">
            <v>18630</v>
          </cell>
          <cell r="Y27">
            <v>93.73</v>
          </cell>
          <cell r="Z27">
            <v>258.69479999999999</v>
          </cell>
          <cell r="AA27">
            <v>0</v>
          </cell>
          <cell r="AB27">
            <v>0</v>
          </cell>
          <cell r="AC27">
            <v>454</v>
          </cell>
          <cell r="AD27">
            <v>1253.04</v>
          </cell>
          <cell r="AE27">
            <v>24.780000000000005</v>
          </cell>
          <cell r="AF27">
            <v>68.392800000000008</v>
          </cell>
          <cell r="AG27">
            <v>35.52000000000001</v>
          </cell>
          <cell r="AH27">
            <v>98.035200000000017</v>
          </cell>
          <cell r="AI27">
            <v>29725</v>
          </cell>
          <cell r="AJ27">
            <v>82041</v>
          </cell>
          <cell r="AK27">
            <v>176.34000000000003</v>
          </cell>
          <cell r="AL27">
            <v>486.69840000000005</v>
          </cell>
          <cell r="AM27">
            <v>0</v>
          </cell>
          <cell r="AN27">
            <v>0</v>
          </cell>
          <cell r="AO27">
            <v>0</v>
          </cell>
          <cell r="AP27">
            <v>0</v>
          </cell>
          <cell r="AQ27">
            <v>0</v>
          </cell>
          <cell r="AR27">
            <v>0</v>
          </cell>
          <cell r="AS27">
            <v>4327.9350000000004</v>
          </cell>
          <cell r="AT27">
            <v>11945.1006</v>
          </cell>
          <cell r="AU27">
            <v>4960.5</v>
          </cell>
          <cell r="AV27">
            <v>13690.98</v>
          </cell>
          <cell r="AW27">
            <v>61.413749999999993</v>
          </cell>
          <cell r="AX27">
            <v>169.50194999999997</v>
          </cell>
          <cell r="BD27">
            <v>34875</v>
          </cell>
        </row>
        <row r="28">
          <cell r="A28" t="str">
            <v>1.8</v>
          </cell>
          <cell r="B28" t="str">
            <v>1-8</v>
          </cell>
          <cell r="C28" t="str">
            <v>Excavation and removal of top soil (20 cm thick) and hualing outside the construction area</v>
          </cell>
          <cell r="D28" t="str">
            <v>Top soil removal (20 cm thick)</v>
          </cell>
          <cell r="E28" t="str">
            <v>cum</v>
          </cell>
          <cell r="F28">
            <v>88.320000000000007</v>
          </cell>
          <cell r="G28">
            <v>5011.8111111110338</v>
          </cell>
          <cell r="H28">
            <v>442643.15733332653</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1247.4000000000001</v>
          </cell>
          <cell r="AD28">
            <v>110170.36800000002</v>
          </cell>
          <cell r="AE28">
            <v>0</v>
          </cell>
          <cell r="AF28">
            <v>0</v>
          </cell>
          <cell r="AG28">
            <v>0</v>
          </cell>
          <cell r="AH28">
            <v>0</v>
          </cell>
          <cell r="AI28">
            <v>0</v>
          </cell>
          <cell r="AJ28">
            <v>0</v>
          </cell>
          <cell r="AK28">
            <v>0</v>
          </cell>
          <cell r="AL28">
            <v>0</v>
          </cell>
          <cell r="AM28">
            <v>0</v>
          </cell>
          <cell r="AN28">
            <v>0</v>
          </cell>
          <cell r="AO28">
            <v>1023.9699999999697</v>
          </cell>
          <cell r="AP28">
            <v>90437.030399997326</v>
          </cell>
          <cell r="AQ28">
            <v>2740.4411111110635</v>
          </cell>
          <cell r="AR28">
            <v>242035.75893332914</v>
          </cell>
          <cell r="AS28">
            <v>0</v>
          </cell>
          <cell r="AT28">
            <v>0</v>
          </cell>
          <cell r="AU28">
            <v>0</v>
          </cell>
          <cell r="AV28">
            <v>0</v>
          </cell>
          <cell r="AW28">
            <v>0</v>
          </cell>
          <cell r="AX28">
            <v>0</v>
          </cell>
          <cell r="BD28">
            <v>0</v>
          </cell>
        </row>
        <row r="29">
          <cell r="A29" t="str">
            <v>1.9</v>
          </cell>
          <cell r="B29" t="str">
            <v>1-9+1-10</v>
          </cell>
          <cell r="C29" t="str">
            <v>Spreading dressing and  light compaction of top soil, including hauling from outside the construction area</v>
          </cell>
          <cell r="D29" t="str">
            <v>Top soil spreading (20 cm thick)</v>
          </cell>
          <cell r="E29" t="str">
            <v>sqm</v>
          </cell>
          <cell r="F29">
            <v>64.400000000000006</v>
          </cell>
          <cell r="G29">
            <v>5011.8111111110338</v>
          </cell>
          <cell r="H29">
            <v>322760.63555555063</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1247.4000000000001</v>
          </cell>
          <cell r="AD29">
            <v>80332.560000000012</v>
          </cell>
          <cell r="AE29">
            <v>0</v>
          </cell>
          <cell r="AF29">
            <v>0</v>
          </cell>
          <cell r="AG29">
            <v>0</v>
          </cell>
          <cell r="AH29">
            <v>0</v>
          </cell>
          <cell r="AI29">
            <v>0</v>
          </cell>
          <cell r="AJ29">
            <v>0</v>
          </cell>
          <cell r="AK29">
            <v>0</v>
          </cell>
          <cell r="AL29">
            <v>0</v>
          </cell>
          <cell r="AM29">
            <v>0</v>
          </cell>
          <cell r="AN29">
            <v>0</v>
          </cell>
          <cell r="AO29">
            <v>1023.9699999999697</v>
          </cell>
          <cell r="AP29">
            <v>65943.667999998055</v>
          </cell>
          <cell r="AQ29">
            <v>2740.4411111110635</v>
          </cell>
          <cell r="AR29">
            <v>176484.40755555249</v>
          </cell>
          <cell r="AS29">
            <v>0</v>
          </cell>
          <cell r="AT29">
            <v>0</v>
          </cell>
          <cell r="AU29">
            <v>0</v>
          </cell>
          <cell r="AV29">
            <v>0</v>
          </cell>
          <cell r="AW29">
            <v>0</v>
          </cell>
          <cell r="AX29">
            <v>0</v>
          </cell>
          <cell r="BD29">
            <v>0</v>
          </cell>
        </row>
        <row r="30">
          <cell r="C30" t="str">
            <v>EARTH WORK IN EXCAVATION AND FILLING</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BD30">
            <v>0</v>
          </cell>
        </row>
        <row r="31">
          <cell r="A31">
            <v>2.1</v>
          </cell>
          <cell r="B31" t="str">
            <v>2-1</v>
          </cell>
          <cell r="C31" t="str">
            <v xml:space="preserve">Earthwork in excavation [Soft clay &amp; silty soils] including disposal up to 10 m lead and 1.5 m lift </v>
          </cell>
          <cell r="D31" t="str">
            <v>E/W excavation in soft clay and silty soil</v>
          </cell>
          <cell r="E31" t="str">
            <v>cum</v>
          </cell>
          <cell r="F31">
            <v>66.331999999999994</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BD31">
            <v>0</v>
          </cell>
        </row>
        <row r="32">
          <cell r="A32">
            <v>2.2000000000000002</v>
          </cell>
          <cell r="B32" t="str">
            <v>2-2</v>
          </cell>
          <cell r="C32" t="str">
            <v xml:space="preserve">Earthwork in excavation [Hard clay &amp; soil mixed with soft moorum stones (up to 30 cm size)] including disposal up to 10 m lead and 1.5 m lift </v>
          </cell>
          <cell r="D32" t="str">
            <v>E/W excavation in hard clay</v>
          </cell>
          <cell r="E32" t="str">
            <v>cum</v>
          </cell>
          <cell r="F32">
            <v>75.808000000000007</v>
          </cell>
          <cell r="G32">
            <v>27086.053333333293</v>
          </cell>
          <cell r="H32">
            <v>2053339.5310933306</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25201</v>
          </cell>
          <cell r="AB32">
            <v>1910437.4080000003</v>
          </cell>
          <cell r="AC32">
            <v>0</v>
          </cell>
          <cell r="AD32">
            <v>0</v>
          </cell>
          <cell r="AE32">
            <v>0</v>
          </cell>
          <cell r="AF32">
            <v>0</v>
          </cell>
          <cell r="AG32">
            <v>0</v>
          </cell>
          <cell r="AH32">
            <v>0</v>
          </cell>
          <cell r="AI32">
            <v>0</v>
          </cell>
          <cell r="AJ32">
            <v>0</v>
          </cell>
          <cell r="AK32">
            <v>0</v>
          </cell>
          <cell r="AL32">
            <v>0</v>
          </cell>
          <cell r="AM32">
            <v>0</v>
          </cell>
          <cell r="AN32">
            <v>0</v>
          </cell>
          <cell r="AO32">
            <v>603.74999999998522</v>
          </cell>
          <cell r="AP32">
            <v>45769.079999998881</v>
          </cell>
          <cell r="AQ32">
            <v>1281.3033333333065</v>
          </cell>
          <cell r="AR32">
            <v>97133.043093331304</v>
          </cell>
          <cell r="AS32">
            <v>0</v>
          </cell>
          <cell r="AT32">
            <v>0</v>
          </cell>
          <cell r="AU32">
            <v>0</v>
          </cell>
          <cell r="AV32">
            <v>0</v>
          </cell>
          <cell r="AW32">
            <v>0</v>
          </cell>
          <cell r="AX32">
            <v>0</v>
          </cell>
          <cell r="BD32">
            <v>0</v>
          </cell>
        </row>
        <row r="33">
          <cell r="A33">
            <v>2.2999999999999998</v>
          </cell>
          <cell r="B33" t="str">
            <v>2-3</v>
          </cell>
          <cell r="C33" t="str">
            <v>Removal of stones and disposal ( up to 10 m lead &amp; 1 m lift )</v>
          </cell>
          <cell r="D33" t="str">
            <v>Removal of stone</v>
          </cell>
          <cell r="E33" t="str">
            <v>cum</v>
          </cell>
          <cell r="F33">
            <v>94.76</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BD33">
            <v>0</v>
          </cell>
        </row>
        <row r="34">
          <cell r="A34">
            <v>2.4</v>
          </cell>
          <cell r="B34" t="str">
            <v>2-4</v>
          </cell>
          <cell r="C34" t="str">
            <v xml:space="preserve">Earthwork in excavation [Medium rocks without blasting] including disposal up to 10 m lead and 1.5 m lift </v>
          </cell>
          <cell r="D34" t="str">
            <v>E/W excavation in med. Rock w/o blasting</v>
          </cell>
          <cell r="E34" t="str">
            <v>cum</v>
          </cell>
          <cell r="F34">
            <v>284.27999999999997</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BD34">
            <v>0</v>
          </cell>
        </row>
        <row r="35">
          <cell r="A35">
            <v>2.5</v>
          </cell>
          <cell r="B35" t="str">
            <v>2-5</v>
          </cell>
          <cell r="C35" t="str">
            <v xml:space="preserve">Earthwork in excavation [Medium rocks with drilling and blasting] including disposal up to 10 m lead and 1.5 m lift </v>
          </cell>
          <cell r="D35" t="str">
            <v>E/W excavation in med. Rock with blasting</v>
          </cell>
          <cell r="E35" t="str">
            <v>cum</v>
          </cell>
          <cell r="F35">
            <v>277.26499999999999</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BD35">
            <v>0</v>
          </cell>
        </row>
        <row r="36">
          <cell r="A36" t="str">
            <v>2.6.a</v>
          </cell>
          <cell r="B36" t="str">
            <v>2-6(a)</v>
          </cell>
          <cell r="C36" t="str">
            <v>Earthwork in excavation [Hard rocks without blasting] including disposal up to 10 m lead and 1.5 m lift (without chiseling)</v>
          </cell>
          <cell r="D36" t="str">
            <v>E/W excavation in hard Rock w/o blasting and w/o chiseling</v>
          </cell>
          <cell r="E36" t="str">
            <v>cum</v>
          </cell>
          <cell r="F36">
            <v>473.8</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BD36">
            <v>0</v>
          </cell>
        </row>
        <row r="37">
          <cell r="A37" t="str">
            <v>2.6.b</v>
          </cell>
          <cell r="B37" t="str">
            <v>2-6(b)</v>
          </cell>
          <cell r="C37" t="str">
            <v>Earthwork in excavation [Hard rocks without blasting] including disposal up to 10 m lead and 1.5 m lift (with chiseling)</v>
          </cell>
          <cell r="D37" t="str">
            <v>E/W excavation in hard Rock w/o blasting and with chiseling</v>
          </cell>
          <cell r="E37" t="str">
            <v>cum</v>
          </cell>
          <cell r="F37">
            <v>2293.192</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BD37">
            <v>0</v>
          </cell>
        </row>
        <row r="38">
          <cell r="A38">
            <v>2.7</v>
          </cell>
          <cell r="B38" t="str">
            <v>2-7</v>
          </cell>
          <cell r="C38" t="str">
            <v>Earthwork in excavation [Hard rocks with drilling and blasting] including disposal up to 10 m lead and 1.5 m lift</v>
          </cell>
          <cell r="D38" t="str">
            <v>E/W excavation in hard Rock with blasting</v>
          </cell>
          <cell r="E38" t="str">
            <v>cum</v>
          </cell>
          <cell r="F38">
            <v>163.33449999999999</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BD38">
            <v>0</v>
          </cell>
        </row>
        <row r="39">
          <cell r="A39">
            <v>2.8</v>
          </cell>
          <cell r="B39" t="str">
            <v>2-8</v>
          </cell>
          <cell r="C39" t="str">
            <v>Breaking of boulders by drilling &amp; blasting, disposal up to 10m lead &amp; 1.5m lift )</v>
          </cell>
          <cell r="D39" t="str">
            <v>Breaking boulder by drilling and blasting</v>
          </cell>
          <cell r="E39" t="str">
            <v>cum</v>
          </cell>
          <cell r="F39">
            <v>350.30150000000003</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BD39">
            <v>0</v>
          </cell>
        </row>
        <row r="40">
          <cell r="A40">
            <v>2.9</v>
          </cell>
          <cell r="B40" t="str">
            <v>2-9</v>
          </cell>
          <cell r="C40" t="str">
            <v>Excavation for pit on soft soils, disposal ( up to 10m lead &amp; 1.5m lift )</v>
          </cell>
          <cell r="D40" t="str">
            <v>E/W Excavation of soft soil</v>
          </cell>
          <cell r="E40" t="str">
            <v>cum</v>
          </cell>
          <cell r="F40">
            <v>94.76</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BD40">
            <v>0</v>
          </cell>
        </row>
        <row r="41">
          <cell r="A41" t="str">
            <v>2.10</v>
          </cell>
          <cell r="B41" t="str">
            <v>2-10</v>
          </cell>
          <cell r="C41" t="str">
            <v>Excavation for pit in fractured and soft rocks, disposal ( up to 10m lead and 1.5m lift )</v>
          </cell>
          <cell r="D41" t="str">
            <v>E/W Excavation of fractured and soft rock</v>
          </cell>
          <cell r="E41" t="str">
            <v>sqm</v>
          </cell>
          <cell r="F41">
            <v>236.9</v>
          </cell>
          <cell r="G41">
            <v>9015</v>
          </cell>
          <cell r="H41">
            <v>2135653.5</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9015</v>
          </cell>
          <cell r="AB41">
            <v>2135653.5</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BD41">
            <v>0</v>
          </cell>
        </row>
        <row r="42">
          <cell r="A42" t="str">
            <v>2.11</v>
          </cell>
          <cell r="B42" t="str">
            <v>2-11</v>
          </cell>
          <cell r="C42" t="str">
            <v>Excavation for pit in medium rocks using blasting, disposal ( up to 10m lead and 1.5m lift )</v>
          </cell>
          <cell r="D42" t="str">
            <v>E/W Excavation of med. Rock with blasting</v>
          </cell>
          <cell r="E42" t="str">
            <v>cum</v>
          </cell>
          <cell r="F42">
            <v>329.38299999999992</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BD42">
            <v>0</v>
          </cell>
        </row>
        <row r="43">
          <cell r="A43">
            <v>2.12</v>
          </cell>
          <cell r="B43" t="str">
            <v>2-12</v>
          </cell>
          <cell r="C43" t="str">
            <v>Excavation for ditch in hard soil with disposal (up to 10m lead and 1.5 m lift)</v>
          </cell>
          <cell r="D43" t="str">
            <v>E/W Excavation for ditch in hard soil</v>
          </cell>
          <cell r="E43" t="str">
            <v>cum</v>
          </cell>
          <cell r="F43">
            <v>118.45</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BD43">
            <v>0</v>
          </cell>
        </row>
        <row r="44">
          <cell r="A44">
            <v>2.13</v>
          </cell>
          <cell r="B44" t="str">
            <v>2-13</v>
          </cell>
          <cell r="C44" t="str">
            <v xml:space="preserve">Excavation for trench in hard rocks with drilling &amp; blasting with disposal (up to 10m lead and 1.5 m lift) </v>
          </cell>
          <cell r="D44" t="str">
            <v>E/W Excavation for ditch in hard rock with blasting</v>
          </cell>
          <cell r="E44" t="str">
            <v>cum</v>
          </cell>
          <cell r="F44">
            <v>468.22249999999997</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BD44">
            <v>0</v>
          </cell>
        </row>
        <row r="45">
          <cell r="A45">
            <v>2.14</v>
          </cell>
          <cell r="B45" t="str">
            <v>2-14</v>
          </cell>
          <cell r="C45" t="str">
            <v>Excavation for foundation, drain, pipelines etc. in boulder mixed soils with disposal (up to 10m lead and 1.5 m lift)</v>
          </cell>
          <cell r="D45" t="str">
            <v>E/W Excavation for foundation, drain, pipelines etc. in BM Soil</v>
          </cell>
          <cell r="E45" t="str">
            <v>cum</v>
          </cell>
          <cell r="F45">
            <v>150.66839999999999</v>
          </cell>
          <cell r="G45">
            <v>28046.994671997581</v>
          </cell>
          <cell r="H45">
            <v>4225795.8120384002</v>
          </cell>
          <cell r="I45">
            <v>0</v>
          </cell>
          <cell r="J45">
            <v>0</v>
          </cell>
          <cell r="K45">
            <v>143.86500000000001</v>
          </cell>
          <cell r="L45">
            <v>21675.909366</v>
          </cell>
          <cell r="M45">
            <v>90.702224999999999</v>
          </cell>
          <cell r="N45">
            <v>13665.959117189999</v>
          </cell>
          <cell r="O45">
            <v>682.5</v>
          </cell>
          <cell r="P45">
            <v>102831.18299999999</v>
          </cell>
          <cell r="Q45">
            <v>207.0455</v>
          </cell>
          <cell r="R45">
            <v>31195.2142122</v>
          </cell>
          <cell r="S45">
            <v>47.570250000000001</v>
          </cell>
          <cell r="T45">
            <v>7167.3334550999998</v>
          </cell>
          <cell r="U45">
            <v>1134.7049999999999</v>
          </cell>
          <cell r="V45">
            <v>170964.18682199999</v>
          </cell>
          <cell r="W45">
            <v>471.36078682760183</v>
          </cell>
          <cell r="X45">
            <v>71019.175574055844</v>
          </cell>
          <cell r="Y45">
            <v>47.984999999999999</v>
          </cell>
          <cell r="Z45">
            <v>7229.8231739999992</v>
          </cell>
          <cell r="AA45">
            <v>0</v>
          </cell>
          <cell r="AB45">
            <v>0</v>
          </cell>
          <cell r="AC45">
            <v>4113.1211111111106</v>
          </cell>
          <cell r="AD45">
            <v>619717.37681733328</v>
          </cell>
          <cell r="AE45">
            <v>104.40499999999999</v>
          </cell>
          <cell r="AF45">
            <v>15730.534301999996</v>
          </cell>
          <cell r="AG45">
            <v>158.17499999999998</v>
          </cell>
          <cell r="AH45">
            <v>23831.974169999998</v>
          </cell>
          <cell r="AI45">
            <v>2975.3139999999999</v>
          </cell>
          <cell r="AJ45">
            <v>448285.79987759993</v>
          </cell>
          <cell r="AK45">
            <v>796.77349999999979</v>
          </cell>
          <cell r="AL45">
            <v>120048.58840739996</v>
          </cell>
          <cell r="AM45">
            <v>0</v>
          </cell>
          <cell r="AN45">
            <v>0</v>
          </cell>
          <cell r="AO45">
            <v>2980.8649999999188</v>
          </cell>
          <cell r="AP45">
            <v>449122.16016598773</v>
          </cell>
          <cell r="AQ45">
            <v>8332.62655555538</v>
          </cell>
          <cell r="AR45">
            <v>1255463.5109230401</v>
          </cell>
          <cell r="AS45">
            <v>1740.7142785036197</v>
          </cell>
          <cell r="AT45">
            <v>262270.63519929477</v>
          </cell>
          <cell r="AU45">
            <v>4559.5689999999477</v>
          </cell>
          <cell r="AV45">
            <v>686982.96591959207</v>
          </cell>
          <cell r="AW45">
            <v>142.19746499999999</v>
          </cell>
          <cell r="AX45">
            <v>21424.664535605996</v>
          </cell>
          <cell r="BD45">
            <v>1860.6815368276016</v>
          </cell>
        </row>
        <row r="46">
          <cell r="A46" t="str">
            <v>2.15.a</v>
          </cell>
          <cell r="B46" t="str">
            <v>2-15(a)</v>
          </cell>
          <cell r="C46" t="str">
            <v xml:space="preserve">Excavation for foundation, drain, pipelines etc. in soft moorum rocks with disposal (up to 10m lead and 1.5 m lift) </v>
          </cell>
          <cell r="D46" t="str">
            <v>E/W Excavation for foundation, drain, pipelines etc. in soft rock</v>
          </cell>
          <cell r="E46" t="str">
            <v>cum</v>
          </cell>
          <cell r="F46">
            <v>284.27999999999997</v>
          </cell>
          <cell r="G46">
            <v>1316.7</v>
          </cell>
          <cell r="H46">
            <v>374311.47599999997</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1316.7</v>
          </cell>
          <cell r="AD46">
            <v>374311.47599999997</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BD46">
            <v>0</v>
          </cell>
        </row>
        <row r="47">
          <cell r="A47" t="str">
            <v>2.15.b</v>
          </cell>
          <cell r="B47" t="str">
            <v>2-15(b)</v>
          </cell>
          <cell r="C47" t="str">
            <v xml:space="preserve">Excavation for foundation, drain, pipelines etc. in hard rock without blasting with disposal (up to 10m lead and 1.5 m lift) </v>
          </cell>
          <cell r="D47" t="str">
            <v>E/W Excavation for foundation, drain, pipelines etc. in hard rock w/o blasting</v>
          </cell>
          <cell r="E47" t="str">
            <v>cum</v>
          </cell>
          <cell r="F47">
            <v>426.42</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BD47">
            <v>0</v>
          </cell>
        </row>
        <row r="48">
          <cell r="A48" t="str">
            <v>2.17.a</v>
          </cell>
          <cell r="B48" t="str">
            <v>2-17(a)</v>
          </cell>
          <cell r="C48" t="str">
            <v xml:space="preserve">Excavation for box cutting in soft soil including disposal up to 10m lead &amp; 1.5m lift. </v>
          </cell>
          <cell r="D48" t="str">
            <v>E/W Excavation for box cutting in soft soil</v>
          </cell>
          <cell r="E48" t="str">
            <v>cum</v>
          </cell>
          <cell r="F48">
            <v>426.42</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BD48">
            <v>0</v>
          </cell>
        </row>
        <row r="49">
          <cell r="A49" t="str">
            <v>2.17.b</v>
          </cell>
          <cell r="B49" t="str">
            <v>2-17(b)</v>
          </cell>
          <cell r="C49" t="str">
            <v xml:space="preserve">Excavation for box cutting in hard soil including disposal up to 10m lead &amp; 1.5m lift. </v>
          </cell>
          <cell r="D49" t="str">
            <v>E/W Excavation for box cutting in hard soil</v>
          </cell>
          <cell r="E49" t="str">
            <v>cum</v>
          </cell>
          <cell r="F49">
            <v>426.42</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BD49">
            <v>0</v>
          </cell>
        </row>
        <row r="50">
          <cell r="A50" t="str">
            <v>2.18</v>
          </cell>
          <cell r="B50" t="str">
            <v>2-18</v>
          </cell>
          <cell r="C50" t="str">
            <v>Dry foundation box cutting in soft moorum rocks, disposal ( up to 10m lead and 1.5m lift)</v>
          </cell>
          <cell r="D50" t="str">
            <v>E/W Excavation for box cutting in soft rock</v>
          </cell>
          <cell r="E50" t="str">
            <v>cum</v>
          </cell>
          <cell r="F50" t="str">
            <v>=VLOOKUP($A50,RateAnalysis,14,0)</v>
          </cell>
          <cell r="G50">
            <v>0</v>
          </cell>
          <cell r="H50" t="e">
            <v>#VALUE!</v>
          </cell>
          <cell r="I50">
            <v>0</v>
          </cell>
          <cell r="J50" t="e">
            <v>#VALUE!</v>
          </cell>
          <cell r="K50">
            <v>0</v>
          </cell>
          <cell r="L50" t="e">
            <v>#VALUE!</v>
          </cell>
          <cell r="M50">
            <v>0</v>
          </cell>
          <cell r="N50" t="e">
            <v>#VALUE!</v>
          </cell>
          <cell r="O50">
            <v>0</v>
          </cell>
          <cell r="P50" t="e">
            <v>#VALUE!</v>
          </cell>
          <cell r="Q50">
            <v>0</v>
          </cell>
          <cell r="R50" t="e">
            <v>#VALUE!</v>
          </cell>
          <cell r="S50">
            <v>0</v>
          </cell>
          <cell r="T50" t="e">
            <v>#VALUE!</v>
          </cell>
          <cell r="U50">
            <v>0</v>
          </cell>
          <cell r="V50" t="e">
            <v>#VALUE!</v>
          </cell>
          <cell r="W50">
            <v>0</v>
          </cell>
          <cell r="X50" t="e">
            <v>#VALUE!</v>
          </cell>
          <cell r="Y50">
            <v>0</v>
          </cell>
          <cell r="Z50" t="e">
            <v>#VALUE!</v>
          </cell>
          <cell r="AA50">
            <v>0</v>
          </cell>
          <cell r="AB50" t="e">
            <v>#VALUE!</v>
          </cell>
          <cell r="AC50">
            <v>0</v>
          </cell>
          <cell r="AD50" t="e">
            <v>#VALUE!</v>
          </cell>
          <cell r="AE50">
            <v>0</v>
          </cell>
          <cell r="AF50" t="e">
            <v>#VALUE!</v>
          </cell>
          <cell r="AG50">
            <v>0</v>
          </cell>
          <cell r="AH50" t="e">
            <v>#VALUE!</v>
          </cell>
          <cell r="AI50">
            <v>0</v>
          </cell>
          <cell r="AJ50" t="e">
            <v>#VALUE!</v>
          </cell>
          <cell r="AK50">
            <v>0</v>
          </cell>
          <cell r="AL50" t="e">
            <v>#VALUE!</v>
          </cell>
          <cell r="AM50">
            <v>0</v>
          </cell>
          <cell r="AN50" t="e">
            <v>#VALUE!</v>
          </cell>
          <cell r="AO50">
            <v>0</v>
          </cell>
          <cell r="AP50" t="e">
            <v>#VALUE!</v>
          </cell>
          <cell r="AQ50">
            <v>0</v>
          </cell>
          <cell r="AR50" t="e">
            <v>#VALUE!</v>
          </cell>
          <cell r="AS50">
            <v>0</v>
          </cell>
          <cell r="AT50" t="e">
            <v>#VALUE!</v>
          </cell>
          <cell r="AU50">
            <v>0</v>
          </cell>
          <cell r="AV50" t="e">
            <v>#VALUE!</v>
          </cell>
          <cell r="AW50">
            <v>0</v>
          </cell>
          <cell r="AX50" t="e">
            <v>#VALUE!</v>
          </cell>
          <cell r="BD50">
            <v>0</v>
          </cell>
        </row>
        <row r="51">
          <cell r="A51" t="str">
            <v>2.19</v>
          </cell>
          <cell r="B51" t="str">
            <v>2-19</v>
          </cell>
          <cell r="C51" t="str">
            <v>Box cutting in medium rocks including disposal up to 10m lead and 1.5m lift</v>
          </cell>
          <cell r="D51" t="str">
            <v>E/W Excavation for box cutting in med. rock</v>
          </cell>
          <cell r="E51" t="str">
            <v>cum</v>
          </cell>
          <cell r="F51">
            <v>236.9</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BD51">
            <v>0</v>
          </cell>
        </row>
        <row r="52">
          <cell r="A52" t="str">
            <v>2.20</v>
          </cell>
          <cell r="B52" t="str">
            <v>2-20</v>
          </cell>
          <cell r="C52" t="str">
            <v>Dry foundation excavation in hard gravel mixed soils ( dia of  gravel  &gt; 10cm ) with disposal up to 10m lead and 1.5m lift</v>
          </cell>
          <cell r="D52" t="str">
            <v>Foundation excavation for foundation in hard gravel (&gt;10cm) mixed soil</v>
          </cell>
          <cell r="E52" t="str">
            <v>cum</v>
          </cell>
          <cell r="F52">
            <v>160.14439999999999</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BD52">
            <v>0</v>
          </cell>
        </row>
        <row r="53">
          <cell r="A53" t="str">
            <v>2.21</v>
          </cell>
          <cell r="B53" t="str">
            <v>2-21</v>
          </cell>
          <cell r="C53" t="str">
            <v>Dry foundation excavation in hard gravel mixed soils ( dia of  gravel  &lt; 10cm ) with disposal up to 10m lead and 1.5m lift</v>
          </cell>
          <cell r="D53" t="str">
            <v>Foundation excavation for foundation in hard gravel (&lt;10cm) mixed soil</v>
          </cell>
          <cell r="E53" t="str">
            <v>cum</v>
          </cell>
          <cell r="F53">
            <v>128.87360000000001</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BD53">
            <v>0</v>
          </cell>
        </row>
        <row r="54">
          <cell r="A54" t="str">
            <v>2.22</v>
          </cell>
          <cell r="B54" t="str">
            <v>2-22</v>
          </cell>
          <cell r="C54" t="str">
            <v>Foundation excavation under shallow water depth in hard gravel mixed soil ( dia of gravel &gt;10cm ) with disposal up to 10m lead and 1.5m lift</v>
          </cell>
          <cell r="D54" t="str">
            <v>Foundation excavation under shallow water for foundation in hard gravel (&gt;10cm) mixed soil</v>
          </cell>
          <cell r="E54" t="str">
            <v>cum</v>
          </cell>
          <cell r="F54">
            <v>236.9</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BD54">
            <v>0</v>
          </cell>
        </row>
        <row r="55">
          <cell r="A55" t="str">
            <v>2.23</v>
          </cell>
          <cell r="B55" t="str">
            <v>2-23</v>
          </cell>
          <cell r="C55" t="str">
            <v>Foundation excavation under shallow water depth in hard gravel mixed soil ( dia of gravel &lt;10cm ) with disposal up to 10m lead and 1.5m lift</v>
          </cell>
          <cell r="D55" t="str">
            <v>Foundation excavation under shallow water for foundation in hard gravel (&lt;10cm) mixed soil</v>
          </cell>
          <cell r="E55" t="str">
            <v>cum</v>
          </cell>
          <cell r="F55">
            <v>217.94800000000001</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BD55">
            <v>0</v>
          </cell>
        </row>
        <row r="56">
          <cell r="A56" t="str">
            <v>2.24(a)</v>
          </cell>
          <cell r="B56" t="str">
            <v>2-24(a)</v>
          </cell>
          <cell r="C56" t="str">
            <v>Foundation excavation under water in boulder and gravel mixed soil including disposal up to 10m lead (1m deep excavation &amp; 4m lift)</v>
          </cell>
          <cell r="D56" t="str">
            <v>Foundation excavation under 1m deep water for foundation in GBM Soil</v>
          </cell>
          <cell r="E56" t="str">
            <v>cum</v>
          </cell>
          <cell r="F56">
            <v>332.60759999999993</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BD56">
            <v>0</v>
          </cell>
        </row>
        <row r="57">
          <cell r="A57" t="str">
            <v>2.24(a)</v>
          </cell>
          <cell r="B57" t="str">
            <v>2-24(b)</v>
          </cell>
          <cell r="C57" t="str">
            <v>Foundation excavation under water in boulder and gravel mixed soil including disposal up to 10m lead (2m deep excavation &amp; 4m lift)</v>
          </cell>
          <cell r="D57" t="str">
            <v>Foundation excavation under 2m deep water for foundation in GBM Soil</v>
          </cell>
          <cell r="E57" t="str">
            <v>cum</v>
          </cell>
          <cell r="F57">
            <v>332.60759999999993</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BD57">
            <v>0</v>
          </cell>
        </row>
        <row r="58">
          <cell r="A58" t="str">
            <v>2.24(c)</v>
          </cell>
          <cell r="B58" t="str">
            <v>2-24(c)</v>
          </cell>
          <cell r="C58" t="str">
            <v>Foundation excavation under water in boulder and gravel mixed soil including disposal up to 10m lead (3m deep excavation &amp; 4m lift)</v>
          </cell>
          <cell r="D58" t="str">
            <v>Foundation excavation under 3m deep water for foundation in GBM Soil</v>
          </cell>
          <cell r="E58" t="str">
            <v>cum</v>
          </cell>
          <cell r="F58">
            <v>350.61199999999997</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BD58">
            <v>0</v>
          </cell>
        </row>
        <row r="59">
          <cell r="A59" t="str">
            <v>2.24(d)</v>
          </cell>
          <cell r="B59" t="str">
            <v>2-24(d)</v>
          </cell>
          <cell r="C59" t="str">
            <v>Foundation excavation under water in boulder and gravel mixed soil including disposal up to 10m lead (4m deep excavation &amp; 4m lift)</v>
          </cell>
          <cell r="D59" t="str">
            <v>Foundation excavation under 4m deep water for foundation in GBM Soil</v>
          </cell>
          <cell r="E59" t="str">
            <v>cum</v>
          </cell>
          <cell r="F59">
            <v>360.08800000000002</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BD59">
            <v>0</v>
          </cell>
        </row>
        <row r="60">
          <cell r="A60" t="str">
            <v>2.24(e)</v>
          </cell>
          <cell r="B60" t="str">
            <v>2-24(e)</v>
          </cell>
          <cell r="C60" t="str">
            <v>Foundation excavation under water in boulder and gravel mixed soil including disposal up to 10m lead (5m deep excavation &amp; 7.5m lift)</v>
          </cell>
          <cell r="D60" t="str">
            <v>Foundation excavation under 5m deep water for foundation in GBM Soil</v>
          </cell>
          <cell r="E60" t="str">
            <v>cum</v>
          </cell>
          <cell r="F60">
            <v>397.99199999999996</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BD60">
            <v>0</v>
          </cell>
        </row>
        <row r="61">
          <cell r="A61" t="str">
            <v>2.24(f)</v>
          </cell>
          <cell r="B61" t="str">
            <v>2-24(f)</v>
          </cell>
          <cell r="C61" t="str">
            <v>Foundation excavation under water in boulder and gravel mixed soil including disposal up to 10m lead (6m deep excavation &amp; 7.5m lift)</v>
          </cell>
          <cell r="D61" t="str">
            <v>Foundation excavation under 6m deep water for foundation in GBM Soil</v>
          </cell>
          <cell r="E61" t="str">
            <v>cum</v>
          </cell>
          <cell r="F61">
            <v>407.46799999999996</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BD61">
            <v>0</v>
          </cell>
        </row>
        <row r="62">
          <cell r="A62" t="str">
            <v>2.25.a</v>
          </cell>
          <cell r="B62" t="str">
            <v>2-25(a)</v>
          </cell>
          <cell r="C62" t="str">
            <v>Filling with ordinary soils in 15cm thick layers and hand compaction with sprinkling water (haulage distance 10m)</v>
          </cell>
          <cell r="D62" t="str">
            <v>Filling with ordinary soils with compaction and sprinkling of water</v>
          </cell>
          <cell r="E62" t="str">
            <v>cum</v>
          </cell>
          <cell r="F62">
            <v>47.38</v>
          </cell>
          <cell r="G62">
            <v>249.1514785</v>
          </cell>
          <cell r="H62">
            <v>11804.797051330001</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25.526192500000001</v>
          </cell>
          <cell r="Z62">
            <v>1209.43100065</v>
          </cell>
          <cell r="AA62">
            <v>0</v>
          </cell>
          <cell r="AB62">
            <v>0</v>
          </cell>
          <cell r="AC62">
            <v>0</v>
          </cell>
          <cell r="AD62">
            <v>0</v>
          </cell>
          <cell r="AE62">
            <v>0</v>
          </cell>
          <cell r="AF62">
            <v>0</v>
          </cell>
          <cell r="AG62">
            <v>0</v>
          </cell>
          <cell r="AH62">
            <v>0</v>
          </cell>
          <cell r="AI62">
            <v>167.23259999999999</v>
          </cell>
          <cell r="AJ62">
            <v>7923.4805880000004</v>
          </cell>
          <cell r="AK62">
            <v>0</v>
          </cell>
          <cell r="AL62">
            <v>0</v>
          </cell>
          <cell r="AM62">
            <v>0</v>
          </cell>
          <cell r="AN62">
            <v>0</v>
          </cell>
          <cell r="AO62">
            <v>0</v>
          </cell>
          <cell r="AP62">
            <v>0</v>
          </cell>
          <cell r="AQ62">
            <v>18.8325</v>
          </cell>
          <cell r="AR62">
            <v>892.28385000000003</v>
          </cell>
          <cell r="AS62">
            <v>0</v>
          </cell>
          <cell r="AT62">
            <v>0</v>
          </cell>
          <cell r="AU62">
            <v>0</v>
          </cell>
          <cell r="AV62">
            <v>0</v>
          </cell>
          <cell r="AW62">
            <v>37.560185999999995</v>
          </cell>
          <cell r="AX62">
            <v>1779.6016126799998</v>
          </cell>
          <cell r="BD62">
            <v>0</v>
          </cell>
        </row>
        <row r="63">
          <cell r="A63" t="str">
            <v>2.25.b</v>
          </cell>
          <cell r="B63" t="str">
            <v>2-25(b)</v>
          </cell>
          <cell r="C63" t="str">
            <v xml:space="preserve">Filling with ordinary soils in 15cm thick layers and hand compaction without sprinkling water (haulage distance 10m ) </v>
          </cell>
          <cell r="D63" t="str">
            <v xml:space="preserve">Filling with ordinary soils with compaction </v>
          </cell>
          <cell r="E63" t="str">
            <v>cum</v>
          </cell>
          <cell r="F63">
            <v>23.69</v>
          </cell>
          <cell r="G63">
            <v>19743.769999999702</v>
          </cell>
          <cell r="H63">
            <v>467729.91129999299</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4319.3311111111116</v>
          </cell>
          <cell r="AD63">
            <v>102324.95402222224</v>
          </cell>
          <cell r="AE63">
            <v>0</v>
          </cell>
          <cell r="AF63">
            <v>0</v>
          </cell>
          <cell r="AG63">
            <v>0</v>
          </cell>
          <cell r="AH63">
            <v>0</v>
          </cell>
          <cell r="AI63">
            <v>115</v>
          </cell>
          <cell r="AJ63">
            <v>2724.3500000000004</v>
          </cell>
          <cell r="AK63">
            <v>0</v>
          </cell>
          <cell r="AL63">
            <v>0</v>
          </cell>
          <cell r="AM63">
            <v>0</v>
          </cell>
          <cell r="AN63">
            <v>0</v>
          </cell>
          <cell r="AO63">
            <v>3583.894999999904</v>
          </cell>
          <cell r="AP63">
            <v>84902.472549997736</v>
          </cell>
          <cell r="AQ63">
            <v>9591.5438888886874</v>
          </cell>
          <cell r="AR63">
            <v>227223.67472777303</v>
          </cell>
          <cell r="AS63">
            <v>0</v>
          </cell>
          <cell r="AT63">
            <v>0</v>
          </cell>
          <cell r="AU63">
            <v>2134</v>
          </cell>
          <cell r="AV63">
            <v>50554.46</v>
          </cell>
          <cell r="AW63">
            <v>0</v>
          </cell>
          <cell r="AX63">
            <v>0</v>
          </cell>
          <cell r="BD63">
            <v>0</v>
          </cell>
        </row>
        <row r="64">
          <cell r="A64" t="str">
            <v>2.26</v>
          </cell>
          <cell r="B64" t="str">
            <v>2-26</v>
          </cell>
          <cell r="C64" t="str">
            <v>Filling of stones in 40cm thick layers, sprinkling water and hand compaction ( haulage distance 10m )</v>
          </cell>
          <cell r="D64" t="str">
            <v>Stone filling</v>
          </cell>
          <cell r="E64" t="str">
            <v>cum</v>
          </cell>
          <cell r="F64">
            <v>94.76</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BD64">
            <v>0</v>
          </cell>
        </row>
        <row r="65">
          <cell r="A65" t="str">
            <v>2.29</v>
          </cell>
          <cell r="B65" t="str">
            <v>2-29</v>
          </cell>
          <cell r="C65" t="str">
            <v>Foundation excavation in ordinary soils under shallow water depth ( 10m lead &amp; 1.5m lift )</v>
          </cell>
          <cell r="D65" t="str">
            <v>Foundation excavation under shallow water for foundation in ordinary soil</v>
          </cell>
          <cell r="E65" t="str">
            <v>cum</v>
          </cell>
          <cell r="F65">
            <v>213.21</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BD65">
            <v>0</v>
          </cell>
        </row>
        <row r="66">
          <cell r="A66" t="str">
            <v>2.30</v>
          </cell>
          <cell r="B66" t="str">
            <v>2-30</v>
          </cell>
          <cell r="C66" t="str">
            <v>Foundation excavation in soft rocks under shallow water depth ( 10m lead &amp; 1.5m lift )</v>
          </cell>
          <cell r="D66" t="str">
            <v>Foundation excavation under shallow water for foundation in soft rock</v>
          </cell>
          <cell r="E66" t="str">
            <v>cum</v>
          </cell>
          <cell r="F66">
            <v>315.55079999999998</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BD66">
            <v>0</v>
          </cell>
        </row>
        <row r="67">
          <cell r="A67" t="str">
            <v>2.31</v>
          </cell>
          <cell r="B67" t="str">
            <v>2-31</v>
          </cell>
          <cell r="C67" t="str">
            <v>Excavation of foundation in hard rocks under shallow water depth using drilling &amp; blasting, disposal ( up to 10m lead &amp; 1.5m lift )</v>
          </cell>
          <cell r="D67" t="str">
            <v>Foundation excavation under shallow water for foundation in hard rock with blasting</v>
          </cell>
          <cell r="E67" t="str">
            <v>cum</v>
          </cell>
          <cell r="F67">
            <v>731.09179999999992</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BD67">
            <v>0</v>
          </cell>
        </row>
        <row r="68">
          <cell r="A68" t="str">
            <v>2.39.a</v>
          </cell>
          <cell r="B68" t="str">
            <v>2-39(a)</v>
          </cell>
          <cell r="C68" t="str">
            <v>Filling soft soils in pipeline trenches in 20cm thick layers including hand compaction &amp; water sprinkling</v>
          </cell>
          <cell r="D68" t="str">
            <v>Filling soft soil in pipeline trench with compaction and sprinkling of water</v>
          </cell>
          <cell r="E68" t="str">
            <v>cum</v>
          </cell>
          <cell r="F68">
            <v>47.38</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BD68">
            <v>0</v>
          </cell>
        </row>
        <row r="69">
          <cell r="A69" t="str">
            <v>2.39.b</v>
          </cell>
          <cell r="B69" t="str">
            <v>2-39(b)</v>
          </cell>
          <cell r="C69" t="str">
            <v>Filling medium soil in pipeline trenches in 20cm thick layers including hand compaction &amp; water sprinkling</v>
          </cell>
          <cell r="D69" t="str">
            <v>Filling med. soil in pipeline trench with compaction and sprinkling of water</v>
          </cell>
          <cell r="E69" t="str">
            <v>cum</v>
          </cell>
          <cell r="F69">
            <v>52.118000000000002</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BD69">
            <v>0</v>
          </cell>
        </row>
        <row r="70">
          <cell r="A70" t="str">
            <v>2.39.c</v>
          </cell>
          <cell r="B70" t="str">
            <v>2-39(c)</v>
          </cell>
          <cell r="C70" t="str">
            <v>Filling hard soils in pipeline trenches in 20cm thick layers including hand compaction &amp; water sprinkling</v>
          </cell>
          <cell r="D70" t="str">
            <v>Filling hard soil in pipeline trench with compaction and sprinkling of water</v>
          </cell>
          <cell r="E70" t="str">
            <v>cum</v>
          </cell>
          <cell r="F70">
            <v>59.698799999999999</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BD70">
            <v>0</v>
          </cell>
        </row>
        <row r="71">
          <cell r="A71" t="str">
            <v>2.39.d</v>
          </cell>
          <cell r="B71" t="str">
            <v>2-39(d)</v>
          </cell>
          <cell r="C71" t="str">
            <v>Filling gravel boulder mixed soil in pipeline trenches in 20cm thick layers including hand compaction &amp; water sprinkling</v>
          </cell>
          <cell r="D71" t="str">
            <v>Filling GBM soil in pipeline trench with compaction and sprinkling of water</v>
          </cell>
          <cell r="E71" t="str">
            <v>cum</v>
          </cell>
          <cell r="F71">
            <v>56.855999999999995</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BD71">
            <v>0</v>
          </cell>
        </row>
        <row r="72">
          <cell r="A72" t="str">
            <v>2.39.e</v>
          </cell>
          <cell r="B72" t="str">
            <v>2-39(e)</v>
          </cell>
          <cell r="C72" t="str">
            <v>Filling medium rocks in pipeline trenches in 20cm thick layers including hand compaction &amp; water sprinkling</v>
          </cell>
          <cell r="D72" t="str">
            <v>Filling medi. rock in pipeline trench with compaction and sprinkling of water</v>
          </cell>
          <cell r="E72" t="str">
            <v>cum</v>
          </cell>
          <cell r="F72">
            <v>104.236</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BD72">
            <v>0</v>
          </cell>
        </row>
        <row r="73">
          <cell r="A73" t="str">
            <v>2.39.f</v>
          </cell>
          <cell r="B73" t="str">
            <v>2-39(f)</v>
          </cell>
          <cell r="C73" t="str">
            <v>Filling hard rocks in pipeline trenches in 20cm thick layers including hand compaction &amp; water sprinkling</v>
          </cell>
          <cell r="D73" t="str">
            <v>Filling hard rock in pipeline trench with compaction and sprinkling of water</v>
          </cell>
          <cell r="E73" t="str">
            <v>cum</v>
          </cell>
          <cell r="F73">
            <v>104.236</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BD73">
            <v>0</v>
          </cell>
        </row>
        <row r="74">
          <cell r="A74" t="str">
            <v>2.42</v>
          </cell>
          <cell r="B74" t="str">
            <v>2-42</v>
          </cell>
          <cell r="C74" t="str">
            <v>Sand filling works including water sprinkling &amp; hand compaction</v>
          </cell>
          <cell r="D74" t="str">
            <v>Sand filling with compaction and sprinkling of water</v>
          </cell>
          <cell r="E74" t="str">
            <v>cum</v>
          </cell>
          <cell r="F74">
            <v>924.01857832812482</v>
          </cell>
          <cell r="G74">
            <v>1002.2018465</v>
          </cell>
          <cell r="H74">
            <v>926053.1254007516</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7.2567565000000016</v>
          </cell>
          <cell r="Z74">
            <v>6705.3778244033801</v>
          </cell>
          <cell r="AA74">
            <v>0</v>
          </cell>
          <cell r="AB74">
            <v>0</v>
          </cell>
          <cell r="AC74">
            <v>991.53</v>
          </cell>
          <cell r="AD74">
            <v>916192.14096968563</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3.4150900000000006</v>
          </cell>
          <cell r="AX74">
            <v>3155.6066066625963</v>
          </cell>
          <cell r="BD74">
            <v>0</v>
          </cell>
        </row>
        <row r="75">
          <cell r="C75" t="str">
            <v>BRICK MASONRY WORKS</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BD75">
            <v>0</v>
          </cell>
        </row>
        <row r="76">
          <cell r="A76" t="str">
            <v>5.1.a.1</v>
          </cell>
          <cell r="B76" t="str">
            <v>5-1(a)1</v>
          </cell>
          <cell r="C76" t="str">
            <v>Machine made brick masonry works in 1:3 cement sand mortar along with supplying bricks, making cement mortar &amp; construction of brick walls including haulage distance up to 30m</v>
          </cell>
          <cell r="D76" t="str">
            <v xml:space="preserve">Machine made brick masonry works in 1:3 cement sand mortar </v>
          </cell>
          <cell r="E76" t="str">
            <v>cum</v>
          </cell>
          <cell r="F76">
            <v>3879.341382590625</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BD76">
            <v>0</v>
          </cell>
        </row>
        <row r="77">
          <cell r="A77" t="str">
            <v>5.1.a.2</v>
          </cell>
          <cell r="B77" t="str">
            <v>5-1(a)2</v>
          </cell>
          <cell r="C77" t="str">
            <v>Machine made brick masonry works in 1:4 cement sand mortar along with supplying bricks, making cement mortar &amp; construction of brick walls including haulage distance up to 30m</v>
          </cell>
          <cell r="D77" t="str">
            <v xml:space="preserve">Machine made brick masonry works in 1:4 cement sand mortar </v>
          </cell>
          <cell r="E77" t="str">
            <v>cum</v>
          </cell>
          <cell r="F77">
            <v>3686.6945964515626</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BD77">
            <v>0</v>
          </cell>
        </row>
        <row r="78">
          <cell r="A78" t="str">
            <v>5.1.a.3</v>
          </cell>
          <cell r="B78" t="str">
            <v>5-1(a)3</v>
          </cell>
          <cell r="C78" t="str">
            <v>Machine made brick masonry works in 1:6 cement sand mortar along with supplying bricks, making cement mortar &amp; construction of brick walls including haulage distance up to 30m</v>
          </cell>
          <cell r="D78" t="str">
            <v xml:space="preserve">Machine made brick masonry works in 1:6 cement sand mortar </v>
          </cell>
          <cell r="E78" t="str">
            <v>cum</v>
          </cell>
          <cell r="F78">
            <v>3622.4790010718752</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BD78">
            <v>0</v>
          </cell>
        </row>
        <row r="79">
          <cell r="A79" t="str">
            <v>5.1.b.1</v>
          </cell>
          <cell r="B79" t="str">
            <v>5-1(b)1</v>
          </cell>
          <cell r="C79" t="str">
            <v>Local first class brick masonry works in 1:3 cement sand mortar along with supplying bricks, making cement mortar &amp; construction of brick walls including haulage distance up to 30m</v>
          </cell>
          <cell r="D79" t="str">
            <v xml:space="preserve">Local first class brick masonry works in 1:3 cement sand mortar </v>
          </cell>
          <cell r="E79" t="str">
            <v>cum</v>
          </cell>
          <cell r="F79">
            <v>3599.6690703765626</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BD79">
            <v>0</v>
          </cell>
        </row>
        <row r="80">
          <cell r="A80" t="str">
            <v>5.1.b.2</v>
          </cell>
          <cell r="B80" t="str">
            <v>5-1(b)2</v>
          </cell>
          <cell r="C80" t="str">
            <v>Local first class brick masonry works in 1:4 cement sand mortar along with supplying bricks, making cement mortar &amp; construction of brick walls including haulage distance up to 30m</v>
          </cell>
          <cell r="D80" t="str">
            <v xml:space="preserve">Local first class brick masonry works in 1:4 cement sand mortar </v>
          </cell>
          <cell r="E80" t="str">
            <v>cum</v>
          </cell>
          <cell r="F80">
            <v>3415.1907278406256</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BD80">
            <v>0</v>
          </cell>
        </row>
        <row r="81">
          <cell r="A81" t="str">
            <v>5.1.b.3</v>
          </cell>
          <cell r="B81" t="str">
            <v>5-1(b)3</v>
          </cell>
          <cell r="C81" t="str">
            <v>Local first class brick masonry works in 1:6 cement sand mortar along with supplying bricks, making cement mortar &amp; construction of brick walls including haulage distance up to 30m</v>
          </cell>
          <cell r="D81" t="str">
            <v xml:space="preserve">Local first class brick masonry works in 1:6 cement sand mortar </v>
          </cell>
          <cell r="E81" t="str">
            <v>cum</v>
          </cell>
          <cell r="F81">
            <v>3238.8808289078133</v>
          </cell>
          <cell r="G81">
            <v>147.1351325</v>
          </cell>
          <cell r="H81">
            <v>476553.15991306095</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76.438390625000011</v>
          </cell>
          <cell r="Z81">
            <v>247574.83798787926</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70.696741874999987</v>
          </cell>
          <cell r="AX81">
            <v>228978.32192518166</v>
          </cell>
          <cell r="BD81">
            <v>0</v>
          </cell>
        </row>
        <row r="82">
          <cell r="A82" t="str">
            <v>5.1.b.4</v>
          </cell>
          <cell r="B82" t="str">
            <v>5-1(b)4</v>
          </cell>
          <cell r="C82" t="str">
            <v>Local first class brick masonry works in 1:1:2 lime surkhi sand mortar along with supplying bricks, making cement mortar &amp; construction of brick walls including haulage distance up to 30m</v>
          </cell>
          <cell r="D82" t="str">
            <v>Local first class brick masonry works in 1:1:2 lime surkhi sand mortar</v>
          </cell>
          <cell r="E82" t="str">
            <v>cum</v>
          </cell>
          <cell r="F82">
            <v>5237.4135636000001</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BD82">
            <v>0</v>
          </cell>
        </row>
        <row r="83">
          <cell r="A83" t="str">
            <v>5.1.b.5</v>
          </cell>
          <cell r="B83" t="str">
            <v>5-1(b)5</v>
          </cell>
          <cell r="C83" t="str">
            <v>Local first class brick masonry works in 1:2 lime surkhi mortar along with supplying bricks, making cement mortar &amp; construction of brick walls including haulage distance up to 30m</v>
          </cell>
          <cell r="D83" t="str">
            <v xml:space="preserve">Local first class brick masonry works in 1:2 lime surkhi mortar </v>
          </cell>
          <cell r="E83" t="str">
            <v>cum</v>
          </cell>
          <cell r="F83">
            <v>5125.7923531562501</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BD83">
            <v>0</v>
          </cell>
        </row>
        <row r="84">
          <cell r="A84" t="str">
            <v>5.1.b.6</v>
          </cell>
          <cell r="B84" t="str">
            <v>5-1(b)6</v>
          </cell>
          <cell r="C84" t="str">
            <v>Local first class brick masonry works in mud mortar along with supplying bricks, making cement mortar &amp; construction of brick walls including haulage distance up to 30m</v>
          </cell>
          <cell r="D84" t="str">
            <v xml:space="preserve">Local first class brick masonry works in mud mortar </v>
          </cell>
          <cell r="E84" t="str">
            <v>cum</v>
          </cell>
          <cell r="F84">
            <v>2452.8933531562507</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BD84">
            <v>0</v>
          </cell>
        </row>
        <row r="85">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BD85">
            <v>0</v>
          </cell>
        </row>
        <row r="86">
          <cell r="C86" t="str">
            <v>RUBBLE MASONRY WORKS</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BD86">
            <v>0</v>
          </cell>
        </row>
        <row r="87">
          <cell r="A87" t="str">
            <v>6.1.a</v>
          </cell>
          <cell r="B87" t="str">
            <v>6-1(a)</v>
          </cell>
          <cell r="C87" t="str">
            <v>Rubble masonry works in 1:3 cement mortar including supply of hard stone blocks, preparing cement mortar and construction of wall up to 5m high ( haulage distance up to 10m )</v>
          </cell>
          <cell r="D87" t="str">
            <v>Rubble masonry works in 1:3 cement mortar</v>
          </cell>
          <cell r="E87" t="str">
            <v>cum</v>
          </cell>
          <cell r="F87">
            <v>3262.4123773221877</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BD87">
            <v>0</v>
          </cell>
        </row>
        <row r="88">
          <cell r="A88" t="str">
            <v>6.1.b</v>
          </cell>
          <cell r="B88" t="str">
            <v>6-1(b)</v>
          </cell>
          <cell r="C88" t="str">
            <v>Rubble masonry works in 1:4 cement mortar including supply of hard stone blocks, preparing cement mortar and construction of wall up to 5m high ( haulage distance up to 10m )</v>
          </cell>
          <cell r="D88" t="str">
            <v>Rubble masonry works in 1:4 cement mortar</v>
          </cell>
          <cell r="E88" t="str">
            <v>cum</v>
          </cell>
          <cell r="F88">
            <v>3062.1631243026563</v>
          </cell>
          <cell r="G88">
            <v>1799.6964374999732</v>
          </cell>
          <cell r="H88">
            <v>5510964.0658512786</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225.70949999999999</v>
          </cell>
          <cell r="X88">
            <v>691159.30770479038</v>
          </cell>
          <cell r="Y88">
            <v>0</v>
          </cell>
          <cell r="Z88">
            <v>0</v>
          </cell>
          <cell r="AA88">
            <v>350</v>
          </cell>
          <cell r="AB88">
            <v>1071757.0935059297</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21.112937500000001</v>
          </cell>
          <cell r="AT88">
            <v>64651.258658206716</v>
          </cell>
          <cell r="AU88">
            <v>1202.8739999999732</v>
          </cell>
          <cell r="AV88">
            <v>3683396.4059823514</v>
          </cell>
          <cell r="AW88">
            <v>0</v>
          </cell>
          <cell r="AX88">
            <v>0</v>
          </cell>
          <cell r="BD88">
            <v>225.70949999999999</v>
          </cell>
        </row>
        <row r="89">
          <cell r="A89" t="str">
            <v>6.1.c</v>
          </cell>
          <cell r="B89" t="str">
            <v>6-1(c)</v>
          </cell>
          <cell r="C89" t="str">
            <v>Rubble masonry works in 1:6 cement mortar including supply of hard stone blocks, preparing cement mortar and construction of wall up to 5m high ( haulage distance up to 10m )</v>
          </cell>
          <cell r="D89" t="str">
            <v>Rubble masonry works in 1:6 cement mortar</v>
          </cell>
          <cell r="E89" t="str">
            <v>cum</v>
          </cell>
          <cell r="F89">
            <v>2738.1573559965627</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BD89">
            <v>0</v>
          </cell>
        </row>
        <row r="90">
          <cell r="A90" t="str">
            <v>6.2.a</v>
          </cell>
          <cell r="B90" t="str">
            <v>6-2(a)</v>
          </cell>
          <cell r="C90" t="str">
            <v>Dry rubble masonry works including supply of hard stone blocks, preparing cement mortar and construction of wall up to 5m high ( haulage distance up to 10m)</v>
          </cell>
          <cell r="D90" t="str">
            <v>Dry rubble masonry works</v>
          </cell>
          <cell r="E90" t="str">
            <v>cum</v>
          </cell>
          <cell r="F90">
            <v>1303.8301956250002</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BD90">
            <v>0</v>
          </cell>
        </row>
        <row r="91">
          <cell r="A91" t="str">
            <v>6.2.b</v>
          </cell>
          <cell r="B91" t="str">
            <v>6-2(b)</v>
          </cell>
          <cell r="C91" t="str">
            <v>Rubble masonry works in mud mortar including supply of hard stone blocks, preparing cement mortar and construction of wall up to 5m high ( haulage distance up to 10m)</v>
          </cell>
          <cell r="D91" t="str">
            <v>Rubble masonry works in mud mortar</v>
          </cell>
          <cell r="E91" t="str">
            <v>cum</v>
          </cell>
          <cell r="F91">
            <v>1365.9301956250001</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BD91">
            <v>0</v>
          </cell>
        </row>
        <row r="92">
          <cell r="A92">
            <v>6.5</v>
          </cell>
          <cell r="B92" t="str">
            <v>6-5</v>
          </cell>
          <cell r="C92" t="str">
            <v>Filling by stones in the foundation and leveling including haulage distance up to 30m</v>
          </cell>
          <cell r="D92" t="str">
            <v>Stone filling in foundation</v>
          </cell>
          <cell r="E92" t="str">
            <v>cum</v>
          </cell>
          <cell r="F92">
            <v>1158.8011225</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BD92">
            <v>0</v>
          </cell>
        </row>
        <row r="93">
          <cell r="A93" t="str">
            <v>6.6.a</v>
          </cell>
          <cell r="B93" t="str">
            <v>6-6(a)</v>
          </cell>
          <cell r="C93" t="str">
            <v>Stone masonry works inside ditch in 1:3 cement mortar including preparation of mortar hauling stones &amp; mortar up to 30m distance and construction of ditch</v>
          </cell>
          <cell r="D93" t="str">
            <v>Stone masonry works inside ditch in in 1:3 cement mortar</v>
          </cell>
          <cell r="E93" t="str">
            <v>cum</v>
          </cell>
          <cell r="F93">
            <v>2971.3793445945312</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BD93">
            <v>0</v>
          </cell>
        </row>
        <row r="94">
          <cell r="A94" t="str">
            <v>6.6.b</v>
          </cell>
          <cell r="B94" t="str">
            <v>6-6(b)</v>
          </cell>
          <cell r="C94" t="str">
            <v>Stone masonry works inside ditch in 1:6 cement mortar including preparation of mortar hauling stones &amp; mortar up to 30m distance and construction of ditch</v>
          </cell>
          <cell r="D94" t="str">
            <v>Stone masonry works inside ditch in in 1:6 cement mortar</v>
          </cell>
          <cell r="E94" t="str">
            <v>cum</v>
          </cell>
          <cell r="F94">
            <v>2458.2450352282813</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BD94">
            <v>0</v>
          </cell>
        </row>
        <row r="95">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BD95">
            <v>0</v>
          </cell>
        </row>
        <row r="96">
          <cell r="C96" t="str">
            <v>CEMENT CONCRETE WORKS</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BD96">
            <v>0</v>
          </cell>
        </row>
        <row r="97">
          <cell r="A97" t="str">
            <v>7.1.a</v>
          </cell>
          <cell r="B97" t="str">
            <v>7-1(a)</v>
          </cell>
          <cell r="C97" t="str">
            <v>Plum concreting in M10 cement sand aggregate boulder mix for foundation, vertical faces, walls &amp; abutments including supply of material &amp; haulage distance up to 30m</v>
          </cell>
          <cell r="D97" t="str">
            <v xml:space="preserve">Plum concrete in M10 </v>
          </cell>
          <cell r="E97" t="str">
            <v>cum</v>
          </cell>
          <cell r="F97">
            <v>4591.7984018249999</v>
          </cell>
          <cell r="G97">
            <v>0.55391875000000002</v>
          </cell>
          <cell r="H97">
            <v>2543.4832309909016</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0.55391875000000002</v>
          </cell>
          <cell r="AX97">
            <v>2543.4832309909016</v>
          </cell>
          <cell r="BD97">
            <v>0</v>
          </cell>
        </row>
        <row r="98">
          <cell r="A98" t="str">
            <v>7.1.b</v>
          </cell>
          <cell r="B98" t="str">
            <v>7-1(b)</v>
          </cell>
          <cell r="C98" t="str">
            <v>Plum concreting in M15 cement sand aggregate boulder mix for foundation, vertical faces, walls &amp; abutments including supply of material &amp; haulage distance up to 30m</v>
          </cell>
          <cell r="D98" t="str">
            <v xml:space="preserve">Plum concreting in M15 </v>
          </cell>
          <cell r="E98" t="str">
            <v>cum</v>
          </cell>
          <cell r="F98">
            <v>5106.7794461015628</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BD98">
            <v>0</v>
          </cell>
        </row>
        <row r="99">
          <cell r="A99" t="str">
            <v>7.2.a</v>
          </cell>
          <cell r="B99" t="str">
            <v>7-2(a)</v>
          </cell>
          <cell r="C99" t="str">
            <v>Concreting of foundations, vertical faces, walls in 1:5:10 cement sand aggregate mix including supply of materials and haulage distance up to 30m</v>
          </cell>
          <cell r="D99" t="str">
            <v xml:space="preserve">P.C.C. for  foundation &amp; walls in 1:5:10 </v>
          </cell>
          <cell r="E99" t="str">
            <v>cum</v>
          </cell>
          <cell r="F99">
            <v>3756.2707133890622</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BD99">
            <v>0</v>
          </cell>
        </row>
        <row r="100">
          <cell r="A100" t="str">
            <v>7.2.b</v>
          </cell>
          <cell r="B100" t="str">
            <v>7-2(b)</v>
          </cell>
          <cell r="C100" t="str">
            <v>Concreting of foundations, vertical faces, walls in 1:4:8 cement sand aggregate mix including supply of materials and haulage distance up to 30m</v>
          </cell>
          <cell r="D100" t="str">
            <v xml:space="preserve">P.C.C. for  foundation &amp; walls in 1:4:8 </v>
          </cell>
          <cell r="E100" t="str">
            <v>cum</v>
          </cell>
          <cell r="F100">
            <v>4013.1330949078124</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BD100">
            <v>0</v>
          </cell>
        </row>
        <row r="101">
          <cell r="A101" t="str">
            <v>7.2.c</v>
          </cell>
          <cell r="B101" t="str">
            <v>7-2(c)</v>
          </cell>
          <cell r="C101" t="str">
            <v>Concreting of foundations, vertical faces, walls in M10 cement sand aggregate mix including supply of materials and haulage distance up to 30m</v>
          </cell>
          <cell r="D101" t="str">
            <v xml:space="preserve">P.C.C. for  foundation &amp; walls in M10 </v>
          </cell>
          <cell r="E101" t="str">
            <v>cum</v>
          </cell>
          <cell r="F101">
            <v>4334.2110718062495</v>
          </cell>
          <cell r="G101">
            <v>177.30071938107557</v>
          </cell>
          <cell r="H101">
            <v>768458.74098067055</v>
          </cell>
          <cell r="I101">
            <v>0</v>
          </cell>
          <cell r="J101">
            <v>0</v>
          </cell>
          <cell r="K101">
            <v>15.727500000000001</v>
          </cell>
          <cell r="L101">
            <v>68166.304631832798</v>
          </cell>
          <cell r="M101">
            <v>3.2916479999999999</v>
          </cell>
          <cell r="N101">
            <v>14266.697206088897</v>
          </cell>
          <cell r="O101">
            <v>11.25</v>
          </cell>
          <cell r="P101">
            <v>48759.874557820309</v>
          </cell>
          <cell r="Q101">
            <v>10.6194375</v>
          </cell>
          <cell r="R101">
            <v>46026.883588854478</v>
          </cell>
          <cell r="S101">
            <v>11.8925625</v>
          </cell>
          <cell r="T101">
            <v>51544.87605964781</v>
          </cell>
          <cell r="U101">
            <v>26.185499999999998</v>
          </cell>
          <cell r="V101">
            <v>113493.48402078253</v>
          </cell>
          <cell r="W101">
            <v>16.454999999999998</v>
          </cell>
          <cell r="X101">
            <v>71319.443186571822</v>
          </cell>
          <cell r="Y101">
            <v>21.664636250000001</v>
          </cell>
          <cell r="Z101">
            <v>93899.106301405031</v>
          </cell>
          <cell r="AA101">
            <v>0</v>
          </cell>
          <cell r="AB101">
            <v>0</v>
          </cell>
          <cell r="AC101">
            <v>0</v>
          </cell>
          <cell r="AD101">
            <v>0</v>
          </cell>
          <cell r="AE101">
            <v>3.1252499999999999</v>
          </cell>
          <cell r="AF101">
            <v>13545.49315216248</v>
          </cell>
          <cell r="AG101">
            <v>4.6897500000000001</v>
          </cell>
          <cell r="AH101">
            <v>20326.366374003359</v>
          </cell>
          <cell r="AI101">
            <v>0</v>
          </cell>
          <cell r="AJ101">
            <v>0</v>
          </cell>
          <cell r="AK101">
            <v>22.13325</v>
          </cell>
          <cell r="AL101">
            <v>95930.177205055676</v>
          </cell>
          <cell r="AM101">
            <v>0</v>
          </cell>
          <cell r="AN101">
            <v>0</v>
          </cell>
          <cell r="AO101">
            <v>0</v>
          </cell>
          <cell r="AP101">
            <v>0</v>
          </cell>
          <cell r="AQ101">
            <v>0</v>
          </cell>
          <cell r="AR101">
            <v>0</v>
          </cell>
          <cell r="AS101">
            <v>38.168580131075601</v>
          </cell>
          <cell r="AT101">
            <v>165430.68259923189</v>
          </cell>
          <cell r="AU101">
            <v>0</v>
          </cell>
          <cell r="AV101">
            <v>0</v>
          </cell>
          <cell r="AW101">
            <v>3.3476050000000002</v>
          </cell>
          <cell r="AX101">
            <v>14509.226655033961</v>
          </cell>
          <cell r="BD101">
            <v>65.152500000000003</v>
          </cell>
        </row>
        <row r="102">
          <cell r="A102" t="str">
            <v>7.2.d</v>
          </cell>
          <cell r="B102" t="str">
            <v>7-2(d)</v>
          </cell>
          <cell r="C102" t="str">
            <v>Concreting of foundations, vertical faces, walls in M15 cement sand aggregate mix including supply of materials and haulage distance up to 30m</v>
          </cell>
          <cell r="D102" t="str">
            <v xml:space="preserve">P.C.C. for  foundation &amp; walls in M15 </v>
          </cell>
          <cell r="E102" t="str">
            <v>cum</v>
          </cell>
          <cell r="F102">
            <v>5021.5728177781257</v>
          </cell>
          <cell r="G102">
            <v>326.27166924246001</v>
          </cell>
          <cell r="H102">
            <v>1638396.9454790326</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9.9156692424599981</v>
          </cell>
          <cell r="AJ102">
            <v>49792.255138015746</v>
          </cell>
          <cell r="AK102">
            <v>0</v>
          </cell>
          <cell r="AL102">
            <v>0</v>
          </cell>
          <cell r="AM102">
            <v>0</v>
          </cell>
          <cell r="AN102">
            <v>0</v>
          </cell>
          <cell r="AO102">
            <v>0</v>
          </cell>
          <cell r="AP102">
            <v>0</v>
          </cell>
          <cell r="AQ102">
            <v>0</v>
          </cell>
          <cell r="AR102">
            <v>0</v>
          </cell>
          <cell r="AS102">
            <v>0</v>
          </cell>
          <cell r="AT102">
            <v>0</v>
          </cell>
          <cell r="AU102">
            <v>316.35599999999999</v>
          </cell>
          <cell r="AV102">
            <v>1588604.6903410167</v>
          </cell>
          <cell r="AW102">
            <v>0</v>
          </cell>
          <cell r="AX102">
            <v>0</v>
          </cell>
          <cell r="BD102">
            <v>0</v>
          </cell>
        </row>
        <row r="103">
          <cell r="A103" t="str">
            <v>7.4.a</v>
          </cell>
          <cell r="B103" t="str">
            <v>7-4(a)</v>
          </cell>
          <cell r="C103" t="str">
            <v>Reinforced concreting works for super structures, deck slabs, beams in M15 cement sand aggregate mix  with supply of materials (excluding rebar) &amp; haulage dist. Up to 30m.</v>
          </cell>
          <cell r="D103" t="str">
            <v xml:space="preserve">P.C.C. for R.C.C. for super structures in M15 </v>
          </cell>
          <cell r="E103" t="str">
            <v>cum</v>
          </cell>
          <cell r="F103">
            <v>5239.6617087703125</v>
          </cell>
          <cell r="G103">
            <v>536.09400000000005</v>
          </cell>
          <cell r="H103">
            <v>2808951.2041015122</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536.09400000000005</v>
          </cell>
          <cell r="AV103">
            <v>2808951.2041015122</v>
          </cell>
          <cell r="AW103">
            <v>0</v>
          </cell>
          <cell r="AX103">
            <v>0</v>
          </cell>
          <cell r="BD103">
            <v>0</v>
          </cell>
        </row>
        <row r="104">
          <cell r="A104" t="str">
            <v>7.4.b</v>
          </cell>
          <cell r="B104" t="str">
            <v>7-4(b)</v>
          </cell>
          <cell r="C104" t="str">
            <v>Reinforced concreting works for super structures, deck slabs, beams in M20 cement sand aggregate mix  with supply of materials (excluding rebar) &amp; haulage dist. Up to 30m.</v>
          </cell>
          <cell r="D104" t="str">
            <v xml:space="preserve">P.C.C. for R.C.C. for super structures in M20 </v>
          </cell>
          <cell r="E104" t="str">
            <v>cum</v>
          </cell>
          <cell r="F104">
            <v>6154.8131365578129</v>
          </cell>
          <cell r="G104">
            <v>1346.1539177561347</v>
          </cell>
          <cell r="H104">
            <v>8285325.8168342235</v>
          </cell>
          <cell r="I104">
            <v>0</v>
          </cell>
          <cell r="J104">
            <v>0</v>
          </cell>
          <cell r="K104">
            <v>125.38124999999999</v>
          </cell>
          <cell r="L104">
            <v>771698.1645780392</v>
          </cell>
          <cell r="M104">
            <v>27.538793999999996</v>
          </cell>
          <cell r="N104">
            <v>169496.13107615945</v>
          </cell>
          <cell r="O104">
            <v>77.52525</v>
          </cell>
          <cell r="P104">
            <v>477153.42711492861</v>
          </cell>
          <cell r="Q104">
            <v>68.448250000000002</v>
          </cell>
          <cell r="R104">
            <v>421286.18827439332</v>
          </cell>
          <cell r="S104">
            <v>126.42710624999999</v>
          </cell>
          <cell r="T104">
            <v>778135.21436449036</v>
          </cell>
          <cell r="U104">
            <v>298.863</v>
          </cell>
          <cell r="V104">
            <v>1839445.9184310776</v>
          </cell>
          <cell r="W104">
            <v>0</v>
          </cell>
          <cell r="X104">
            <v>0</v>
          </cell>
          <cell r="Y104">
            <v>16.890437500000001</v>
          </cell>
          <cell r="Z104">
            <v>103957.4866072087</v>
          </cell>
          <cell r="AA104">
            <v>0</v>
          </cell>
          <cell r="AB104">
            <v>0</v>
          </cell>
          <cell r="AC104">
            <v>163.44</v>
          </cell>
          <cell r="AD104">
            <v>1005942.6590390089</v>
          </cell>
          <cell r="AE104">
            <v>20.779767740530186</v>
          </cell>
          <cell r="AF104">
            <v>127895.58746403545</v>
          </cell>
          <cell r="AG104">
            <v>31.497887234765951</v>
          </cell>
          <cell r="AH104">
            <v>193863.61012635412</v>
          </cell>
          <cell r="AI104">
            <v>11.988</v>
          </cell>
          <cell r="AJ104">
            <v>73783.899881055055</v>
          </cell>
          <cell r="AK104">
            <v>172.31537418371127</v>
          </cell>
          <cell r="AL104">
            <v>1060568.9286567811</v>
          </cell>
          <cell r="AM104">
            <v>0</v>
          </cell>
          <cell r="AN104">
            <v>0</v>
          </cell>
          <cell r="AO104">
            <v>0</v>
          </cell>
          <cell r="AP104">
            <v>0</v>
          </cell>
          <cell r="AQ104">
            <v>1.3499999999999999</v>
          </cell>
          <cell r="AR104">
            <v>8308.9977343530463</v>
          </cell>
          <cell r="AS104">
            <v>264.30016334712741</v>
          </cell>
          <cell r="AT104">
            <v>1626718.1173632755</v>
          </cell>
          <cell r="AU104">
            <v>0</v>
          </cell>
          <cell r="AV104">
            <v>0</v>
          </cell>
          <cell r="AW104">
            <v>16.933887500000001</v>
          </cell>
          <cell r="AX104">
            <v>104224.91323799215</v>
          </cell>
          <cell r="BD104">
            <v>493.73835624999998</v>
          </cell>
        </row>
        <row r="105">
          <cell r="A105" t="str">
            <v>7.4.c</v>
          </cell>
          <cell r="B105" t="str">
            <v>7-4(c)</v>
          </cell>
          <cell r="C105" t="str">
            <v>Reinforced concreting works for super structures, deck slabs, beams in 1:1:2 cement sand aggregate mix  with supply of materials (excluding rebar) &amp; haulage dist. Up to 30m.</v>
          </cell>
          <cell r="D105" t="str">
            <v xml:space="preserve">P.C.C. for R.C.C. for super structures in M25 </v>
          </cell>
          <cell r="E105" t="str">
            <v>cum</v>
          </cell>
          <cell r="F105">
            <v>7432.4170875750006</v>
          </cell>
          <cell r="G105">
            <v>27.38775</v>
          </cell>
          <cell r="H105">
            <v>203557.18109023222</v>
          </cell>
          <cell r="I105">
            <v>0</v>
          </cell>
          <cell r="J105">
            <v>0</v>
          </cell>
          <cell r="K105">
            <v>21.507750000000001</v>
          </cell>
          <cell r="L105">
            <v>159854.56861529124</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3.0400000000000005</v>
          </cell>
          <cell r="AD105">
            <v>22594.547946228005</v>
          </cell>
          <cell r="AE105">
            <v>0</v>
          </cell>
          <cell r="AF105">
            <v>0</v>
          </cell>
          <cell r="AG105">
            <v>0</v>
          </cell>
          <cell r="AH105">
            <v>0</v>
          </cell>
          <cell r="AI105">
            <v>0</v>
          </cell>
          <cell r="AJ105">
            <v>0</v>
          </cell>
          <cell r="AK105">
            <v>0</v>
          </cell>
          <cell r="AL105">
            <v>0</v>
          </cell>
          <cell r="AM105">
            <v>0</v>
          </cell>
          <cell r="AN105">
            <v>0</v>
          </cell>
          <cell r="AO105">
            <v>0.80000000000000016</v>
          </cell>
          <cell r="AP105">
            <v>5945.9336700600015</v>
          </cell>
          <cell r="AQ105">
            <v>2.0400000000000005</v>
          </cell>
          <cell r="AR105">
            <v>15162.130858653005</v>
          </cell>
          <cell r="AS105">
            <v>0</v>
          </cell>
          <cell r="AT105">
            <v>0</v>
          </cell>
          <cell r="AU105">
            <v>0</v>
          </cell>
          <cell r="AV105">
            <v>0</v>
          </cell>
          <cell r="AW105">
            <v>0</v>
          </cell>
          <cell r="AX105">
            <v>0</v>
          </cell>
          <cell r="BD105">
            <v>0</v>
          </cell>
        </row>
        <row r="106">
          <cell r="A106" t="str">
            <v>7.5</v>
          </cell>
          <cell r="B106" t="str">
            <v>7-5</v>
          </cell>
          <cell r="C106" t="str">
            <v>Cutting , bending , placing and binding of reinforcement steel bars for R.C.C. works including haulage distance of 30m</v>
          </cell>
          <cell r="D106" t="str">
            <v>Reinforcement work for R.C.C. work</v>
          </cell>
          <cell r="E106" t="str">
            <v>mt</v>
          </cell>
          <cell r="F106">
            <v>39248.537514867188</v>
          </cell>
          <cell r="G106">
            <v>171.30495056829923</v>
          </cell>
          <cell r="H106">
            <v>6723468.7788623618</v>
          </cell>
          <cell r="I106">
            <v>0</v>
          </cell>
          <cell r="J106">
            <v>0</v>
          </cell>
          <cell r="K106">
            <v>14.688900000000002</v>
          </cell>
          <cell r="L106">
            <v>576517.84270213277</v>
          </cell>
          <cell r="M106">
            <v>2.7538793999999998</v>
          </cell>
          <cell r="N106">
            <v>108085.73894231993</v>
          </cell>
          <cell r="O106">
            <v>7.7525249999999994</v>
          </cell>
          <cell r="P106">
            <v>304275.26829744573</v>
          </cell>
          <cell r="Q106">
            <v>6.8448250000000002</v>
          </cell>
          <cell r="R106">
            <v>268649.37079520081</v>
          </cell>
          <cell r="S106">
            <v>12.642710624999999</v>
          </cell>
          <cell r="T106">
            <v>496207.90225492249</v>
          </cell>
          <cell r="U106">
            <v>29.886299999999999</v>
          </cell>
          <cell r="V106">
            <v>1172993.5667305752</v>
          </cell>
          <cell r="W106">
            <v>0</v>
          </cell>
          <cell r="X106">
            <v>0</v>
          </cell>
          <cell r="Y106">
            <v>1.6890437500000002</v>
          </cell>
          <cell r="Z106">
            <v>66292.496986126964</v>
          </cell>
          <cell r="AA106">
            <v>0</v>
          </cell>
          <cell r="AB106">
            <v>0</v>
          </cell>
          <cell r="AC106">
            <v>0.22800000000000004</v>
          </cell>
          <cell r="AD106">
            <v>8948.6665533897212</v>
          </cell>
          <cell r="AE106">
            <v>2.0779767740530186</v>
          </cell>
          <cell r="AF106">
            <v>81557.549371442597</v>
          </cell>
          <cell r="AG106">
            <v>3.1497887234765956</v>
          </cell>
          <cell r="AH106">
            <v>123624.6008772768</v>
          </cell>
          <cell r="AI106">
            <v>1.7981999999999998</v>
          </cell>
          <cell r="AJ106">
            <v>70576.720159234173</v>
          </cell>
          <cell r="AK106">
            <v>17.231537418371129</v>
          </cell>
          <cell r="AL106">
            <v>676312.64280377701</v>
          </cell>
          <cell r="AM106">
            <v>0</v>
          </cell>
          <cell r="AN106">
            <v>0</v>
          </cell>
          <cell r="AO106">
            <v>6.0000000000000012E-2</v>
          </cell>
          <cell r="AP106">
            <v>2354.9122508920318</v>
          </cell>
          <cell r="AQ106">
            <v>0.35550000000000004</v>
          </cell>
          <cell r="AR106">
            <v>13952.855086535286</v>
          </cell>
          <cell r="AS106">
            <v>37.000789102398485</v>
          </cell>
          <cell r="AT106">
            <v>1452226.8591651761</v>
          </cell>
          <cell r="AU106">
            <v>40.207050000000002</v>
          </cell>
          <cell r="AV106">
            <v>1578067.9102871409</v>
          </cell>
          <cell r="AW106">
            <v>0.69044977499999993</v>
          </cell>
          <cell r="AX106">
            <v>27099.143896219106</v>
          </cell>
          <cell r="BD106">
            <v>49.373835624999998</v>
          </cell>
        </row>
        <row r="107">
          <cell r="C107" t="str">
            <v>FORM WORKS</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BD107">
            <v>0</v>
          </cell>
        </row>
        <row r="108">
          <cell r="A108" t="str">
            <v>8.1.a</v>
          </cell>
          <cell r="B108" t="str">
            <v>8-1(a)</v>
          </cell>
          <cell r="C108" t="str">
            <v>Making wooden forms including selection of material, measuring, cutting , fixing, nailing as per specified drawings and hauling up to 30m and placing in position. [Simple standard forms, each form&lt; 1sqm]</v>
          </cell>
          <cell r="D108" t="str">
            <v>Simple standard formwork of size &lt;1 sqm excluding materials</v>
          </cell>
          <cell r="E108" t="str">
            <v>sqm</v>
          </cell>
          <cell r="F108">
            <v>72.249900000000011</v>
          </cell>
          <cell r="G108">
            <v>254.12877500000002</v>
          </cell>
          <cell r="H108">
            <v>18360.778580872506</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150.37750000000003</v>
          </cell>
          <cell r="Z108">
            <v>10864.759337250003</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103.75127499999999</v>
          </cell>
          <cell r="AX108">
            <v>7496.0192436225007</v>
          </cell>
          <cell r="BD108">
            <v>0</v>
          </cell>
        </row>
        <row r="109">
          <cell r="A109" t="str">
            <v>8.1.b</v>
          </cell>
          <cell r="B109" t="str">
            <v>8-1(b)</v>
          </cell>
          <cell r="C109" t="str">
            <v>Making wooden forms including selection of material, measuring, cutting , fixing, nailing as per specified drawings and hauling up to 30m and placing in position. [Simple standard forms, each form&lt; 2sqm]</v>
          </cell>
          <cell r="D109" t="str">
            <v>Simple standard formwork of size &lt;2 sqm excluding materials</v>
          </cell>
          <cell r="E109" t="str">
            <v>sqm</v>
          </cell>
          <cell r="F109">
            <v>59.101720000000007</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BD109">
            <v>0</v>
          </cell>
        </row>
        <row r="110">
          <cell r="A110" t="str">
            <v>8.1.c</v>
          </cell>
          <cell r="B110" t="str">
            <v>8-1(c)</v>
          </cell>
          <cell r="C110" t="str">
            <v>Making wooden forms including selection of material, measuring, cutting , fixing, nailing as per specified drawings and hauling up to 30m and placing in position. [Standard forms, each form&lt; 1sqm]</v>
          </cell>
          <cell r="D110" t="str">
            <v>Standard formwork of size &lt;1 sqm excluding materials</v>
          </cell>
          <cell r="E110" t="str">
            <v>sqm</v>
          </cell>
          <cell r="F110">
            <v>51.542079999999999</v>
          </cell>
          <cell r="G110">
            <v>105.84</v>
          </cell>
          <cell r="H110">
            <v>5455.2137472000004</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54.720000000000006</v>
          </cell>
          <cell r="AD110">
            <v>2820.3826176000002</v>
          </cell>
          <cell r="AE110">
            <v>0</v>
          </cell>
          <cell r="AF110">
            <v>0</v>
          </cell>
          <cell r="AG110">
            <v>0</v>
          </cell>
          <cell r="AH110">
            <v>0</v>
          </cell>
          <cell r="AI110">
            <v>0</v>
          </cell>
          <cell r="AJ110">
            <v>0</v>
          </cell>
          <cell r="AK110">
            <v>0</v>
          </cell>
          <cell r="AL110">
            <v>0</v>
          </cell>
          <cell r="AM110">
            <v>0</v>
          </cell>
          <cell r="AN110">
            <v>0</v>
          </cell>
          <cell r="AO110">
            <v>14.400000000000002</v>
          </cell>
          <cell r="AP110">
            <v>742.20595200000014</v>
          </cell>
          <cell r="AQ110">
            <v>36.720000000000006</v>
          </cell>
          <cell r="AR110">
            <v>1892.6251776000001</v>
          </cell>
          <cell r="AS110">
            <v>0</v>
          </cell>
          <cell r="AT110">
            <v>0</v>
          </cell>
          <cell r="AU110">
            <v>0</v>
          </cell>
          <cell r="AV110">
            <v>0</v>
          </cell>
          <cell r="AW110">
            <v>0</v>
          </cell>
          <cell r="AX110">
            <v>0</v>
          </cell>
          <cell r="BD110">
            <v>0</v>
          </cell>
        </row>
        <row r="111">
          <cell r="A111" t="str">
            <v>8.1.d</v>
          </cell>
          <cell r="B111" t="str">
            <v>8-1(d)</v>
          </cell>
          <cell r="C111" t="str">
            <v>Making wooden forms including selection of material, measuring, cutting , fixing, nailing as per specified drawings and hauling up to 30m and placing in position. [Standard forms, each form&gt; 1sqm]</v>
          </cell>
          <cell r="D111" t="str">
            <v>Standard formwork of size &gt;1 sqm excluding materials</v>
          </cell>
          <cell r="E111" t="str">
            <v>sqm</v>
          </cell>
          <cell r="F111">
            <v>41.267060000000001</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BD111">
            <v>0</v>
          </cell>
        </row>
        <row r="112">
          <cell r="A112" t="str">
            <v>8.2.a</v>
          </cell>
          <cell r="B112" t="str">
            <v>8-2(a)</v>
          </cell>
          <cell r="C112" t="str">
            <v>Making wooden forms for beam, column and slab including supply &amp; selection of material, fixing, nailing, placing separators, dismantling forms and hauling up to 30m distance</v>
          </cell>
          <cell r="D112" t="str">
            <v>Formwork for flooring and slab including materials</v>
          </cell>
          <cell r="E112" t="str">
            <v>sqm</v>
          </cell>
          <cell r="F112">
            <v>241.29415</v>
          </cell>
          <cell r="G112">
            <v>8687.7417478169082</v>
          </cell>
          <cell r="H112">
            <v>2096301.2604589951</v>
          </cell>
          <cell r="I112">
            <v>0</v>
          </cell>
          <cell r="J112">
            <v>0</v>
          </cell>
          <cell r="K112">
            <v>204.73399999999998</v>
          </cell>
          <cell r="L112">
            <v>49401.116506099999</v>
          </cell>
          <cell r="M112">
            <v>124.94999999999999</v>
          </cell>
          <cell r="N112">
            <v>30149.704042499998</v>
          </cell>
          <cell r="O112">
            <v>355.495</v>
          </cell>
          <cell r="P112">
            <v>85778.863854249998</v>
          </cell>
          <cell r="Q112">
            <v>366.13</v>
          </cell>
          <cell r="R112">
            <v>88345.027139500002</v>
          </cell>
          <cell r="S112">
            <v>689.59664999999995</v>
          </cell>
          <cell r="T112">
            <v>166395.63750459749</v>
          </cell>
          <cell r="U112">
            <v>1662.6</v>
          </cell>
          <cell r="V112">
            <v>401175.65378999995</v>
          </cell>
          <cell r="W112">
            <v>0</v>
          </cell>
          <cell r="X112">
            <v>0</v>
          </cell>
          <cell r="Y112">
            <v>0</v>
          </cell>
          <cell r="Z112">
            <v>0</v>
          </cell>
          <cell r="AA112">
            <v>0</v>
          </cell>
          <cell r="AB112">
            <v>0</v>
          </cell>
          <cell r="AC112">
            <v>0</v>
          </cell>
          <cell r="AD112">
            <v>0</v>
          </cell>
          <cell r="AE112">
            <v>214.61226774053017</v>
          </cell>
          <cell r="AF112">
            <v>51784.684724023646</v>
          </cell>
          <cell r="AG112">
            <v>328.51538723476597</v>
          </cell>
          <cell r="AH112">
            <v>79268.841124733706</v>
          </cell>
          <cell r="AI112">
            <v>0</v>
          </cell>
          <cell r="AJ112">
            <v>0</v>
          </cell>
          <cell r="AK112">
            <v>1710.8458741837112</v>
          </cell>
          <cell r="AL112">
            <v>412817.10099216556</v>
          </cell>
          <cell r="AM112">
            <v>0</v>
          </cell>
          <cell r="AN112">
            <v>0</v>
          </cell>
          <cell r="AO112">
            <v>0</v>
          </cell>
          <cell r="AP112">
            <v>0</v>
          </cell>
          <cell r="AQ112">
            <v>0</v>
          </cell>
          <cell r="AR112">
            <v>0</v>
          </cell>
          <cell r="AS112">
            <v>1724.9575686579012</v>
          </cell>
          <cell r="AT112">
            <v>416222.17031537491</v>
          </cell>
          <cell r="AU112">
            <v>1660.8</v>
          </cell>
          <cell r="AV112">
            <v>400741.32432000001</v>
          </cell>
          <cell r="AW112">
            <v>0</v>
          </cell>
          <cell r="AX112">
            <v>0</v>
          </cell>
          <cell r="BD112">
            <v>2718.32665</v>
          </cell>
        </row>
        <row r="113">
          <cell r="A113" t="str">
            <v>8.2.b</v>
          </cell>
          <cell r="B113" t="str">
            <v>8-2(b)</v>
          </cell>
          <cell r="C113" t="str">
            <v>Making wooden forms for vertical surface, wall etc. (4m high &amp; up to 0.5 m wide) including supply &amp; selection of material, fixing, nailing, placing separators, dismantling forms and hauling up to 30m distance</v>
          </cell>
          <cell r="D113" t="str">
            <v>Formwork for wall (4 m height and 0.5 m wide) including materials</v>
          </cell>
          <cell r="E113" t="str">
            <v>sqm</v>
          </cell>
          <cell r="F113">
            <v>231.72154999999998</v>
          </cell>
          <cell r="G113">
            <v>88.92</v>
          </cell>
          <cell r="H113">
            <v>20604.680225999997</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79.92</v>
          </cell>
          <cell r="AJ113">
            <v>18519.186276</v>
          </cell>
          <cell r="AK113">
            <v>0</v>
          </cell>
          <cell r="AL113">
            <v>0</v>
          </cell>
          <cell r="AM113">
            <v>0</v>
          </cell>
          <cell r="AN113">
            <v>0</v>
          </cell>
          <cell r="AO113">
            <v>0</v>
          </cell>
          <cell r="AP113">
            <v>0</v>
          </cell>
          <cell r="AQ113">
            <v>9</v>
          </cell>
          <cell r="AR113">
            <v>2085.49395</v>
          </cell>
          <cell r="AS113">
            <v>0</v>
          </cell>
          <cell r="AT113">
            <v>0</v>
          </cell>
          <cell r="AU113">
            <v>0</v>
          </cell>
          <cell r="AV113">
            <v>0</v>
          </cell>
          <cell r="AW113">
            <v>0</v>
          </cell>
          <cell r="AX113">
            <v>0</v>
          </cell>
          <cell r="BD113">
            <v>0</v>
          </cell>
        </row>
        <row r="114">
          <cell r="A114" t="str">
            <v>8.2.c</v>
          </cell>
          <cell r="B114" t="str">
            <v>8-2(c)</v>
          </cell>
          <cell r="C114" t="str">
            <v>Making wooden forms for vertical surface, wall etc. (4.5m high &amp; up to 0.5 m wide) including supply &amp; selection of material, fixing, nailing, placing separators, dismantling forms and hauling up to 30m distance</v>
          </cell>
          <cell r="D114" t="str">
            <v>Formwork for wall (4.5 m height and 0.5 m wide) including materials</v>
          </cell>
          <cell r="E114" t="str">
            <v>sqm</v>
          </cell>
          <cell r="F114">
            <v>329.19267500000001</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BD114">
            <v>0</v>
          </cell>
        </row>
        <row r="115">
          <cell r="A115" t="str">
            <v>8.2.d</v>
          </cell>
          <cell r="B115" t="str">
            <v>8-2(d)</v>
          </cell>
          <cell r="C115" t="str">
            <v>Making wooden forms for vertical surface, wall etc. (5-10m high &amp; up to 0.5 m wide) including supply &amp; selection of material, fixing, nailing, placing separators, dismantling forms and hauling up to 30m distance</v>
          </cell>
          <cell r="D115" t="str">
            <v>Formwork for wall (5 to 10 m height and 0.5 m wide) including materials</v>
          </cell>
          <cell r="E115" t="str">
            <v>sqm</v>
          </cell>
          <cell r="F115">
            <v>686.8282999999999</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BD115">
            <v>0</v>
          </cell>
        </row>
        <row r="116">
          <cell r="A116" t="str">
            <v>8.2.e</v>
          </cell>
          <cell r="B116" t="str">
            <v>8-2(e)</v>
          </cell>
          <cell r="C116" t="str">
            <v>Making wooden forms for vertical surface, wall etc. (5m high &amp; up to 0.5-1.0 m wide) including supply &amp; selection of material, fixing, nailing, placing separators, dismantling forms and hauling up to 30m distance</v>
          </cell>
          <cell r="D116" t="str">
            <v>Formwork for wall (5 m height and 0.5 to 1 m wide) including materials</v>
          </cell>
          <cell r="E116" t="str">
            <v>sqm</v>
          </cell>
          <cell r="F116">
            <v>166.43720000000002</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BD116">
            <v>0</v>
          </cell>
        </row>
        <row r="117">
          <cell r="A117" t="str">
            <v>8.2.f</v>
          </cell>
          <cell r="B117" t="str">
            <v>8-2(f)</v>
          </cell>
          <cell r="C117" t="str">
            <v>Making wooden forms for vertical surface, wall etc. (5-10m high &amp; up to 0.5-1.0 m wide) including supply &amp; selection of material, fixing, nailing, placing separators, dismantling forms and hauling up to 30m distance</v>
          </cell>
          <cell r="D117" t="str">
            <v>Formwork for wall (5 m height and 0.5 to 1 m wide) including materials</v>
          </cell>
          <cell r="E117" t="str">
            <v>sqm</v>
          </cell>
          <cell r="F117">
            <v>641.01345000000003</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BD117">
            <v>0</v>
          </cell>
        </row>
        <row r="118">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BD118">
            <v>0</v>
          </cell>
        </row>
        <row r="119">
          <cell r="C119" t="str">
            <v>WOOD WORKS</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BD119">
            <v>0</v>
          </cell>
        </row>
        <row r="120">
          <cell r="A120">
            <v>10.1</v>
          </cell>
          <cell r="B120" t="str">
            <v>10-1</v>
          </cell>
          <cell r="C120" t="str">
            <v>Fabrication and installation of Salwood frame for door and windows</v>
          </cell>
          <cell r="D120" t="str">
            <v>Salwood frame work for door and windows</v>
          </cell>
          <cell r="E120" t="str">
            <v>cum</v>
          </cell>
          <cell r="F120">
            <v>45227.199999999997</v>
          </cell>
          <cell r="G120">
            <v>1.44495</v>
          </cell>
          <cell r="H120">
            <v>65351.042639999992</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0.83474999999999999</v>
          </cell>
          <cell r="Z120">
            <v>37753.405199999994</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0.29519999999999996</v>
          </cell>
          <cell r="AT120">
            <v>13351.069439999997</v>
          </cell>
          <cell r="AU120">
            <v>0</v>
          </cell>
          <cell r="AV120">
            <v>0</v>
          </cell>
          <cell r="AW120">
            <v>0.31499999999999995</v>
          </cell>
          <cell r="AX120">
            <v>14246.567999999997</v>
          </cell>
          <cell r="BD120">
            <v>0</v>
          </cell>
        </row>
        <row r="121">
          <cell r="A121">
            <v>10.199999999999999</v>
          </cell>
          <cell r="B121" t="str">
            <v>10-2</v>
          </cell>
          <cell r="C121" t="str">
            <v>Fabrication and installation of panel shutter in 38 x 75 mm salwood frame (based on shutter size 1.07 x 1.982 = 2.12 sqm)</v>
          </cell>
          <cell r="D121" t="str">
            <v>Panel shutter work in 38 x 75 mm salwood frame</v>
          </cell>
          <cell r="E121" t="str">
            <v>sqm</v>
          </cell>
          <cell r="F121">
            <v>2471.0679245283022</v>
          </cell>
          <cell r="G121">
            <v>8.7277500000000003</v>
          </cell>
          <cell r="H121">
            <v>21566.863078301889</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2.7337500000000001</v>
          </cell>
          <cell r="Z121">
            <v>6755.2819386792462</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2.3490000000000002</v>
          </cell>
          <cell r="AT121">
            <v>5804.5385547169826</v>
          </cell>
          <cell r="AU121">
            <v>0</v>
          </cell>
          <cell r="AV121">
            <v>0</v>
          </cell>
          <cell r="AW121">
            <v>3.645</v>
          </cell>
          <cell r="AX121">
            <v>9007.042584905661</v>
          </cell>
          <cell r="BD121">
            <v>0</v>
          </cell>
        </row>
        <row r="122">
          <cell r="A122">
            <v>10.3</v>
          </cell>
          <cell r="B122" t="str">
            <v>10-3</v>
          </cell>
          <cell r="C122" t="str">
            <v>Fabrication and installation of glazed shutter with 4mm float glass in 38 x 75 mm salwood frame (based on shutter size 1.829 x 1.22 = 2.23sqm)</v>
          </cell>
          <cell r="D122" t="str">
            <v xml:space="preserve">Glazed shutter work with 4mm float glass in 38 x 75 mm salwood frame </v>
          </cell>
          <cell r="E122" t="str">
            <v>sqm</v>
          </cell>
          <cell r="F122">
            <v>2111.5413004484308</v>
          </cell>
          <cell r="G122">
            <v>11.070000000000002</v>
          </cell>
          <cell r="H122">
            <v>23374.762195964133</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11.070000000000002</v>
          </cell>
          <cell r="Z122">
            <v>23374.762195964133</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BD122">
            <v>0</v>
          </cell>
        </row>
        <row r="123">
          <cell r="A123">
            <v>10.7</v>
          </cell>
          <cell r="B123" t="str">
            <v>10-7</v>
          </cell>
          <cell r="C123" t="str">
            <v>Fabrication and installation of Flush shutter with 4mm thick commercial plywood in both side in 38 x 75 mm salwood frame (based on shutter size 1.092 x 2.058 = 2.25sqm)</v>
          </cell>
          <cell r="D123" t="str">
            <v xml:space="preserve">Flush shutter work with 4mm plywood in both side in 38 x 75 mm salwood frame </v>
          </cell>
          <cell r="E123" t="str">
            <v>sqm</v>
          </cell>
          <cell r="F123">
            <v>1657.279822222222</v>
          </cell>
          <cell r="G123">
            <v>13.213125</v>
          </cell>
          <cell r="H123">
            <v>21897.845450999997</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8.3531250000000004</v>
          </cell>
          <cell r="Z123">
            <v>13843.465515</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4.8599999999999994</v>
          </cell>
          <cell r="AX123">
            <v>8054.3799359999985</v>
          </cell>
          <cell r="BD123">
            <v>0</v>
          </cell>
        </row>
        <row r="124">
          <cell r="A124">
            <v>10.8</v>
          </cell>
          <cell r="B124" t="str">
            <v>10-8</v>
          </cell>
          <cell r="C124" t="str">
            <v>Fabrication and installation of Flush shutter with 3mm thick teakply on bothside in 38 x 75 mm salwood frame (based on shutter size 1.092 x 2.058 = 2.25sqm)</v>
          </cell>
          <cell r="D124" t="str">
            <v>Flush shutter with 3mm teakply on bothside in 38 x 75 mm salwood frame</v>
          </cell>
          <cell r="E124" t="str">
            <v>sqm</v>
          </cell>
          <cell r="F124">
            <v>2002.8788746531088</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BD124">
            <v>0</v>
          </cell>
        </row>
        <row r="125">
          <cell r="A125">
            <v>10.9</v>
          </cell>
          <cell r="B125" t="str">
            <v>10-9</v>
          </cell>
          <cell r="C125" t="str">
            <v>Fabrication and installation of Flush shutter with 18 gauge Aluminium sheet on bothside in 38 x 75 mm salwood frame (based on shutter size 1.092 x 2.058 = 2.25sqm)</v>
          </cell>
          <cell r="D125" t="str">
            <v>Flush shutter work with 18 gauge Aluminium sheet on bothside in 38 x 75 mm salwood frame</v>
          </cell>
          <cell r="E125" t="str">
            <v>sqm</v>
          </cell>
          <cell r="F125">
            <v>2529.9918222222223</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BD125">
            <v>0</v>
          </cell>
        </row>
        <row r="126">
          <cell r="A126" t="str">
            <v>10.9.1</v>
          </cell>
          <cell r="B126" t="str">
            <v>10-9</v>
          </cell>
          <cell r="C126" t="str">
            <v>Fabrication and installation of Flush door with 18 gauge Aluminium sheet on oneside and 3mm plywood on otherside in 38 x 75 mm salwood frame (based on shutter size 1.092 x 2.058 = 2.25sqm)</v>
          </cell>
          <cell r="D126" t="str">
            <v>Flush door work with 18 gauge Aluminium sheet on oneside and 3mm plywood on otherside in 38 x 75 mm salwood frame</v>
          </cell>
          <cell r="E126" t="str">
            <v>sqm</v>
          </cell>
          <cell r="F126">
            <v>2308.7164888888892</v>
          </cell>
          <cell r="G126">
            <v>1.3668750000000001</v>
          </cell>
          <cell r="H126">
            <v>3155.7268507500007</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1.3668750000000001</v>
          </cell>
          <cell r="Z126">
            <v>3155.7268507500007</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BD126">
            <v>0</v>
          </cell>
        </row>
        <row r="127">
          <cell r="A127" t="str">
            <v>10.10</v>
          </cell>
          <cell r="B127" t="str">
            <v>10-10</v>
          </cell>
          <cell r="C127" t="str">
            <v>Fabrication and installation of shutter with 24 gauge G.I. mosquito net in 38 x 75 mm salwood frame (based on shutter size 1.092 x 2.058 = 2.25sqm)</v>
          </cell>
          <cell r="D127" t="str">
            <v>Meshed shutter work with 24 gauge G.I. mosquito net in 38 x 75 mm salwood frame</v>
          </cell>
          <cell r="E127" t="str">
            <v>sqm</v>
          </cell>
          <cell r="F127">
            <v>1437.0472577777778</v>
          </cell>
          <cell r="G127">
            <v>19.89</v>
          </cell>
          <cell r="H127">
            <v>28582.8699572</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11.070000000000002</v>
          </cell>
          <cell r="Z127">
            <v>15908.113143600003</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8.8199999999999985</v>
          </cell>
          <cell r="AT127">
            <v>12674.756813599997</v>
          </cell>
          <cell r="AU127">
            <v>0</v>
          </cell>
          <cell r="AV127">
            <v>0</v>
          </cell>
          <cell r="AW127">
            <v>0</v>
          </cell>
          <cell r="AX127">
            <v>0</v>
          </cell>
          <cell r="BD127">
            <v>0</v>
          </cell>
        </row>
        <row r="128">
          <cell r="A128">
            <v>10.11</v>
          </cell>
          <cell r="B128" t="str">
            <v>10-11</v>
          </cell>
          <cell r="C128" t="str">
            <v>Installation of 4mm Float glass in timber frame with Salwood bead</v>
          </cell>
          <cell r="D128" t="str">
            <v>Installation of 4mm Float glass in Salwood frame with Salwood bead for closed window</v>
          </cell>
          <cell r="E128" t="str">
            <v>sqm</v>
          </cell>
          <cell r="F128">
            <v>895.67637511617102</v>
          </cell>
          <cell r="G128">
            <v>3.6044999999999998</v>
          </cell>
          <cell r="H128">
            <v>3228.4654941062381</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3.6044999999999998</v>
          </cell>
          <cell r="Z128">
            <v>3228.4654941062381</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BD128">
            <v>0</v>
          </cell>
        </row>
        <row r="129">
          <cell r="C129" t="str">
            <v>FLOORING WORKS</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BD129">
            <v>0</v>
          </cell>
        </row>
        <row r="130">
          <cell r="A130" t="str">
            <v>11.1.a</v>
          </cell>
          <cell r="B130" t="str">
            <v>11-1(a)</v>
          </cell>
          <cell r="C130" t="str">
            <v>25 mm thick plain cement concrete work in M15 concrete mix in flooring work including materials, required form work, curing all complete works</v>
          </cell>
          <cell r="D130" t="str">
            <v>25 mm PCC in M15 concrete mix in flooring work</v>
          </cell>
          <cell r="E130" t="str">
            <v>sqm</v>
          </cell>
          <cell r="F130">
            <v>168.86183766484376</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BD130">
            <v>0</v>
          </cell>
        </row>
        <row r="131">
          <cell r="A131" t="str">
            <v>11.1.b</v>
          </cell>
          <cell r="B131" t="str">
            <v>11-1(b)</v>
          </cell>
          <cell r="C131" t="str">
            <v>38 mm thick plain cement concrete work in M15 concrete mix in flooring work including materials, required form work, curing all complete works</v>
          </cell>
          <cell r="D131" t="str">
            <v>38 mm PCC in M15 concrete mix in flooring work</v>
          </cell>
          <cell r="E131" t="str">
            <v>sqm</v>
          </cell>
          <cell r="F131">
            <v>244.64350952171873</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BD131">
            <v>0</v>
          </cell>
        </row>
        <row r="132">
          <cell r="A132" t="str">
            <v>11.1.c</v>
          </cell>
          <cell r="B132" t="str">
            <v>11-1(c)</v>
          </cell>
          <cell r="C132" t="str">
            <v>50 mm thick plain cement concrete work in M15 concrete mix in flooring work including materials, required form work, curing all complete works</v>
          </cell>
          <cell r="D132" t="str">
            <v>50 mm PCC in M15 concrete mix in flooring work</v>
          </cell>
          <cell r="E132" t="str">
            <v>sqm</v>
          </cell>
          <cell r="F132">
            <v>308.07752143140624</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BD132">
            <v>0</v>
          </cell>
        </row>
        <row r="133">
          <cell r="A133" t="str">
            <v>11.1.d</v>
          </cell>
          <cell r="B133" t="str">
            <v>11-1(d)</v>
          </cell>
          <cell r="C133" t="str">
            <v>75 mm thick plain cement concrete work in M15 concrete mix in flooring work including materials, required form work, curing all complete works</v>
          </cell>
          <cell r="D133" t="str">
            <v>75 mm PCC in M15 concrete mix in flooring work</v>
          </cell>
          <cell r="E133" t="str">
            <v>sqm</v>
          </cell>
          <cell r="F133">
            <v>443.3966595403125</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BD133">
            <v>0</v>
          </cell>
        </row>
        <row r="134">
          <cell r="A134">
            <v>11.4</v>
          </cell>
          <cell r="B134" t="str">
            <v>11-4</v>
          </cell>
          <cell r="C134" t="str">
            <v>20mm thick mosaic flooring with 12.5 thick cement plaster (1:2) base course and 6.5 mm thick marble chips white cement (1:1) surface course including rubbing and polishing</v>
          </cell>
          <cell r="D134" t="str">
            <v>20mm mosaic flooring with white cement in (1:1) over 12.5 thick cement plaster (1:2)</v>
          </cell>
          <cell r="E134" t="str">
            <v>sqm</v>
          </cell>
          <cell r="F134">
            <v>693.96398108373421</v>
          </cell>
          <cell r="G134">
            <v>0</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BD134">
            <v>0</v>
          </cell>
        </row>
        <row r="135">
          <cell r="A135" t="str">
            <v>11.6.1</v>
          </cell>
          <cell r="B135" t="str">
            <v>11-6</v>
          </cell>
          <cell r="C135" t="str">
            <v>20 mm thick marble flooring on 20mm thick 1:2 cement sand mortar including rubbing and polishing</v>
          </cell>
          <cell r="D135" t="str">
            <v>20 mm marble flooring on 20mm thick 1:2 mortar</v>
          </cell>
          <cell r="E135" t="str">
            <v>sqm</v>
          </cell>
          <cell r="F135">
            <v>2179.9249126324999</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BD135">
            <v>0</v>
          </cell>
        </row>
        <row r="136">
          <cell r="A136" t="str">
            <v>11.6.2</v>
          </cell>
          <cell r="B136" t="str">
            <v>11-6</v>
          </cell>
          <cell r="C136" t="str">
            <v>25 mm thick Kota stone flooring on 20mm thick 1:4 cement sand mortar including rubbing and polishing</v>
          </cell>
          <cell r="D136" t="str">
            <v>25 mm Kota stone flooring on 20mm thick 1:4 mortar</v>
          </cell>
          <cell r="E136" t="str">
            <v>sqm</v>
          </cell>
          <cell r="F136">
            <v>1037.278498184422</v>
          </cell>
          <cell r="G136">
            <v>32.085636363636361</v>
          </cell>
          <cell r="H136">
            <v>33281.740700564202</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3.5819999999999999</v>
          </cell>
          <cell r="Z136">
            <v>3715.5315804965994</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28.503636363636364</v>
          </cell>
          <cell r="AX136">
            <v>29566.209120067608</v>
          </cell>
          <cell r="BD136">
            <v>0</v>
          </cell>
        </row>
        <row r="137">
          <cell r="A137">
            <v>11.7</v>
          </cell>
          <cell r="B137" t="str">
            <v>11-7</v>
          </cell>
          <cell r="C137" t="str">
            <v>Porcelain glazed tiles overlay in 1:4 cement sand mortar</v>
          </cell>
          <cell r="D137" t="str">
            <v>Porcelain glazed tiles overlay in 1:4 cement sand mortar</v>
          </cell>
          <cell r="E137" t="str">
            <v>sqm</v>
          </cell>
          <cell r="F137">
            <v>808.7618276893752</v>
          </cell>
          <cell r="G137">
            <v>16.927499999999998</v>
          </cell>
          <cell r="H137">
            <v>13690.315838211898</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12.36</v>
          </cell>
          <cell r="Z137">
            <v>9996.2961902406769</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4.5674999999999999</v>
          </cell>
          <cell r="AX137">
            <v>3694.0196479712213</v>
          </cell>
          <cell r="BD137">
            <v>0</v>
          </cell>
        </row>
        <row r="138">
          <cell r="A138" t="str">
            <v>11.7.1</v>
          </cell>
          <cell r="B138" t="str">
            <v>11-7</v>
          </cell>
          <cell r="C138" t="str">
            <v>Porcelain non-glazed tiles overlay in 1:4 cement sand mortar</v>
          </cell>
          <cell r="D138" t="str">
            <v>Porcelain non-glazed tiles overlay in 1:4 cement sand mortar</v>
          </cell>
          <cell r="E138" t="str">
            <v>sqm</v>
          </cell>
          <cell r="F138">
            <v>1429.244327689375</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BD138">
            <v>0</v>
          </cell>
        </row>
        <row r="139">
          <cell r="A139" t="str">
            <v>11.15.a</v>
          </cell>
          <cell r="B139" t="str">
            <v>11-15(a)</v>
          </cell>
          <cell r="C139" t="str">
            <v xml:space="preserve">Brick soling on flat with sand </v>
          </cell>
          <cell r="D139" t="str">
            <v xml:space="preserve">Brick soling on flat with sand </v>
          </cell>
          <cell r="E139" t="str">
            <v>sqm</v>
          </cell>
          <cell r="F139">
            <v>189.46513869296876</v>
          </cell>
          <cell r="G139">
            <v>0</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BD139">
            <v>0</v>
          </cell>
        </row>
        <row r="140">
          <cell r="A140" t="str">
            <v>11.15.b</v>
          </cell>
          <cell r="B140" t="str">
            <v>11-15(b)</v>
          </cell>
          <cell r="C140" t="str">
            <v xml:space="preserve">Brick soling on edge with sand </v>
          </cell>
          <cell r="D140" t="str">
            <v xml:space="preserve">Brick soling on edge with sand </v>
          </cell>
          <cell r="E140" t="str">
            <v>sqm</v>
          </cell>
          <cell r="F140">
            <v>343.27430057539067</v>
          </cell>
          <cell r="G140">
            <v>134.15015499999998</v>
          </cell>
          <cell r="H140">
            <v>46050.300629705242</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48.9</v>
          </cell>
          <cell r="Z140">
            <v>16786.113298136603</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85.250154999999992</v>
          </cell>
          <cell r="AX140">
            <v>29264.187331568643</v>
          </cell>
          <cell r="BD140">
            <v>0</v>
          </cell>
        </row>
        <row r="141">
          <cell r="A141">
            <v>11.16</v>
          </cell>
          <cell r="B141" t="str">
            <v>11-16</v>
          </cell>
          <cell r="C141" t="str">
            <v xml:space="preserve">Stone soling with sand </v>
          </cell>
          <cell r="D141" t="str">
            <v xml:space="preserve">Stone soling with sand </v>
          </cell>
          <cell r="E141" t="str">
            <v>cum</v>
          </cell>
          <cell r="F141">
            <v>1371.1740676875002</v>
          </cell>
          <cell r="G141">
            <v>1083.078224349535</v>
          </cell>
          <cell r="H141">
            <v>1485088.774505107</v>
          </cell>
          <cell r="I141">
            <v>0</v>
          </cell>
          <cell r="J141">
            <v>0</v>
          </cell>
          <cell r="K141">
            <v>0</v>
          </cell>
          <cell r="L141">
            <v>0</v>
          </cell>
          <cell r="M141">
            <v>9.8749439999999975</v>
          </cell>
          <cell r="N141">
            <v>13540.267132666269</v>
          </cell>
          <cell r="O141">
            <v>30</v>
          </cell>
          <cell r="P141">
            <v>41135.222030625002</v>
          </cell>
          <cell r="Q141">
            <v>28.558</v>
          </cell>
          <cell r="R141">
            <v>39157.989025019626</v>
          </cell>
          <cell r="S141">
            <v>31.713500000000003</v>
          </cell>
          <cell r="T141">
            <v>43484.728795607538</v>
          </cell>
          <cell r="U141">
            <v>69.828000000000003</v>
          </cell>
          <cell r="V141">
            <v>95746.342798482758</v>
          </cell>
          <cell r="W141">
            <v>20.501249999999995</v>
          </cell>
          <cell r="X141">
            <v>28110.782355178355</v>
          </cell>
          <cell r="Y141">
            <v>0</v>
          </cell>
          <cell r="Z141">
            <v>0</v>
          </cell>
          <cell r="AA141">
            <v>0</v>
          </cell>
          <cell r="AB141">
            <v>0</v>
          </cell>
          <cell r="AC141">
            <v>43.58400000000001</v>
          </cell>
          <cell r="AD141">
            <v>59761.250566092021</v>
          </cell>
          <cell r="AE141">
            <v>8.2424999999999997</v>
          </cell>
          <cell r="AF141">
            <v>11301.90225291422</v>
          </cell>
          <cell r="AG141">
            <v>12.487499999999999</v>
          </cell>
          <cell r="AH141">
            <v>17122.536170247658</v>
          </cell>
          <cell r="AI141">
            <v>96.763400000000004</v>
          </cell>
          <cell r="AJ141">
            <v>132679.46478127266</v>
          </cell>
          <cell r="AK141">
            <v>58.300499999999992</v>
          </cell>
          <cell r="AL141">
            <v>79940.133733215087</v>
          </cell>
          <cell r="AM141">
            <v>0</v>
          </cell>
          <cell r="AN141">
            <v>0</v>
          </cell>
          <cell r="AO141">
            <v>0</v>
          </cell>
          <cell r="AP141">
            <v>0</v>
          </cell>
          <cell r="AQ141">
            <v>0.36749999999999994</v>
          </cell>
          <cell r="AR141">
            <v>503.90646987515623</v>
          </cell>
          <cell r="AS141">
            <v>70.145130349534966</v>
          </cell>
          <cell r="AT141">
            <v>96181.183709841775</v>
          </cell>
          <cell r="AU141">
            <v>632.71199999999999</v>
          </cell>
          <cell r="AV141">
            <v>867558.28671469353</v>
          </cell>
          <cell r="AW141">
            <v>0</v>
          </cell>
          <cell r="AX141">
            <v>0</v>
          </cell>
          <cell r="BD141">
            <v>150.60075000000001</v>
          </cell>
        </row>
        <row r="142">
          <cell r="A142" t="str">
            <v>11.19.a</v>
          </cell>
          <cell r="B142" t="str">
            <v>11-19(a)</v>
          </cell>
          <cell r="C142" t="str">
            <v>Sand filling and compaction work with sprinkling of water</v>
          </cell>
          <cell r="D142" t="str">
            <v>Sand filling with compaction and sprinkling of water</v>
          </cell>
          <cell r="E142" t="str">
            <v>cum</v>
          </cell>
          <cell r="F142">
            <v>1020.3712963437499</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BD142">
            <v>0</v>
          </cell>
        </row>
        <row r="143">
          <cell r="A143" t="str">
            <v>11.19.b</v>
          </cell>
          <cell r="B143" t="str">
            <v>11-19(b)</v>
          </cell>
          <cell r="C143" t="str">
            <v>Brick bats filling and compaction work with sprinkling of water</v>
          </cell>
          <cell r="D143" t="str">
            <v>Brick bats filling with compaction and sprinkling of water</v>
          </cell>
          <cell r="E143" t="str">
            <v>cum</v>
          </cell>
          <cell r="F143">
            <v>1255.2513442359377</v>
          </cell>
          <cell r="G143">
            <v>8.2949999999999999</v>
          </cell>
          <cell r="H143">
            <v>10412.309900437103</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8.2949999999999999</v>
          </cell>
          <cell r="AX143">
            <v>10412.309900437103</v>
          </cell>
          <cell r="BD143">
            <v>0</v>
          </cell>
        </row>
        <row r="144">
          <cell r="C144" t="str">
            <v>PLASTERING WORKS</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BD144">
            <v>0</v>
          </cell>
        </row>
        <row r="145">
          <cell r="A145" t="str">
            <v>12.1.a</v>
          </cell>
          <cell r="B145" t="str">
            <v>12-1(a)</v>
          </cell>
          <cell r="C145" t="str">
            <v>12.5 mm thick cement sand plastering works in 1:2 ration in walls and floor</v>
          </cell>
          <cell r="D145" t="str">
            <v>12.5 mm plastering works in 1:2 cement sand mortar</v>
          </cell>
          <cell r="E145" t="str">
            <v>sqm</v>
          </cell>
          <cell r="F145">
            <v>104.97353703753124</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BD145">
            <v>0</v>
          </cell>
        </row>
        <row r="146">
          <cell r="A146" t="str">
            <v>12.1.b</v>
          </cell>
          <cell r="B146" t="str">
            <v>12-1(b)</v>
          </cell>
          <cell r="C146" t="str">
            <v>12.5 mm thick cement sand plastering works in 1:3 ration in walls and floor</v>
          </cell>
          <cell r="D146" t="str">
            <v>12.5 mm plastering works in 1:3 cement sand mortar</v>
          </cell>
          <cell r="E146" t="str">
            <v>sqm</v>
          </cell>
          <cell r="F146">
            <v>87.804354924304675</v>
          </cell>
          <cell r="G146">
            <v>5176.7137723704946</v>
          </cell>
          <cell r="H146">
            <v>454538.01341075508</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137.405</v>
          </cell>
          <cell r="Z146">
            <v>12064.757388374084</v>
          </cell>
          <cell r="AA146">
            <v>0</v>
          </cell>
          <cell r="AB146">
            <v>0</v>
          </cell>
          <cell r="AC146">
            <v>0</v>
          </cell>
          <cell r="AD146">
            <v>0</v>
          </cell>
          <cell r="AE146">
            <v>247.16453548106034</v>
          </cell>
          <cell r="AF146">
            <v>21702.122598079917</v>
          </cell>
          <cell r="AG146">
            <v>375.09077446953188</v>
          </cell>
          <cell r="AH146">
            <v>32934.603490355097</v>
          </cell>
          <cell r="AI146">
            <v>0</v>
          </cell>
          <cell r="AJ146">
            <v>0</v>
          </cell>
          <cell r="AK146">
            <v>1942.5517483674225</v>
          </cell>
          <cell r="AL146">
            <v>170564.50317248175</v>
          </cell>
          <cell r="AM146">
            <v>0</v>
          </cell>
          <cell r="AN146">
            <v>0</v>
          </cell>
          <cell r="AO146">
            <v>0</v>
          </cell>
          <cell r="AP146">
            <v>0</v>
          </cell>
          <cell r="AQ146">
            <v>0</v>
          </cell>
          <cell r="AR146">
            <v>0</v>
          </cell>
          <cell r="AS146">
            <v>2228.9380640524791</v>
          </cell>
          <cell r="AT146">
            <v>195710.46888035643</v>
          </cell>
          <cell r="AU146">
            <v>0</v>
          </cell>
          <cell r="AV146">
            <v>0</v>
          </cell>
          <cell r="AW146">
            <v>245.56365000000002</v>
          </cell>
          <cell r="AX146">
            <v>21561.557881107732</v>
          </cell>
          <cell r="BD146">
            <v>0</v>
          </cell>
        </row>
        <row r="147">
          <cell r="A147" t="str">
            <v>12.1.c</v>
          </cell>
          <cell r="B147" t="str">
            <v>12-1(c)</v>
          </cell>
          <cell r="C147" t="str">
            <v>12.5 mm thick cement sand plastering works in 1:4 ration in walls and floor</v>
          </cell>
          <cell r="D147" t="str">
            <v>12.5 mm plastering works in 1:4 cement sand mortar</v>
          </cell>
          <cell r="E147" t="str">
            <v>sqm</v>
          </cell>
          <cell r="F147">
            <v>83.687917974834363</v>
          </cell>
          <cell r="G147">
            <v>56.426000000000002</v>
          </cell>
          <cell r="H147">
            <v>4722.1744596480039</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12.426000000000002</v>
          </cell>
          <cell r="Z147">
            <v>1039.9060687552919</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44</v>
          </cell>
          <cell r="AX147">
            <v>3682.268390892712</v>
          </cell>
          <cell r="BD147">
            <v>0</v>
          </cell>
        </row>
        <row r="148">
          <cell r="A148" t="str">
            <v>12.1.d</v>
          </cell>
          <cell r="B148" t="str">
            <v>12-1(d)</v>
          </cell>
          <cell r="C148" t="str">
            <v>12.5 mm thick cement sand plastering works in 1:6 ration in walls and floor</v>
          </cell>
          <cell r="D148" t="str">
            <v>12.5 mm plastering works in 1:6 cement sand mortar</v>
          </cell>
          <cell r="E148" t="str">
            <v>sqm</v>
          </cell>
          <cell r="F148">
            <v>74.56881389194686</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BD148">
            <v>0</v>
          </cell>
        </row>
        <row r="149">
          <cell r="A149" t="str">
            <v>12.4.a</v>
          </cell>
          <cell r="B149" t="str">
            <v>12-4(a)</v>
          </cell>
          <cell r="C149" t="str">
            <v>20 mm thick cement sand plastering works in 1:3 ration in walls and floor</v>
          </cell>
          <cell r="D149" t="str">
            <v>20 mm plastering works in 1:3 cement sand mortar</v>
          </cell>
          <cell r="E149" t="str">
            <v>sqm</v>
          </cell>
          <cell r="F149">
            <v>176.78511684939062</v>
          </cell>
          <cell r="G149">
            <v>2846.9718549999998</v>
          </cell>
          <cell r="H149">
            <v>503302.25205310131</v>
          </cell>
          <cell r="I149">
            <v>0</v>
          </cell>
          <cell r="J149">
            <v>0</v>
          </cell>
          <cell r="K149">
            <v>0</v>
          </cell>
          <cell r="L149">
            <v>0</v>
          </cell>
          <cell r="M149">
            <v>89.828279999999992</v>
          </cell>
          <cell r="N149">
            <v>15880.302976179777</v>
          </cell>
          <cell r="O149">
            <v>325.98499999999996</v>
          </cell>
          <cell r="P149">
            <v>57629.296316148597</v>
          </cell>
          <cell r="Q149">
            <v>493.09</v>
          </cell>
          <cell r="R149">
            <v>87170.973267266018</v>
          </cell>
          <cell r="S149">
            <v>583.17357499999991</v>
          </cell>
          <cell r="T149">
            <v>103096.40859985184</v>
          </cell>
          <cell r="U149">
            <v>1680.88</v>
          </cell>
          <cell r="V149">
            <v>297154.56720980373</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BD149">
            <v>2757.1435750000001</v>
          </cell>
        </row>
        <row r="150">
          <cell r="A150" t="str">
            <v>12.4.b</v>
          </cell>
          <cell r="B150" t="str">
            <v>12-4(b)</v>
          </cell>
          <cell r="C150" t="str">
            <v>20 mm thick cement sand plastering works in 1:4 ration in walls and floor</v>
          </cell>
          <cell r="D150" t="str">
            <v>20 mm plastering works in 1:4 cement sand mortar</v>
          </cell>
          <cell r="E150" t="str">
            <v>sqm</v>
          </cell>
          <cell r="F150">
            <v>113.70820818442188</v>
          </cell>
          <cell r="G150">
            <v>64.456975</v>
          </cell>
          <cell r="H150">
            <v>7329.2871322380761</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64.456975</v>
          </cell>
          <cell r="Z150">
            <v>7329.2871322380761</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BD150">
            <v>0</v>
          </cell>
        </row>
        <row r="151">
          <cell r="A151" t="str">
            <v>12.4.c</v>
          </cell>
          <cell r="B151" t="str">
            <v>12-4(c)</v>
          </cell>
          <cell r="C151" t="str">
            <v>20 mm thick cement sand plastering works in 1:6 ration in walls and floor</v>
          </cell>
          <cell r="D151" t="str">
            <v>20 mm plastering works in 1:6 cement sand mortar</v>
          </cell>
          <cell r="E151" t="str">
            <v>sqm</v>
          </cell>
          <cell r="F151">
            <v>99.521731833765628</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BD151">
            <v>0</v>
          </cell>
        </row>
        <row r="152">
          <cell r="C152" t="str">
            <v>PAINTING WORKS</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BD152">
            <v>0</v>
          </cell>
        </row>
        <row r="153">
          <cell r="A153" t="str">
            <v>13.3.a</v>
          </cell>
          <cell r="B153" t="str">
            <v>13-3(a)</v>
          </cell>
          <cell r="C153" t="str">
            <v>Laying base course for distemper paint</v>
          </cell>
          <cell r="D153" t="str">
            <v>Laying base course for distemper paint</v>
          </cell>
          <cell r="E153" t="str">
            <v>sqm</v>
          </cell>
          <cell r="F153">
            <v>11.753</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BD153">
            <v>0</v>
          </cell>
        </row>
        <row r="154">
          <cell r="A154" t="str">
            <v>13.3.b</v>
          </cell>
          <cell r="B154" t="str">
            <v>13-3(a)+(b)</v>
          </cell>
          <cell r="C154" t="str">
            <v>Laying base course and one coat of distemper paint</v>
          </cell>
          <cell r="D154" t="str">
            <v>Laying base course and one coat of distemper paint</v>
          </cell>
          <cell r="E154" t="str">
            <v>sqm</v>
          </cell>
          <cell r="F154">
            <v>21.079499999999999</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BD154">
            <v>0</v>
          </cell>
        </row>
        <row r="155">
          <cell r="A155" t="str">
            <v>13.3.c</v>
          </cell>
          <cell r="B155" t="str">
            <v>13-3(a)+(b)+©</v>
          </cell>
          <cell r="C155" t="str">
            <v>Laying base course and two coats of distemper paint</v>
          </cell>
          <cell r="D155" t="str">
            <v>Laying base course and two coats of distemper paint</v>
          </cell>
          <cell r="E155" t="str">
            <v>sqm</v>
          </cell>
          <cell r="F155">
            <v>28.9846</v>
          </cell>
          <cell r="G155">
            <v>151.005</v>
          </cell>
          <cell r="H155">
            <v>4376.8195230000001</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151.005</v>
          </cell>
          <cell r="Z155">
            <v>4376.8195230000001</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BD155">
            <v>0</v>
          </cell>
        </row>
        <row r="156">
          <cell r="A156" t="str">
            <v>13.4.a</v>
          </cell>
          <cell r="B156" t="str">
            <v>13-4(a)</v>
          </cell>
          <cell r="C156" t="str">
            <v>Laying one coat of water proof cement paint</v>
          </cell>
          <cell r="D156" t="str">
            <v>Laying one coat of water proof cement paint</v>
          </cell>
          <cell r="E156" t="str">
            <v>sqm</v>
          </cell>
          <cell r="F156">
            <v>31.315650000000002</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BD156">
            <v>0</v>
          </cell>
        </row>
        <row r="157">
          <cell r="A157" t="str">
            <v>13.4.b</v>
          </cell>
          <cell r="B157" t="str">
            <v>13-4(b)</v>
          </cell>
          <cell r="C157" t="str">
            <v>Laying two coat of water proof cement paint</v>
          </cell>
          <cell r="D157" t="str">
            <v>Laying two coat of water proof cement paint</v>
          </cell>
          <cell r="E157" t="str">
            <v>sqm</v>
          </cell>
          <cell r="F157">
            <v>56.919250000000005</v>
          </cell>
          <cell r="G157">
            <v>369.93365</v>
          </cell>
          <cell r="H157">
            <v>21056.345907762501</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124.36999999999999</v>
          </cell>
          <cell r="Z157">
            <v>7079.0471225000001</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245.56365000000002</v>
          </cell>
          <cell r="AX157">
            <v>13977.298785262503</v>
          </cell>
          <cell r="BD157">
            <v>0</v>
          </cell>
        </row>
        <row r="158">
          <cell r="A158" t="str">
            <v>13.5.a</v>
          </cell>
          <cell r="B158" t="str">
            <v>13-5(a)</v>
          </cell>
          <cell r="C158" t="str">
            <v>Laying primer course for enamel paint</v>
          </cell>
          <cell r="D158" t="str">
            <v>Laying primer course for enamel paint</v>
          </cell>
          <cell r="E158" t="str">
            <v>sqm</v>
          </cell>
          <cell r="F158">
            <v>30.7395</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BD158">
            <v>0</v>
          </cell>
        </row>
        <row r="159">
          <cell r="A159" t="str">
            <v>13.5.b</v>
          </cell>
          <cell r="B159" t="str">
            <v>13-5(a)+(b)</v>
          </cell>
          <cell r="C159" t="str">
            <v>Laying primer course and one coat of readymade Ist grade enamel paint</v>
          </cell>
          <cell r="D159" t="str">
            <v>Laying primer course and one coat of enamel paint</v>
          </cell>
          <cell r="E159" t="str">
            <v>sqm</v>
          </cell>
          <cell r="F159">
            <v>71.966999999999999</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BD159">
            <v>0</v>
          </cell>
        </row>
        <row r="160">
          <cell r="A160" t="str">
            <v>13.5.c</v>
          </cell>
          <cell r="B160" t="str">
            <v xml:space="preserve">13-5(a)+(b)+(c) </v>
          </cell>
          <cell r="C160" t="str">
            <v>Laying primer course and two coats of readymade Ist grade enamel paint</v>
          </cell>
          <cell r="D160" t="str">
            <v>Laying primer course and two coats of enamel paint</v>
          </cell>
          <cell r="E160" t="str">
            <v>sqm</v>
          </cell>
          <cell r="F160">
            <v>105.57</v>
          </cell>
          <cell r="G160">
            <v>47.295000000000002</v>
          </cell>
          <cell r="H160">
            <v>4992.9331499999998</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35.010000000000005</v>
          </cell>
          <cell r="Z160">
            <v>3696.0057000000002</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12.285</v>
          </cell>
          <cell r="AX160">
            <v>1296.9274499999999</v>
          </cell>
          <cell r="BD160">
            <v>0</v>
          </cell>
        </row>
        <row r="161">
          <cell r="A161" t="str">
            <v>13.5.a.1</v>
          </cell>
          <cell r="B161" t="str">
            <v>13-5(a)</v>
          </cell>
          <cell r="C161" t="str">
            <v>Laying cement primer for plastic emulsion</v>
          </cell>
          <cell r="D161" t="str">
            <v>Laying cement primer for plastic emulsion</v>
          </cell>
          <cell r="E161" t="str">
            <v>sqm</v>
          </cell>
          <cell r="F161">
            <v>30.7395</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BD161">
            <v>0</v>
          </cell>
        </row>
        <row r="162">
          <cell r="A162" t="str">
            <v>13.8.a</v>
          </cell>
          <cell r="B162" t="str">
            <v>13-8(a)</v>
          </cell>
          <cell r="C162" t="str">
            <v>Laying one coat of boiled linseed oil</v>
          </cell>
          <cell r="D162" t="str">
            <v>Laying one coat of boiled linseed oil</v>
          </cell>
          <cell r="E162" t="str">
            <v>sqm</v>
          </cell>
          <cell r="F162">
            <v>13.8</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BD162">
            <v>0</v>
          </cell>
        </row>
        <row r="163">
          <cell r="A163" t="str">
            <v>13.8.b</v>
          </cell>
          <cell r="B163" t="str">
            <v>13-8(a)+(b)</v>
          </cell>
          <cell r="C163" t="str">
            <v>Laying two coats of boiled linseed oil</v>
          </cell>
          <cell r="D163" t="str">
            <v>Laying two coats of boiled linseed oil</v>
          </cell>
          <cell r="E163" t="str">
            <v>sqm</v>
          </cell>
          <cell r="F163">
            <v>26.2315</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BD163">
            <v>0</v>
          </cell>
        </row>
        <row r="164">
          <cell r="A164" t="str">
            <v>13.9.a</v>
          </cell>
          <cell r="B164" t="str">
            <v>13-9(a)</v>
          </cell>
          <cell r="C164" t="str">
            <v>Laying one coat of varnish</v>
          </cell>
          <cell r="D164" t="str">
            <v>Laying one coat of varnish</v>
          </cell>
          <cell r="E164" t="str">
            <v>sqm</v>
          </cell>
          <cell r="F164">
            <v>15.743499999999999</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BD164">
            <v>0</v>
          </cell>
        </row>
        <row r="165">
          <cell r="A165" t="str">
            <v>13.9.b</v>
          </cell>
          <cell r="B165" t="str">
            <v>13-9(a)+(b)</v>
          </cell>
          <cell r="C165" t="str">
            <v>Laying two coats of varnish</v>
          </cell>
          <cell r="D165" t="str">
            <v>Laying two coats of varnish</v>
          </cell>
          <cell r="E165" t="str">
            <v>sqm</v>
          </cell>
          <cell r="F165">
            <v>30.106999999999999</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BD165">
            <v>0</v>
          </cell>
        </row>
        <row r="166">
          <cell r="A166" t="str">
            <v>13.10.a</v>
          </cell>
          <cell r="B166" t="str">
            <v>13-10(a)</v>
          </cell>
          <cell r="C166" t="str">
            <v>Laying one coat of bitumen paint</v>
          </cell>
          <cell r="D166" t="str">
            <v>Laying one coat of bitumen paint</v>
          </cell>
          <cell r="E166" t="str">
            <v>sqm</v>
          </cell>
          <cell r="F166">
            <v>19.83175</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BD166">
            <v>0</v>
          </cell>
        </row>
        <row r="167">
          <cell r="A167" t="str">
            <v>13.10.b</v>
          </cell>
          <cell r="B167" t="str">
            <v>13-10(a)+(b)</v>
          </cell>
          <cell r="C167" t="str">
            <v>Laying two coats of bitumen paint</v>
          </cell>
          <cell r="D167" t="str">
            <v>Laying two coats of bitumen paint</v>
          </cell>
          <cell r="E167" t="str">
            <v>sqm</v>
          </cell>
          <cell r="F167">
            <v>34.126249999999999</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BD167">
            <v>0</v>
          </cell>
        </row>
        <row r="168">
          <cell r="A168" t="str">
            <v>13.11.a</v>
          </cell>
          <cell r="B168" t="str">
            <v>13-11(a)</v>
          </cell>
          <cell r="C168" t="str">
            <v>Laying three coats pf Chapra polish</v>
          </cell>
          <cell r="D168" t="str">
            <v>Laying three coats pf Chapra polish</v>
          </cell>
          <cell r="E168" t="str">
            <v>sqm</v>
          </cell>
          <cell r="F168">
            <v>25.593249999999998</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BD168">
            <v>0</v>
          </cell>
        </row>
        <row r="169">
          <cell r="A169" t="str">
            <v>13.12.a</v>
          </cell>
          <cell r="B169" t="str">
            <v>13-12(a)</v>
          </cell>
          <cell r="C169" t="str">
            <v>Laying one coat of cement paint over plastered surface</v>
          </cell>
          <cell r="D169" t="str">
            <v xml:space="preserve">Laying one coat of cement paint </v>
          </cell>
          <cell r="E169" t="str">
            <v>sqm</v>
          </cell>
          <cell r="F169">
            <v>27.030749999999998</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BD169">
            <v>0</v>
          </cell>
        </row>
        <row r="170">
          <cell r="A170" t="str">
            <v>13.12.b</v>
          </cell>
          <cell r="B170" t="str">
            <v>13-12(a)+(b)</v>
          </cell>
          <cell r="C170" t="str">
            <v>Laying two coats of cement paint over plastered surface</v>
          </cell>
          <cell r="D170" t="str">
            <v xml:space="preserve">Laying two coats of cement paint </v>
          </cell>
          <cell r="E170" t="str">
            <v>sqm</v>
          </cell>
          <cell r="F170">
            <v>46.914250000000003</v>
          </cell>
          <cell r="G170">
            <v>0</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BD170">
            <v>0</v>
          </cell>
        </row>
        <row r="171">
          <cell r="C171" t="str">
            <v>CEMENT POINTING WORKS</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BD171">
            <v>0</v>
          </cell>
        </row>
        <row r="172">
          <cell r="A172" t="str">
            <v>14.2.a</v>
          </cell>
          <cell r="B172" t="str">
            <v>14-2(a)</v>
          </cell>
          <cell r="C172" t="str">
            <v>Cement Pointing works in 1:1 cement sand mortar for rubble masonry work</v>
          </cell>
          <cell r="D172" t="str">
            <v>Cement Pointing in rubble masonry work in  1:1 mortar</v>
          </cell>
          <cell r="E172" t="str">
            <v>sqm</v>
          </cell>
          <cell r="F172">
            <v>74.437375121712492</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BD172">
            <v>0</v>
          </cell>
        </row>
        <row r="173">
          <cell r="A173" t="str">
            <v>14.2.b</v>
          </cell>
          <cell r="B173" t="str">
            <v>14-2(b)</v>
          </cell>
          <cell r="C173" t="str">
            <v>Cement Pointing works in 1:2 cement sand mortar for rubble masonry work</v>
          </cell>
          <cell r="D173" t="str">
            <v>Cement Pointing in rubble masonry work in  1:2 mortar</v>
          </cell>
          <cell r="E173" t="str">
            <v>sqm</v>
          </cell>
          <cell r="F173">
            <v>62.480975768693746</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BD173">
            <v>0</v>
          </cell>
        </row>
        <row r="174">
          <cell r="A174" t="str">
            <v>14.2.c</v>
          </cell>
          <cell r="B174" t="str">
            <v>14-2(c)</v>
          </cell>
          <cell r="C174" t="str">
            <v>Cement Pointing works in 1:3 cement sand mortar for rubble masonry work</v>
          </cell>
          <cell r="D174" t="str">
            <v>Cement Pointing in rubble masonry work in  1:3 mortar</v>
          </cell>
          <cell r="E174" t="str">
            <v>sqm</v>
          </cell>
          <cell r="F174">
            <v>56.421091656153123</v>
          </cell>
          <cell r="G174">
            <v>4059.4999999999072</v>
          </cell>
          <cell r="H174">
            <v>229041.42157814838</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4059.4999999999072</v>
          </cell>
          <cell r="AV174">
            <v>229041.42157814838</v>
          </cell>
          <cell r="AW174">
            <v>0</v>
          </cell>
          <cell r="AX174">
            <v>0</v>
          </cell>
          <cell r="BD174">
            <v>0</v>
          </cell>
        </row>
        <row r="175">
          <cell r="A175">
            <v>14.6</v>
          </cell>
          <cell r="B175" t="str">
            <v>14-6</v>
          </cell>
          <cell r="C175" t="str">
            <v>Cement punning works in 1:1 cement sand mortar</v>
          </cell>
          <cell r="D175" t="str">
            <v>Cement punning works in 1:1 cement sand mortar</v>
          </cell>
          <cell r="E175" t="str">
            <v>sqm</v>
          </cell>
          <cell r="F175">
            <v>51.400182076293753</v>
          </cell>
          <cell r="G175">
            <v>120.882975</v>
          </cell>
          <cell r="H175">
            <v>6213.4069249240656</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76.882975000000002</v>
          </cell>
          <cell r="Z175">
            <v>3951.798913567141</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44</v>
          </cell>
          <cell r="AX175">
            <v>2261.6080113569251</v>
          </cell>
          <cell r="BD175">
            <v>0</v>
          </cell>
        </row>
        <row r="176">
          <cell r="C176" t="str">
            <v>GABION WORKS</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BD176">
            <v>0</v>
          </cell>
        </row>
        <row r="177">
          <cell r="A177" t="str">
            <v>16.1.a</v>
          </cell>
          <cell r="B177" t="str">
            <v>16-1(a)</v>
          </cell>
          <cell r="C177" t="str">
            <v>2mx1mx1m size Gabion box fabrication including cutting of wires, mesh wire 9 SWG, Selwage wire 6 SWG (mesh size 80x100 hexagonal)</v>
          </cell>
          <cell r="D177" t="str">
            <v>2mx1mx1m size Gabion box fabrication, 9 and 6 SWG ( 80x100 hex)</v>
          </cell>
          <cell r="E177" t="str">
            <v>cum</v>
          </cell>
          <cell r="F177">
            <v>1110.0374999999999</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BD177">
            <v>0</v>
          </cell>
        </row>
        <row r="178">
          <cell r="A178" t="str">
            <v>16.1.b</v>
          </cell>
          <cell r="B178" t="str">
            <v>16-1(b)</v>
          </cell>
          <cell r="C178" t="str">
            <v>3mx1mx1m size Gabion box fabrication including cutting of wires, mesh wire 9 SWG, Selwage wire 6 SWG (mesh size 80x100 hexagonal)</v>
          </cell>
          <cell r="D178" t="str">
            <v>3mx1mx1m size Gabion box fabrication, 9 and 6 SWG ( 80x100 hex)</v>
          </cell>
          <cell r="E178" t="str">
            <v>cum</v>
          </cell>
          <cell r="F178">
            <v>1063.1826666666666</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BD178">
            <v>0</v>
          </cell>
        </row>
        <row r="179">
          <cell r="A179" t="str">
            <v>16.1.c</v>
          </cell>
          <cell r="B179" t="str">
            <v>16-1(c)</v>
          </cell>
          <cell r="C179" t="str">
            <v>2mx1mx0.5m size Gabion box fabrication including cutting of wires, mesh wire 9 SWG, Selwage wire 6 SWG (mesh size 80x100 hexagonal)</v>
          </cell>
          <cell r="D179" t="str">
            <v>2mx1mx0.5m size Gabion box fabrication, 9 and 6 SWG ( 80x100 hex)</v>
          </cell>
          <cell r="E179" t="str">
            <v>cum</v>
          </cell>
          <cell r="F179">
            <v>1540.0225</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BD179">
            <v>0</v>
          </cell>
        </row>
        <row r="180">
          <cell r="A180" t="str">
            <v>16.1.d</v>
          </cell>
          <cell r="B180" t="str">
            <v>16-1(d)</v>
          </cell>
          <cell r="C180" t="str">
            <v>3mx1mx0.5m size Gabion box fabrication including cutting of wires, mesh wire 9 SWG, Selwage wire 6 SWG (mesh size 80x100 hexagonal)</v>
          </cell>
          <cell r="D180" t="str">
            <v>3mx1mx0.5m size Gabion box fabrication, 9 and 6 SWG ( 80x100 hex)</v>
          </cell>
          <cell r="E180" t="str">
            <v>cum</v>
          </cell>
          <cell r="F180">
            <v>1485.4780000000001</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BD180">
            <v>0</v>
          </cell>
        </row>
        <row r="181">
          <cell r="A181" t="str">
            <v>16.1.e</v>
          </cell>
          <cell r="B181" t="str">
            <v>16-1(e)</v>
          </cell>
          <cell r="C181" t="str">
            <v>2mx1mx0.3m size Gabion box fabrication including cutting of wires, mesh wire 9 SWG, Selwage wire 6 SWG (mesh size 80x100 hexagonal)</v>
          </cell>
          <cell r="D181" t="str">
            <v>2mx1mx0.3m size Gabion box fabrication, 9 and 6 SWG ( 80x100 hex)</v>
          </cell>
          <cell r="E181" t="str">
            <v>cum</v>
          </cell>
          <cell r="F181">
            <v>2107.6624999999999</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BD181">
            <v>0</v>
          </cell>
        </row>
        <row r="182">
          <cell r="A182" t="str">
            <v>16.1.f</v>
          </cell>
          <cell r="B182" t="str">
            <v>16-1(f)</v>
          </cell>
          <cell r="C182" t="str">
            <v>3mx1mx0.3m size Gabion box fabrication including cutting of wires, mesh wire 9 SWG, Selwage wire 6 SWG (mesh size 80x100 hexagonal)</v>
          </cell>
          <cell r="D182" t="str">
            <v>3mx1mx0.3m size Gabion box fabrication, 9 and 6 SWG ( 80x100 hex)</v>
          </cell>
          <cell r="E182" t="str">
            <v>cum</v>
          </cell>
          <cell r="F182">
            <v>2049.9644444444443</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BD182">
            <v>0</v>
          </cell>
        </row>
        <row r="183">
          <cell r="A183" t="str">
            <v>16.2.a</v>
          </cell>
          <cell r="B183" t="str">
            <v>16-2(a)</v>
          </cell>
          <cell r="C183" t="str">
            <v>2mx1mx1m size Gabion box fabrication including cutting of wires, mesh wire 10 SWG, Selwage wire 7 SWG (mesh size 80x100 hexagonal)</v>
          </cell>
          <cell r="D183" t="str">
            <v>2mx1mx1m size Gabion box fabrication, 10 and 7 SWG ( 80x100 hex)</v>
          </cell>
          <cell r="E183" t="str">
            <v>cum</v>
          </cell>
          <cell r="F183">
            <v>868.58349999999996</v>
          </cell>
          <cell r="G183">
            <v>860</v>
          </cell>
          <cell r="H183">
            <v>746981.80999999994</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750</v>
          </cell>
          <cell r="AB183">
            <v>651437.625</v>
          </cell>
          <cell r="AC183">
            <v>0</v>
          </cell>
          <cell r="AD183">
            <v>0</v>
          </cell>
          <cell r="AE183">
            <v>0</v>
          </cell>
          <cell r="AF183">
            <v>0</v>
          </cell>
          <cell r="AG183">
            <v>0</v>
          </cell>
          <cell r="AH183">
            <v>0</v>
          </cell>
          <cell r="AI183">
            <v>110</v>
          </cell>
          <cell r="AJ183">
            <v>95544.184999999998</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BD183">
            <v>0</v>
          </cell>
        </row>
        <row r="184">
          <cell r="A184" t="str">
            <v>16.2.b</v>
          </cell>
          <cell r="B184" t="str">
            <v>16-2(b)</v>
          </cell>
          <cell r="C184" t="str">
            <v>3mx1mx1m size Gabion box fabrication including cutting of wires, mesh wire 10 SWG, Selwage wire 7 SWG (mesh size 80x100 hexagonal)</v>
          </cell>
          <cell r="D184" t="str">
            <v>3mx1mx1m size Gabion box fabrication, 10 and 7 SWG ( 80x100 hex)</v>
          </cell>
          <cell r="E184" t="str">
            <v>cum</v>
          </cell>
          <cell r="F184">
            <v>854.7643333333333</v>
          </cell>
          <cell r="G184">
            <v>133.5</v>
          </cell>
          <cell r="H184">
            <v>114111.0385</v>
          </cell>
          <cell r="I184">
            <v>0</v>
          </cell>
          <cell r="J184">
            <v>0</v>
          </cell>
          <cell r="K184">
            <v>133.5</v>
          </cell>
          <cell r="L184">
            <v>114111.0385</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BD184">
            <v>0</v>
          </cell>
        </row>
        <row r="185">
          <cell r="A185" t="str">
            <v>16.2.c</v>
          </cell>
          <cell r="B185" t="str">
            <v>16-2(c)</v>
          </cell>
          <cell r="C185" t="str">
            <v>2mx1mx0.5m size Gabion box fabrication including cutting of wires, mesh wire 10 SWG, Selwage wire 7 SWG (mesh size 80x100 hexagonal)</v>
          </cell>
          <cell r="D185" t="str">
            <v>2mx1mx0.5m size Gabion box fabrication, 10 and 7 SWG ( 80x100 hex)</v>
          </cell>
          <cell r="E185" t="str">
            <v>cum</v>
          </cell>
          <cell r="F185">
            <v>1240.4475000000002</v>
          </cell>
          <cell r="G185">
            <v>1415.5</v>
          </cell>
          <cell r="H185">
            <v>1755853.4362500003</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1415.5</v>
          </cell>
          <cell r="AJ185">
            <v>1755853.4362500003</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BD185">
            <v>0</v>
          </cell>
        </row>
        <row r="186">
          <cell r="A186" t="str">
            <v>16.2.d</v>
          </cell>
          <cell r="B186" t="str">
            <v>16-2(d)</v>
          </cell>
          <cell r="C186" t="str">
            <v>3mx1mx0.5m size Gabion box fabrication including cutting of wires, mesh wire 10 SWG, Selwage wire 7 SWG (mesh size 80x100 hexagonal)</v>
          </cell>
          <cell r="D186" t="str">
            <v>3mx1mx0.5m size Gabion box fabrication, 10 and 7 SWG ( 80x100 hex)</v>
          </cell>
          <cell r="E186" t="str">
            <v>cum</v>
          </cell>
          <cell r="F186">
            <v>1195.7393333333332</v>
          </cell>
          <cell r="G186">
            <v>15.75</v>
          </cell>
          <cell r="H186">
            <v>18832.894499999999</v>
          </cell>
          <cell r="I186">
            <v>0</v>
          </cell>
          <cell r="J186">
            <v>0</v>
          </cell>
          <cell r="K186">
            <v>15.75</v>
          </cell>
          <cell r="L186">
            <v>18832.894499999999</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BD186">
            <v>0</v>
          </cell>
        </row>
        <row r="187">
          <cell r="A187" t="str">
            <v>16.2.e</v>
          </cell>
          <cell r="B187" t="str">
            <v>16-2(e)</v>
          </cell>
          <cell r="C187" t="str">
            <v>2mx1mx0.3m size Gabion box fabrication including cutting of wires, mesh wire 10 SWG, Selwage wire 7 SWG (mesh size 80x100 hexagonal)</v>
          </cell>
          <cell r="D187" t="str">
            <v>2mx1mx0.3m size Gabion box fabrication, 10 and 7 SWG ( 80x100 hex)</v>
          </cell>
          <cell r="E187" t="str">
            <v>cum</v>
          </cell>
          <cell r="F187">
            <v>1701.1758333333332</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BD187">
            <v>0</v>
          </cell>
        </row>
        <row r="188">
          <cell r="A188" t="str">
            <v>16.2.f</v>
          </cell>
          <cell r="B188" t="str">
            <v>16-2(f)</v>
          </cell>
          <cell r="C188" t="str">
            <v>3mx1mx0.3m size Gabion box fabrication including cutting of wires, mesh wire 10 SWG, Selwage wire 7 SWG (mesh size 80x100 hexagonal)</v>
          </cell>
          <cell r="D188" t="str">
            <v>3mx1mx0.3m size Gabion box fabrication, 10 and 7 SWG ( 80x100 hex)</v>
          </cell>
          <cell r="E188" t="str">
            <v>cum</v>
          </cell>
          <cell r="F188">
            <v>1652.3711111111108</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BD188">
            <v>0</v>
          </cell>
        </row>
        <row r="189">
          <cell r="A189" t="str">
            <v>16.3.a</v>
          </cell>
          <cell r="B189" t="str">
            <v>16-3(a)</v>
          </cell>
          <cell r="C189" t="str">
            <v>2mx1mx1m size Gabion box fabrication including cutting of wires, mesh wire 11 SWG, Selwage wire 8 SWG (mesh size 80x100 hexagonal)</v>
          </cell>
          <cell r="D189" t="str">
            <v>2mx1mx1m size Gabion box fabrication, 11 and 8 SWG ( 80x100 hex)</v>
          </cell>
          <cell r="E189" t="str">
            <v>cum</v>
          </cell>
          <cell r="F189">
            <v>803.78099999999995</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BD189">
            <v>0</v>
          </cell>
        </row>
        <row r="190">
          <cell r="A190" t="str">
            <v>16.3.b</v>
          </cell>
          <cell r="B190" t="str">
            <v>16-3(b)</v>
          </cell>
          <cell r="C190" t="str">
            <v>3mx1mx1m size Gabion box fabrication including cutting of wires, mesh wire 11 SWG, Selwage wire 8 SWG (mesh size 80x100 hexagonal)</v>
          </cell>
          <cell r="D190" t="str">
            <v>3mx1mx1m size Gabion box fabrication, 11 and 8 SWG ( 80x100 hex)</v>
          </cell>
          <cell r="E190" t="str">
            <v>cum</v>
          </cell>
          <cell r="F190">
            <v>717.78399999999999</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BD190">
            <v>0</v>
          </cell>
        </row>
        <row r="191">
          <cell r="A191" t="str">
            <v>16.3.c</v>
          </cell>
          <cell r="B191" t="str">
            <v>16-3(c)</v>
          </cell>
          <cell r="C191" t="str">
            <v>2mx1mx0.5m size Gabion box fabrication including cutting of wires, mesh wire 11 SWG, Selwage wire 8 SWG (mesh size 80x100 hexagonal)</v>
          </cell>
          <cell r="D191" t="str">
            <v>2mx1mx0.5m size Gabion box fabrication, 11 and 8 SWG ( 80x100 hex)</v>
          </cell>
          <cell r="E191" t="str">
            <v>cum</v>
          </cell>
          <cell r="F191">
            <v>1041.5205000000001</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BD191">
            <v>0</v>
          </cell>
        </row>
        <row r="192">
          <cell r="A192" t="str">
            <v>16.3.d</v>
          </cell>
          <cell r="B192" t="str">
            <v>16-3(d)</v>
          </cell>
          <cell r="C192" t="str">
            <v>3mx1mx0.5m size Gabion box fabrication including cutting of wires, mesh wire 11 SWG, Selwage wire 8 SWG (mesh size 80x100 hexagonal)</v>
          </cell>
          <cell r="D192" t="str">
            <v>3mx1mx0.5m size Gabion box fabrication, 11 and 8 SWG ( 80x100 hex)</v>
          </cell>
          <cell r="E192" t="str">
            <v>cum</v>
          </cell>
          <cell r="F192">
            <v>1003.03</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BD192">
            <v>0</v>
          </cell>
        </row>
        <row r="193">
          <cell r="A193" t="str">
            <v>16.3.e</v>
          </cell>
          <cell r="B193" t="str">
            <v>16-3(e)</v>
          </cell>
          <cell r="C193" t="str">
            <v>2mx1mx0.3m size Gabion box fabrication including cutting of wires, mesh wire 11 SWG, Selwage wire 8 SWG (mesh size 80x100 hexagonal)</v>
          </cell>
          <cell r="D193" t="str">
            <v>2mx1mx0.3m size Gabion box fabrication, 11 and 8 SWG ( 80x100 hex)</v>
          </cell>
          <cell r="E193" t="str">
            <v>cum</v>
          </cell>
          <cell r="F193">
            <v>1431.3474999999999</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BD193">
            <v>0</v>
          </cell>
        </row>
        <row r="194">
          <cell r="A194" t="str">
            <v>16.3.f</v>
          </cell>
          <cell r="B194" t="str">
            <v>16-3(f)</v>
          </cell>
          <cell r="C194" t="str">
            <v>3mx1mx0.3m size Gabion box fabrication including cutting of wires, mesh wire 11 SWG, Selwage wire 8 SWG (mesh size 80x100 hexagonal)</v>
          </cell>
          <cell r="D194" t="str">
            <v>3mx1mx0.3m size Gabion box fabrication, 11 and 8 SWG ( 80x100 hex)</v>
          </cell>
          <cell r="E194" t="str">
            <v>cum</v>
          </cell>
          <cell r="F194">
            <v>1384.0122222222224</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BD194">
            <v>0</v>
          </cell>
        </row>
        <row r="195">
          <cell r="A195" t="str">
            <v>16.4.a</v>
          </cell>
          <cell r="B195" t="str">
            <v>16-4(a)</v>
          </cell>
          <cell r="C195" t="str">
            <v>2mx1mx1m size Gabion box fabrication including cutting of wires, mesh wire 9 SWG, Selwage wire 6 SWG (mesh size 100x120 hexagonal)</v>
          </cell>
          <cell r="D195" t="str">
            <v>2mx1mx1m size Gabion box fabrication, 9 and 6 SWG ( 100x120 hex)</v>
          </cell>
          <cell r="E195" t="str">
            <v>cum</v>
          </cell>
          <cell r="F195">
            <v>1071.08125</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BD195">
            <v>0</v>
          </cell>
        </row>
        <row r="196">
          <cell r="A196" t="str">
            <v>16.4.b</v>
          </cell>
          <cell r="B196" t="str">
            <v>16-4(b)</v>
          </cell>
          <cell r="C196" t="str">
            <v>3mx1mx1m size Gabion box fabrication including cutting of wires, mesh wire 9 SWG, Selwage wire 6 SWG (mesh size 100x120 hexagonal)</v>
          </cell>
          <cell r="D196" t="str">
            <v>3mx1mx1m size Gabion box fabrication, 9 and 6 SWG ( 100x120 hex)</v>
          </cell>
          <cell r="E196" t="str">
            <v>cum</v>
          </cell>
          <cell r="F196">
            <v>920.38716666666664</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BD196">
            <v>0</v>
          </cell>
        </row>
        <row r="197">
          <cell r="A197" t="str">
            <v>16.4.c</v>
          </cell>
          <cell r="B197" t="str">
            <v>16-4(c)</v>
          </cell>
          <cell r="C197" t="str">
            <v>2mx1mx0.5m size Gabion box fabrication including cutting of wires, mesh wire 9 SWG, Selwage wire 6 SWG (mesh size 100x120 hexagonal)</v>
          </cell>
          <cell r="D197" t="str">
            <v>2mx1mx0.5m size Gabion box fabrication, 9 and 6 SWG ( 100x120 hex)</v>
          </cell>
          <cell r="E197" t="str">
            <v>cum</v>
          </cell>
          <cell r="F197">
            <v>1338.6689999999999</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BD197">
            <v>0</v>
          </cell>
        </row>
        <row r="198">
          <cell r="A198" t="str">
            <v>16.4.d</v>
          </cell>
          <cell r="B198" t="str">
            <v>16-4(d)</v>
          </cell>
          <cell r="C198" t="str">
            <v>3mx1mx0.5m size Gabion box fabrication including cutting of wires, mesh wire 9 SWG, Selwage wire 6 SWG (mesh size 100x120 hexagonal)</v>
          </cell>
          <cell r="D198" t="str">
            <v>3mx1mx0.5m size Gabion box fabrication, 9 and 6 SWG ( 100x120 hex)</v>
          </cell>
          <cell r="E198" t="str">
            <v>cum</v>
          </cell>
          <cell r="F198">
            <v>1288.7896666666668</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BD198">
            <v>0</v>
          </cell>
        </row>
        <row r="199">
          <cell r="A199" t="str">
            <v>16.4.e</v>
          </cell>
          <cell r="B199" t="str">
            <v>16-4(e)</v>
          </cell>
          <cell r="C199" t="str">
            <v>2mx1mx0.3m size Gabion box fabrication including cutting of wires, mesh wire 9 SWG, Selwage wire 6 SWG (mesh size 100x120 hexagonal)</v>
          </cell>
          <cell r="D199" t="str">
            <v>2mx1mx0.3m size Gabion box fabrication, 9 and 6 SWG ( 100x120 hex)</v>
          </cell>
          <cell r="E199" t="str">
            <v>cum</v>
          </cell>
          <cell r="F199">
            <v>1833.7900000000002</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BD199">
            <v>0</v>
          </cell>
        </row>
        <row r="200">
          <cell r="A200" t="str">
            <v>16.4.f</v>
          </cell>
          <cell r="B200" t="str">
            <v>16-4(f)</v>
          </cell>
          <cell r="C200" t="str">
            <v>3mx1mx0.3m size Gabion box fabrication including cutting of wires, mesh wire 9 SWG, Selwage wire 6 SWG (mesh size 100x120 hexagonal)</v>
          </cell>
          <cell r="D200" t="str">
            <v>3mx1mx0.3m size Gabion box fabrication, 9 and 6 SWG ( 100x120 hex)</v>
          </cell>
          <cell r="E200" t="str">
            <v>cum</v>
          </cell>
          <cell r="F200">
            <v>1777.9894444444444</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BD200">
            <v>0</v>
          </cell>
        </row>
        <row r="201">
          <cell r="A201" t="str">
            <v>16.5.a</v>
          </cell>
          <cell r="B201" t="str">
            <v>16-5(a)</v>
          </cell>
          <cell r="C201" t="str">
            <v>2mx1mx1m size Gabion box fabrication including cutting of wires, mesh wire 10 SWG, Selwage wire 7 SWG (mesh size 100x120 hexagonal)</v>
          </cell>
          <cell r="D201" t="str">
            <v>2mx1mx1m size Gabion box fabrication, 10 and 7 SWG ( 100x120 hex)</v>
          </cell>
          <cell r="E201" t="str">
            <v>cum</v>
          </cell>
          <cell r="F201">
            <v>775.63474999999994</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BD201">
            <v>0</v>
          </cell>
        </row>
        <row r="202">
          <cell r="A202" t="str">
            <v>16.5.b</v>
          </cell>
          <cell r="B202" t="str">
            <v>16-5(b)</v>
          </cell>
          <cell r="C202" t="str">
            <v>3mx1mx1m size Gabion box fabrication including cutting of wires, mesh wire 10 SWG, Selwage wire 7 SWG (mesh size 100x120 hexagonal)</v>
          </cell>
          <cell r="D202" t="str">
            <v>3mx1mx1m size Gabion box fabrication, 10 and 7 SWG ( 100x120 hex)</v>
          </cell>
          <cell r="E202" t="str">
            <v>cum</v>
          </cell>
          <cell r="F202">
            <v>741.06383333333338</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BD202">
            <v>0</v>
          </cell>
        </row>
        <row r="203">
          <cell r="A203" t="str">
            <v>16.5.c</v>
          </cell>
          <cell r="B203" t="str">
            <v>16-5(c)</v>
          </cell>
          <cell r="C203" t="str">
            <v>2mx1mx0.5m size Gabion box fabrication including cutting of wires, mesh wire 10 SWG, Selwage wire 7 SWG (mesh size 100x120 hexagonal)</v>
          </cell>
          <cell r="D203" t="str">
            <v>2mx1mx0.5m size Gabion box fabrication, 10 and 7 SWG ( 100x120 hex)</v>
          </cell>
          <cell r="E203" t="str">
            <v>cum</v>
          </cell>
          <cell r="F203">
            <v>1078.769</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BD203">
            <v>0</v>
          </cell>
        </row>
        <row r="204">
          <cell r="A204" t="str">
            <v>16.5.d</v>
          </cell>
          <cell r="B204" t="str">
            <v>16-5(d)</v>
          </cell>
          <cell r="C204" t="str">
            <v>3mx1mx0.5m size Gabion box fabrication including cutting of wires, mesh wire 10 SWG, Selwage wire 7 SWG (mesh size 100x120 hexagonal)</v>
          </cell>
          <cell r="D204" t="str">
            <v>3mx1mx0.5m size Gabion box fabrication, 10 and 7 SWG ( 100x120 hex)</v>
          </cell>
          <cell r="E204" t="str">
            <v>cum</v>
          </cell>
          <cell r="F204">
            <v>1039.6076666666665</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BD204">
            <v>0</v>
          </cell>
        </row>
        <row r="205">
          <cell r="A205" t="str">
            <v>16.5.e</v>
          </cell>
          <cell r="B205" t="str">
            <v>16-5(e)</v>
          </cell>
          <cell r="C205" t="str">
            <v>2mx1mx0.3m size Gabion box fabrication including cutting of wires, mesh wire 10 SWG, Selwage wire 7 SWG (mesh size 100x120 hexagonal)</v>
          </cell>
          <cell r="D205" t="str">
            <v>2mx1mx0.3m size Gabion box fabrication, 10 and 7 SWG ( 100x120 hex)</v>
          </cell>
          <cell r="E205" t="str">
            <v>cum</v>
          </cell>
          <cell r="F205">
            <v>1484.6116666666669</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BD205">
            <v>0</v>
          </cell>
        </row>
        <row r="206">
          <cell r="A206" t="str">
            <v>16.5.f</v>
          </cell>
          <cell r="B206" t="str">
            <v>16-5(f)</v>
          </cell>
          <cell r="C206" t="str">
            <v>3mx1mx0.3m size Gabion box fabrication including cutting of wires, mesh wire 10 SWG, Selwage wire 7 SWG (mesh size 100x120 hexagonal)</v>
          </cell>
          <cell r="D206" t="str">
            <v>3mx1mx0.3m size Gabion box fabrication, 10 and 7 SWG ( 100x120 hex)</v>
          </cell>
          <cell r="E206" t="str">
            <v>cum</v>
          </cell>
          <cell r="F206">
            <v>1436.2349999999999</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BD206">
            <v>0</v>
          </cell>
        </row>
        <row r="207">
          <cell r="A207" t="str">
            <v>16.6.a</v>
          </cell>
          <cell r="B207" t="str">
            <v>16-6(a)</v>
          </cell>
          <cell r="C207" t="str">
            <v>2mx1mx1m size Gabion box construction, placing at designated location, stretching, tying up with gabion wire and closing with 11 SWG gabion wire</v>
          </cell>
          <cell r="D207" t="str">
            <v>2mx1mx1m size Gabion box construction and tying up with 11 SWG GI wire</v>
          </cell>
          <cell r="E207" t="str">
            <v>cum</v>
          </cell>
          <cell r="F207">
            <v>48.817500000000003</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BD207">
            <v>0</v>
          </cell>
        </row>
        <row r="208">
          <cell r="A208" t="str">
            <v>16.6.b</v>
          </cell>
          <cell r="B208" t="str">
            <v>16-6(b)</v>
          </cell>
          <cell r="C208" t="str">
            <v>3mx1mx1m size Gabion box construction, placing at designated location, stretching, tying up with gabion wire and closing with 11 SWG gabion wire</v>
          </cell>
          <cell r="D208" t="str">
            <v>3mx1mx1m size Gabion box construction and tying up with 11 SWG GI wire</v>
          </cell>
          <cell r="E208" t="str">
            <v>cum</v>
          </cell>
          <cell r="F208">
            <v>46.61333333333333</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BD208">
            <v>0</v>
          </cell>
        </row>
        <row r="209">
          <cell r="A209" t="str">
            <v>16.6.c</v>
          </cell>
          <cell r="B209" t="str">
            <v>16-6(c)</v>
          </cell>
          <cell r="C209" t="str">
            <v>2mx1mx0.5m size Gabion box construction, placing at designated location, stretching, tying up with GI wire and closing with 11 SWG gabion wire</v>
          </cell>
          <cell r="D209" t="str">
            <v>2mx1mx0.5m size Gabion box construction and tying up with 11 SWG GI wire</v>
          </cell>
          <cell r="E209" t="str">
            <v>cum</v>
          </cell>
          <cell r="F209">
            <v>66.009999999999991</v>
          </cell>
          <cell r="G209">
            <v>1525.5</v>
          </cell>
          <cell r="H209">
            <v>100698.25499999999</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1525.5</v>
          </cell>
          <cell r="AJ209">
            <v>100698.25499999999</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BD209">
            <v>0</v>
          </cell>
        </row>
        <row r="210">
          <cell r="A210" t="str">
            <v>16.6.d</v>
          </cell>
          <cell r="B210" t="str">
            <v>16-6(d)</v>
          </cell>
          <cell r="C210" t="str">
            <v>3mx1mx0.5m size Gabion box construction, placing at designated location, stretching, tying up with GI wire and closing with 11 SWG gabion wire</v>
          </cell>
          <cell r="D210" t="str">
            <v>3mx1mx0.5m size Gabion box construction and tying up with 11 SWG GI wire</v>
          </cell>
          <cell r="E210" t="str">
            <v>cum</v>
          </cell>
          <cell r="F210">
            <v>60.72</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BD210">
            <v>0</v>
          </cell>
        </row>
        <row r="211">
          <cell r="A211" t="str">
            <v>16.6.e</v>
          </cell>
          <cell r="B211" t="str">
            <v>16-6(e)</v>
          </cell>
          <cell r="C211" t="str">
            <v>2mx1mx0.3m size Gabion box construction, placing at designated location, stretching, tying up with GI wire and closing with 11 SWG gabion wire</v>
          </cell>
          <cell r="D211" t="str">
            <v>2mx1mx0.3m size Gabion box construction and tying up with 11 SWG GI wire</v>
          </cell>
          <cell r="E211" t="str">
            <v>cum</v>
          </cell>
          <cell r="F211">
            <v>85.866666666666688</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BD211">
            <v>0</v>
          </cell>
        </row>
        <row r="212">
          <cell r="A212" t="str">
            <v>16.6.f</v>
          </cell>
          <cell r="B212" t="str">
            <v>16-6(f)</v>
          </cell>
          <cell r="C212" t="str">
            <v>3mx1mx0.3m size Gabion box construction, placing at designated location, stretching, tying up with GI wire and closing with 11 SWG gabion wire</v>
          </cell>
          <cell r="D212" t="str">
            <v>3mx1mx0.3m size Gabion box construction and tying up with 11 SWG GI wire</v>
          </cell>
          <cell r="E212" t="str">
            <v>cum</v>
          </cell>
          <cell r="F212">
            <v>83.055555555555557</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BD212">
            <v>0</v>
          </cell>
        </row>
        <row r="213">
          <cell r="A213">
            <v>16.11</v>
          </cell>
          <cell r="B213" t="str">
            <v>16-11</v>
          </cell>
          <cell r="C213" t="str">
            <v>Filling of Gabion box with boulder</v>
          </cell>
          <cell r="D213" t="str">
            <v>Filling of Gabion box with boulder</v>
          </cell>
          <cell r="E213" t="str">
            <v>cum</v>
          </cell>
          <cell r="F213">
            <v>974.35519562499996</v>
          </cell>
          <cell r="G213">
            <v>1674.75</v>
          </cell>
          <cell r="H213">
            <v>1631801.3638729686</v>
          </cell>
          <cell r="I213">
            <v>0</v>
          </cell>
          <cell r="J213">
            <v>0</v>
          </cell>
          <cell r="K213">
            <v>149.25</v>
          </cell>
          <cell r="L213">
            <v>145422.51294703124</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1525.5</v>
          </cell>
          <cell r="AJ213">
            <v>1486378.8509259375</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BD213">
            <v>0</v>
          </cell>
        </row>
        <row r="214">
          <cell r="C214" t="str">
            <v>PIPELINE WORKS</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BD214">
            <v>0</v>
          </cell>
        </row>
        <row r="215">
          <cell r="A215" t="str">
            <v>17.1.a</v>
          </cell>
          <cell r="B215" t="str">
            <v>17-1(a)</v>
          </cell>
          <cell r="C215" t="str">
            <v>150mm dia. R.C.C. Pipe laying work including 100m haulage including pipe and collar</v>
          </cell>
          <cell r="D215" t="str">
            <v xml:space="preserve">150mm dia. R.C.C. Pipe laying work </v>
          </cell>
          <cell r="E215" t="str">
            <v>m</v>
          </cell>
          <cell r="F215">
            <v>347.14380630764163</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BD215">
            <v>0</v>
          </cell>
        </row>
        <row r="216">
          <cell r="A216" t="str">
            <v>17.1.b</v>
          </cell>
          <cell r="B216" t="str">
            <v>17-1(b)</v>
          </cell>
          <cell r="C216" t="str">
            <v>200mm dia. R.C.C. Pipe laying work including 100m haulage including pipe and collar</v>
          </cell>
          <cell r="D216" t="str">
            <v xml:space="preserve">200mm dia. R.C.C. Pipe laying work </v>
          </cell>
          <cell r="E216" t="str">
            <v>m</v>
          </cell>
          <cell r="F216">
            <v>550.07682839277345</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BD216">
            <v>0</v>
          </cell>
        </row>
        <row r="217">
          <cell r="A217" t="str">
            <v>17.1.c</v>
          </cell>
          <cell r="B217" t="str">
            <v>17-1(c)</v>
          </cell>
          <cell r="C217" t="str">
            <v>300mm dia. R.C.C. Pipe laying work including 100m haulage including pipe and collar</v>
          </cell>
          <cell r="D217" t="str">
            <v xml:space="preserve">300mm dia. R.C.C. Pipe laying work </v>
          </cell>
          <cell r="E217" t="str">
            <v>m</v>
          </cell>
          <cell r="F217">
            <v>882.14809947983395</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BD217">
            <v>0</v>
          </cell>
        </row>
        <row r="218">
          <cell r="A218" t="str">
            <v>17.1.d</v>
          </cell>
          <cell r="B218" t="str">
            <v>17-1(d)</v>
          </cell>
          <cell r="C218" t="str">
            <v>400mm dia. R.C.C. Pipe laying work including 100m haulage including pipe and collar</v>
          </cell>
          <cell r="D218" t="str">
            <v xml:space="preserve">400mm dia. R.C.C. Pipe laying work </v>
          </cell>
          <cell r="E218" t="str">
            <v>m</v>
          </cell>
          <cell r="F218">
            <v>968.27513151537596</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BD218">
            <v>0</v>
          </cell>
        </row>
        <row r="219">
          <cell r="A219" t="str">
            <v>17.1.e</v>
          </cell>
          <cell r="B219" t="str">
            <v>17-1(e)</v>
          </cell>
          <cell r="C219" t="str">
            <v>500mm dia. R.C.C. Pipe laying work including 100m haulage including pipe and collar</v>
          </cell>
          <cell r="D219" t="str">
            <v xml:space="preserve">500mm dia. R.C.C. Pipe laying work </v>
          </cell>
          <cell r="E219" t="str">
            <v>m</v>
          </cell>
          <cell r="F219">
            <v>1180.6393366624463</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BD219">
            <v>0</v>
          </cell>
        </row>
        <row r="220">
          <cell r="A220" t="str">
            <v>17.1.f</v>
          </cell>
          <cell r="B220" t="str">
            <v>17-1(f)</v>
          </cell>
          <cell r="C220" t="str">
            <v>600mm dia. R.C.C. Pipe laying work including 100m haulage including pipe and collar</v>
          </cell>
          <cell r="D220" t="str">
            <v xml:space="preserve">600mm dia. R.C.C. Pipe laying work </v>
          </cell>
          <cell r="E220" t="str">
            <v>m</v>
          </cell>
          <cell r="F220">
            <v>1539.4401027303416</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BD220">
            <v>0</v>
          </cell>
        </row>
        <row r="221">
          <cell r="A221" t="str">
            <v>17.1.g</v>
          </cell>
          <cell r="B221" t="str">
            <v>17-1(g)</v>
          </cell>
          <cell r="C221" t="str">
            <v>750mm dia. R.C.C. Pipe laying work including 100m haulage including pipe and collar</v>
          </cell>
          <cell r="D221" t="str">
            <v xml:space="preserve">750mm dia. R.C.C. Pipe laying work </v>
          </cell>
          <cell r="E221" t="str">
            <v>m</v>
          </cell>
          <cell r="F221">
            <v>2113.2585377591063</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BD221">
            <v>0</v>
          </cell>
        </row>
        <row r="222">
          <cell r="A222" t="str">
            <v>17.1.h</v>
          </cell>
          <cell r="B222" t="str">
            <v>17-1(h)</v>
          </cell>
          <cell r="C222" t="str">
            <v>900mm dia. R.C.C. Pipe laying work including 100m haulage including pipe and collar</v>
          </cell>
          <cell r="D222" t="str">
            <v xml:space="preserve">900mm dia. R.C.C. Pipe laying work </v>
          </cell>
          <cell r="E222" t="str">
            <v>m</v>
          </cell>
          <cell r="F222">
            <v>2741.9475003167477</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BD222">
            <v>0</v>
          </cell>
        </row>
        <row r="223">
          <cell r="A223" t="str">
            <v>17.1.h'</v>
          </cell>
          <cell r="B223" t="str">
            <v>17-1(h)</v>
          </cell>
          <cell r="C223" t="str">
            <v>1000mm dia. R.C.C. Pipe laying work including 100m haulage including pipe and collar</v>
          </cell>
          <cell r="D223" t="str">
            <v xml:space="preserve">1000mm dia. R.C.C. Pipe laying work </v>
          </cell>
          <cell r="E223" t="str">
            <v>m</v>
          </cell>
          <cell r="F223">
            <v>3064.6375003167477</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BD223">
            <v>0</v>
          </cell>
        </row>
        <row r="224">
          <cell r="A224" t="str">
            <v>17.1.i</v>
          </cell>
          <cell r="B224" t="str">
            <v>17-1(i)</v>
          </cell>
          <cell r="C224" t="str">
            <v>1200mm dia. R.C.C. Pipe laying work including 100m haulage including pipe and collar</v>
          </cell>
          <cell r="D224" t="str">
            <v xml:space="preserve">1200mm dia. R.C.C. Pipe laying work </v>
          </cell>
          <cell r="E224" t="str">
            <v>m</v>
          </cell>
          <cell r="F224">
            <v>3720.9302591387159</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BD224">
            <v>0</v>
          </cell>
        </row>
        <row r="225">
          <cell r="A225" t="str">
            <v>17.2.a.1</v>
          </cell>
          <cell r="B225" t="str">
            <v>17-2(a)</v>
          </cell>
          <cell r="C225" t="str">
            <v>20mm dia. HDPE pipe laying works with butt-welded joint (excluding pipe)</v>
          </cell>
          <cell r="D225" t="str">
            <v>20mm dia. HDPE pipe laying works</v>
          </cell>
          <cell r="E225" t="str">
            <v>m</v>
          </cell>
          <cell r="F225">
            <v>0.40574874999999999</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BD225">
            <v>0</v>
          </cell>
        </row>
        <row r="226">
          <cell r="A226" t="str">
            <v>17.2.a.2</v>
          </cell>
          <cell r="B226" t="str">
            <v>17-2(a)</v>
          </cell>
          <cell r="C226" t="str">
            <v>25mm dia. HDPE pipe laying works with butt-welded joint (excluding pipe)</v>
          </cell>
          <cell r="D226" t="str">
            <v xml:space="preserve">25mm dia. HDPE pipe laying works </v>
          </cell>
          <cell r="E226" t="str">
            <v>m</v>
          </cell>
          <cell r="F226">
            <v>0.40574874999999999</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BD226">
            <v>0</v>
          </cell>
        </row>
        <row r="227">
          <cell r="A227" t="str">
            <v>17.2.a.3</v>
          </cell>
          <cell r="B227" t="str">
            <v>17-2(a)</v>
          </cell>
          <cell r="C227" t="str">
            <v>32mm dia. HDPE pipe laying works with butt-welded joint (excluding pipe)</v>
          </cell>
          <cell r="D227" t="str">
            <v xml:space="preserve">32mm dia. HDPE pipe laying works </v>
          </cell>
          <cell r="E227" t="str">
            <v>m</v>
          </cell>
          <cell r="F227">
            <v>0.50004874999999993</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BD227">
            <v>0</v>
          </cell>
        </row>
        <row r="228">
          <cell r="A228" t="str">
            <v>17.2.a.4</v>
          </cell>
          <cell r="B228" t="str">
            <v>17-2(a)</v>
          </cell>
          <cell r="C228" t="str">
            <v>40mm dia. HDPE pipe laying works with butt-welded joint (excluding pipe)</v>
          </cell>
          <cell r="D228" t="str">
            <v xml:space="preserve">40mm dia. HDPE pipe laying works </v>
          </cell>
          <cell r="E228" t="str">
            <v>m</v>
          </cell>
          <cell r="F228">
            <v>0.60835862499999993</v>
          </cell>
          <cell r="G228">
            <v>2670</v>
          </cell>
          <cell r="H228">
            <v>1624.3175287499998</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1169</v>
          </cell>
          <cell r="AN228">
            <v>711.1712326249999</v>
          </cell>
          <cell r="AO228">
            <v>1501</v>
          </cell>
          <cell r="AP228">
            <v>913.14629612499994</v>
          </cell>
          <cell r="AQ228">
            <v>0</v>
          </cell>
          <cell r="AR228">
            <v>0</v>
          </cell>
          <cell r="AS228">
            <v>0</v>
          </cell>
          <cell r="AT228">
            <v>0</v>
          </cell>
          <cell r="AU228">
            <v>0</v>
          </cell>
          <cell r="AV228">
            <v>0</v>
          </cell>
          <cell r="AW228">
            <v>0</v>
          </cell>
          <cell r="AX228">
            <v>0</v>
          </cell>
          <cell r="BD228">
            <v>0</v>
          </cell>
        </row>
        <row r="229">
          <cell r="A229" t="str">
            <v>17.2.a.5</v>
          </cell>
          <cell r="B229" t="str">
            <v>17-2(a)</v>
          </cell>
          <cell r="C229" t="str">
            <v>50mm dia. HDPE pipe laying works with butt-welded joint (excluding pipe)</v>
          </cell>
          <cell r="D229" t="str">
            <v xml:space="preserve">50mm dia. HDPE pipe laying works </v>
          </cell>
          <cell r="E229" t="str">
            <v>m</v>
          </cell>
          <cell r="F229">
            <v>0.60835862499999993</v>
          </cell>
          <cell r="G229">
            <v>2316</v>
          </cell>
          <cell r="H229">
            <v>1408.9585754999998</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662</v>
          </cell>
          <cell r="AN229">
            <v>402.73340974999996</v>
          </cell>
          <cell r="AO229">
            <v>1654</v>
          </cell>
          <cell r="AP229">
            <v>1006.2251657499999</v>
          </cell>
          <cell r="AQ229">
            <v>0</v>
          </cell>
          <cell r="AR229">
            <v>0</v>
          </cell>
          <cell r="AS229">
            <v>0</v>
          </cell>
          <cell r="AT229">
            <v>0</v>
          </cell>
          <cell r="AU229">
            <v>0</v>
          </cell>
          <cell r="AV229">
            <v>0</v>
          </cell>
          <cell r="AW229">
            <v>0</v>
          </cell>
          <cell r="AX229">
            <v>0</v>
          </cell>
          <cell r="BD229">
            <v>0</v>
          </cell>
        </row>
        <row r="230">
          <cell r="A230" t="str">
            <v>17.2.b.1</v>
          </cell>
          <cell r="B230" t="str">
            <v>17-2(b)</v>
          </cell>
          <cell r="C230" t="str">
            <v>63mm dia. HDPE pipe laying works with butt-welded joint (excluding pipe)</v>
          </cell>
          <cell r="D230" t="str">
            <v xml:space="preserve">63mm dia. HDPE pipe laying works </v>
          </cell>
          <cell r="E230" t="str">
            <v>m</v>
          </cell>
          <cell r="F230">
            <v>11.353375000000002</v>
          </cell>
          <cell r="G230">
            <v>2857</v>
          </cell>
          <cell r="H230">
            <v>32436.592375000004</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708</v>
          </cell>
          <cell r="AN230">
            <v>8038.1895000000013</v>
          </cell>
          <cell r="AO230">
            <v>2149</v>
          </cell>
          <cell r="AP230">
            <v>24398.402875000003</v>
          </cell>
          <cell r="AQ230">
            <v>0</v>
          </cell>
          <cell r="AR230">
            <v>0</v>
          </cell>
          <cell r="AS230">
            <v>0</v>
          </cell>
          <cell r="AT230">
            <v>0</v>
          </cell>
          <cell r="AU230">
            <v>0</v>
          </cell>
          <cell r="AV230">
            <v>0</v>
          </cell>
          <cell r="AW230">
            <v>0</v>
          </cell>
          <cell r="AX230">
            <v>0</v>
          </cell>
          <cell r="BD230">
            <v>0</v>
          </cell>
        </row>
        <row r="231">
          <cell r="A231" t="str">
            <v>17.2.b.2</v>
          </cell>
          <cell r="B231" t="str">
            <v>17-2(b)</v>
          </cell>
          <cell r="C231" t="str">
            <v>75mm dia. HDPE pipe laying works with butt-welded joint (excluding pipe)</v>
          </cell>
          <cell r="D231" t="str">
            <v xml:space="preserve">75mm dia. HDPE pipe laying works </v>
          </cell>
          <cell r="E231" t="str">
            <v>m</v>
          </cell>
          <cell r="F231">
            <v>11.353375000000002</v>
          </cell>
          <cell r="G231">
            <v>2138</v>
          </cell>
          <cell r="H231">
            <v>24273.515750000002</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202</v>
          </cell>
          <cell r="AN231">
            <v>2293.3817500000005</v>
          </cell>
          <cell r="AO231">
            <v>1936</v>
          </cell>
          <cell r="AP231">
            <v>21980.134000000002</v>
          </cell>
          <cell r="AQ231">
            <v>0</v>
          </cell>
          <cell r="AR231">
            <v>0</v>
          </cell>
          <cell r="AS231">
            <v>0</v>
          </cell>
          <cell r="AT231">
            <v>0</v>
          </cell>
          <cell r="AU231">
            <v>0</v>
          </cell>
          <cell r="AV231">
            <v>0</v>
          </cell>
          <cell r="AW231">
            <v>0</v>
          </cell>
          <cell r="AX231">
            <v>0</v>
          </cell>
          <cell r="BD231">
            <v>0</v>
          </cell>
        </row>
        <row r="232">
          <cell r="A232" t="str">
            <v>17.2.b.3</v>
          </cell>
          <cell r="B232" t="str">
            <v>17-2(b)</v>
          </cell>
          <cell r="C232" t="str">
            <v>90mm dia. HDPE pipe laying works with butt-welded joint (excluding pipe)</v>
          </cell>
          <cell r="D232" t="str">
            <v xml:space="preserve">90mm dia. HDPE pipe laying works </v>
          </cell>
          <cell r="E232" t="str">
            <v>m</v>
          </cell>
          <cell r="F232">
            <v>13.078375000000001</v>
          </cell>
          <cell r="G232">
            <v>1450</v>
          </cell>
          <cell r="H232">
            <v>18963.643750000003</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150</v>
          </cell>
          <cell r="AD232">
            <v>1961.7562500000001</v>
          </cell>
          <cell r="AE232">
            <v>0</v>
          </cell>
          <cell r="AF232">
            <v>0</v>
          </cell>
          <cell r="AG232">
            <v>0</v>
          </cell>
          <cell r="AH232">
            <v>0</v>
          </cell>
          <cell r="AI232">
            <v>0</v>
          </cell>
          <cell r="AJ232">
            <v>0</v>
          </cell>
          <cell r="AK232">
            <v>0</v>
          </cell>
          <cell r="AL232">
            <v>0</v>
          </cell>
          <cell r="AM232">
            <v>290</v>
          </cell>
          <cell r="AN232">
            <v>3792.7287500000002</v>
          </cell>
          <cell r="AO232">
            <v>1010</v>
          </cell>
          <cell r="AP232">
            <v>13209.158750000001</v>
          </cell>
          <cell r="AQ232">
            <v>0</v>
          </cell>
          <cell r="AR232">
            <v>0</v>
          </cell>
          <cell r="AS232">
            <v>0</v>
          </cell>
          <cell r="AT232">
            <v>0</v>
          </cell>
          <cell r="AU232">
            <v>0</v>
          </cell>
          <cell r="AV232">
            <v>0</v>
          </cell>
          <cell r="AW232">
            <v>0</v>
          </cell>
          <cell r="AX232">
            <v>0</v>
          </cell>
          <cell r="BD232">
            <v>0</v>
          </cell>
        </row>
        <row r="233">
          <cell r="A233" t="str">
            <v>17.2.b.4</v>
          </cell>
          <cell r="B233" t="str">
            <v>17-2(b)</v>
          </cell>
          <cell r="C233" t="str">
            <v>110mm dia. HDPE pipe laying works with butt-welded joint (excluding pipe)</v>
          </cell>
          <cell r="D233" t="str">
            <v xml:space="preserve">110mm dia. HDPE pipe laying works </v>
          </cell>
          <cell r="E233" t="str">
            <v>m</v>
          </cell>
          <cell r="F233">
            <v>17.479712499999998</v>
          </cell>
          <cell r="G233">
            <v>1588</v>
          </cell>
          <cell r="H233">
            <v>27757.783449999995</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260</v>
          </cell>
          <cell r="AN233">
            <v>4544.7252499999995</v>
          </cell>
          <cell r="AO233">
            <v>1328</v>
          </cell>
          <cell r="AP233">
            <v>23213.058199999996</v>
          </cell>
          <cell r="AQ233">
            <v>0</v>
          </cell>
          <cell r="AR233">
            <v>0</v>
          </cell>
          <cell r="AS233">
            <v>0</v>
          </cell>
          <cell r="AT233">
            <v>0</v>
          </cell>
          <cell r="AU233">
            <v>0</v>
          </cell>
          <cell r="AV233">
            <v>0</v>
          </cell>
          <cell r="AW233">
            <v>0</v>
          </cell>
          <cell r="AX233">
            <v>0</v>
          </cell>
          <cell r="BD233">
            <v>0</v>
          </cell>
        </row>
        <row r="234">
          <cell r="A234" t="str">
            <v>17.2.b.5</v>
          </cell>
          <cell r="B234" t="str">
            <v>17-2(b)</v>
          </cell>
          <cell r="C234" t="str">
            <v>125mm dia. HDPE pipe laying works with butt-welded joint (excluding pipe)</v>
          </cell>
          <cell r="D234" t="str">
            <v xml:space="preserve">125mm dia. HDPE pipe laying works </v>
          </cell>
          <cell r="E234" t="str">
            <v>m</v>
          </cell>
          <cell r="F234">
            <v>17.479712499999998</v>
          </cell>
          <cell r="G234">
            <v>2448</v>
          </cell>
          <cell r="H234">
            <v>42790.336199999998</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150</v>
          </cell>
          <cell r="AD234">
            <v>2621.9568749999999</v>
          </cell>
          <cell r="AE234">
            <v>0</v>
          </cell>
          <cell r="AF234">
            <v>0</v>
          </cell>
          <cell r="AG234">
            <v>0</v>
          </cell>
          <cell r="AH234">
            <v>0</v>
          </cell>
          <cell r="AI234">
            <v>0</v>
          </cell>
          <cell r="AJ234">
            <v>0</v>
          </cell>
          <cell r="AK234">
            <v>0</v>
          </cell>
          <cell r="AL234">
            <v>0</v>
          </cell>
          <cell r="AM234">
            <v>2052</v>
          </cell>
          <cell r="AN234">
            <v>35868.370049999998</v>
          </cell>
          <cell r="AO234">
            <v>246</v>
          </cell>
          <cell r="AP234">
            <v>4300.0092749999994</v>
          </cell>
          <cell r="AQ234">
            <v>0</v>
          </cell>
          <cell r="AR234">
            <v>0</v>
          </cell>
          <cell r="AS234">
            <v>0</v>
          </cell>
          <cell r="AT234">
            <v>0</v>
          </cell>
          <cell r="AU234">
            <v>0</v>
          </cell>
          <cell r="AV234">
            <v>0</v>
          </cell>
          <cell r="AW234">
            <v>0</v>
          </cell>
          <cell r="AX234">
            <v>0</v>
          </cell>
          <cell r="BD234">
            <v>0</v>
          </cell>
        </row>
        <row r="235">
          <cell r="A235" t="str">
            <v>17.2.b.6</v>
          </cell>
          <cell r="B235" t="str">
            <v>17-2(b)</v>
          </cell>
          <cell r="C235" t="str">
            <v>140mm dia. HDPE pipe laying works with butt-welded joint (excluding pipe)</v>
          </cell>
          <cell r="D235" t="str">
            <v xml:space="preserve">140mm dia. HDPE pipe laying works </v>
          </cell>
          <cell r="E235" t="str">
            <v>m</v>
          </cell>
          <cell r="F235">
            <v>23.658950000000004</v>
          </cell>
          <cell r="G235">
            <v>391</v>
          </cell>
          <cell r="H235">
            <v>9250.6494500000008</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391</v>
          </cell>
          <cell r="AN235">
            <v>9250.6494500000008</v>
          </cell>
          <cell r="AO235">
            <v>0</v>
          </cell>
          <cell r="AP235">
            <v>0</v>
          </cell>
          <cell r="AQ235">
            <v>0</v>
          </cell>
          <cell r="AR235">
            <v>0</v>
          </cell>
          <cell r="AS235">
            <v>0</v>
          </cell>
          <cell r="AT235">
            <v>0</v>
          </cell>
          <cell r="AU235">
            <v>0</v>
          </cell>
          <cell r="AV235">
            <v>0</v>
          </cell>
          <cell r="AW235">
            <v>0</v>
          </cell>
          <cell r="AX235">
            <v>0</v>
          </cell>
          <cell r="BD235">
            <v>0</v>
          </cell>
        </row>
        <row r="236">
          <cell r="A236" t="str">
            <v>17.2.b.7</v>
          </cell>
          <cell r="B236" t="str">
            <v>17-2(b)</v>
          </cell>
          <cell r="C236" t="str">
            <v>160mm dia. HDPE pipe laying works with butt-welded joint (excluding pipe)</v>
          </cell>
          <cell r="D236" t="str">
            <v xml:space="preserve">160mm dia. HDPE pipe laying works </v>
          </cell>
          <cell r="E236" t="str">
            <v>m</v>
          </cell>
          <cell r="F236">
            <v>23.658950000000004</v>
          </cell>
          <cell r="G236">
            <v>1580</v>
          </cell>
          <cell r="H236">
            <v>37381.141000000003</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1580</v>
          </cell>
          <cell r="AN236">
            <v>37381.141000000003</v>
          </cell>
          <cell r="AO236">
            <v>0</v>
          </cell>
          <cell r="AP236">
            <v>0</v>
          </cell>
          <cell r="AQ236">
            <v>0</v>
          </cell>
          <cell r="AR236">
            <v>0</v>
          </cell>
          <cell r="AS236">
            <v>0</v>
          </cell>
          <cell r="AT236">
            <v>0</v>
          </cell>
          <cell r="AU236">
            <v>0</v>
          </cell>
          <cell r="AV236">
            <v>0</v>
          </cell>
          <cell r="AW236">
            <v>0</v>
          </cell>
          <cell r="AX236">
            <v>0</v>
          </cell>
          <cell r="BD236">
            <v>0</v>
          </cell>
        </row>
        <row r="237">
          <cell r="A237" t="str">
            <v>17.2.b.8</v>
          </cell>
          <cell r="B237" t="str">
            <v>17-2(b)</v>
          </cell>
          <cell r="C237" t="str">
            <v>180mm dia. HDPE pipe laying works with butt-welded joint (excluding pipe)</v>
          </cell>
          <cell r="D237" t="str">
            <v xml:space="preserve">180mm dia. HDPE pipe laying works </v>
          </cell>
          <cell r="E237" t="str">
            <v>m</v>
          </cell>
          <cell r="F237">
            <v>23.658950000000004</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BD237">
            <v>0</v>
          </cell>
        </row>
        <row r="238">
          <cell r="A238" t="str">
            <v>17.4.a.1.1</v>
          </cell>
          <cell r="B238" t="str">
            <v>17-4(a)1</v>
          </cell>
          <cell r="C238" t="str">
            <v>13mm dia. GI pipe laying works with socket, union or flange joint including 500m carriage (excluding pipe)</v>
          </cell>
          <cell r="D238" t="str">
            <v xml:space="preserve">13mm dia. GI pipe laying works </v>
          </cell>
          <cell r="E238" t="str">
            <v>m</v>
          </cell>
          <cell r="F238">
            <v>8.8286458333333329</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BD238">
            <v>0</v>
          </cell>
        </row>
        <row r="239">
          <cell r="A239" t="str">
            <v>17.4.a.1.1.a</v>
          </cell>
          <cell r="B239" t="str">
            <v>17-4(a)1</v>
          </cell>
          <cell r="C239" t="str">
            <v>13mm dia. GI pipe laying works with socket, union or flange joint including 500m carriage (including pipe)</v>
          </cell>
          <cell r="D239" t="str">
            <v>13mm dia. GI pipe laying works (with pipe)</v>
          </cell>
          <cell r="E239" t="str">
            <v>m</v>
          </cell>
          <cell r="F239">
            <v>77.665872533333342</v>
          </cell>
          <cell r="G239">
            <v>29</v>
          </cell>
          <cell r="H239">
            <v>2252.3103034666669</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15</v>
          </cell>
          <cell r="Z239">
            <v>1164.9880880000001</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14</v>
          </cell>
          <cell r="AX239">
            <v>1087.3222154666669</v>
          </cell>
          <cell r="BD239">
            <v>0</v>
          </cell>
        </row>
        <row r="240">
          <cell r="A240" t="str">
            <v>17.4.a.1.2</v>
          </cell>
          <cell r="B240" t="str">
            <v>17-4(a)1</v>
          </cell>
          <cell r="C240" t="str">
            <v>20mm dia. GI pipe laying works with socket, union or flange joint including 500m carriage (excluding pipe)</v>
          </cell>
          <cell r="D240" t="str">
            <v xml:space="preserve">20mm dia. GI pipe laying works </v>
          </cell>
          <cell r="E240" t="str">
            <v>m</v>
          </cell>
          <cell r="F240">
            <v>10.770292646666666</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BD240">
            <v>0</v>
          </cell>
        </row>
        <row r="241">
          <cell r="A241" t="str">
            <v>17.4.a.1.2.a</v>
          </cell>
          <cell r="B241" t="str">
            <v>17-4(a)1</v>
          </cell>
          <cell r="C241" t="str">
            <v>20mm dia. GI pipe laying works with socket, union or flange joint including 500m carriage (including pipe)</v>
          </cell>
          <cell r="D241" t="str">
            <v>20mm dia. GI pipe laying works (with Pipe)</v>
          </cell>
          <cell r="E241" t="str">
            <v>m</v>
          </cell>
          <cell r="F241">
            <v>98.22596492866667</v>
          </cell>
          <cell r="G241">
            <v>20</v>
          </cell>
          <cell r="H241">
            <v>1964.5192985733333</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6</v>
          </cell>
          <cell r="Z241">
            <v>589.35578957200005</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14</v>
          </cell>
          <cell r="AX241">
            <v>1375.1635090013333</v>
          </cell>
          <cell r="BD241">
            <v>0</v>
          </cell>
        </row>
        <row r="242">
          <cell r="A242" t="str">
            <v>17.4.a.2.1</v>
          </cell>
          <cell r="B242" t="str">
            <v>17-4(a)2</v>
          </cell>
          <cell r="C242" t="str">
            <v>25mm dia. GI pipe laying works with socket, union or flange joint including 500m carriage (excluding pipe)</v>
          </cell>
          <cell r="D242" t="str">
            <v>25mm dia. GI pipe laying works</v>
          </cell>
          <cell r="E242" t="str">
            <v>m</v>
          </cell>
          <cell r="F242">
            <v>14.695961623216666</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BD242">
            <v>0</v>
          </cell>
        </row>
        <row r="243">
          <cell r="A243" t="str">
            <v>17.4.a.2.1.a</v>
          </cell>
          <cell r="B243" t="str">
            <v>17-4(a)2</v>
          </cell>
          <cell r="C243" t="str">
            <v>25mm dia. GI pipe laying works with socket, union or flange joint including 500m carriage (including pipe)</v>
          </cell>
          <cell r="D243" t="str">
            <v>25mm dia. GI pipe laying works (with Pipe)</v>
          </cell>
          <cell r="E243" t="str">
            <v>m</v>
          </cell>
          <cell r="F243">
            <v>150.19106852088041</v>
          </cell>
          <cell r="G243">
            <v>4</v>
          </cell>
          <cell r="H243">
            <v>600.76427408352163</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4</v>
          </cell>
          <cell r="AX243">
            <v>600.76427408352163</v>
          </cell>
          <cell r="BD243">
            <v>0</v>
          </cell>
        </row>
        <row r="244">
          <cell r="A244" t="str">
            <v>17.4.a.2.2</v>
          </cell>
          <cell r="B244" t="str">
            <v>17-4(a)2</v>
          </cell>
          <cell r="C244" t="str">
            <v>32mm dia. GI pipe laying works with socket, union or flange joint including 500m carriage (excluding pipe)</v>
          </cell>
          <cell r="D244" t="str">
            <v>32mm dia. GI pipe laying works</v>
          </cell>
          <cell r="E244" t="str">
            <v>m</v>
          </cell>
          <cell r="F244">
            <v>15.995089213022007</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BD244">
            <v>0</v>
          </cell>
        </row>
        <row r="245">
          <cell r="A245" t="str">
            <v>17.4.a.3.1</v>
          </cell>
          <cell r="B245" t="str">
            <v>17-4(a)3</v>
          </cell>
          <cell r="C245" t="str">
            <v>40mm dia. GI pipe laying works with socket, union or flange joint including 500m carriage (excluding pipe)</v>
          </cell>
          <cell r="D245" t="str">
            <v>40mm dia. GI pipe laying works</v>
          </cell>
          <cell r="E245" t="str">
            <v>m</v>
          </cell>
          <cell r="F245">
            <v>16.654635416666668</v>
          </cell>
          <cell r="G245">
            <v>5138</v>
          </cell>
          <cell r="H245">
            <v>85571.516770833347</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187</v>
          </cell>
          <cell r="AD245">
            <v>3114.4168229166671</v>
          </cell>
          <cell r="AE245">
            <v>0</v>
          </cell>
          <cell r="AF245">
            <v>0</v>
          </cell>
          <cell r="AG245">
            <v>0</v>
          </cell>
          <cell r="AH245">
            <v>0</v>
          </cell>
          <cell r="AI245">
            <v>0</v>
          </cell>
          <cell r="AJ245">
            <v>0</v>
          </cell>
          <cell r="AK245">
            <v>0</v>
          </cell>
          <cell r="AL245">
            <v>0</v>
          </cell>
          <cell r="AM245">
            <v>1527</v>
          </cell>
          <cell r="AN245">
            <v>25431.628281250003</v>
          </cell>
          <cell r="AO245">
            <v>0</v>
          </cell>
          <cell r="AP245">
            <v>0</v>
          </cell>
          <cell r="AQ245">
            <v>3424</v>
          </cell>
          <cell r="AR245">
            <v>57025.471666666672</v>
          </cell>
          <cell r="AS245">
            <v>0</v>
          </cell>
          <cell r="AT245">
            <v>0</v>
          </cell>
          <cell r="AU245">
            <v>0</v>
          </cell>
          <cell r="AV245">
            <v>0</v>
          </cell>
          <cell r="AW245">
            <v>0</v>
          </cell>
          <cell r="AX245">
            <v>0</v>
          </cell>
          <cell r="BD245">
            <v>0</v>
          </cell>
        </row>
        <row r="246">
          <cell r="A246" t="str">
            <v>17.4.a.3.2</v>
          </cell>
          <cell r="B246" t="str">
            <v>17-4(a)3</v>
          </cell>
          <cell r="C246" t="str">
            <v>50mm dia. GI pipe laying works with socket, union or flange joint including 500m carriage (excluding pipe)</v>
          </cell>
          <cell r="D246" t="str">
            <v>50mm dia. GI pipe laying works</v>
          </cell>
          <cell r="E246" t="str">
            <v>m</v>
          </cell>
          <cell r="F246">
            <v>16.654635416666668</v>
          </cell>
          <cell r="G246">
            <v>2008</v>
          </cell>
          <cell r="H246">
            <v>33442.507916666669</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583</v>
          </cell>
          <cell r="AD246">
            <v>9709.6524479166674</v>
          </cell>
          <cell r="AE246">
            <v>0</v>
          </cell>
          <cell r="AF246">
            <v>0</v>
          </cell>
          <cell r="AG246">
            <v>0</v>
          </cell>
          <cell r="AH246">
            <v>0</v>
          </cell>
          <cell r="AI246">
            <v>0</v>
          </cell>
          <cell r="AJ246">
            <v>0</v>
          </cell>
          <cell r="AK246">
            <v>0</v>
          </cell>
          <cell r="AL246">
            <v>0</v>
          </cell>
          <cell r="AM246">
            <v>0</v>
          </cell>
          <cell r="AN246">
            <v>0</v>
          </cell>
          <cell r="AO246">
            <v>0</v>
          </cell>
          <cell r="AP246">
            <v>0</v>
          </cell>
          <cell r="AQ246">
            <v>1425</v>
          </cell>
          <cell r="AR246">
            <v>23732.855468750004</v>
          </cell>
          <cell r="AS246">
            <v>0</v>
          </cell>
          <cell r="AT246">
            <v>0</v>
          </cell>
          <cell r="AU246">
            <v>0</v>
          </cell>
          <cell r="AV246">
            <v>0</v>
          </cell>
          <cell r="AW246">
            <v>0</v>
          </cell>
          <cell r="AX246">
            <v>0</v>
          </cell>
          <cell r="BD246">
            <v>0</v>
          </cell>
        </row>
        <row r="247">
          <cell r="A247" t="str">
            <v>17.4.a.4.1</v>
          </cell>
          <cell r="B247" t="str">
            <v>17-4(a)4</v>
          </cell>
          <cell r="C247" t="str">
            <v>63mm dia. GI pipe laying works with socket, union or flange joint including 500m carriage (excluding pipe)</v>
          </cell>
          <cell r="D247" t="str">
            <v>63mm dia. GI pipe laying works</v>
          </cell>
          <cell r="E247" t="str">
            <v>m</v>
          </cell>
          <cell r="F247">
            <v>22.033281250000002</v>
          </cell>
          <cell r="G247">
            <v>4504</v>
          </cell>
          <cell r="H247">
            <v>99237.898750000008</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1561</v>
          </cell>
          <cell r="AD247">
            <v>34393.952031250003</v>
          </cell>
          <cell r="AE247">
            <v>0</v>
          </cell>
          <cell r="AF247">
            <v>0</v>
          </cell>
          <cell r="AG247">
            <v>0</v>
          </cell>
          <cell r="AH247">
            <v>0</v>
          </cell>
          <cell r="AI247">
            <v>0</v>
          </cell>
          <cell r="AJ247">
            <v>0</v>
          </cell>
          <cell r="AK247">
            <v>0</v>
          </cell>
          <cell r="AL247">
            <v>0</v>
          </cell>
          <cell r="AM247">
            <v>0</v>
          </cell>
          <cell r="AN247">
            <v>0</v>
          </cell>
          <cell r="AO247">
            <v>0</v>
          </cell>
          <cell r="AP247">
            <v>0</v>
          </cell>
          <cell r="AQ247">
            <v>2943</v>
          </cell>
          <cell r="AR247">
            <v>64843.946718750005</v>
          </cell>
          <cell r="AS247">
            <v>0</v>
          </cell>
          <cell r="AT247">
            <v>0</v>
          </cell>
          <cell r="AU247">
            <v>0</v>
          </cell>
          <cell r="AV247">
            <v>0</v>
          </cell>
          <cell r="AW247">
            <v>0</v>
          </cell>
          <cell r="AX247">
            <v>0</v>
          </cell>
          <cell r="BD247">
            <v>0</v>
          </cell>
        </row>
        <row r="248">
          <cell r="A248" t="str">
            <v>17.4.a.4.2</v>
          </cell>
          <cell r="B248" t="str">
            <v>17-4(a)4</v>
          </cell>
          <cell r="C248" t="str">
            <v>75mm dia. GI pipe laying works with socket, union or flange joint including 500m carriage (excluding pipe)</v>
          </cell>
          <cell r="D248" t="str">
            <v>75mm dia. GI pipe laying works</v>
          </cell>
          <cell r="E248" t="str">
            <v>m</v>
          </cell>
          <cell r="F248">
            <v>22.033281250000002</v>
          </cell>
          <cell r="G248">
            <v>9724</v>
          </cell>
          <cell r="H248">
            <v>214251.62687500002</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1018</v>
          </cell>
          <cell r="AD248">
            <v>22429.880312500001</v>
          </cell>
          <cell r="AE248">
            <v>0</v>
          </cell>
          <cell r="AF248">
            <v>0</v>
          </cell>
          <cell r="AG248">
            <v>0</v>
          </cell>
          <cell r="AH248">
            <v>0</v>
          </cell>
          <cell r="AI248">
            <v>0</v>
          </cell>
          <cell r="AJ248">
            <v>0</v>
          </cell>
          <cell r="AK248">
            <v>0</v>
          </cell>
          <cell r="AL248">
            <v>0</v>
          </cell>
          <cell r="AM248">
            <v>581</v>
          </cell>
          <cell r="AN248">
            <v>12801.33640625</v>
          </cell>
          <cell r="AO248">
            <v>0</v>
          </cell>
          <cell r="AP248">
            <v>0</v>
          </cell>
          <cell r="AQ248">
            <v>8125</v>
          </cell>
          <cell r="AR248">
            <v>179020.41015625</v>
          </cell>
          <cell r="AS248">
            <v>0</v>
          </cell>
          <cell r="AT248">
            <v>0</v>
          </cell>
          <cell r="AU248">
            <v>0</v>
          </cell>
          <cell r="AV248">
            <v>0</v>
          </cell>
          <cell r="AW248">
            <v>0</v>
          </cell>
          <cell r="AX248">
            <v>0</v>
          </cell>
          <cell r="BD248">
            <v>0</v>
          </cell>
        </row>
        <row r="249">
          <cell r="A249" t="str">
            <v>17.4.a.5</v>
          </cell>
          <cell r="B249" t="str">
            <v>17-4(a)5</v>
          </cell>
          <cell r="C249" t="str">
            <v>100mm dia. GI pipe laying works with socket, union or flange joint including 500m carriage (excluding pipe)</v>
          </cell>
          <cell r="D249" t="str">
            <v>100mm dia. GI pipe laying works</v>
          </cell>
          <cell r="E249" t="str">
            <v>m</v>
          </cell>
          <cell r="F249">
            <v>27.411927083333335</v>
          </cell>
          <cell r="G249">
            <v>8976</v>
          </cell>
          <cell r="H249">
            <v>246049.45750000002</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1140</v>
          </cell>
          <cell r="AD249">
            <v>31249.596875000003</v>
          </cell>
          <cell r="AE249">
            <v>0</v>
          </cell>
          <cell r="AF249">
            <v>0</v>
          </cell>
          <cell r="AG249">
            <v>0</v>
          </cell>
          <cell r="AH249">
            <v>0</v>
          </cell>
          <cell r="AI249">
            <v>0</v>
          </cell>
          <cell r="AJ249">
            <v>0</v>
          </cell>
          <cell r="AK249">
            <v>0</v>
          </cell>
          <cell r="AL249">
            <v>0</v>
          </cell>
          <cell r="AM249">
            <v>789</v>
          </cell>
          <cell r="AN249">
            <v>21628.010468750002</v>
          </cell>
          <cell r="AO249">
            <v>0</v>
          </cell>
          <cell r="AP249">
            <v>0</v>
          </cell>
          <cell r="AQ249">
            <v>7047</v>
          </cell>
          <cell r="AR249">
            <v>193171.85015625</v>
          </cell>
          <cell r="AS249">
            <v>0</v>
          </cell>
          <cell r="AT249">
            <v>0</v>
          </cell>
          <cell r="AU249">
            <v>0</v>
          </cell>
          <cell r="AV249">
            <v>0</v>
          </cell>
          <cell r="AW249">
            <v>0</v>
          </cell>
          <cell r="AX249">
            <v>0</v>
          </cell>
          <cell r="BD249">
            <v>0</v>
          </cell>
        </row>
        <row r="250">
          <cell r="A250" t="str">
            <v>17.4.a.6</v>
          </cell>
          <cell r="B250" t="str">
            <v>17-4(a)6</v>
          </cell>
          <cell r="C250" t="str">
            <v>125mm dia. GI pipe laying works with socket, union or flange joint including 500m carriage (excluding pipe)</v>
          </cell>
          <cell r="D250" t="str">
            <v>125mm dia. GI pipe laying works</v>
          </cell>
          <cell r="E250" t="str">
            <v>m</v>
          </cell>
          <cell r="F250">
            <v>33.512916666666669</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BD250">
            <v>0</v>
          </cell>
        </row>
        <row r="251">
          <cell r="A251" t="str">
            <v>17.4.a.6.1</v>
          </cell>
          <cell r="B251" t="str">
            <v>17-4(a)6</v>
          </cell>
          <cell r="C251" t="str">
            <v>150mm dia. GI pipe laying works with socket, union or flange joint including 500m carriage (excluding pipe) [data based on that for 125mm pipe]</v>
          </cell>
          <cell r="D251" t="str">
            <v>150mm dia. GI pipe laying works</v>
          </cell>
          <cell r="E251" t="str">
            <v>m</v>
          </cell>
          <cell r="F251">
            <v>40.616562500000001</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BD251">
            <v>0</v>
          </cell>
        </row>
        <row r="252">
          <cell r="A252" t="str">
            <v>Rate for Ductile Iron Pipe Laying</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BD252">
            <v>0</v>
          </cell>
        </row>
        <row r="253">
          <cell r="A253">
            <v>18.100000000000001</v>
          </cell>
          <cell r="B253" t="str">
            <v>18-1</v>
          </cell>
          <cell r="C253" t="str">
            <v xml:space="preserve">80mm dia. DI pipe laying works with double flanged socket, or flange joint including 500m carriage (excluding pipe) </v>
          </cell>
          <cell r="D253" t="str">
            <v xml:space="preserve">80mm dia DI pipe laying works </v>
          </cell>
          <cell r="E253" t="str">
            <v>m</v>
          </cell>
          <cell r="F253">
            <v>22.033281250000002</v>
          </cell>
          <cell r="G253">
            <v>6611</v>
          </cell>
          <cell r="H253">
            <v>145662.02234375002</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6611</v>
          </cell>
          <cell r="AD253">
            <v>145662.02234375002</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BD253">
            <v>0</v>
          </cell>
        </row>
        <row r="254">
          <cell r="A254">
            <v>18.2</v>
          </cell>
          <cell r="B254" t="str">
            <v>18-2</v>
          </cell>
          <cell r="C254" t="str">
            <v xml:space="preserve">100mm dia. DI pipe laying works with double flanged socket, or flange joint including 500m carriage (excluding pipe) </v>
          </cell>
          <cell r="D254" t="str">
            <v xml:space="preserve">100mm dia DI pipe laying works </v>
          </cell>
          <cell r="E254" t="str">
            <v>m</v>
          </cell>
          <cell r="F254">
            <v>27.411927083333335</v>
          </cell>
          <cell r="G254">
            <v>5740</v>
          </cell>
          <cell r="H254">
            <v>157344.46145833333</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5740</v>
          </cell>
          <cell r="AD254">
            <v>157344.46145833333</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BD254">
            <v>0</v>
          </cell>
        </row>
        <row r="255">
          <cell r="A255">
            <v>18.3</v>
          </cell>
          <cell r="B255" t="str">
            <v>18-3</v>
          </cell>
          <cell r="C255" t="str">
            <v xml:space="preserve">150mm dia. DI pipe laying works with double flanged socket, or flange joint including 500m carriage (excluding pipe) </v>
          </cell>
          <cell r="D255" t="str">
            <v xml:space="preserve">150mm dia DI pipe laying works </v>
          </cell>
          <cell r="E255" t="str">
            <v>m</v>
          </cell>
          <cell r="F255">
            <v>40.616562500000001</v>
          </cell>
          <cell r="G255">
            <v>6020</v>
          </cell>
          <cell r="H255">
            <v>244511.70625000002</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5230</v>
          </cell>
          <cell r="AD255">
            <v>212424.62187500001</v>
          </cell>
          <cell r="AE255">
            <v>0</v>
          </cell>
          <cell r="AF255">
            <v>0</v>
          </cell>
          <cell r="AG255">
            <v>0</v>
          </cell>
          <cell r="AH255">
            <v>0</v>
          </cell>
          <cell r="AI255">
            <v>0</v>
          </cell>
          <cell r="AJ255">
            <v>0</v>
          </cell>
          <cell r="AK255">
            <v>0</v>
          </cell>
          <cell r="AL255">
            <v>0</v>
          </cell>
          <cell r="AM255">
            <v>10</v>
          </cell>
          <cell r="AN255">
            <v>406.16562499999998</v>
          </cell>
          <cell r="AO255">
            <v>0</v>
          </cell>
          <cell r="AP255">
            <v>0</v>
          </cell>
          <cell r="AQ255">
            <v>780</v>
          </cell>
          <cell r="AR255">
            <v>31680.918750000001</v>
          </cell>
          <cell r="AS255">
            <v>0</v>
          </cell>
          <cell r="AT255">
            <v>0</v>
          </cell>
          <cell r="AU255">
            <v>0</v>
          </cell>
          <cell r="AV255">
            <v>0</v>
          </cell>
          <cell r="AW255">
            <v>0</v>
          </cell>
          <cell r="AX255">
            <v>0</v>
          </cell>
          <cell r="BD255">
            <v>0</v>
          </cell>
        </row>
        <row r="256">
          <cell r="A256">
            <v>18.399999999999999</v>
          </cell>
          <cell r="B256" t="str">
            <v>18-4</v>
          </cell>
          <cell r="C256" t="str">
            <v xml:space="preserve">200mm dia. DI pipe laying works with double flanged socket, or flange joint including 500m carriage (excluding pipe) </v>
          </cell>
          <cell r="D256" t="str">
            <v xml:space="preserve">200mm dia DI pipe laying works </v>
          </cell>
          <cell r="E256" t="str">
            <v>m</v>
          </cell>
          <cell r="F256">
            <v>81.233125000000001</v>
          </cell>
          <cell r="G256">
            <v>7240</v>
          </cell>
          <cell r="H256">
            <v>588127.82499999995</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5735</v>
          </cell>
          <cell r="AD256">
            <v>465871.97187499999</v>
          </cell>
          <cell r="AE256">
            <v>0</v>
          </cell>
          <cell r="AF256">
            <v>0</v>
          </cell>
          <cell r="AG256">
            <v>0</v>
          </cell>
          <cell r="AH256">
            <v>0</v>
          </cell>
          <cell r="AI256">
            <v>0</v>
          </cell>
          <cell r="AJ256">
            <v>0</v>
          </cell>
          <cell r="AK256">
            <v>0</v>
          </cell>
          <cell r="AL256">
            <v>0</v>
          </cell>
          <cell r="AM256">
            <v>0</v>
          </cell>
          <cell r="AN256">
            <v>0</v>
          </cell>
          <cell r="AO256">
            <v>75</v>
          </cell>
          <cell r="AP256">
            <v>6092.484375</v>
          </cell>
          <cell r="AQ256">
            <v>1430</v>
          </cell>
          <cell r="AR256">
            <v>116163.36875000001</v>
          </cell>
          <cell r="AS256">
            <v>0</v>
          </cell>
          <cell r="AT256">
            <v>0</v>
          </cell>
          <cell r="AU256">
            <v>0</v>
          </cell>
          <cell r="AV256">
            <v>0</v>
          </cell>
          <cell r="AW256">
            <v>0</v>
          </cell>
          <cell r="AX256">
            <v>0</v>
          </cell>
          <cell r="BD256">
            <v>0</v>
          </cell>
        </row>
        <row r="257">
          <cell r="A257">
            <v>18.5</v>
          </cell>
          <cell r="B257" t="str">
            <v>18-5</v>
          </cell>
          <cell r="C257" t="str">
            <v>250mm dia. DI pipe laying works with fouble flanged socket,  or flange joint including 500m carriage (excluding pipe)</v>
          </cell>
          <cell r="D257" t="str">
            <v>250mm dia DI pipe laying works</v>
          </cell>
          <cell r="E257" t="str">
            <v>m</v>
          </cell>
          <cell r="F257">
            <v>121.8496875</v>
          </cell>
          <cell r="G257">
            <v>1665</v>
          </cell>
          <cell r="H257">
            <v>202879.72968749999</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1525</v>
          </cell>
          <cell r="AD257">
            <v>185820.7734375</v>
          </cell>
          <cell r="AE257">
            <v>0</v>
          </cell>
          <cell r="AF257">
            <v>0</v>
          </cell>
          <cell r="AG257">
            <v>0</v>
          </cell>
          <cell r="AH257">
            <v>0</v>
          </cell>
          <cell r="AI257">
            <v>0</v>
          </cell>
          <cell r="AJ257">
            <v>0</v>
          </cell>
          <cell r="AK257">
            <v>0</v>
          </cell>
          <cell r="AL257">
            <v>0</v>
          </cell>
          <cell r="AM257">
            <v>0</v>
          </cell>
          <cell r="AN257">
            <v>0</v>
          </cell>
          <cell r="AO257">
            <v>0</v>
          </cell>
          <cell r="AP257">
            <v>0</v>
          </cell>
          <cell r="AQ257">
            <v>140</v>
          </cell>
          <cell r="AR257">
            <v>17058.956249999999</v>
          </cell>
          <cell r="AS257">
            <v>0</v>
          </cell>
          <cell r="AT257">
            <v>0</v>
          </cell>
          <cell r="AU257">
            <v>0</v>
          </cell>
          <cell r="AV257">
            <v>0</v>
          </cell>
          <cell r="AW257">
            <v>0</v>
          </cell>
          <cell r="AX257">
            <v>0</v>
          </cell>
          <cell r="BD257">
            <v>0</v>
          </cell>
        </row>
        <row r="258">
          <cell r="A258">
            <v>18.600000000000001</v>
          </cell>
          <cell r="B258" t="str">
            <v>18-6</v>
          </cell>
          <cell r="C258" t="str">
            <v>300mm dia. DI pipe laying works with fouble flanged socket,  or flange joint including 500m carriage (excluding pipe)</v>
          </cell>
          <cell r="D258" t="str">
            <v>300mm dia DI pipe laying works</v>
          </cell>
          <cell r="E258" t="str">
            <v>m</v>
          </cell>
          <cell r="F258">
            <v>162.46625</v>
          </cell>
          <cell r="G258">
            <v>810</v>
          </cell>
          <cell r="H258">
            <v>131597.66250000001</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800</v>
          </cell>
          <cell r="AD258">
            <v>129973</v>
          </cell>
          <cell r="AE258">
            <v>0</v>
          </cell>
          <cell r="AF258">
            <v>0</v>
          </cell>
          <cell r="AG258">
            <v>0</v>
          </cell>
          <cell r="AH258">
            <v>0</v>
          </cell>
          <cell r="AI258">
            <v>0</v>
          </cell>
          <cell r="AJ258">
            <v>0</v>
          </cell>
          <cell r="AK258">
            <v>0</v>
          </cell>
          <cell r="AL258">
            <v>0</v>
          </cell>
          <cell r="AM258">
            <v>0</v>
          </cell>
          <cell r="AN258">
            <v>0</v>
          </cell>
          <cell r="AO258">
            <v>0</v>
          </cell>
          <cell r="AP258">
            <v>0</v>
          </cell>
          <cell r="AQ258">
            <v>10</v>
          </cell>
          <cell r="AR258">
            <v>1624.6624999999999</v>
          </cell>
          <cell r="AS258">
            <v>0</v>
          </cell>
          <cell r="AT258">
            <v>0</v>
          </cell>
          <cell r="AU258">
            <v>0</v>
          </cell>
          <cell r="AV258">
            <v>0</v>
          </cell>
          <cell r="AW258">
            <v>0</v>
          </cell>
          <cell r="AX258">
            <v>0</v>
          </cell>
          <cell r="BD258">
            <v>0</v>
          </cell>
        </row>
        <row r="259">
          <cell r="A259" t="str">
            <v>18.6_1</v>
          </cell>
          <cell r="B259" t="str">
            <v>18-6</v>
          </cell>
          <cell r="C259" t="str">
            <v>300mm dia. DI pipe laying works with fouble flanged socket,  or flange joint including 500m carriage (excluding pipe)</v>
          </cell>
          <cell r="D259" t="str">
            <v>300mm dia DI pipe laying works</v>
          </cell>
          <cell r="E259" t="str">
            <v>m</v>
          </cell>
          <cell r="F259">
            <v>162.46625</v>
          </cell>
          <cell r="G259">
            <v>7410</v>
          </cell>
          <cell r="H259">
            <v>1203874.9125000001</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7410</v>
          </cell>
          <cell r="AD259">
            <v>1203874.9125000001</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BD259">
            <v>0</v>
          </cell>
        </row>
        <row r="260">
          <cell r="C260" t="str">
            <v>MISCELLANEOUS WORKS</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BD260">
            <v>0</v>
          </cell>
        </row>
        <row r="261">
          <cell r="A261" t="str">
            <v>M-1</v>
          </cell>
          <cell r="C261" t="str">
            <v>Fabrication of Angle post (MS 50x50x4 2.3m high)</v>
          </cell>
          <cell r="D261" t="str">
            <v xml:space="preserve">Fabrication &amp; placing of Angle post </v>
          </cell>
          <cell r="E261" t="str">
            <v>no</v>
          </cell>
          <cell r="F261">
            <v>315.2955</v>
          </cell>
          <cell r="G261">
            <v>470</v>
          </cell>
          <cell r="H261">
            <v>148188.88500000001</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165</v>
          </cell>
          <cell r="X261">
            <v>52023.7575</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305</v>
          </cell>
          <cell r="AT261">
            <v>96165.127500000002</v>
          </cell>
          <cell r="AU261">
            <v>0</v>
          </cell>
          <cell r="AV261">
            <v>0</v>
          </cell>
          <cell r="AW261">
            <v>0</v>
          </cell>
          <cell r="AX261">
            <v>0</v>
          </cell>
          <cell r="BD261">
            <v>165</v>
          </cell>
        </row>
        <row r="262">
          <cell r="A262" t="str">
            <v>M-2</v>
          </cell>
          <cell r="C262" t="str">
            <v>Fabrication of MS Grill gate 1.2mx 1.5m</v>
          </cell>
          <cell r="D262" t="str">
            <v>Fabrication &amp; placing of MS Grill gate</v>
          </cell>
          <cell r="E262" t="str">
            <v>set</v>
          </cell>
          <cell r="F262">
            <v>2717.148815</v>
          </cell>
          <cell r="G262">
            <v>7</v>
          </cell>
          <cell r="H262">
            <v>19020.041705</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1</v>
          </cell>
          <cell r="X262">
            <v>2717.148815</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6</v>
          </cell>
          <cell r="AT262">
            <v>16302.892889999999</v>
          </cell>
          <cell r="AU262">
            <v>0</v>
          </cell>
          <cell r="AV262">
            <v>0</v>
          </cell>
          <cell r="AW262">
            <v>0</v>
          </cell>
          <cell r="AX262">
            <v>0</v>
          </cell>
          <cell r="BD262">
            <v>1</v>
          </cell>
        </row>
        <row r="263">
          <cell r="A263" t="str">
            <v>M-3</v>
          </cell>
          <cell r="C263" t="str">
            <v>Fabrication of MS Grill for windows including 2 coats of enamel paint over one coat of metal primer</v>
          </cell>
          <cell r="D263" t="str">
            <v>Fabrication of MS Grill for Windows</v>
          </cell>
          <cell r="E263" t="str">
            <v>Kg.</v>
          </cell>
          <cell r="F263">
            <v>74.75</v>
          </cell>
          <cell r="G263">
            <v>264.14100000000002</v>
          </cell>
          <cell r="H263">
            <v>19744.53975</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264.14100000000002</v>
          </cell>
          <cell r="Z263">
            <v>19744.53975</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BD263">
            <v>0</v>
          </cell>
        </row>
        <row r="264">
          <cell r="A264" t="str">
            <v>M-4</v>
          </cell>
          <cell r="C264" t="str">
            <v>Railing Wooden Guide (section : 100 x 150mm) including 3 coats of chapra polish</v>
          </cell>
          <cell r="D264" t="str">
            <v>Railing Wooden Guide (Section : 100 x 150mm)</v>
          </cell>
          <cell r="E264" t="str">
            <v>Rm</v>
          </cell>
          <cell r="F264">
            <v>742.74475000000007</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BD264">
            <v>0</v>
          </cell>
        </row>
        <row r="265">
          <cell r="A265" t="str">
            <v>M-5</v>
          </cell>
          <cell r="C265" t="str">
            <v>Staircase Railing Works of 20mm Square Pipe of 14 gauge including 2 coats of enamel paint over one coat of metal primer for Windows</v>
          </cell>
          <cell r="D265" t="str">
            <v>Staircase Railing Works of 20mm Square Pipe of 14 gauge</v>
          </cell>
          <cell r="E265" t="str">
            <v>Kg.</v>
          </cell>
          <cell r="F265">
            <v>74.75</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BD265">
            <v>0</v>
          </cell>
        </row>
        <row r="266">
          <cell r="A266" t="str">
            <v>M-6</v>
          </cell>
          <cell r="C266" t="str">
            <v>Making plastered pattern of approved design on 20mm th. Plaster</v>
          </cell>
          <cell r="D266" t="str">
            <v>Plaster with Pattern</v>
          </cell>
          <cell r="E266" t="str">
            <v>Sqm</v>
          </cell>
          <cell r="F266">
            <v>260.42675190420778</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BD266">
            <v>0</v>
          </cell>
        </row>
        <row r="267">
          <cell r="A267" t="str">
            <v>M-7</v>
          </cell>
          <cell r="C267" t="str">
            <v>20mm Gate Valve with fitting</v>
          </cell>
          <cell r="D267" t="str">
            <v>20mm Gate Valve with fitting</v>
          </cell>
          <cell r="E267" t="str">
            <v>Nos.</v>
          </cell>
          <cell r="F267">
            <v>250</v>
          </cell>
          <cell r="G267">
            <v>2</v>
          </cell>
          <cell r="H267">
            <v>500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1</v>
          </cell>
          <cell r="Z267">
            <v>250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1</v>
          </cell>
          <cell r="AX267">
            <v>250</v>
          </cell>
          <cell r="BD267">
            <v>0</v>
          </cell>
        </row>
        <row r="268">
          <cell r="A268" t="str">
            <v>M-7-1</v>
          </cell>
          <cell r="C268" t="str">
            <v>25mm Gate Valve with fitting</v>
          </cell>
          <cell r="D268" t="str">
            <v>25mm Gate Valve with fitting</v>
          </cell>
          <cell r="E268" t="str">
            <v>Nos.</v>
          </cell>
          <cell r="F268">
            <v>400</v>
          </cell>
          <cell r="G268">
            <v>1</v>
          </cell>
          <cell r="H268">
            <v>400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1</v>
          </cell>
          <cell r="AX268">
            <v>400</v>
          </cell>
          <cell r="BD268">
            <v>0</v>
          </cell>
        </row>
        <row r="269">
          <cell r="A269" t="str">
            <v>M-8</v>
          </cell>
          <cell r="C269" t="str">
            <v>Chrome Plate (CP) 15mm taps</v>
          </cell>
          <cell r="D269" t="str">
            <v>Chrome Plate (CP) 15mm taps</v>
          </cell>
          <cell r="E269" t="str">
            <v>Nos,</v>
          </cell>
          <cell r="F269">
            <v>250</v>
          </cell>
          <cell r="G269">
            <v>4</v>
          </cell>
          <cell r="H269">
            <v>1000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2</v>
          </cell>
          <cell r="Z269">
            <v>500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2</v>
          </cell>
          <cell r="AX269">
            <v>500</v>
          </cell>
          <cell r="BD269">
            <v>0</v>
          </cell>
        </row>
        <row r="270">
          <cell r="A270" t="str">
            <v>M-9</v>
          </cell>
          <cell r="C270" t="str">
            <v>Glazed Indian Type WC Set</v>
          </cell>
          <cell r="D270" t="str">
            <v>Glazed Indian Type WC Set</v>
          </cell>
          <cell r="E270" t="str">
            <v>Nos.</v>
          </cell>
          <cell r="F270">
            <v>750</v>
          </cell>
          <cell r="G270">
            <v>4</v>
          </cell>
          <cell r="H270">
            <v>3000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2</v>
          </cell>
          <cell r="Z270">
            <v>1500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2</v>
          </cell>
          <cell r="AX270">
            <v>1500</v>
          </cell>
          <cell r="BD270">
            <v>0</v>
          </cell>
        </row>
        <row r="271">
          <cell r="A271" t="str">
            <v>M-10</v>
          </cell>
          <cell r="C271" t="str">
            <v>Inspection Chamber having internal dimension 450x450x450 with RCC Cover</v>
          </cell>
          <cell r="D271" t="str">
            <v>Inspection Chamber 450x450x450 with RCC Cover</v>
          </cell>
          <cell r="E271" t="str">
            <v>Nos.</v>
          </cell>
          <cell r="F271">
            <v>3543.4252941742179</v>
          </cell>
          <cell r="G271">
            <v>4</v>
          </cell>
          <cell r="H271">
            <v>14173.701176696872</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4</v>
          </cell>
          <cell r="Z271">
            <v>14173.701176696872</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BD271">
            <v>0</v>
          </cell>
        </row>
        <row r="272">
          <cell r="A272" t="str">
            <v>M-12</v>
          </cell>
          <cell r="C272" t="str">
            <v>PVC Pipe 100mm</v>
          </cell>
          <cell r="D272" t="str">
            <v>PVC Pipe 100mm</v>
          </cell>
          <cell r="E272" t="str">
            <v>Rm</v>
          </cell>
          <cell r="F272">
            <v>100</v>
          </cell>
          <cell r="G272">
            <v>15</v>
          </cell>
          <cell r="H272">
            <v>1500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3</v>
          </cell>
          <cell r="Z272">
            <v>300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12</v>
          </cell>
          <cell r="AX272">
            <v>1200</v>
          </cell>
          <cell r="BD272">
            <v>0</v>
          </cell>
        </row>
        <row r="273">
          <cell r="A273" t="str">
            <v>M-13</v>
          </cell>
          <cell r="C273" t="str">
            <v>PVC Pipe 75mm</v>
          </cell>
          <cell r="D273" t="str">
            <v>PVC Pipe 75mm</v>
          </cell>
          <cell r="E273" t="str">
            <v>Rm</v>
          </cell>
          <cell r="F273">
            <v>75</v>
          </cell>
          <cell r="G273">
            <v>36</v>
          </cell>
          <cell r="H273">
            <v>2700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18</v>
          </cell>
          <cell r="Z273">
            <v>1350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18</v>
          </cell>
          <cell r="AX273">
            <v>1350</v>
          </cell>
          <cell r="BD273">
            <v>0</v>
          </cell>
        </row>
        <row r="274">
          <cell r="A274" t="str">
            <v>M-14</v>
          </cell>
          <cell r="C274" t="str">
            <v>PVC Pipe 50mm</v>
          </cell>
          <cell r="D274" t="str">
            <v>PVC Pipe 50mm</v>
          </cell>
          <cell r="E274" t="str">
            <v>Rm</v>
          </cell>
          <cell r="F274">
            <v>50</v>
          </cell>
          <cell r="G274">
            <v>17</v>
          </cell>
          <cell r="H274">
            <v>850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5</v>
          </cell>
          <cell r="Z274">
            <v>250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12</v>
          </cell>
          <cell r="AX274">
            <v>600</v>
          </cell>
          <cell r="BD274">
            <v>0</v>
          </cell>
        </row>
        <row r="275">
          <cell r="A275" t="str">
            <v>M-15</v>
          </cell>
          <cell r="C275" t="str">
            <v>Supply and Fixation of RCC Jali for Ventitation</v>
          </cell>
          <cell r="D275" t="str">
            <v>Supply and Fixation of RCC Jali for Ventitation</v>
          </cell>
          <cell r="E275" t="str">
            <v>Sqm</v>
          </cell>
          <cell r="F275">
            <v>920</v>
          </cell>
          <cell r="G275">
            <v>6.39</v>
          </cell>
          <cell r="H275">
            <v>5878.7999999999993</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6.39</v>
          </cell>
          <cell r="AX275">
            <v>5878.7999999999993</v>
          </cell>
          <cell r="BD275">
            <v>0</v>
          </cell>
        </row>
        <row r="276">
          <cell r="A276" t="str">
            <v>M-16</v>
          </cell>
          <cell r="C276" t="str">
            <v>Supply and Fixation of Stainless Steel Plate</v>
          </cell>
          <cell r="D276" t="str">
            <v>Supply and Fixation of Stainless Steel Plate</v>
          </cell>
          <cell r="E276" t="str">
            <v>Sqm</v>
          </cell>
          <cell r="F276">
            <v>6512.9449838187702</v>
          </cell>
          <cell r="G276">
            <v>8.8872</v>
          </cell>
          <cell r="H276">
            <v>57881.844660194176</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8.8872</v>
          </cell>
          <cell r="AX276">
            <v>57881.844660194176</v>
          </cell>
          <cell r="BD276">
            <v>0</v>
          </cell>
        </row>
        <row r="277">
          <cell r="A277" t="str">
            <v>M-17</v>
          </cell>
          <cell r="C277" t="str">
            <v>H Connection of PVC pipe 100mm</v>
          </cell>
          <cell r="D277" t="str">
            <v>H Connection of PVC pipe 100mm</v>
          </cell>
          <cell r="E277" t="str">
            <v>Nos.</v>
          </cell>
          <cell r="F277">
            <v>230</v>
          </cell>
          <cell r="G277">
            <v>11.5</v>
          </cell>
          <cell r="H277">
            <v>2645</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11.5</v>
          </cell>
          <cell r="AX277">
            <v>2645</v>
          </cell>
          <cell r="BD277">
            <v>0</v>
          </cell>
        </row>
        <row r="278">
          <cell r="A278" t="str">
            <v>M-18</v>
          </cell>
          <cell r="C278" t="str">
            <v>Stainless Steel Sink</v>
          </cell>
          <cell r="D278" t="str">
            <v>Stainless Steel Sink</v>
          </cell>
          <cell r="E278" t="str">
            <v>Nos.</v>
          </cell>
          <cell r="F278">
            <v>969.45</v>
          </cell>
          <cell r="G278">
            <v>2</v>
          </cell>
          <cell r="H278">
            <v>1938.9</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2</v>
          </cell>
          <cell r="Z278">
            <v>1938.9</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BD278">
            <v>0</v>
          </cell>
        </row>
        <row r="279">
          <cell r="A279" t="str">
            <v>M-21</v>
          </cell>
          <cell r="C279" t="str">
            <v>Formwork for Ferro-Cement</v>
          </cell>
          <cell r="D279" t="str">
            <v>Formwork for Ferro-Cement</v>
          </cell>
          <cell r="E279" t="str">
            <v>sqm</v>
          </cell>
          <cell r="F279">
            <v>121.40084974372807</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BD279">
            <v>0</v>
          </cell>
        </row>
        <row r="280">
          <cell r="A280" t="str">
            <v>M-22</v>
          </cell>
          <cell r="C280" t="str">
            <v>Steel bar binding for Ferro-Cement work</v>
          </cell>
          <cell r="D280" t="str">
            <v>Steel bar binding for Ferro-Cement work</v>
          </cell>
          <cell r="E280" t="str">
            <v>sqm</v>
          </cell>
          <cell r="F280">
            <v>359.5790459541663</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BD280">
            <v>0</v>
          </cell>
        </row>
        <row r="281">
          <cell r="A281" t="str">
            <v>M-23</v>
          </cell>
          <cell r="C281" t="str">
            <v>600 mm circular metal manhole cover for Ferro-Cement tank as per standard details</v>
          </cell>
          <cell r="D281" t="str">
            <v xml:space="preserve">600 mm circular metal manhole </v>
          </cell>
          <cell r="E281" t="str">
            <v>no</v>
          </cell>
          <cell r="F281">
            <v>1500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BD281">
            <v>0</v>
          </cell>
        </row>
        <row r="282">
          <cell r="A282" t="str">
            <v>M-101</v>
          </cell>
          <cell r="C282" t="str">
            <v>MS Gate for Flushing</v>
          </cell>
          <cell r="D282" t="str">
            <v>MS Gate for Flushing</v>
          </cell>
          <cell r="E282" t="str">
            <v>Job</v>
          </cell>
          <cell r="F282">
            <v>100000</v>
          </cell>
          <cell r="G282">
            <v>1</v>
          </cell>
          <cell r="H282">
            <v>100000</v>
          </cell>
          <cell r="I282">
            <v>0</v>
          </cell>
          <cell r="J282">
            <v>0</v>
          </cell>
          <cell r="K282">
            <v>1</v>
          </cell>
          <cell r="L282">
            <v>100000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BD282">
            <v>0</v>
          </cell>
        </row>
        <row r="283">
          <cell r="A283" t="str">
            <v>M-102</v>
          </cell>
          <cell r="C283" t="str">
            <v>MS Plate for Trash rack</v>
          </cell>
          <cell r="D283" t="str">
            <v>MS Plate for Trash rack</v>
          </cell>
          <cell r="E283" t="str">
            <v>Job</v>
          </cell>
          <cell r="F283">
            <v>15000</v>
          </cell>
          <cell r="G283">
            <v>1</v>
          </cell>
          <cell r="H283">
            <v>15000</v>
          </cell>
          <cell r="I283">
            <v>0</v>
          </cell>
          <cell r="J283">
            <v>0</v>
          </cell>
          <cell r="K283">
            <v>1</v>
          </cell>
          <cell r="L283">
            <v>15000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BD283">
            <v>0</v>
          </cell>
        </row>
        <row r="284">
          <cell r="A284" t="str">
            <v>M-103</v>
          </cell>
          <cell r="C284" t="str">
            <v>Stop log structure</v>
          </cell>
          <cell r="D284" t="str">
            <v>Stop log structure</v>
          </cell>
          <cell r="E284" t="str">
            <v>Job</v>
          </cell>
          <cell r="F284">
            <v>5000</v>
          </cell>
          <cell r="G284">
            <v>1</v>
          </cell>
          <cell r="H284">
            <v>5000</v>
          </cell>
          <cell r="I284">
            <v>0</v>
          </cell>
          <cell r="J284">
            <v>0</v>
          </cell>
          <cell r="K284">
            <v>1</v>
          </cell>
          <cell r="L284">
            <v>5000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BD284">
            <v>0</v>
          </cell>
        </row>
        <row r="285">
          <cell r="A285" t="str">
            <v>M-104</v>
          </cell>
          <cell r="C285" t="str">
            <v>Dewatering Cost</v>
          </cell>
          <cell r="D285" t="str">
            <v>Dewatering Cost</v>
          </cell>
          <cell r="E285" t="str">
            <v>Job</v>
          </cell>
          <cell r="F285">
            <v>100000</v>
          </cell>
          <cell r="G285">
            <v>1</v>
          </cell>
          <cell r="H285">
            <v>100000</v>
          </cell>
          <cell r="I285">
            <v>0</v>
          </cell>
          <cell r="J285">
            <v>0</v>
          </cell>
          <cell r="K285">
            <v>1</v>
          </cell>
          <cell r="L285">
            <v>100000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BD285">
            <v>0</v>
          </cell>
        </row>
        <row r="286">
          <cell r="A286" t="str">
            <v>M-105</v>
          </cell>
          <cell r="C286" t="str">
            <v xml:space="preserve">Railing Work with 50mm GI Post @ 1600 c/c and 2 horizontal 40mm GI Pipe  </v>
          </cell>
          <cell r="D286" t="str">
            <v xml:space="preserve">Railing Work with 50mm GI Post @ 1600 c/c and 2 horizontal 40mm GI Pipe  </v>
          </cell>
          <cell r="E286" t="str">
            <v>rm</v>
          </cell>
          <cell r="F286">
            <v>1000</v>
          </cell>
          <cell r="G286">
            <v>191.78</v>
          </cell>
          <cell r="H286">
            <v>191780</v>
          </cell>
          <cell r="I286">
            <v>0</v>
          </cell>
          <cell r="J286">
            <v>0</v>
          </cell>
          <cell r="K286">
            <v>0</v>
          </cell>
          <cell r="L286">
            <v>0</v>
          </cell>
          <cell r="M286">
            <v>21.58</v>
          </cell>
          <cell r="N286">
            <v>21580</v>
          </cell>
          <cell r="O286">
            <v>48.6</v>
          </cell>
          <cell r="P286">
            <v>48600</v>
          </cell>
          <cell r="Q286">
            <v>48.6</v>
          </cell>
          <cell r="R286">
            <v>48600</v>
          </cell>
          <cell r="S286">
            <v>48.6</v>
          </cell>
          <cell r="T286">
            <v>48600</v>
          </cell>
          <cell r="U286">
            <v>73</v>
          </cell>
          <cell r="V286">
            <v>73000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BD286">
            <v>170.2</v>
          </cell>
        </row>
        <row r="287">
          <cell r="A287" t="str">
            <v>M-106</v>
          </cell>
          <cell r="C287" t="str">
            <v>Paddle Wheel set</v>
          </cell>
          <cell r="D287" t="str">
            <v>Paddle Wheel set</v>
          </cell>
          <cell r="E287" t="str">
            <v>No</v>
          </cell>
          <cell r="F287">
            <v>10000</v>
          </cell>
          <cell r="G287">
            <v>0</v>
          </cell>
          <cell r="H287">
            <v>0</v>
          </cell>
          <cell r="I287">
            <v>0</v>
          </cell>
          <cell r="J287">
            <v>0</v>
          </cell>
          <cell r="K287">
            <v>0</v>
          </cell>
          <cell r="L287">
            <v>0</v>
          </cell>
          <cell r="M287">
            <v>0</v>
          </cell>
          <cell r="N287">
            <v>0</v>
          </cell>
          <cell r="O287">
            <v>2</v>
          </cell>
          <cell r="P287">
            <v>20000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BD287">
            <v>0</v>
          </cell>
        </row>
        <row r="288">
          <cell r="A288" t="str">
            <v>M-107</v>
          </cell>
          <cell r="C288" t="str">
            <v>Electric Motor for Flash Mixer</v>
          </cell>
          <cell r="D288" t="str">
            <v>Electric Motor for Flash Mixer</v>
          </cell>
          <cell r="E288" t="str">
            <v>No</v>
          </cell>
          <cell r="F288">
            <v>8000</v>
          </cell>
          <cell r="G288">
            <v>0</v>
          </cell>
          <cell r="H288">
            <v>0</v>
          </cell>
          <cell r="I288">
            <v>0</v>
          </cell>
          <cell r="J288">
            <v>0</v>
          </cell>
          <cell r="K288">
            <v>0</v>
          </cell>
          <cell r="L288">
            <v>0</v>
          </cell>
          <cell r="M288">
            <v>0</v>
          </cell>
          <cell r="N288">
            <v>0</v>
          </cell>
          <cell r="O288">
            <v>2</v>
          </cell>
          <cell r="P288">
            <v>16000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BD288">
            <v>0</v>
          </cell>
        </row>
        <row r="289">
          <cell r="A289" t="str">
            <v>M-108</v>
          </cell>
          <cell r="B289" t="str">
            <v>20-40mm river gravel filter filling work</v>
          </cell>
          <cell r="C289" t="str">
            <v>20-40mm river gravel filter filling work</v>
          </cell>
          <cell r="D289" t="str">
            <v>20-40mm river gravel filter filling work</v>
          </cell>
          <cell r="E289" t="str">
            <v>Cum</v>
          </cell>
          <cell r="F289">
            <v>2000</v>
          </cell>
          <cell r="G289">
            <v>393.75</v>
          </cell>
          <cell r="H289">
            <v>787500</v>
          </cell>
          <cell r="I289">
            <v>0</v>
          </cell>
          <cell r="J289">
            <v>0</v>
          </cell>
          <cell r="K289">
            <v>0</v>
          </cell>
          <cell r="L289">
            <v>0</v>
          </cell>
          <cell r="M289">
            <v>0</v>
          </cell>
          <cell r="N289">
            <v>0</v>
          </cell>
          <cell r="O289">
            <v>0</v>
          </cell>
          <cell r="P289">
            <v>0</v>
          </cell>
          <cell r="Q289">
            <v>0</v>
          </cell>
          <cell r="R289">
            <v>0</v>
          </cell>
          <cell r="S289">
            <v>0</v>
          </cell>
          <cell r="T289">
            <v>0</v>
          </cell>
          <cell r="U289">
            <v>393.75</v>
          </cell>
          <cell r="V289">
            <v>787500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BD289">
            <v>393.75</v>
          </cell>
        </row>
        <row r="290">
          <cell r="A290" t="str">
            <v>M-109</v>
          </cell>
          <cell r="B290" t="str">
            <v>10-20mm river gravel filter filling work</v>
          </cell>
          <cell r="C290" t="str">
            <v>10-20mm river gravel filter filling work</v>
          </cell>
          <cell r="D290" t="str">
            <v>10-20mm river gravel filter filling work</v>
          </cell>
          <cell r="E290" t="str">
            <v>Cum</v>
          </cell>
          <cell r="F290">
            <v>2500</v>
          </cell>
          <cell r="G290">
            <v>236.25</v>
          </cell>
          <cell r="H290">
            <v>590625</v>
          </cell>
          <cell r="I290">
            <v>0</v>
          </cell>
          <cell r="J290">
            <v>0</v>
          </cell>
          <cell r="K290">
            <v>0</v>
          </cell>
          <cell r="L290">
            <v>0</v>
          </cell>
          <cell r="M290">
            <v>0</v>
          </cell>
          <cell r="N290">
            <v>0</v>
          </cell>
          <cell r="O290">
            <v>0</v>
          </cell>
          <cell r="P290">
            <v>0</v>
          </cell>
          <cell r="Q290">
            <v>0</v>
          </cell>
          <cell r="R290">
            <v>0</v>
          </cell>
          <cell r="S290">
            <v>0</v>
          </cell>
          <cell r="T290">
            <v>0</v>
          </cell>
          <cell r="U290">
            <v>236.25</v>
          </cell>
          <cell r="V290">
            <v>590625</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BD290">
            <v>236.25</v>
          </cell>
        </row>
        <row r="291">
          <cell r="A291" t="str">
            <v>M-110</v>
          </cell>
          <cell r="B291" t="str">
            <v>4-10mm river gravel filter filling work</v>
          </cell>
          <cell r="C291" t="str">
            <v>4-10mm river gravel filter filling work</v>
          </cell>
          <cell r="D291" t="str">
            <v>4-10mm river gravel filter filling work</v>
          </cell>
          <cell r="E291" t="str">
            <v>Cum</v>
          </cell>
          <cell r="F291">
            <v>3000</v>
          </cell>
          <cell r="G291">
            <v>157.5</v>
          </cell>
          <cell r="H291">
            <v>472500</v>
          </cell>
          <cell r="I291">
            <v>0</v>
          </cell>
          <cell r="J291">
            <v>0</v>
          </cell>
          <cell r="K291">
            <v>0</v>
          </cell>
          <cell r="L291">
            <v>0</v>
          </cell>
          <cell r="M291">
            <v>0</v>
          </cell>
          <cell r="N291">
            <v>0</v>
          </cell>
          <cell r="O291">
            <v>0</v>
          </cell>
          <cell r="P291">
            <v>0</v>
          </cell>
          <cell r="Q291">
            <v>0</v>
          </cell>
          <cell r="R291">
            <v>0</v>
          </cell>
          <cell r="S291">
            <v>0</v>
          </cell>
          <cell r="T291">
            <v>0</v>
          </cell>
          <cell r="U291">
            <v>157.5</v>
          </cell>
          <cell r="V291">
            <v>472500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BD291">
            <v>157.5</v>
          </cell>
        </row>
        <row r="292">
          <cell r="A292" t="str">
            <v>M-111</v>
          </cell>
          <cell r="B292" t="str">
            <v>MS U-Notch</v>
          </cell>
          <cell r="C292" t="str">
            <v>MS U-Notch</v>
          </cell>
          <cell r="D292" t="str">
            <v>MS U-Notch</v>
          </cell>
          <cell r="E292" t="str">
            <v>Job</v>
          </cell>
          <cell r="F292">
            <v>100000</v>
          </cell>
          <cell r="G292">
            <v>1</v>
          </cell>
          <cell r="H292">
            <v>100000</v>
          </cell>
          <cell r="I292">
            <v>0</v>
          </cell>
          <cell r="J292">
            <v>0</v>
          </cell>
          <cell r="K292">
            <v>0</v>
          </cell>
          <cell r="L292">
            <v>0</v>
          </cell>
          <cell r="M292">
            <v>0</v>
          </cell>
          <cell r="N292">
            <v>0</v>
          </cell>
          <cell r="O292">
            <v>0</v>
          </cell>
          <cell r="P292">
            <v>0</v>
          </cell>
          <cell r="Q292">
            <v>0</v>
          </cell>
          <cell r="R292">
            <v>0</v>
          </cell>
          <cell r="S292">
            <v>0</v>
          </cell>
          <cell r="T292">
            <v>0</v>
          </cell>
          <cell r="U292">
            <v>1</v>
          </cell>
          <cell r="V292">
            <v>100000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BD292">
            <v>1</v>
          </cell>
        </row>
        <row r="293">
          <cell r="A293" t="str">
            <v>M-112</v>
          </cell>
          <cell r="B293" t="str">
            <v>Barbed Wire</v>
          </cell>
          <cell r="C293" t="str">
            <v>Barbed Wire</v>
          </cell>
          <cell r="D293" t="str">
            <v>Barbed Wire</v>
          </cell>
          <cell r="E293" t="str">
            <v>Kg.</v>
          </cell>
          <cell r="F293">
            <v>65</v>
          </cell>
          <cell r="G293">
            <v>1481.6</v>
          </cell>
          <cell r="H293">
            <v>96304</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524.79999999999995</v>
          </cell>
          <cell r="X293">
            <v>34112</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956.8</v>
          </cell>
          <cell r="AT293">
            <v>62192</v>
          </cell>
          <cell r="AU293">
            <v>0</v>
          </cell>
          <cell r="AV293">
            <v>0</v>
          </cell>
          <cell r="AW293">
            <v>0</v>
          </cell>
          <cell r="AX293">
            <v>0</v>
          </cell>
          <cell r="BD293">
            <v>524.79999999999995</v>
          </cell>
        </row>
        <row r="294">
          <cell r="A294" t="str">
            <v>M-113</v>
          </cell>
          <cell r="C294" t="str">
            <v>Truss Anchoring Work for pipeline in hard rock</v>
          </cell>
          <cell r="D294" t="str">
            <v>Truss Anchoring Work for pipeline in hard rock</v>
          </cell>
          <cell r="E294" t="str">
            <v>rm</v>
          </cell>
          <cell r="F294">
            <v>3238.3428990560419</v>
          </cell>
          <cell r="G294">
            <v>700</v>
          </cell>
          <cell r="H294">
            <v>2266840.0293392292</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700</v>
          </cell>
          <cell r="AD294">
            <v>2266840.0293392292</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BD294">
            <v>0</v>
          </cell>
        </row>
        <row r="295">
          <cell r="A295" t="str">
            <v>M-114</v>
          </cell>
          <cell r="C295" t="str">
            <v>Staging work for anchoring using MS pipe and wooden plateform</v>
          </cell>
          <cell r="D295" t="str">
            <v>Staging work for anchoring using MS pipe and wooden plateform</v>
          </cell>
          <cell r="E295" t="str">
            <v>Rm</v>
          </cell>
          <cell r="F295">
            <v>750</v>
          </cell>
          <cell r="G295">
            <v>700</v>
          </cell>
          <cell r="H295">
            <v>525000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700</v>
          </cell>
          <cell r="AD295">
            <v>525000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BD295">
            <v>0</v>
          </cell>
        </row>
        <row r="296">
          <cell r="A296" t="str">
            <v>M-115</v>
          </cell>
          <cell r="C296" t="str">
            <v>Brass Plate</v>
          </cell>
          <cell r="D296" t="str">
            <v>Brass Plate</v>
          </cell>
          <cell r="E296" t="str">
            <v>No</v>
          </cell>
          <cell r="F296">
            <v>100</v>
          </cell>
          <cell r="G296">
            <v>147</v>
          </cell>
          <cell r="H296">
            <v>14700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76</v>
          </cell>
          <cell r="AD296">
            <v>7600</v>
          </cell>
          <cell r="AE296">
            <v>0</v>
          </cell>
          <cell r="AF296">
            <v>0</v>
          </cell>
          <cell r="AG296">
            <v>0</v>
          </cell>
          <cell r="AH296">
            <v>0</v>
          </cell>
          <cell r="AI296">
            <v>0</v>
          </cell>
          <cell r="AJ296">
            <v>0</v>
          </cell>
          <cell r="AK296">
            <v>0</v>
          </cell>
          <cell r="AL296">
            <v>0</v>
          </cell>
          <cell r="AM296">
            <v>0</v>
          </cell>
          <cell r="AN296">
            <v>0</v>
          </cell>
          <cell r="AO296">
            <v>20</v>
          </cell>
          <cell r="AP296">
            <v>2000</v>
          </cell>
          <cell r="AQ296">
            <v>51</v>
          </cell>
          <cell r="AR296">
            <v>5100</v>
          </cell>
          <cell r="AS296">
            <v>0</v>
          </cell>
          <cell r="AT296">
            <v>0</v>
          </cell>
          <cell r="AU296">
            <v>0</v>
          </cell>
          <cell r="AV296">
            <v>0</v>
          </cell>
          <cell r="AW296">
            <v>0</v>
          </cell>
          <cell r="AX296">
            <v>0</v>
          </cell>
          <cell r="BD296">
            <v>0</v>
          </cell>
        </row>
        <row r="297">
          <cell r="A297" t="str">
            <v>M-116</v>
          </cell>
          <cell r="C297" t="str">
            <v>Valve Box</v>
          </cell>
          <cell r="D297" t="str">
            <v>Valve Box</v>
          </cell>
          <cell r="E297" t="str">
            <v>No</v>
          </cell>
          <cell r="F297">
            <v>2500</v>
          </cell>
          <cell r="G297">
            <v>104</v>
          </cell>
          <cell r="H297">
            <v>260000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104</v>
          </cell>
          <cell r="AL297">
            <v>260000</v>
          </cell>
          <cell r="AM297">
            <v>0</v>
          </cell>
          <cell r="AN297">
            <v>0</v>
          </cell>
          <cell r="AO297">
            <v>0</v>
          </cell>
          <cell r="AP297">
            <v>0</v>
          </cell>
          <cell r="AQ297">
            <v>0</v>
          </cell>
          <cell r="AR297">
            <v>0</v>
          </cell>
          <cell r="AS297">
            <v>0</v>
          </cell>
          <cell r="AT297">
            <v>0</v>
          </cell>
          <cell r="AU297">
            <v>0</v>
          </cell>
          <cell r="AV297">
            <v>0</v>
          </cell>
          <cell r="AW297">
            <v>0</v>
          </cell>
          <cell r="AX297">
            <v>0</v>
          </cell>
          <cell r="BD297">
            <v>0</v>
          </cell>
        </row>
        <row r="298">
          <cell r="A298" t="str">
            <v>M-117</v>
          </cell>
          <cell r="C298" t="str">
            <v>Fire Hydrant</v>
          </cell>
          <cell r="D298" t="str">
            <v>Fire Hydrant</v>
          </cell>
          <cell r="E298" t="str">
            <v>No</v>
          </cell>
          <cell r="F298">
            <v>15000</v>
          </cell>
          <cell r="G298">
            <v>16</v>
          </cell>
          <cell r="H298">
            <v>240000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2</v>
          </cell>
          <cell r="AN298">
            <v>30000</v>
          </cell>
          <cell r="AO298">
            <v>4</v>
          </cell>
          <cell r="AP298">
            <v>60000</v>
          </cell>
          <cell r="AQ298">
            <v>6</v>
          </cell>
          <cell r="AR298">
            <v>90000</v>
          </cell>
          <cell r="AS298">
            <v>0</v>
          </cell>
          <cell r="AT298">
            <v>0</v>
          </cell>
          <cell r="AU298">
            <v>0</v>
          </cell>
          <cell r="AV298">
            <v>0</v>
          </cell>
          <cell r="AW298">
            <v>0</v>
          </cell>
          <cell r="AX298">
            <v>0</v>
          </cell>
          <cell r="BA298">
            <v>4</v>
          </cell>
          <cell r="BB298">
            <v>60000</v>
          </cell>
          <cell r="BD298">
            <v>0</v>
          </cell>
        </row>
        <row r="299">
          <cell r="A299" t="str">
            <v>M-118</v>
          </cell>
          <cell r="C299" t="str">
            <v>CI Manhole</v>
          </cell>
          <cell r="D299" t="str">
            <v>CI Manhole</v>
          </cell>
          <cell r="E299" t="str">
            <v>No</v>
          </cell>
          <cell r="F299">
            <v>8000</v>
          </cell>
          <cell r="G299">
            <v>12</v>
          </cell>
          <cell r="H299">
            <v>96000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12</v>
          </cell>
          <cell r="AT299">
            <v>96000</v>
          </cell>
          <cell r="AU299">
            <v>0</v>
          </cell>
          <cell r="AV299">
            <v>0</v>
          </cell>
          <cell r="AW299">
            <v>0</v>
          </cell>
          <cell r="AX299">
            <v>0</v>
          </cell>
          <cell r="BD299">
            <v>0</v>
          </cell>
        </row>
        <row r="300">
          <cell r="A300" t="str">
            <v>E-1</v>
          </cell>
          <cell r="C300" t="str">
            <v>Supply, installation and commissioning  of Main Distribution Board(MDB) wall mounting concealed type, dust and vermin proofmade of 16 SWG mildsteel sheet cubical with double covercovering the MCB with the locking arrangement as perdrawing and specificatio</v>
          </cell>
          <cell r="D300" t="str">
            <v>Supply, installation and commissioning  of Main Distribution Board(MDB) wall mounting concealed type, dust and vermin proofmade of 16 SWG mildsteel sheet cubical with double covercovering the MCB with the locking arrangement as perdrawing and specificatio</v>
          </cell>
          <cell r="E300" t="str">
            <v>No</v>
          </cell>
          <cell r="F300">
            <v>3936</v>
          </cell>
          <cell r="G300">
            <v>1</v>
          </cell>
          <cell r="H300">
            <v>3936</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1</v>
          </cell>
          <cell r="Z300">
            <v>3936</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BD300">
            <v>0</v>
          </cell>
        </row>
        <row r="301">
          <cell r="A301" t="str">
            <v>E-2</v>
          </cell>
          <cell r="C301" t="str">
            <v>Supply and installation of light point wiring from DB tovarious points with2 nos of 3/22 PVC insulated copper wirethrough 20 mm internal dia HDPEconduit concealed via junction box as per drawing and specificationincluding the cost of switch and metal box</v>
          </cell>
          <cell r="D301" t="str">
            <v>Supply and installation of light point wiring from DB tovarious points with2 nos of 3/22 PVC insulated copper wirethrough 20 mm internal dia HDPEconduit concealed via junction box as per drawing and specificationincluding the cost of switch and metal box</v>
          </cell>
          <cell r="E301" t="str">
            <v>No</v>
          </cell>
          <cell r="F301">
            <v>426</v>
          </cell>
          <cell r="G301">
            <v>25</v>
          </cell>
          <cell r="H301">
            <v>10650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17</v>
          </cell>
          <cell r="Z301">
            <v>7242</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8</v>
          </cell>
          <cell r="AX301">
            <v>3408</v>
          </cell>
          <cell r="BD301">
            <v>0</v>
          </cell>
        </row>
        <row r="302">
          <cell r="A302" t="str">
            <v>E-3</v>
          </cell>
          <cell r="C302" t="str">
            <v>Supply and installation of  3 pin (15 A) socket point wiringwith2 nos of7/22 + 1no of 1/18 pvc insulated copper wiresthrough 20 mm internal diaHDPE conduit concealed from SDB to various points as per drawing andspecification including the cost of Switch s</v>
          </cell>
          <cell r="D302" t="str">
            <v>Supply and installation of  3 pin (15 A) socket point wiringwith2 nos of7/22 + 1no of 1/18 pvc insulated copper wiresthrough 20 mm internal diaHDPE conduit concealed from SDB to various points as per drawing andspecification including the cost of Switch s</v>
          </cell>
          <cell r="E302" t="str">
            <v>No</v>
          </cell>
          <cell r="F302">
            <v>610</v>
          </cell>
          <cell r="G302">
            <v>9</v>
          </cell>
          <cell r="H302">
            <v>5490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7</v>
          </cell>
          <cell r="Z302">
            <v>4270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2</v>
          </cell>
          <cell r="AX302">
            <v>1220</v>
          </cell>
          <cell r="BD302">
            <v>0</v>
          </cell>
        </row>
        <row r="303">
          <cell r="A303">
            <v>4</v>
          </cell>
          <cell r="C303" t="str">
            <v>Supply and installation of  2 pin ( 5 A)socket point wiring with2 nos of3/20 pvc insulated copper wires through 20 mminternal dia HDPE conduitconcealed from SDB to variouspoints as per drawing and specification including the cost of Switch socket and meta</v>
          </cell>
          <cell r="D303" t="str">
            <v>Supply and installation of  2 pin ( 5 A)socket point wiring with2 nos of3/20 pvc insulated copper wires through 20 mminternal dia HDPE conduitconcealed from SDB to variouspoints as per drawing and specification including the cost of Switch socket and meta</v>
          </cell>
          <cell r="E303" t="str">
            <v>No</v>
          </cell>
          <cell r="F303">
            <v>476</v>
          </cell>
          <cell r="G303">
            <v>2</v>
          </cell>
          <cell r="H303">
            <v>952</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2</v>
          </cell>
          <cell r="Z303">
            <v>952</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BD303">
            <v>0</v>
          </cell>
        </row>
        <row r="304">
          <cell r="A304" t="str">
            <v>E-4</v>
          </cell>
          <cell r="C304" t="str">
            <v>Supply and installation of 9'' sweep  exhaust fan as per drawing andspecification including GI sheet boxing.</v>
          </cell>
          <cell r="D304" t="str">
            <v>Supply and installation of 9'' sweep  exhaust fan as per drawing andspecification including GI sheet boxing.</v>
          </cell>
          <cell r="E304" t="str">
            <v>No</v>
          </cell>
          <cell r="F304">
            <v>2447</v>
          </cell>
          <cell r="G304">
            <v>6</v>
          </cell>
          <cell r="H304">
            <v>14682</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2</v>
          </cell>
          <cell r="Z304">
            <v>4894</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4</v>
          </cell>
          <cell r="AX304">
            <v>9788</v>
          </cell>
          <cell r="BD304">
            <v>0</v>
          </cell>
        </row>
        <row r="305">
          <cell r="A305" t="str">
            <v>E-5</v>
          </cell>
          <cell r="C305" t="str">
            <v>Supply and installation of 42'' sweep  ceiling fan as per drawing andspecification including GI sheet boxing.</v>
          </cell>
          <cell r="D305" t="str">
            <v>Supply and installation of 42'' sweep  ceiling fan as per drawing andspecification including GI sheet boxing.</v>
          </cell>
          <cell r="E305" t="str">
            <v>No</v>
          </cell>
          <cell r="F305">
            <v>2447</v>
          </cell>
          <cell r="G305">
            <v>6</v>
          </cell>
          <cell r="H305">
            <v>14682</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2</v>
          </cell>
          <cell r="Z305">
            <v>4894</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4</v>
          </cell>
          <cell r="AX305">
            <v>9788</v>
          </cell>
          <cell r="BD305">
            <v>0</v>
          </cell>
        </row>
        <row r="306">
          <cell r="A306" t="str">
            <v>E-6</v>
          </cell>
          <cell r="C306" t="str">
            <v>Supply and installation of earth electrode made of 30cm x 30cm x 3mmcopper plate including 8 SWG bare copper wireconnection to DB's.</v>
          </cell>
          <cell r="D306" t="str">
            <v>Supply and installation of earth electrode made of 30cm x 30cm x 3mmcopper plate including 8 SWG bare copper wireconnection to DB's.</v>
          </cell>
          <cell r="E306" t="str">
            <v>Set</v>
          </cell>
          <cell r="F306">
            <v>6758</v>
          </cell>
          <cell r="G306">
            <v>2</v>
          </cell>
          <cell r="H306">
            <v>13516</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1</v>
          </cell>
          <cell r="Z306">
            <v>6758</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1</v>
          </cell>
          <cell r="AX306">
            <v>6758</v>
          </cell>
          <cell r="BD306">
            <v>0</v>
          </cell>
        </row>
        <row r="307">
          <cell r="A307" t="str">
            <v>E-7</v>
          </cell>
          <cell r="C307" t="str">
            <v>Chieseling, laying conduits cables the main line distribution from MDB toFloor DB,s with 2 x 7/16 size cable in 20 mm HDPE consduit.</v>
          </cell>
          <cell r="D307" t="str">
            <v>Chieseling, laying conduits cables the main line distribution from MDB toFloor DB,s with 2 x 7/16 size cable in 20 mm HDPE consduit.</v>
          </cell>
          <cell r="E307" t="str">
            <v>Job</v>
          </cell>
          <cell r="F307">
            <v>149</v>
          </cell>
          <cell r="G307">
            <v>13</v>
          </cell>
          <cell r="H307">
            <v>1937</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7</v>
          </cell>
          <cell r="Z307">
            <v>1043</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6</v>
          </cell>
          <cell r="AX307">
            <v>894</v>
          </cell>
          <cell r="BD307">
            <v>0</v>
          </cell>
        </row>
        <row r="308">
          <cell r="A308" t="str">
            <v>F-1</v>
          </cell>
          <cell r="C308" t="str">
            <v>Made of 25x38mm MS angle and 3x18mm MS Strip with metal polish all complete</v>
          </cell>
          <cell r="D308" t="str">
            <v>Made of 25x38mm MS angle and 3x18mm MS Strip with metal polish all complete</v>
          </cell>
          <cell r="E308" t="str">
            <v>no</v>
          </cell>
          <cell r="F308">
            <v>3000</v>
          </cell>
          <cell r="G308">
            <v>1</v>
          </cell>
          <cell r="H308">
            <v>3000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1</v>
          </cell>
          <cell r="Z308">
            <v>3000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BD308">
            <v>0</v>
          </cell>
        </row>
        <row r="309">
          <cell r="A309" t="str">
            <v>F-2</v>
          </cell>
          <cell r="C309" t="str">
            <v>Made of 25x38mm MS angle and 3x18mm MS Strip with metal polish all complete</v>
          </cell>
          <cell r="D309" t="str">
            <v>Made of 25x38mm MS angle and 3x18mm MS Strip with metal polish all complete</v>
          </cell>
          <cell r="E309" t="str">
            <v>no</v>
          </cell>
          <cell r="F309">
            <v>3000</v>
          </cell>
          <cell r="G309">
            <v>3</v>
          </cell>
          <cell r="H309">
            <v>9000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3</v>
          </cell>
          <cell r="Z309">
            <v>9000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BD309">
            <v>0</v>
          </cell>
        </row>
        <row r="310">
          <cell r="A310" t="str">
            <v>F-3</v>
          </cell>
          <cell r="C310" t="str">
            <v>Made of sisam wood of 25x38mm section, dunlop at seat and back rest with rexin cover, having hand rest, 3 coats chapra polish all complete</v>
          </cell>
          <cell r="D310" t="str">
            <v>Made of sisam wood of 25x38mm section, dunlop at seat and back rest with rexin cover, having hand rest, 3 coats chapra polish all complete</v>
          </cell>
          <cell r="E310" t="str">
            <v>no</v>
          </cell>
          <cell r="F310">
            <v>1800</v>
          </cell>
          <cell r="G310">
            <v>2</v>
          </cell>
          <cell r="H310">
            <v>3600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2</v>
          </cell>
          <cell r="Z310">
            <v>3600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BD310">
            <v>0</v>
          </cell>
        </row>
        <row r="311">
          <cell r="A311" t="str">
            <v>F-4</v>
          </cell>
          <cell r="C311" t="str">
            <v>MS cupboard made of 20 gauge MS Sheet for Clothes Store : Godrej or Equivalent</v>
          </cell>
          <cell r="D311" t="str">
            <v>MS cupboard made of 20 gauge MS Sheet for Clothes Store : Godrej or Equivalent</v>
          </cell>
          <cell r="E311" t="str">
            <v>no</v>
          </cell>
          <cell r="F311">
            <v>9000</v>
          </cell>
          <cell r="G311">
            <v>1</v>
          </cell>
          <cell r="H311">
            <v>9000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1</v>
          </cell>
          <cell r="Z311">
            <v>9000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BD311">
            <v>0</v>
          </cell>
        </row>
        <row r="312">
          <cell r="A312" t="str">
            <v>F-5</v>
          </cell>
          <cell r="C312" t="str">
            <v>Single Bed made of 50x75 salwood section</v>
          </cell>
          <cell r="D312" t="str">
            <v>Single Bed made of 50x75 salwood section</v>
          </cell>
          <cell r="E312" t="str">
            <v>no</v>
          </cell>
          <cell r="F312">
            <v>4500</v>
          </cell>
          <cell r="G312">
            <v>4</v>
          </cell>
          <cell r="H312">
            <v>18000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4</v>
          </cell>
          <cell r="Z312">
            <v>18000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BD312">
            <v>0</v>
          </cell>
        </row>
        <row r="313">
          <cell r="A313" t="str">
            <v>Lab-1</v>
          </cell>
          <cell r="C313" t="str">
            <v>Laboratory Equipment</v>
          </cell>
          <cell r="D313" t="str">
            <v>Laboratory Equipment</v>
          </cell>
          <cell r="E313" t="str">
            <v>Set</v>
          </cell>
          <cell r="F313">
            <v>318505</v>
          </cell>
          <cell r="G313">
            <v>1</v>
          </cell>
          <cell r="H313">
            <v>318505</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1</v>
          </cell>
          <cell r="Z313">
            <v>318505</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BD313">
            <v>0</v>
          </cell>
        </row>
        <row r="314">
          <cell r="A314" t="str">
            <v>Lab-2</v>
          </cell>
          <cell r="C314" t="str">
            <v>Glassware</v>
          </cell>
          <cell r="D314" t="str">
            <v>Glassware</v>
          </cell>
          <cell r="E314" t="str">
            <v>Set</v>
          </cell>
          <cell r="F314">
            <v>110000</v>
          </cell>
          <cell r="G314">
            <v>1</v>
          </cell>
          <cell r="H314">
            <v>110000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1</v>
          </cell>
          <cell r="Z314">
            <v>110000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BD314">
            <v>0</v>
          </cell>
        </row>
        <row r="315">
          <cell r="A315" t="str">
            <v>Lab-3</v>
          </cell>
          <cell r="C315" t="str">
            <v>Chemicals and Reagents</v>
          </cell>
          <cell r="D315" t="str">
            <v>Chemicals and Reagents</v>
          </cell>
          <cell r="E315" t="str">
            <v>Set</v>
          </cell>
          <cell r="F315">
            <v>44000</v>
          </cell>
          <cell r="G315">
            <v>1</v>
          </cell>
          <cell r="H315">
            <v>44000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1</v>
          </cell>
          <cell r="Z315">
            <v>44000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BD315">
            <v>0</v>
          </cell>
        </row>
        <row r="316">
          <cell r="A316" t="str">
            <v>PS-1</v>
          </cell>
          <cell r="C316" t="str">
            <v>Provisional Sum for unforseen works e.g. Road crossing, change of electrical poles etc.</v>
          </cell>
          <cell r="D316" t="str">
            <v>Provisional Sum for unforseen works e.g. Road crossing, change of electrical poles etc.</v>
          </cell>
          <cell r="E316" t="str">
            <v>Job</v>
          </cell>
          <cell r="F316">
            <v>300000</v>
          </cell>
          <cell r="G316">
            <v>2</v>
          </cell>
          <cell r="H316">
            <v>600000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1</v>
          </cell>
          <cell r="AP316">
            <v>300000</v>
          </cell>
          <cell r="AQ316">
            <v>1</v>
          </cell>
          <cell r="AR316">
            <v>300000</v>
          </cell>
          <cell r="AS316">
            <v>0</v>
          </cell>
          <cell r="AT316">
            <v>0</v>
          </cell>
          <cell r="AU316">
            <v>0</v>
          </cell>
          <cell r="AV316">
            <v>0</v>
          </cell>
          <cell r="AW316">
            <v>0</v>
          </cell>
          <cell r="AX316">
            <v>0</v>
          </cell>
          <cell r="BD316">
            <v>0</v>
          </cell>
        </row>
        <row r="317">
          <cell r="A317" t="str">
            <v>LT-trans</v>
          </cell>
          <cell r="C317" t="str">
            <v>Local Transportation and Portering</v>
          </cell>
          <cell r="D317" t="str">
            <v>Local Transportation and Portering</v>
          </cell>
          <cell r="E317" t="str">
            <v>Job</v>
          </cell>
          <cell r="F317">
            <v>1072324.512042453</v>
          </cell>
          <cell r="G317">
            <v>1</v>
          </cell>
          <cell r="H317">
            <v>1072324.512042453</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1</v>
          </cell>
          <cell r="AD317">
            <v>1072324.512042453</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BD317">
            <v>0</v>
          </cell>
        </row>
        <row r="318">
          <cell r="A318" t="str">
            <v>LT-2</v>
          </cell>
          <cell r="C318" t="str">
            <v>Local Transportation and Portering</v>
          </cell>
          <cell r="D318" t="str">
            <v>Local Transportation and Portering</v>
          </cell>
          <cell r="E318" t="str">
            <v>Job</v>
          </cell>
          <cell r="F318">
            <v>29113.704510641102</v>
          </cell>
          <cell r="G318">
            <v>1</v>
          </cell>
          <cell r="H318">
            <v>29113.704510641102</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1</v>
          </cell>
          <cell r="AN318">
            <v>29113.704510641102</v>
          </cell>
          <cell r="AO318">
            <v>0</v>
          </cell>
          <cell r="AP318">
            <v>0</v>
          </cell>
          <cell r="AQ318">
            <v>0</v>
          </cell>
          <cell r="AR318">
            <v>0</v>
          </cell>
          <cell r="AS318">
            <v>0</v>
          </cell>
          <cell r="AT318">
            <v>0</v>
          </cell>
          <cell r="AU318">
            <v>0</v>
          </cell>
          <cell r="AV318">
            <v>0</v>
          </cell>
          <cell r="AW318">
            <v>0</v>
          </cell>
          <cell r="AX318">
            <v>0</v>
          </cell>
          <cell r="BD318">
            <v>0</v>
          </cell>
        </row>
        <row r="319">
          <cell r="A319" t="str">
            <v>LT-8</v>
          </cell>
          <cell r="C319" t="str">
            <v>Local Transportation and Portering</v>
          </cell>
          <cell r="D319" t="str">
            <v>Local Transportation and Portering</v>
          </cell>
          <cell r="E319" t="str">
            <v>Job</v>
          </cell>
          <cell r="F319">
            <v>12068.512618029963</v>
          </cell>
          <cell r="G319">
            <v>1</v>
          </cell>
          <cell r="H319">
            <v>12068.512618029963</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1</v>
          </cell>
          <cell r="AP319">
            <v>12068.512618029963</v>
          </cell>
          <cell r="AQ319">
            <v>0</v>
          </cell>
          <cell r="AR319">
            <v>0</v>
          </cell>
          <cell r="AS319">
            <v>0</v>
          </cell>
          <cell r="AT319">
            <v>0</v>
          </cell>
          <cell r="AU319">
            <v>0</v>
          </cell>
          <cell r="AV319">
            <v>0</v>
          </cell>
          <cell r="AW319">
            <v>0</v>
          </cell>
          <cell r="AX319">
            <v>0</v>
          </cell>
          <cell r="BD319">
            <v>0</v>
          </cell>
        </row>
        <row r="320">
          <cell r="A320" t="str">
            <v>LT-9</v>
          </cell>
          <cell r="C320" t="str">
            <v>Local Transportation and Portering</v>
          </cell>
          <cell r="D320" t="str">
            <v>Local Transportation and Portering</v>
          </cell>
          <cell r="E320" t="str">
            <v>Job</v>
          </cell>
          <cell r="F320">
            <v>71877.805158061848</v>
          </cell>
          <cell r="G320">
            <v>1</v>
          </cell>
          <cell r="H320">
            <v>71877.805158061848</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1</v>
          </cell>
          <cell r="AR320">
            <v>71877.805158061848</v>
          </cell>
          <cell r="AS320">
            <v>0</v>
          </cell>
          <cell r="AT320">
            <v>0</v>
          </cell>
          <cell r="AU320">
            <v>0</v>
          </cell>
          <cell r="AV320">
            <v>0</v>
          </cell>
          <cell r="AW320">
            <v>0</v>
          </cell>
          <cell r="AX320">
            <v>0</v>
          </cell>
          <cell r="BD320">
            <v>0</v>
          </cell>
        </row>
        <row r="321">
          <cell r="A321" t="str">
            <v>SD-9</v>
          </cell>
          <cell r="C321" t="str">
            <v>Site Development (SA-9)</v>
          </cell>
          <cell r="D321" t="str">
            <v>Site Development (SA-9)</v>
          </cell>
          <cell r="E321" t="str">
            <v>job</v>
          </cell>
          <cell r="F321">
            <v>100000</v>
          </cell>
          <cell r="G321">
            <v>1</v>
          </cell>
          <cell r="H321">
            <v>100000</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1</v>
          </cell>
          <cell r="AR321">
            <v>100000</v>
          </cell>
          <cell r="AS321">
            <v>0</v>
          </cell>
          <cell r="AT321">
            <v>0</v>
          </cell>
          <cell r="AU321">
            <v>0</v>
          </cell>
          <cell r="AV321">
            <v>0</v>
          </cell>
          <cell r="AW321">
            <v>0</v>
          </cell>
          <cell r="AX321">
            <v>0</v>
          </cell>
          <cell r="BD321">
            <v>0</v>
          </cell>
        </row>
        <row r="322">
          <cell r="A322" t="str">
            <v>H16/10</v>
          </cell>
          <cell r="C322" t="str">
            <v>H16/10</v>
          </cell>
          <cell r="D322" t="str">
            <v>HDPE 16/10</v>
          </cell>
          <cell r="F322">
            <v>7.9697212622999993</v>
          </cell>
          <cell r="G322">
            <v>0</v>
          </cell>
          <cell r="H322">
            <v>0</v>
          </cell>
          <cell r="I322">
            <v>0</v>
          </cell>
          <cell r="J322">
            <v>0</v>
          </cell>
          <cell r="K322">
            <v>0</v>
          </cell>
          <cell r="BD322">
            <v>0</v>
          </cell>
        </row>
        <row r="323">
          <cell r="A323" t="str">
            <v>H20/10</v>
          </cell>
          <cell r="C323" t="str">
            <v>H20/10</v>
          </cell>
          <cell r="D323" t="str">
            <v>HDPE 20/10</v>
          </cell>
          <cell r="F323">
            <v>11.386940780250001</v>
          </cell>
          <cell r="G323">
            <v>0</v>
          </cell>
          <cell r="H323">
            <v>0</v>
          </cell>
          <cell r="I323">
            <v>0</v>
          </cell>
          <cell r="J323">
            <v>0</v>
          </cell>
          <cell r="K323">
            <v>0</v>
          </cell>
          <cell r="BD323">
            <v>0</v>
          </cell>
        </row>
        <row r="324">
          <cell r="A324" t="str">
            <v>H25/10</v>
          </cell>
          <cell r="C324" t="str">
            <v>H25/10</v>
          </cell>
          <cell r="D324" t="str">
            <v>HDPE 25/10</v>
          </cell>
          <cell r="F324">
            <v>18.21127062615</v>
          </cell>
          <cell r="G324">
            <v>0</v>
          </cell>
          <cell r="H324">
            <v>0</v>
          </cell>
          <cell r="I324">
            <v>0</v>
          </cell>
          <cell r="J324">
            <v>0</v>
          </cell>
          <cell r="K324">
            <v>0</v>
          </cell>
          <cell r="BD324">
            <v>0</v>
          </cell>
        </row>
        <row r="325">
          <cell r="A325" t="str">
            <v>H32/6</v>
          </cell>
          <cell r="C325" t="str">
            <v>H32/6</v>
          </cell>
          <cell r="D325" t="str">
            <v>HDPE 32/6</v>
          </cell>
          <cell r="F325">
            <v>19.352871096299999</v>
          </cell>
          <cell r="G325">
            <v>2570</v>
          </cell>
          <cell r="H325">
            <v>49736.878717490996</v>
          </cell>
          <cell r="I325">
            <v>2570</v>
          </cell>
          <cell r="J325">
            <v>49736.878717490996</v>
          </cell>
          <cell r="K325">
            <v>0</v>
          </cell>
          <cell r="BD325">
            <v>0</v>
          </cell>
        </row>
        <row r="326">
          <cell r="A326" t="str">
            <v>H32/10</v>
          </cell>
          <cell r="C326" t="str">
            <v>H32/10</v>
          </cell>
          <cell r="D326" t="str">
            <v>HDPE 32/10</v>
          </cell>
          <cell r="F326">
            <v>29.596947757649996</v>
          </cell>
          <cell r="G326">
            <v>1949</v>
          </cell>
          <cell r="H326">
            <v>57684.451179659845</v>
          </cell>
          <cell r="I326">
            <v>1949</v>
          </cell>
          <cell r="J326">
            <v>57684.451179659845</v>
          </cell>
          <cell r="K326">
            <v>0</v>
          </cell>
          <cell r="BD326">
            <v>0</v>
          </cell>
        </row>
        <row r="327">
          <cell r="A327" t="str">
            <v>H40/4</v>
          </cell>
          <cell r="C327" t="str">
            <v>H40/4</v>
          </cell>
          <cell r="D327" t="str">
            <v>HDPE 40/4</v>
          </cell>
          <cell r="F327">
            <v>22.853558756637</v>
          </cell>
          <cell r="G327">
            <v>0</v>
          </cell>
          <cell r="H327">
            <v>0</v>
          </cell>
          <cell r="I327">
            <v>0</v>
          </cell>
          <cell r="J327">
            <v>0</v>
          </cell>
          <cell r="K327">
            <v>0</v>
          </cell>
          <cell r="BD327">
            <v>0</v>
          </cell>
        </row>
        <row r="328">
          <cell r="A328" t="str">
            <v>H40/6</v>
          </cell>
          <cell r="C328" t="str">
            <v>H40/6</v>
          </cell>
          <cell r="D328" t="str">
            <v>HDPE 40/6</v>
          </cell>
          <cell r="F328">
            <v>31.867512210449995</v>
          </cell>
          <cell r="G328">
            <v>4873</v>
          </cell>
          <cell r="H328">
            <v>155290.38700152282</v>
          </cell>
          <cell r="I328">
            <v>4873</v>
          </cell>
          <cell r="J328">
            <v>155290.38700152282</v>
          </cell>
          <cell r="K328">
            <v>0</v>
          </cell>
          <cell r="BD328">
            <v>0</v>
          </cell>
        </row>
        <row r="329">
          <cell r="A329" t="str">
            <v>H40/10</v>
          </cell>
          <cell r="C329" t="str">
            <v>H40/10</v>
          </cell>
          <cell r="D329" t="str">
            <v>HDPE 40/10</v>
          </cell>
          <cell r="F329">
            <v>45.533862984750002</v>
          </cell>
          <cell r="G329">
            <v>8226</v>
          </cell>
          <cell r="H329">
            <v>374561.5569125535</v>
          </cell>
          <cell r="I329">
            <v>8226</v>
          </cell>
          <cell r="J329">
            <v>374561.5569125535</v>
          </cell>
          <cell r="K329">
            <v>0</v>
          </cell>
          <cell r="BD329">
            <v>0</v>
          </cell>
        </row>
        <row r="330">
          <cell r="A330" t="str">
            <v>H50/4</v>
          </cell>
          <cell r="C330" t="str">
            <v>H50/4</v>
          </cell>
          <cell r="D330" t="str">
            <v>HDPE 50/4</v>
          </cell>
          <cell r="F330">
            <v>34.133146810752947</v>
          </cell>
          <cell r="G330">
            <v>0</v>
          </cell>
          <cell r="H330">
            <v>0</v>
          </cell>
          <cell r="I330">
            <v>0</v>
          </cell>
          <cell r="J330">
            <v>0</v>
          </cell>
          <cell r="K330">
            <v>0</v>
          </cell>
          <cell r="BD330">
            <v>0</v>
          </cell>
        </row>
        <row r="331">
          <cell r="A331" t="str">
            <v>H50/6</v>
          </cell>
          <cell r="C331" t="str">
            <v>H50/6</v>
          </cell>
          <cell r="D331" t="str">
            <v>HDPE 50/6</v>
          </cell>
          <cell r="F331">
            <v>48.942236961449993</v>
          </cell>
          <cell r="G331">
            <v>2675</v>
          </cell>
          <cell r="H331">
            <v>130920.48387187874</v>
          </cell>
          <cell r="I331">
            <v>2675</v>
          </cell>
          <cell r="J331">
            <v>130920.48387187874</v>
          </cell>
          <cell r="K331">
            <v>0</v>
          </cell>
          <cell r="BD331">
            <v>0</v>
          </cell>
        </row>
        <row r="332">
          <cell r="A332" t="str">
            <v>H50/10</v>
          </cell>
          <cell r="C332" t="str">
            <v>H50/10</v>
          </cell>
          <cell r="D332" t="str">
            <v>HDPE 50/10</v>
          </cell>
          <cell r="F332">
            <v>71.707272980699997</v>
          </cell>
          <cell r="G332">
            <v>8251</v>
          </cell>
          <cell r="H332">
            <v>591656.70936375565</v>
          </cell>
          <cell r="I332">
            <v>8251</v>
          </cell>
          <cell r="J332">
            <v>591656.70936375565</v>
          </cell>
          <cell r="K332">
            <v>0</v>
          </cell>
          <cell r="BD332">
            <v>0</v>
          </cell>
        </row>
        <row r="333">
          <cell r="A333" t="str">
            <v>H63/4</v>
          </cell>
          <cell r="C333" t="str">
            <v>H63/4</v>
          </cell>
          <cell r="D333" t="str">
            <v>HDPE 63/4</v>
          </cell>
          <cell r="F333">
            <v>52.360088303775001</v>
          </cell>
          <cell r="G333">
            <v>0</v>
          </cell>
          <cell r="H333">
            <v>0</v>
          </cell>
          <cell r="I333">
            <v>0</v>
          </cell>
          <cell r="J333">
            <v>0</v>
          </cell>
          <cell r="K333">
            <v>0</v>
          </cell>
          <cell r="BD333">
            <v>0</v>
          </cell>
        </row>
        <row r="334">
          <cell r="A334" t="str">
            <v>H63/6</v>
          </cell>
          <cell r="C334" t="str">
            <v>H63/6</v>
          </cell>
          <cell r="D334" t="str">
            <v>HDPE 63/6</v>
          </cell>
          <cell r="F334">
            <v>76.262302022549989</v>
          </cell>
          <cell r="G334">
            <v>1773</v>
          </cell>
          <cell r="H334">
            <v>135213.06148598113</v>
          </cell>
          <cell r="I334">
            <v>1773</v>
          </cell>
          <cell r="J334">
            <v>135213.06148598113</v>
          </cell>
          <cell r="K334">
            <v>0</v>
          </cell>
          <cell r="BD334">
            <v>0</v>
          </cell>
        </row>
        <row r="335">
          <cell r="A335" t="str">
            <v>H63/10</v>
          </cell>
          <cell r="C335" t="str">
            <v>H63/10</v>
          </cell>
          <cell r="D335" t="str">
            <v>HDPE 63/10</v>
          </cell>
          <cell r="F335">
            <v>113.82454827187497</v>
          </cell>
          <cell r="G335">
            <v>10637</v>
          </cell>
          <cell r="H335">
            <v>1210751.7199679341</v>
          </cell>
          <cell r="I335">
            <v>10637</v>
          </cell>
          <cell r="J335">
            <v>1210751.7199679341</v>
          </cell>
          <cell r="K335">
            <v>0</v>
          </cell>
          <cell r="BD335">
            <v>0</v>
          </cell>
        </row>
        <row r="336">
          <cell r="A336" t="str">
            <v>H75/4</v>
          </cell>
          <cell r="C336" t="str">
            <v>H75/4</v>
          </cell>
          <cell r="D336" t="str">
            <v>HDPE 75/4</v>
          </cell>
          <cell r="F336">
            <v>75.12954709364999</v>
          </cell>
          <cell r="G336">
            <v>0</v>
          </cell>
          <cell r="H336">
            <v>0</v>
          </cell>
          <cell r="I336">
            <v>0</v>
          </cell>
          <cell r="J336">
            <v>0</v>
          </cell>
          <cell r="K336">
            <v>0</v>
          </cell>
          <cell r="BD336">
            <v>0</v>
          </cell>
        </row>
        <row r="337">
          <cell r="A337" t="str">
            <v>H75/6</v>
          </cell>
          <cell r="C337" t="str">
            <v>H75/6</v>
          </cell>
          <cell r="D337" t="str">
            <v>HDPE 75/6</v>
          </cell>
          <cell r="F337">
            <v>106.99390018222499</v>
          </cell>
          <cell r="G337">
            <v>3056</v>
          </cell>
          <cell r="H337">
            <v>326973.35895687959</v>
          </cell>
          <cell r="I337">
            <v>3056</v>
          </cell>
          <cell r="J337">
            <v>326973.35895687959</v>
          </cell>
          <cell r="K337">
            <v>0</v>
          </cell>
          <cell r="BD337">
            <v>0</v>
          </cell>
        </row>
        <row r="338">
          <cell r="A338" t="str">
            <v>H75/10</v>
          </cell>
          <cell r="C338" t="str">
            <v>H75/10</v>
          </cell>
          <cell r="D338" t="str">
            <v>HDPE 75/10</v>
          </cell>
          <cell r="F338">
            <v>160.08659120463886</v>
          </cell>
          <cell r="G338">
            <v>2272</v>
          </cell>
          <cell r="H338">
            <v>363716.73521693947</v>
          </cell>
          <cell r="I338">
            <v>2272</v>
          </cell>
          <cell r="J338">
            <v>363716.73521693947</v>
          </cell>
          <cell r="K338">
            <v>0</v>
          </cell>
          <cell r="BD338">
            <v>0</v>
          </cell>
        </row>
        <row r="339">
          <cell r="A339" t="str">
            <v>H90/4</v>
          </cell>
          <cell r="C339" t="str">
            <v>H90/4</v>
          </cell>
          <cell r="D339" t="str">
            <v>HDPE 90/4</v>
          </cell>
          <cell r="F339">
            <v>109.27267835189998</v>
          </cell>
          <cell r="G339">
            <v>527</v>
          </cell>
          <cell r="H339">
            <v>57586.701491451291</v>
          </cell>
          <cell r="I339">
            <v>527</v>
          </cell>
          <cell r="J339">
            <v>57586.701491451291</v>
          </cell>
          <cell r="K339">
            <v>0</v>
          </cell>
          <cell r="BD339">
            <v>0</v>
          </cell>
        </row>
        <row r="340">
          <cell r="A340" t="str">
            <v>H90/6</v>
          </cell>
          <cell r="C340" t="str">
            <v>H90/6</v>
          </cell>
          <cell r="D340" t="str">
            <v>HDPE 90/6</v>
          </cell>
          <cell r="F340">
            <v>154.79453667352499</v>
          </cell>
          <cell r="G340">
            <v>5416</v>
          </cell>
          <cell r="H340">
            <v>838367.21062381135</v>
          </cell>
          <cell r="I340">
            <v>5416</v>
          </cell>
          <cell r="J340">
            <v>838367.21062381135</v>
          </cell>
          <cell r="K340">
            <v>0</v>
          </cell>
          <cell r="BD340">
            <v>0</v>
          </cell>
        </row>
        <row r="341">
          <cell r="A341" t="str">
            <v>H90/10</v>
          </cell>
          <cell r="C341" t="str">
            <v>H90/10</v>
          </cell>
          <cell r="D341" t="str">
            <v>HDPE 90/10</v>
          </cell>
          <cell r="F341">
            <v>229.92850653779996</v>
          </cell>
          <cell r="G341">
            <v>3232</v>
          </cell>
          <cell r="H341">
            <v>743128.93313016952</v>
          </cell>
          <cell r="I341">
            <v>3232</v>
          </cell>
          <cell r="J341">
            <v>743128.93313016952</v>
          </cell>
          <cell r="K341">
            <v>0</v>
          </cell>
          <cell r="BD341">
            <v>0</v>
          </cell>
        </row>
        <row r="342">
          <cell r="A342" t="str">
            <v>H110/4</v>
          </cell>
          <cell r="C342" t="str">
            <v>H110/4</v>
          </cell>
          <cell r="D342" t="str">
            <v>HDPE 110/4</v>
          </cell>
          <cell r="F342">
            <v>159.30786530662499</v>
          </cell>
          <cell r="G342">
            <v>528</v>
          </cell>
          <cell r="H342">
            <v>84114.552881897995</v>
          </cell>
          <cell r="I342">
            <v>528</v>
          </cell>
          <cell r="J342">
            <v>84114.552881897995</v>
          </cell>
          <cell r="K342">
            <v>0</v>
          </cell>
          <cell r="BD342">
            <v>0</v>
          </cell>
        </row>
        <row r="343">
          <cell r="A343" t="str">
            <v>H110/6</v>
          </cell>
          <cell r="C343" t="str">
            <v>H110/6</v>
          </cell>
          <cell r="D343" t="str">
            <v>HDPE 110/6</v>
          </cell>
          <cell r="F343">
            <v>227.65351931437496</v>
          </cell>
          <cell r="G343">
            <v>3320</v>
          </cell>
          <cell r="H343">
            <v>755809.68412372482</v>
          </cell>
          <cell r="I343">
            <v>3320</v>
          </cell>
          <cell r="J343">
            <v>755809.68412372482</v>
          </cell>
          <cell r="K343">
            <v>0</v>
          </cell>
          <cell r="BD343">
            <v>0</v>
          </cell>
        </row>
        <row r="344">
          <cell r="A344" t="str">
            <v>H110/10</v>
          </cell>
          <cell r="C344" t="str">
            <v>H110/10</v>
          </cell>
          <cell r="D344" t="str">
            <v>HDPE 110/10</v>
          </cell>
          <cell r="F344">
            <v>343.73030913217491</v>
          </cell>
          <cell r="G344">
            <v>1392</v>
          </cell>
          <cell r="H344">
            <v>478472.5903119875</v>
          </cell>
          <cell r="I344">
            <v>1392</v>
          </cell>
          <cell r="J344">
            <v>478472.5903119875</v>
          </cell>
          <cell r="K344">
            <v>0</v>
          </cell>
          <cell r="BD344">
            <v>0</v>
          </cell>
        </row>
        <row r="345">
          <cell r="A345" t="str">
            <v>H125/4</v>
          </cell>
          <cell r="C345" t="str">
            <v>H125/4</v>
          </cell>
          <cell r="D345" t="str">
            <v>HDPE 125/4</v>
          </cell>
          <cell r="F345">
            <v>204.887219646375</v>
          </cell>
          <cell r="G345">
            <v>425</v>
          </cell>
          <cell r="H345">
            <v>87077.068349709371</v>
          </cell>
          <cell r="I345">
            <v>425</v>
          </cell>
          <cell r="J345">
            <v>87077.068349709371</v>
          </cell>
          <cell r="K345">
            <v>0</v>
          </cell>
          <cell r="BD345">
            <v>0</v>
          </cell>
        </row>
        <row r="346">
          <cell r="A346" t="str">
            <v>H125/6</v>
          </cell>
          <cell r="C346" t="str">
            <v>H125/6</v>
          </cell>
          <cell r="D346" t="str">
            <v>HDPE 125/6</v>
          </cell>
          <cell r="F346">
            <v>294.75474630647125</v>
          </cell>
          <cell r="G346">
            <v>1521</v>
          </cell>
          <cell r="H346">
            <v>448321.96913214278</v>
          </cell>
          <cell r="I346">
            <v>1521</v>
          </cell>
          <cell r="J346">
            <v>448321.96913214278</v>
          </cell>
          <cell r="K346">
            <v>0</v>
          </cell>
          <cell r="BD346">
            <v>0</v>
          </cell>
        </row>
        <row r="347">
          <cell r="A347" t="str">
            <v>H125/10</v>
          </cell>
          <cell r="C347" t="str">
            <v>H125/10</v>
          </cell>
          <cell r="D347" t="str">
            <v>HDPE 125/10</v>
          </cell>
          <cell r="F347">
            <v>444.14608295557554</v>
          </cell>
          <cell r="G347">
            <v>8313</v>
          </cell>
          <cell r="H347">
            <v>3692186.3876096993</v>
          </cell>
          <cell r="I347">
            <v>8313</v>
          </cell>
          <cell r="J347">
            <v>3692186.3876096993</v>
          </cell>
          <cell r="K347">
            <v>0</v>
          </cell>
          <cell r="BD347">
            <v>0</v>
          </cell>
        </row>
        <row r="348">
          <cell r="A348" t="str">
            <v>H140/4</v>
          </cell>
          <cell r="C348" t="str">
            <v>H140/4</v>
          </cell>
          <cell r="D348" t="str">
            <v>HDPE 140/4</v>
          </cell>
          <cell r="F348">
            <v>259.52482247107491</v>
          </cell>
          <cell r="G348">
            <v>0</v>
          </cell>
          <cell r="H348">
            <v>0</v>
          </cell>
          <cell r="I348">
            <v>0</v>
          </cell>
          <cell r="J348">
            <v>0</v>
          </cell>
          <cell r="K348">
            <v>0</v>
          </cell>
          <cell r="BD348">
            <v>0</v>
          </cell>
        </row>
        <row r="349">
          <cell r="A349" t="str">
            <v>H140/6</v>
          </cell>
          <cell r="C349" t="str">
            <v>H140/6</v>
          </cell>
          <cell r="D349" t="str">
            <v>HDPE 140/6</v>
          </cell>
          <cell r="F349">
            <v>367.68559609844993</v>
          </cell>
          <cell r="G349">
            <v>1031</v>
          </cell>
          <cell r="H349">
            <v>379083.84957750188</v>
          </cell>
          <cell r="I349">
            <v>1031</v>
          </cell>
          <cell r="J349">
            <v>379083.84957750188</v>
          </cell>
          <cell r="K349">
            <v>0</v>
          </cell>
          <cell r="BD349">
            <v>0</v>
          </cell>
        </row>
        <row r="350">
          <cell r="A350" t="str">
            <v>H140/10</v>
          </cell>
          <cell r="C350" t="str">
            <v>H140/10</v>
          </cell>
          <cell r="D350" t="str">
            <v>HDPE 140/10</v>
          </cell>
          <cell r="F350">
            <v>550.11081112657234</v>
          </cell>
          <cell r="G350">
            <v>1897</v>
          </cell>
          <cell r="H350">
            <v>1043560.2087071077</v>
          </cell>
          <cell r="I350">
            <v>1897</v>
          </cell>
          <cell r="J350">
            <v>1043560.2087071077</v>
          </cell>
          <cell r="K350">
            <v>0</v>
          </cell>
          <cell r="BD350">
            <v>0</v>
          </cell>
        </row>
        <row r="351">
          <cell r="A351" t="str">
            <v>H160/4</v>
          </cell>
          <cell r="C351" t="str">
            <v>H160/4</v>
          </cell>
          <cell r="D351" t="str">
            <v>HDPE 160/4</v>
          </cell>
          <cell r="F351">
            <v>340.32193515547493</v>
          </cell>
          <cell r="G351">
            <v>1590</v>
          </cell>
          <cell r="H351">
            <v>541111.87689720513</v>
          </cell>
          <cell r="I351">
            <v>1590</v>
          </cell>
          <cell r="J351">
            <v>541111.87689720513</v>
          </cell>
          <cell r="K351">
            <v>0</v>
          </cell>
          <cell r="BD351">
            <v>0</v>
          </cell>
        </row>
        <row r="352">
          <cell r="A352" t="str">
            <v>H160/6</v>
          </cell>
          <cell r="C352" t="str">
            <v>H160/6</v>
          </cell>
          <cell r="D352" t="str">
            <v>HDPE 160/6</v>
          </cell>
          <cell r="F352">
            <v>483.01721779951464</v>
          </cell>
          <cell r="G352">
            <v>5478</v>
          </cell>
          <cell r="H352">
            <v>2645968.3191057411</v>
          </cell>
          <cell r="I352">
            <v>5478</v>
          </cell>
          <cell r="J352">
            <v>2645968.3191057411</v>
          </cell>
          <cell r="K352">
            <v>0</v>
          </cell>
          <cell r="BD352">
            <v>0</v>
          </cell>
        </row>
        <row r="353">
          <cell r="A353" t="str">
            <v>H160/10</v>
          </cell>
          <cell r="C353" t="str">
            <v>H160/10</v>
          </cell>
          <cell r="D353" t="str">
            <v>HDPE 160/10</v>
          </cell>
          <cell r="F353">
            <v>728.72009385663455</v>
          </cell>
          <cell r="G353">
            <v>0</v>
          </cell>
          <cell r="H353">
            <v>0</v>
          </cell>
          <cell r="I353">
            <v>0</v>
          </cell>
          <cell r="J353">
            <v>0</v>
          </cell>
          <cell r="K353">
            <v>0</v>
          </cell>
          <cell r="BD353">
            <v>0</v>
          </cell>
        </row>
        <row r="354">
          <cell r="A354" t="str">
            <v>H180/4</v>
          </cell>
          <cell r="C354" t="str">
            <v>H180/4</v>
          </cell>
          <cell r="D354" t="str">
            <v>HDPE 180/4</v>
          </cell>
          <cell r="F354">
            <v>0</v>
          </cell>
          <cell r="G354">
            <v>0</v>
          </cell>
          <cell r="H354">
            <v>0</v>
          </cell>
          <cell r="I354">
            <v>0</v>
          </cell>
          <cell r="J354">
            <v>0</v>
          </cell>
          <cell r="K354">
            <v>0</v>
          </cell>
          <cell r="BD354">
            <v>0</v>
          </cell>
        </row>
        <row r="355">
          <cell r="A355" t="str">
            <v>H180/6</v>
          </cell>
          <cell r="C355" t="str">
            <v>H180/6</v>
          </cell>
          <cell r="D355" t="str">
            <v>HDPE 180/6</v>
          </cell>
          <cell r="F355">
            <v>0</v>
          </cell>
          <cell r="G355">
            <v>0</v>
          </cell>
          <cell r="H355">
            <v>0</v>
          </cell>
          <cell r="I355">
            <v>0</v>
          </cell>
          <cell r="J355">
            <v>0</v>
          </cell>
          <cell r="K355">
            <v>0</v>
          </cell>
          <cell r="BD355">
            <v>0</v>
          </cell>
        </row>
        <row r="356">
          <cell r="A356" t="str">
            <v>H180/10</v>
          </cell>
          <cell r="C356" t="str">
            <v>H180/10</v>
          </cell>
          <cell r="D356" t="str">
            <v>HDPE 180/10</v>
          </cell>
          <cell r="F356">
            <v>0</v>
          </cell>
          <cell r="G356">
            <v>0</v>
          </cell>
          <cell r="H356">
            <v>0</v>
          </cell>
          <cell r="I356">
            <v>0</v>
          </cell>
          <cell r="J356">
            <v>0</v>
          </cell>
          <cell r="K356">
            <v>0</v>
          </cell>
          <cell r="BD356">
            <v>0</v>
          </cell>
        </row>
        <row r="357">
          <cell r="A357" t="str">
            <v>H200/4</v>
          </cell>
          <cell r="C357" t="str">
            <v>H200/4</v>
          </cell>
          <cell r="D357" t="str">
            <v>HDPE 200/4</v>
          </cell>
          <cell r="F357">
            <v>0</v>
          </cell>
          <cell r="G357">
            <v>0</v>
          </cell>
          <cell r="H357">
            <v>0</v>
          </cell>
          <cell r="I357">
            <v>0</v>
          </cell>
          <cell r="J357">
            <v>0</v>
          </cell>
          <cell r="K357">
            <v>0</v>
          </cell>
          <cell r="BD357">
            <v>0</v>
          </cell>
        </row>
        <row r="358">
          <cell r="A358" t="str">
            <v>H200/6</v>
          </cell>
          <cell r="C358" t="str">
            <v>H200/6</v>
          </cell>
          <cell r="D358" t="str">
            <v>HDPE 200/6</v>
          </cell>
          <cell r="F358">
            <v>0</v>
          </cell>
          <cell r="G358">
            <v>0</v>
          </cell>
          <cell r="H358">
            <v>0</v>
          </cell>
          <cell r="I358">
            <v>0</v>
          </cell>
          <cell r="J358">
            <v>0</v>
          </cell>
          <cell r="K358">
            <v>0</v>
          </cell>
          <cell r="BD358">
            <v>0</v>
          </cell>
        </row>
        <row r="359">
          <cell r="A359" t="str">
            <v>H200/10</v>
          </cell>
          <cell r="C359" t="str">
            <v>H200/10</v>
          </cell>
          <cell r="D359" t="str">
            <v>HDPE 200/10</v>
          </cell>
          <cell r="F359">
            <v>0</v>
          </cell>
          <cell r="G359">
            <v>0</v>
          </cell>
          <cell r="H359">
            <v>0</v>
          </cell>
          <cell r="I359">
            <v>0</v>
          </cell>
          <cell r="J359">
            <v>0</v>
          </cell>
          <cell r="K359">
            <v>0</v>
          </cell>
          <cell r="BD359">
            <v>0</v>
          </cell>
        </row>
        <row r="360">
          <cell r="A360" t="str">
            <v>H225/4</v>
          </cell>
          <cell r="C360" t="str">
            <v>H225/4</v>
          </cell>
          <cell r="D360" t="str">
            <v>HDPE 225/4</v>
          </cell>
          <cell r="F360">
            <v>0</v>
          </cell>
          <cell r="G360">
            <v>0</v>
          </cell>
          <cell r="H360">
            <v>0</v>
          </cell>
          <cell r="I360">
            <v>0</v>
          </cell>
          <cell r="J360">
            <v>0</v>
          </cell>
          <cell r="K360">
            <v>0</v>
          </cell>
          <cell r="BD360">
            <v>0</v>
          </cell>
        </row>
        <row r="361">
          <cell r="A361" t="str">
            <v>H225/6</v>
          </cell>
          <cell r="C361" t="str">
            <v>H225/6</v>
          </cell>
          <cell r="D361" t="str">
            <v>HDPE 225/6</v>
          </cell>
          <cell r="F361">
            <v>0</v>
          </cell>
          <cell r="G361">
            <v>0</v>
          </cell>
          <cell r="H361">
            <v>0</v>
          </cell>
          <cell r="I361">
            <v>0</v>
          </cell>
          <cell r="J361">
            <v>0</v>
          </cell>
          <cell r="K361">
            <v>0</v>
          </cell>
          <cell r="BD361">
            <v>0</v>
          </cell>
        </row>
        <row r="362">
          <cell r="A362" t="str">
            <v>H225/10</v>
          </cell>
          <cell r="C362" t="str">
            <v>H225/10</v>
          </cell>
          <cell r="D362" t="str">
            <v>HDPE 225/10</v>
          </cell>
          <cell r="F362">
            <v>0</v>
          </cell>
          <cell r="G362">
            <v>0</v>
          </cell>
          <cell r="H362">
            <v>0</v>
          </cell>
          <cell r="I362">
            <v>0</v>
          </cell>
          <cell r="J362">
            <v>0</v>
          </cell>
          <cell r="K362">
            <v>0</v>
          </cell>
          <cell r="BD362">
            <v>0</v>
          </cell>
        </row>
        <row r="363">
          <cell r="A363" t="str">
            <v>H250/4</v>
          </cell>
          <cell r="C363" t="str">
            <v>H250/4</v>
          </cell>
          <cell r="D363" t="str">
            <v>HDPE 250/4</v>
          </cell>
          <cell r="F363">
            <v>0</v>
          </cell>
          <cell r="G363">
            <v>0</v>
          </cell>
          <cell r="H363">
            <v>0</v>
          </cell>
          <cell r="I363">
            <v>0</v>
          </cell>
          <cell r="J363">
            <v>0</v>
          </cell>
          <cell r="K363">
            <v>0</v>
          </cell>
          <cell r="BD363">
            <v>0</v>
          </cell>
        </row>
        <row r="364">
          <cell r="A364" t="str">
            <v>H250/6</v>
          </cell>
          <cell r="C364" t="str">
            <v>H250/6</v>
          </cell>
          <cell r="D364" t="str">
            <v>HDPE 250/6</v>
          </cell>
          <cell r="F364">
            <v>0</v>
          </cell>
          <cell r="G364">
            <v>0</v>
          </cell>
          <cell r="H364">
            <v>0</v>
          </cell>
          <cell r="I364">
            <v>0</v>
          </cell>
          <cell r="J364">
            <v>0</v>
          </cell>
          <cell r="K364">
            <v>0</v>
          </cell>
          <cell r="BD364">
            <v>0</v>
          </cell>
        </row>
        <row r="365">
          <cell r="A365" t="str">
            <v>H250/10</v>
          </cell>
          <cell r="C365" t="str">
            <v>H250/10</v>
          </cell>
          <cell r="D365" t="str">
            <v>HDPE 250/10</v>
          </cell>
          <cell r="F365">
            <v>0</v>
          </cell>
          <cell r="G365">
            <v>0</v>
          </cell>
          <cell r="H365">
            <v>0</v>
          </cell>
          <cell r="I365">
            <v>0</v>
          </cell>
          <cell r="J365">
            <v>0</v>
          </cell>
          <cell r="K365">
            <v>0</v>
          </cell>
          <cell r="BD365">
            <v>0</v>
          </cell>
        </row>
        <row r="366">
          <cell r="A366" t="str">
            <v>H280/4</v>
          </cell>
          <cell r="C366" t="str">
            <v>H280/4</v>
          </cell>
          <cell r="D366" t="str">
            <v>HDPE 280/4</v>
          </cell>
          <cell r="F366">
            <v>0</v>
          </cell>
          <cell r="G366">
            <v>0</v>
          </cell>
          <cell r="H366">
            <v>0</v>
          </cell>
          <cell r="I366">
            <v>0</v>
          </cell>
          <cell r="J366">
            <v>0</v>
          </cell>
          <cell r="K366">
            <v>0</v>
          </cell>
          <cell r="BD366">
            <v>0</v>
          </cell>
        </row>
        <row r="367">
          <cell r="A367" t="str">
            <v>H280/6</v>
          </cell>
          <cell r="C367" t="str">
            <v>H280/6</v>
          </cell>
          <cell r="D367" t="str">
            <v>HDPE 280/6</v>
          </cell>
          <cell r="F367">
            <v>0</v>
          </cell>
          <cell r="G367">
            <v>0</v>
          </cell>
          <cell r="H367">
            <v>0</v>
          </cell>
          <cell r="I367">
            <v>0</v>
          </cell>
          <cell r="J367">
            <v>0</v>
          </cell>
          <cell r="K367">
            <v>0</v>
          </cell>
          <cell r="BD367">
            <v>0</v>
          </cell>
        </row>
        <row r="368">
          <cell r="A368" t="str">
            <v>H280/10</v>
          </cell>
          <cell r="C368" t="str">
            <v>H280/10</v>
          </cell>
          <cell r="D368" t="str">
            <v>HDPE 280/10</v>
          </cell>
          <cell r="F368">
            <v>0</v>
          </cell>
          <cell r="G368">
            <v>0</v>
          </cell>
          <cell r="H368">
            <v>0</v>
          </cell>
          <cell r="I368">
            <v>0</v>
          </cell>
          <cell r="J368">
            <v>0</v>
          </cell>
          <cell r="K368">
            <v>0</v>
          </cell>
          <cell r="BD368">
            <v>0</v>
          </cell>
        </row>
        <row r="369">
          <cell r="A369" t="str">
            <v>H315/4</v>
          </cell>
          <cell r="C369" t="str">
            <v>H315/4</v>
          </cell>
          <cell r="D369" t="str">
            <v>HDPE 315/4</v>
          </cell>
          <cell r="F369">
            <v>0</v>
          </cell>
          <cell r="G369">
            <v>0</v>
          </cell>
          <cell r="H369">
            <v>0</v>
          </cell>
          <cell r="I369">
            <v>0</v>
          </cell>
          <cell r="J369">
            <v>0</v>
          </cell>
          <cell r="K369">
            <v>0</v>
          </cell>
          <cell r="BD369">
            <v>0</v>
          </cell>
        </row>
        <row r="370">
          <cell r="A370" t="str">
            <v>H315/6</v>
          </cell>
          <cell r="C370" t="str">
            <v>H315/6</v>
          </cell>
          <cell r="D370" t="str">
            <v>HDPE 315/6</v>
          </cell>
          <cell r="F370">
            <v>0</v>
          </cell>
          <cell r="G370">
            <v>0</v>
          </cell>
          <cell r="H370">
            <v>0</v>
          </cell>
          <cell r="I370">
            <v>0</v>
          </cell>
          <cell r="J370">
            <v>0</v>
          </cell>
          <cell r="K370">
            <v>0</v>
          </cell>
          <cell r="BD370">
            <v>0</v>
          </cell>
        </row>
        <row r="371">
          <cell r="A371" t="str">
            <v>H315/10</v>
          </cell>
          <cell r="C371" t="str">
            <v>H315/10</v>
          </cell>
          <cell r="D371" t="str">
            <v>HDPE 315/10</v>
          </cell>
          <cell r="F371">
            <v>0</v>
          </cell>
          <cell r="G371">
            <v>0</v>
          </cell>
          <cell r="H371">
            <v>0</v>
          </cell>
          <cell r="I371">
            <v>0</v>
          </cell>
          <cell r="J371">
            <v>0</v>
          </cell>
          <cell r="K371">
            <v>0</v>
          </cell>
          <cell r="BD371">
            <v>0</v>
          </cell>
        </row>
        <row r="372">
          <cell r="A372" t="str">
            <v>H350/4</v>
          </cell>
          <cell r="C372" t="str">
            <v>H350/4</v>
          </cell>
          <cell r="D372" t="str">
            <v>HDPE 350/4</v>
          </cell>
          <cell r="F372">
            <v>0</v>
          </cell>
          <cell r="G372">
            <v>0</v>
          </cell>
          <cell r="H372">
            <v>0</v>
          </cell>
          <cell r="I372">
            <v>0</v>
          </cell>
          <cell r="J372">
            <v>0</v>
          </cell>
          <cell r="K372">
            <v>0</v>
          </cell>
          <cell r="BD372">
            <v>0</v>
          </cell>
        </row>
        <row r="373">
          <cell r="A373" t="str">
            <v>H350/6</v>
          </cell>
          <cell r="C373" t="str">
            <v>H350/6</v>
          </cell>
          <cell r="D373" t="str">
            <v>HDPE 350/6</v>
          </cell>
          <cell r="F373">
            <v>0</v>
          </cell>
          <cell r="G373">
            <v>0</v>
          </cell>
          <cell r="H373">
            <v>0</v>
          </cell>
          <cell r="I373">
            <v>0</v>
          </cell>
          <cell r="J373">
            <v>0</v>
          </cell>
          <cell r="K373">
            <v>0</v>
          </cell>
          <cell r="BD373">
            <v>0</v>
          </cell>
        </row>
        <row r="374">
          <cell r="A374" t="str">
            <v>H350/10</v>
          </cell>
          <cell r="C374" t="str">
            <v>H350/10</v>
          </cell>
          <cell r="D374" t="str">
            <v>HDPE 350/10</v>
          </cell>
          <cell r="F374">
            <v>0</v>
          </cell>
          <cell r="G374">
            <v>0</v>
          </cell>
          <cell r="H374">
            <v>0</v>
          </cell>
          <cell r="I374">
            <v>0</v>
          </cell>
          <cell r="J374">
            <v>0</v>
          </cell>
          <cell r="K374">
            <v>0</v>
          </cell>
          <cell r="BD374">
            <v>0</v>
          </cell>
        </row>
        <row r="375">
          <cell r="A375" t="str">
            <v>H400/4</v>
          </cell>
          <cell r="C375" t="str">
            <v>H400/4</v>
          </cell>
          <cell r="D375" t="str">
            <v>HDPE 400/4</v>
          </cell>
          <cell r="F375">
            <v>0</v>
          </cell>
          <cell r="G375">
            <v>0</v>
          </cell>
          <cell r="H375">
            <v>0</v>
          </cell>
          <cell r="I375">
            <v>0</v>
          </cell>
          <cell r="J375">
            <v>0</v>
          </cell>
          <cell r="K375">
            <v>0</v>
          </cell>
          <cell r="BD375">
            <v>0</v>
          </cell>
        </row>
        <row r="376">
          <cell r="A376" t="str">
            <v>H400/6</v>
          </cell>
          <cell r="C376" t="str">
            <v>H400/6</v>
          </cell>
          <cell r="D376" t="str">
            <v>HDPE 400/6</v>
          </cell>
          <cell r="F376">
            <v>0</v>
          </cell>
          <cell r="G376">
            <v>0</v>
          </cell>
          <cell r="H376">
            <v>0</v>
          </cell>
          <cell r="I376">
            <v>0</v>
          </cell>
          <cell r="J376">
            <v>0</v>
          </cell>
          <cell r="K376">
            <v>0</v>
          </cell>
          <cell r="BD376">
            <v>0</v>
          </cell>
        </row>
        <row r="377">
          <cell r="A377" t="str">
            <v>H400/10</v>
          </cell>
          <cell r="C377" t="str">
            <v>H400/10</v>
          </cell>
          <cell r="D377" t="str">
            <v>HDPE 400/10</v>
          </cell>
          <cell r="F377">
            <v>0</v>
          </cell>
          <cell r="G377">
            <v>0</v>
          </cell>
          <cell r="H377">
            <v>0</v>
          </cell>
          <cell r="I377">
            <v>0</v>
          </cell>
          <cell r="J377">
            <v>0</v>
          </cell>
          <cell r="K377">
            <v>0</v>
          </cell>
          <cell r="BD377">
            <v>0</v>
          </cell>
        </row>
        <row r="378">
          <cell r="A378" t="str">
            <v>H440/4</v>
          </cell>
          <cell r="C378" t="str">
            <v>H440/4</v>
          </cell>
          <cell r="D378" t="str">
            <v>HDPE 440/4</v>
          </cell>
          <cell r="F378">
            <v>0</v>
          </cell>
          <cell r="G378">
            <v>0</v>
          </cell>
          <cell r="H378">
            <v>0</v>
          </cell>
          <cell r="I378">
            <v>0</v>
          </cell>
          <cell r="J378">
            <v>0</v>
          </cell>
          <cell r="K378">
            <v>0</v>
          </cell>
          <cell r="BD378">
            <v>0</v>
          </cell>
        </row>
        <row r="379">
          <cell r="A379" t="str">
            <v>H440/6</v>
          </cell>
          <cell r="C379" t="str">
            <v>H440/6</v>
          </cell>
          <cell r="D379" t="str">
            <v>HDPE 440/6</v>
          </cell>
          <cell r="F379">
            <v>0</v>
          </cell>
          <cell r="G379">
            <v>0</v>
          </cell>
          <cell r="H379">
            <v>0</v>
          </cell>
          <cell r="I379">
            <v>0</v>
          </cell>
          <cell r="J379">
            <v>0</v>
          </cell>
          <cell r="K379">
            <v>0</v>
          </cell>
          <cell r="BD379">
            <v>0</v>
          </cell>
        </row>
        <row r="380">
          <cell r="A380" t="str">
            <v>H440/10</v>
          </cell>
          <cell r="C380" t="str">
            <v>H440/10</v>
          </cell>
          <cell r="D380" t="str">
            <v>HDPE 440/10</v>
          </cell>
          <cell r="F380">
            <v>0</v>
          </cell>
          <cell r="G380">
            <v>0</v>
          </cell>
          <cell r="H380">
            <v>0</v>
          </cell>
          <cell r="I380">
            <v>0</v>
          </cell>
          <cell r="J380">
            <v>0</v>
          </cell>
          <cell r="K380">
            <v>0</v>
          </cell>
          <cell r="BD380">
            <v>0</v>
          </cell>
        </row>
        <row r="381">
          <cell r="A381" t="str">
            <v>H500/4</v>
          </cell>
          <cell r="C381" t="str">
            <v>H500/4</v>
          </cell>
          <cell r="D381" t="str">
            <v>HDPE 500/4</v>
          </cell>
          <cell r="F381">
            <v>0</v>
          </cell>
          <cell r="G381">
            <v>0</v>
          </cell>
          <cell r="H381">
            <v>0</v>
          </cell>
          <cell r="I381">
            <v>0</v>
          </cell>
          <cell r="J381">
            <v>0</v>
          </cell>
          <cell r="K381">
            <v>0</v>
          </cell>
          <cell r="BD381">
            <v>0</v>
          </cell>
        </row>
        <row r="382">
          <cell r="A382" t="str">
            <v>H500/6</v>
          </cell>
          <cell r="C382" t="str">
            <v>H500/6</v>
          </cell>
          <cell r="D382" t="str">
            <v>HDPE 500/6</v>
          </cell>
          <cell r="F382">
            <v>0</v>
          </cell>
          <cell r="G382">
            <v>0</v>
          </cell>
          <cell r="H382">
            <v>0</v>
          </cell>
          <cell r="I382">
            <v>0</v>
          </cell>
          <cell r="J382">
            <v>0</v>
          </cell>
          <cell r="K382">
            <v>0</v>
          </cell>
          <cell r="BD382">
            <v>0</v>
          </cell>
        </row>
        <row r="383">
          <cell r="A383" t="str">
            <v>H500/10</v>
          </cell>
          <cell r="C383" t="str">
            <v>H500/10</v>
          </cell>
          <cell r="D383" t="str">
            <v>HDPE 500/10</v>
          </cell>
          <cell r="F383">
            <v>0</v>
          </cell>
          <cell r="G383">
            <v>0</v>
          </cell>
          <cell r="H383">
            <v>0</v>
          </cell>
          <cell r="I383">
            <v>0</v>
          </cell>
          <cell r="J383">
            <v>0</v>
          </cell>
          <cell r="K383">
            <v>0</v>
          </cell>
          <cell r="BD383">
            <v>0</v>
          </cell>
        </row>
        <row r="384">
          <cell r="A384" t="str">
            <v>G13</v>
          </cell>
          <cell r="C384" t="str">
            <v>G13</v>
          </cell>
          <cell r="D384" t="str">
            <v>GI 13</v>
          </cell>
          <cell r="F384">
            <v>71.466799289690002</v>
          </cell>
          <cell r="G384">
            <v>0</v>
          </cell>
          <cell r="H384">
            <v>0</v>
          </cell>
          <cell r="I384">
            <v>0</v>
          </cell>
          <cell r="J384">
            <v>0</v>
          </cell>
          <cell r="K384">
            <v>0</v>
          </cell>
          <cell r="BD384">
            <v>0</v>
          </cell>
        </row>
        <row r="385">
          <cell r="A385" t="str">
            <v>G20</v>
          </cell>
          <cell r="C385" t="str">
            <v>G20</v>
          </cell>
          <cell r="D385" t="str">
            <v>GI 20</v>
          </cell>
          <cell r="F385">
            <v>92.531336660734993</v>
          </cell>
          <cell r="G385">
            <v>0</v>
          </cell>
          <cell r="H385">
            <v>0</v>
          </cell>
          <cell r="I385">
            <v>0</v>
          </cell>
          <cell r="J385">
            <v>0</v>
          </cell>
          <cell r="K385">
            <v>0</v>
          </cell>
          <cell r="BD385">
            <v>0</v>
          </cell>
        </row>
        <row r="386">
          <cell r="A386" t="str">
            <v>G25</v>
          </cell>
          <cell r="C386" t="str">
            <v>G25</v>
          </cell>
          <cell r="D386" t="str">
            <v>GI 25</v>
          </cell>
          <cell r="F386">
            <v>142.817357892335</v>
          </cell>
          <cell r="G386">
            <v>0</v>
          </cell>
          <cell r="H386">
            <v>0</v>
          </cell>
          <cell r="I386">
            <v>0</v>
          </cell>
          <cell r="J386">
            <v>0</v>
          </cell>
          <cell r="K386">
            <v>0</v>
          </cell>
          <cell r="BD386">
            <v>0</v>
          </cell>
        </row>
        <row r="387">
          <cell r="A387" t="str">
            <v>G32</v>
          </cell>
          <cell r="C387" t="str">
            <v>G32</v>
          </cell>
          <cell r="D387" t="str">
            <v>GI 32</v>
          </cell>
          <cell r="F387">
            <v>183.94700645681499</v>
          </cell>
          <cell r="G387">
            <v>0</v>
          </cell>
          <cell r="H387">
            <v>0</v>
          </cell>
          <cell r="I387">
            <v>0</v>
          </cell>
          <cell r="J387">
            <v>0</v>
          </cell>
          <cell r="K387">
            <v>0</v>
          </cell>
          <cell r="BD387">
            <v>0</v>
          </cell>
        </row>
        <row r="388">
          <cell r="A388" t="str">
            <v>G40</v>
          </cell>
          <cell r="C388" t="str">
            <v>G40</v>
          </cell>
          <cell r="D388" t="str">
            <v>GI 40</v>
          </cell>
          <cell r="F388">
            <v>211.26068066396999</v>
          </cell>
          <cell r="G388">
            <v>13417</v>
          </cell>
          <cell r="H388">
            <v>2834484.5524684852</v>
          </cell>
          <cell r="I388">
            <v>13417</v>
          </cell>
          <cell r="J388">
            <v>2834484.5524684852</v>
          </cell>
          <cell r="K388">
            <v>0</v>
          </cell>
          <cell r="BD388">
            <v>0</v>
          </cell>
        </row>
        <row r="389">
          <cell r="A389" t="str">
            <v>G50</v>
          </cell>
          <cell r="C389" t="str">
            <v>G50</v>
          </cell>
          <cell r="D389" t="str">
            <v>GI 50</v>
          </cell>
          <cell r="F389">
            <v>299.77292057324496</v>
          </cell>
          <cell r="G389">
            <v>5828</v>
          </cell>
          <cell r="H389">
            <v>1747076.5811008716</v>
          </cell>
          <cell r="I389">
            <v>5828</v>
          </cell>
          <cell r="J389">
            <v>1747076.5811008716</v>
          </cell>
          <cell r="K389">
            <v>0</v>
          </cell>
          <cell r="BD389">
            <v>0</v>
          </cell>
        </row>
        <row r="390">
          <cell r="A390" t="str">
            <v>G63</v>
          </cell>
          <cell r="C390" t="str">
            <v>G63</v>
          </cell>
          <cell r="D390" t="str">
            <v>GI 63</v>
          </cell>
          <cell r="F390">
            <v>384.39307542839003</v>
          </cell>
          <cell r="G390">
            <v>5034</v>
          </cell>
          <cell r="H390">
            <v>1935034.7417065154</v>
          </cell>
          <cell r="I390">
            <v>5034</v>
          </cell>
          <cell r="J390">
            <v>1935034.7417065154</v>
          </cell>
          <cell r="K390">
            <v>0</v>
          </cell>
          <cell r="BD390">
            <v>0</v>
          </cell>
        </row>
        <row r="391">
          <cell r="A391" t="str">
            <v>G75</v>
          </cell>
          <cell r="C391" t="str">
            <v>G75</v>
          </cell>
          <cell r="D391" t="str">
            <v>GI 75</v>
          </cell>
          <cell r="F391">
            <v>500.92332374339492</v>
          </cell>
          <cell r="G391">
            <v>12066</v>
          </cell>
          <cell r="H391">
            <v>6044140.8242878029</v>
          </cell>
          <cell r="I391">
            <v>12066</v>
          </cell>
          <cell r="J391">
            <v>6044140.8242878029</v>
          </cell>
          <cell r="K391">
            <v>0</v>
          </cell>
          <cell r="BD391">
            <v>0</v>
          </cell>
        </row>
        <row r="392">
          <cell r="A392" t="str">
            <v>G100</v>
          </cell>
          <cell r="C392" t="str">
            <v>G100</v>
          </cell>
          <cell r="D392" t="str">
            <v>GI 100</v>
          </cell>
          <cell r="F392">
            <v>718.31690055643003</v>
          </cell>
          <cell r="G392">
            <v>9361</v>
          </cell>
          <cell r="H392">
            <v>6724164.5061087413</v>
          </cell>
          <cell r="I392">
            <v>9361</v>
          </cell>
          <cell r="J392">
            <v>6724164.5061087413</v>
          </cell>
          <cell r="K392">
            <v>0</v>
          </cell>
          <cell r="BD392">
            <v>0</v>
          </cell>
        </row>
        <row r="393">
          <cell r="A393" t="str">
            <v>G150</v>
          </cell>
          <cell r="C393" t="str">
            <v>G150</v>
          </cell>
          <cell r="D393" t="str">
            <v>GI 150</v>
          </cell>
          <cell r="F393">
            <v>1149.5388772954802</v>
          </cell>
          <cell r="G393">
            <v>0</v>
          </cell>
          <cell r="H393">
            <v>0</v>
          </cell>
          <cell r="I393">
            <v>0</v>
          </cell>
          <cell r="J393">
            <v>0</v>
          </cell>
          <cell r="K393">
            <v>0</v>
          </cell>
          <cell r="BD393">
            <v>0</v>
          </cell>
        </row>
        <row r="394">
          <cell r="A394" t="str">
            <v>D80</v>
          </cell>
          <cell r="C394" t="str">
            <v>D80</v>
          </cell>
          <cell r="D394" t="str">
            <v>DI 80</v>
          </cell>
          <cell r="F394">
            <v>1166.5390829662497</v>
          </cell>
          <cell r="G394">
            <v>6611</v>
          </cell>
          <cell r="H394">
            <v>7711989.8774898769</v>
          </cell>
          <cell r="I394">
            <v>6611</v>
          </cell>
          <cell r="J394">
            <v>7711989.8774898769</v>
          </cell>
          <cell r="K394">
            <v>0</v>
          </cell>
          <cell r="BD394">
            <v>0</v>
          </cell>
        </row>
        <row r="395">
          <cell r="A395" t="str">
            <v>D100</v>
          </cell>
          <cell r="C395" t="str">
            <v>D100</v>
          </cell>
          <cell r="D395" t="str">
            <v>DI 100</v>
          </cell>
          <cell r="F395">
            <v>1213.5931153972499</v>
          </cell>
          <cell r="G395">
            <v>5740</v>
          </cell>
          <cell r="H395">
            <v>6966024.4823802141</v>
          </cell>
          <cell r="I395">
            <v>5740</v>
          </cell>
          <cell r="J395">
            <v>6966024.4823802141</v>
          </cell>
          <cell r="K395">
            <v>0</v>
          </cell>
          <cell r="BD395">
            <v>0</v>
          </cell>
        </row>
        <row r="396">
          <cell r="A396" t="str">
            <v>D150</v>
          </cell>
          <cell r="C396" t="str">
            <v>D150</v>
          </cell>
          <cell r="D396" t="str">
            <v>DI 150</v>
          </cell>
          <cell r="F396">
            <v>1524.0176729189996</v>
          </cell>
          <cell r="G396">
            <v>6020</v>
          </cell>
          <cell r="H396">
            <v>9174586.3909723777</v>
          </cell>
          <cell r="I396">
            <v>6020</v>
          </cell>
          <cell r="J396">
            <v>9174586.3909723777</v>
          </cell>
          <cell r="K396">
            <v>0</v>
          </cell>
          <cell r="BD396">
            <v>0</v>
          </cell>
        </row>
        <row r="397">
          <cell r="A397" t="str">
            <v>D200</v>
          </cell>
          <cell r="C397" t="str">
            <v>D200</v>
          </cell>
          <cell r="D397" t="str">
            <v>DI 200</v>
          </cell>
          <cell r="F397">
            <v>1758.7169791369497</v>
          </cell>
          <cell r="G397">
            <v>7240</v>
          </cell>
          <cell r="H397">
            <v>12733110.928951517</v>
          </cell>
          <cell r="I397">
            <v>7240</v>
          </cell>
          <cell r="J397">
            <v>12733110.928951517</v>
          </cell>
          <cell r="K397">
            <v>0</v>
          </cell>
          <cell r="BD397">
            <v>0</v>
          </cell>
        </row>
        <row r="398">
          <cell r="A398" t="str">
            <v>D250</v>
          </cell>
          <cell r="C398" t="str">
            <v>D250</v>
          </cell>
          <cell r="D398" t="str">
            <v>DI 250</v>
          </cell>
          <cell r="F398">
            <v>2311.0425789968995</v>
          </cell>
          <cell r="G398">
            <v>1675</v>
          </cell>
          <cell r="H398">
            <v>3870996.3198198066</v>
          </cell>
          <cell r="I398">
            <v>1675</v>
          </cell>
          <cell r="J398">
            <v>3870996.3198198066</v>
          </cell>
          <cell r="K398">
            <v>0</v>
          </cell>
          <cell r="BD398">
            <v>0</v>
          </cell>
        </row>
        <row r="399">
          <cell r="A399" t="str">
            <v>D300</v>
          </cell>
          <cell r="C399" t="str">
            <v>D300</v>
          </cell>
          <cell r="D399" t="str">
            <v>DI 300</v>
          </cell>
          <cell r="F399">
            <v>2862.9708675004495</v>
          </cell>
          <cell r="G399">
            <v>7420</v>
          </cell>
          <cell r="H399">
            <v>21243243.836853337</v>
          </cell>
          <cell r="I399">
            <v>7420</v>
          </cell>
          <cell r="J399">
            <v>21243243.836853337</v>
          </cell>
          <cell r="K399">
            <v>0</v>
          </cell>
          <cell r="BD399">
            <v>0</v>
          </cell>
        </row>
        <row r="400">
          <cell r="A400" t="str">
            <v>D300_1</v>
          </cell>
          <cell r="C400" t="str">
            <v>D300_1</v>
          </cell>
          <cell r="D400" t="str">
            <v>DI 300 Mechanical Joint</v>
          </cell>
          <cell r="F400">
            <v>3435.5650410005392</v>
          </cell>
          <cell r="G400">
            <v>800</v>
          </cell>
          <cell r="H400">
            <v>2748452.0328004314</v>
          </cell>
          <cell r="I400">
            <v>800</v>
          </cell>
          <cell r="J400">
            <v>2748452.0328004314</v>
          </cell>
          <cell r="K400">
            <v>0</v>
          </cell>
          <cell r="BD400">
            <v>0</v>
          </cell>
        </row>
      </sheetData>
      <sheetData sheetId="4"/>
      <sheetData sheetId="5"/>
      <sheetData sheetId="6"/>
      <sheetData sheetId="7"/>
      <sheetData sheetId="8"/>
      <sheetData sheetId="9"/>
      <sheetData sheetId="10">
        <row r="7">
          <cell r="B7" t="str">
            <v>1.8</v>
          </cell>
          <cell r="C7" t="str">
            <v>Top soil removal (20 cm thick)</v>
          </cell>
          <cell r="D7" t="str">
            <v>cum</v>
          </cell>
          <cell r="E7">
            <v>1247.4000000000001</v>
          </cell>
          <cell r="O7">
            <v>1023.9699999999697</v>
          </cell>
          <cell r="P7">
            <v>2740.4411111110635</v>
          </cell>
          <cell r="R7">
            <v>5011.8111111110338</v>
          </cell>
        </row>
        <row r="8">
          <cell r="B8">
            <v>2.14</v>
          </cell>
          <cell r="C8" t="str">
            <v>E/W Excavation for foundation, drain, pipelines etc. in BM Soil</v>
          </cell>
          <cell r="D8" t="str">
            <v>cum</v>
          </cell>
          <cell r="E8">
            <v>3994.161111111111</v>
          </cell>
          <cell r="O8">
            <v>2980.144999999919</v>
          </cell>
          <cell r="P8">
            <v>8310.2405555553814</v>
          </cell>
          <cell r="R8">
            <v>16286.908888888618</v>
          </cell>
        </row>
        <row r="9">
          <cell r="B9" t="str">
            <v>2.15.a</v>
          </cell>
          <cell r="C9" t="str">
            <v>E/W Excavation for foundation, drain, pipelines etc. in soft rock</v>
          </cell>
          <cell r="D9" t="str">
            <v>cum</v>
          </cell>
          <cell r="E9">
            <v>1316.7</v>
          </cell>
          <cell r="O9">
            <v>0</v>
          </cell>
          <cell r="P9">
            <v>0</v>
          </cell>
          <cell r="R9">
            <v>1316.7</v>
          </cell>
        </row>
        <row r="10">
          <cell r="B10" t="str">
            <v>2.25.b</v>
          </cell>
          <cell r="C10" t="str">
            <v xml:space="preserve">Filling with ordinary soils with compaction </v>
          </cell>
          <cell r="D10" t="str">
            <v>cum</v>
          </cell>
          <cell r="E10">
            <v>4319.3311111111116</v>
          </cell>
          <cell r="O10">
            <v>3583.894999999904</v>
          </cell>
          <cell r="P10">
            <v>9591.5438888886874</v>
          </cell>
          <cell r="R10">
            <v>18497.13222222191</v>
          </cell>
        </row>
        <row r="11">
          <cell r="B11" t="str">
            <v>2.42</v>
          </cell>
          <cell r="C11" t="str">
            <v>Sand filling with compaction and sprinkling of water</v>
          </cell>
          <cell r="D11" t="str">
            <v>cum</v>
          </cell>
          <cell r="E11">
            <v>991.53</v>
          </cell>
          <cell r="O11">
            <v>0</v>
          </cell>
          <cell r="P11">
            <v>0</v>
          </cell>
          <cell r="R11">
            <v>991.53</v>
          </cell>
        </row>
        <row r="12">
          <cell r="B12" t="str">
            <v>1.9</v>
          </cell>
          <cell r="C12" t="str">
            <v>Top soil spreading (20 cm thick)</v>
          </cell>
          <cell r="D12" t="str">
            <v>sqm</v>
          </cell>
          <cell r="E12">
            <v>1247.4000000000001</v>
          </cell>
          <cell r="O12">
            <v>1023.9699999999697</v>
          </cell>
          <cell r="P12">
            <v>2740.4411111110635</v>
          </cell>
          <cell r="R12">
            <v>5011.8111111110338</v>
          </cell>
        </row>
        <row r="13">
          <cell r="B13" t="str">
            <v>M-113</v>
          </cell>
          <cell r="C13" t="str">
            <v>Truss Anchoring Work for pipeline in hard rock</v>
          </cell>
          <cell r="D13" t="str">
            <v>rm</v>
          </cell>
          <cell r="E13">
            <v>700</v>
          </cell>
          <cell r="O13">
            <v>0</v>
          </cell>
          <cell r="P13">
            <v>0</v>
          </cell>
          <cell r="R13">
            <v>700</v>
          </cell>
        </row>
        <row r="14">
          <cell r="B14" t="str">
            <v>M-114</v>
          </cell>
          <cell r="C14" t="str">
            <v>Staging work for anchoring using MS pipe and wooden plateform</v>
          </cell>
          <cell r="D14" t="str">
            <v>m</v>
          </cell>
          <cell r="E14">
            <v>700</v>
          </cell>
          <cell r="O14">
            <v>0</v>
          </cell>
          <cell r="P14">
            <v>0</v>
          </cell>
          <cell r="R14">
            <v>700</v>
          </cell>
        </row>
        <row r="15">
          <cell r="B15" t="str">
            <v>TB</v>
          </cell>
          <cell r="C15" t="str">
            <v>Thrust Blocks (454 Nos)</v>
          </cell>
          <cell r="D15" t="str">
            <v>no</v>
          </cell>
          <cell r="E15">
            <v>454</v>
          </cell>
          <cell r="O15">
            <v>0</v>
          </cell>
          <cell r="P15">
            <v>0</v>
          </cell>
          <cell r="R15">
            <v>454</v>
          </cell>
        </row>
        <row r="16">
          <cell r="B16" t="str">
            <v>PMP</v>
          </cell>
          <cell r="C16" t="str">
            <v>Pipe Marker Post</v>
          </cell>
          <cell r="D16" t="str">
            <v>no</v>
          </cell>
          <cell r="E16">
            <v>76</v>
          </cell>
          <cell r="O16">
            <v>20</v>
          </cell>
          <cell r="P16">
            <v>0</v>
          </cell>
          <cell r="R16">
            <v>96</v>
          </cell>
        </row>
        <row r="17">
          <cell r="B17" t="str">
            <v>M-117</v>
          </cell>
          <cell r="C17" t="str">
            <v>Fire Hydrant</v>
          </cell>
          <cell r="D17" t="str">
            <v>no</v>
          </cell>
          <cell r="E17">
            <v>0</v>
          </cell>
          <cell r="H17">
            <v>2</v>
          </cell>
          <cell r="N17">
            <v>4</v>
          </cell>
          <cell r="O17">
            <v>4</v>
          </cell>
          <cell r="P17">
            <v>6</v>
          </cell>
          <cell r="R17">
            <v>16</v>
          </cell>
        </row>
        <row r="21">
          <cell r="A21" t="str">
            <v>H32/6</v>
          </cell>
          <cell r="C21" t="str">
            <v xml:space="preserve">HDPE - 32/6 (dia/kgf/cm2)   </v>
          </cell>
          <cell r="E21">
            <v>0</v>
          </cell>
          <cell r="O21">
            <v>0</v>
          </cell>
          <cell r="R21">
            <v>0</v>
          </cell>
        </row>
        <row r="22">
          <cell r="A22" t="str">
            <v>H32/10</v>
          </cell>
          <cell r="C22" t="str">
            <v xml:space="preserve">HDPE - 32/10 (dia/kgf/cm2)   </v>
          </cell>
          <cell r="E22">
            <v>0</v>
          </cell>
          <cell r="O22">
            <v>0</v>
          </cell>
          <cell r="R22">
            <v>0</v>
          </cell>
        </row>
        <row r="23">
          <cell r="A23" t="str">
            <v>H40/6</v>
          </cell>
          <cell r="B23" t="str">
            <v>17.2.a.4</v>
          </cell>
          <cell r="C23" t="str">
            <v xml:space="preserve">HDPE - 40/6 (dia/kgf/cm2)   </v>
          </cell>
          <cell r="E23">
            <v>0</v>
          </cell>
          <cell r="O23">
            <v>132</v>
          </cell>
          <cell r="R23">
            <v>132</v>
          </cell>
        </row>
        <row r="24">
          <cell r="A24" t="str">
            <v>H40/10</v>
          </cell>
          <cell r="B24" t="str">
            <v>17.2.a.4</v>
          </cell>
          <cell r="C24" t="str">
            <v xml:space="preserve">HDPE - 40/10 (dia/kgf/cm2)   </v>
          </cell>
          <cell r="E24">
            <v>0</v>
          </cell>
          <cell r="O24">
            <v>1369</v>
          </cell>
          <cell r="R24">
            <v>1369</v>
          </cell>
        </row>
        <row r="25">
          <cell r="A25" t="str">
            <v>H50/6</v>
          </cell>
          <cell r="B25" t="str">
            <v>17.2.a.5</v>
          </cell>
          <cell r="C25" t="str">
            <v xml:space="preserve">HDPE - 50/6 (dia/kgf/cm2)   </v>
          </cell>
          <cell r="E25">
            <v>0</v>
          </cell>
          <cell r="O25">
            <v>0</v>
          </cell>
          <cell r="R25">
            <v>0</v>
          </cell>
        </row>
        <row r="26">
          <cell r="A26" t="str">
            <v>H50/10</v>
          </cell>
          <cell r="B26" t="str">
            <v>17.2.a.5</v>
          </cell>
          <cell r="C26" t="str">
            <v xml:space="preserve">HDPE - 50/10 (dia/kgf/cm2)   </v>
          </cell>
          <cell r="E26">
            <v>0</v>
          </cell>
          <cell r="O26">
            <v>1654</v>
          </cell>
          <cell r="R26">
            <v>1654</v>
          </cell>
        </row>
        <row r="27">
          <cell r="A27" t="str">
            <v>H63/6</v>
          </cell>
          <cell r="B27" t="str">
            <v>17.2.b.1</v>
          </cell>
          <cell r="C27" t="str">
            <v xml:space="preserve">HDPE - 63/6 (dia/kgf/cm2)   </v>
          </cell>
          <cell r="E27">
            <v>0</v>
          </cell>
          <cell r="O27">
            <v>415</v>
          </cell>
          <cell r="R27">
            <v>415</v>
          </cell>
        </row>
        <row r="28">
          <cell r="A28" t="str">
            <v>H63/10</v>
          </cell>
          <cell r="B28" t="str">
            <v>17.2.b.1</v>
          </cell>
          <cell r="C28" t="str">
            <v xml:space="preserve">HDPE - 63/10(dia/kgf/cm2)   </v>
          </cell>
          <cell r="E28">
            <v>0</v>
          </cell>
          <cell r="O28">
            <v>1734</v>
          </cell>
          <cell r="R28">
            <v>1734</v>
          </cell>
        </row>
        <row r="29">
          <cell r="A29" t="str">
            <v>H75/6</v>
          </cell>
          <cell r="B29" t="str">
            <v>17.2.b.2</v>
          </cell>
          <cell r="C29" t="str">
            <v xml:space="preserve">HDPE - 75/6 (dia/kgf/cm2)   </v>
          </cell>
          <cell r="E29">
            <v>0</v>
          </cell>
          <cell r="O29">
            <v>350</v>
          </cell>
          <cell r="R29">
            <v>350</v>
          </cell>
        </row>
        <row r="30">
          <cell r="A30" t="str">
            <v>H75/10</v>
          </cell>
          <cell r="B30" t="str">
            <v>17.2.b.2</v>
          </cell>
          <cell r="C30" t="str">
            <v xml:space="preserve">HDPE - 75/10 (dia/kgf/cm2)   </v>
          </cell>
          <cell r="E30">
            <v>0</v>
          </cell>
          <cell r="O30">
            <v>1586</v>
          </cell>
          <cell r="R30">
            <v>1586</v>
          </cell>
        </row>
        <row r="31">
          <cell r="A31" t="str">
            <v>H90/6</v>
          </cell>
          <cell r="B31" t="str">
            <v>17.2.b.3</v>
          </cell>
          <cell r="C31" t="str">
            <v xml:space="preserve">HDPE - 90/6 (dia/kgf/cm2)   </v>
          </cell>
          <cell r="D31" t="str">
            <v>m</v>
          </cell>
          <cell r="E31">
            <v>150</v>
          </cell>
          <cell r="O31">
            <v>150</v>
          </cell>
          <cell r="R31">
            <v>300</v>
          </cell>
        </row>
        <row r="32">
          <cell r="A32" t="str">
            <v>H90/10</v>
          </cell>
          <cell r="B32" t="str">
            <v>17.2.b.3</v>
          </cell>
          <cell r="C32" t="str">
            <v xml:space="preserve">HDPE - 90/10 (dia/kgf/cm2)   </v>
          </cell>
          <cell r="E32">
            <v>0</v>
          </cell>
          <cell r="O32">
            <v>860</v>
          </cell>
          <cell r="R32">
            <v>860</v>
          </cell>
        </row>
        <row r="33">
          <cell r="A33" t="str">
            <v>H110/4</v>
          </cell>
          <cell r="B33" t="str">
            <v>17.2.b.4</v>
          </cell>
          <cell r="C33" t="str">
            <v xml:space="preserve">HDPE - 110/4 (dia/kgf/cm2)   </v>
          </cell>
          <cell r="E33">
            <v>0</v>
          </cell>
          <cell r="O33">
            <v>528</v>
          </cell>
          <cell r="R33">
            <v>528</v>
          </cell>
        </row>
        <row r="34">
          <cell r="A34" t="str">
            <v>H110/6</v>
          </cell>
          <cell r="B34" t="str">
            <v>17.2.b.4</v>
          </cell>
          <cell r="C34" t="str">
            <v xml:space="preserve">HDPE - 110/6 (dia/kgf/cm2)   </v>
          </cell>
          <cell r="E34">
            <v>0</v>
          </cell>
          <cell r="O34">
            <v>800</v>
          </cell>
          <cell r="R34">
            <v>800</v>
          </cell>
        </row>
        <row r="35">
          <cell r="A35" t="str">
            <v>H110/10</v>
          </cell>
          <cell r="B35" t="str">
            <v>17.2.b.4</v>
          </cell>
          <cell r="C35" t="str">
            <v xml:space="preserve">HDPE - 110/10 (dia/kgf/cm2)   </v>
          </cell>
          <cell r="E35">
            <v>0</v>
          </cell>
          <cell r="O35">
            <v>0</v>
          </cell>
          <cell r="R35">
            <v>0</v>
          </cell>
        </row>
        <row r="36">
          <cell r="A36" t="str">
            <v>H125/4</v>
          </cell>
          <cell r="B36" t="str">
            <v>17.2.b.5</v>
          </cell>
          <cell r="C36" t="str">
            <v xml:space="preserve">HDPE - 125/4 (dia/kgf/cm2)   </v>
          </cell>
          <cell r="E36">
            <v>0</v>
          </cell>
          <cell r="O36">
            <v>157</v>
          </cell>
          <cell r="R36">
            <v>157</v>
          </cell>
        </row>
        <row r="37">
          <cell r="A37" t="str">
            <v>H125/6</v>
          </cell>
          <cell r="B37" t="str">
            <v>17.2.b.5</v>
          </cell>
          <cell r="C37" t="str">
            <v xml:space="preserve">HDPE - 125/6 (dia/kgf/cm2)   </v>
          </cell>
          <cell r="D37" t="str">
            <v>m</v>
          </cell>
          <cell r="E37">
            <v>150</v>
          </cell>
          <cell r="O37">
            <v>89</v>
          </cell>
          <cell r="R37">
            <v>239</v>
          </cell>
        </row>
        <row r="38">
          <cell r="A38" t="str">
            <v>H125/10</v>
          </cell>
          <cell r="B38" t="str">
            <v>17.2.b.5</v>
          </cell>
          <cell r="C38" t="str">
            <v xml:space="preserve">HDPE - 125/10 (dia/kgf/cm2)   </v>
          </cell>
          <cell r="D38" t="str">
            <v>m</v>
          </cell>
          <cell r="E38">
            <v>0</v>
          </cell>
          <cell r="O38">
            <v>0</v>
          </cell>
          <cell r="R38">
            <v>0</v>
          </cell>
        </row>
        <row r="39">
          <cell r="A39" t="str">
            <v>H140/6</v>
          </cell>
          <cell r="B39" t="str">
            <v>17.2.b.6</v>
          </cell>
          <cell r="C39" t="str">
            <v xml:space="preserve">HDPE - 140/6 (dia/kgf/cm2)   </v>
          </cell>
          <cell r="D39" t="str">
            <v>m</v>
          </cell>
          <cell r="E39">
            <v>0</v>
          </cell>
          <cell r="O39">
            <v>0</v>
          </cell>
          <cell r="R39">
            <v>0</v>
          </cell>
        </row>
        <row r="40">
          <cell r="A40" t="str">
            <v>H140/10</v>
          </cell>
          <cell r="B40" t="str">
            <v>17.2.b.6</v>
          </cell>
          <cell r="C40" t="str">
            <v xml:space="preserve">HDPE - 140/10 (dia/kgf/cm2)   </v>
          </cell>
          <cell r="D40" t="str">
            <v>m</v>
          </cell>
          <cell r="E40">
            <v>0</v>
          </cell>
          <cell r="O40">
            <v>0</v>
          </cell>
          <cell r="R40">
            <v>0</v>
          </cell>
        </row>
        <row r="41">
          <cell r="A41" t="str">
            <v>H160/4</v>
          </cell>
          <cell r="B41" t="str">
            <v>17.2.b.7</v>
          </cell>
          <cell r="C41" t="str">
            <v xml:space="preserve">HDPE - 160/4 (dia/kgf/cm2)   </v>
          </cell>
          <cell r="D41" t="str">
            <v>m</v>
          </cell>
          <cell r="E41">
            <v>0</v>
          </cell>
          <cell r="O41">
            <v>0</v>
          </cell>
          <cell r="R41">
            <v>0</v>
          </cell>
        </row>
        <row r="42">
          <cell r="A42" t="str">
            <v>H160/6</v>
          </cell>
          <cell r="C42" t="str">
            <v xml:space="preserve">HDPE - 160/6 (dia/kgf/cm2)   </v>
          </cell>
          <cell r="D42" t="str">
            <v>m</v>
          </cell>
          <cell r="E42">
            <v>0</v>
          </cell>
          <cell r="O42">
            <v>0</v>
          </cell>
          <cell r="R42">
            <v>0</v>
          </cell>
        </row>
        <row r="43">
          <cell r="E43">
            <v>300</v>
          </cell>
          <cell r="F43">
            <v>0</v>
          </cell>
          <cell r="G43">
            <v>0</v>
          </cell>
          <cell r="H43">
            <v>0</v>
          </cell>
          <cell r="I43">
            <v>0</v>
          </cell>
          <cell r="J43">
            <v>0</v>
          </cell>
          <cell r="K43">
            <v>0</v>
          </cell>
          <cell r="L43">
            <v>0</v>
          </cell>
          <cell r="M43">
            <v>0</v>
          </cell>
          <cell r="N43">
            <v>0</v>
          </cell>
          <cell r="O43">
            <v>9824</v>
          </cell>
          <cell r="P43">
            <v>0</v>
          </cell>
          <cell r="Q43">
            <v>0</v>
          </cell>
          <cell r="R43">
            <v>10124</v>
          </cell>
        </row>
        <row r="46">
          <cell r="C46" t="str">
            <v>GI pipes</v>
          </cell>
        </row>
        <row r="49">
          <cell r="A49" t="str">
            <v>G40</v>
          </cell>
          <cell r="B49" t="str">
            <v>17.4.a.3.1</v>
          </cell>
          <cell r="C49" t="str">
            <v>GI pipe dia 40 (Medium 'B' )</v>
          </cell>
          <cell r="D49" t="str">
            <v>m</v>
          </cell>
          <cell r="E49">
            <v>187</v>
          </cell>
          <cell r="O49">
            <v>0</v>
          </cell>
          <cell r="P49">
            <v>3424</v>
          </cell>
          <cell r="R49">
            <v>3611</v>
          </cell>
        </row>
        <row r="50">
          <cell r="A50" t="str">
            <v>G50</v>
          </cell>
          <cell r="B50" t="str">
            <v>17.4.a.3.2</v>
          </cell>
          <cell r="C50" t="str">
            <v>GI pipe dia 50 (Medium 'B' )</v>
          </cell>
          <cell r="D50" t="str">
            <v>m</v>
          </cell>
          <cell r="E50">
            <v>583</v>
          </cell>
          <cell r="O50">
            <v>0</v>
          </cell>
          <cell r="P50">
            <v>1425</v>
          </cell>
          <cell r="R50">
            <v>2008</v>
          </cell>
        </row>
        <row r="51">
          <cell r="A51" t="str">
            <v>G63</v>
          </cell>
          <cell r="B51" t="str">
            <v>17.4.a.4.1</v>
          </cell>
          <cell r="C51" t="str">
            <v>GI pipe dia 63 (Medium 'B' )</v>
          </cell>
          <cell r="D51" t="str">
            <v>m</v>
          </cell>
          <cell r="E51">
            <v>1561</v>
          </cell>
          <cell r="O51">
            <v>0</v>
          </cell>
          <cell r="P51">
            <v>2943</v>
          </cell>
          <cell r="R51">
            <v>4504</v>
          </cell>
        </row>
        <row r="52">
          <cell r="A52" t="str">
            <v>G75</v>
          </cell>
          <cell r="B52" t="str">
            <v>17.4.a.4.2</v>
          </cell>
          <cell r="C52" t="str">
            <v>GI pipe dia 75 (Medium 'B' )</v>
          </cell>
          <cell r="D52" t="str">
            <v>m</v>
          </cell>
          <cell r="E52">
            <v>1018</v>
          </cell>
          <cell r="O52">
            <v>0</v>
          </cell>
          <cell r="P52">
            <v>8125</v>
          </cell>
          <cell r="R52">
            <v>9143</v>
          </cell>
        </row>
        <row r="53">
          <cell r="A53" t="str">
            <v>G100</v>
          </cell>
          <cell r="B53" t="str">
            <v>17.4.a.5</v>
          </cell>
          <cell r="C53" t="str">
            <v>GI pipe dia 100 (Medium 'B' )</v>
          </cell>
          <cell r="D53" t="str">
            <v>m</v>
          </cell>
          <cell r="E53">
            <v>1140</v>
          </cell>
          <cell r="O53">
            <v>0</v>
          </cell>
          <cell r="P53">
            <v>7047</v>
          </cell>
          <cell r="R53">
            <v>8187</v>
          </cell>
        </row>
        <row r="54">
          <cell r="A54" t="str">
            <v>G150</v>
          </cell>
          <cell r="E54">
            <v>4489</v>
          </cell>
          <cell r="F54">
            <v>0</v>
          </cell>
          <cell r="G54">
            <v>0</v>
          </cell>
          <cell r="H54">
            <v>0</v>
          </cell>
          <cell r="I54">
            <v>0</v>
          </cell>
          <cell r="J54">
            <v>0</v>
          </cell>
          <cell r="K54">
            <v>0</v>
          </cell>
          <cell r="L54">
            <v>0</v>
          </cell>
          <cell r="M54">
            <v>0</v>
          </cell>
          <cell r="N54">
            <v>0</v>
          </cell>
          <cell r="O54">
            <v>0</v>
          </cell>
          <cell r="P54">
            <v>22964</v>
          </cell>
          <cell r="Q54">
            <v>0</v>
          </cell>
          <cell r="R54">
            <v>27453</v>
          </cell>
        </row>
        <row r="56">
          <cell r="C56" t="str">
            <v>DI pipes</v>
          </cell>
        </row>
        <row r="57">
          <cell r="A57" t="str">
            <v>D80</v>
          </cell>
          <cell r="B57">
            <v>18.100000000000001</v>
          </cell>
          <cell r="C57" t="str">
            <v>DI pipe dia 80</v>
          </cell>
          <cell r="D57" t="str">
            <v>m</v>
          </cell>
          <cell r="E57">
            <v>6611</v>
          </cell>
          <cell r="O57">
            <v>0</v>
          </cell>
          <cell r="P57">
            <v>0</v>
          </cell>
          <cell r="R57">
            <v>6611</v>
          </cell>
        </row>
        <row r="58">
          <cell r="A58" t="str">
            <v>D100</v>
          </cell>
          <cell r="B58">
            <v>18.2</v>
          </cell>
          <cell r="C58" t="str">
            <v>DI pipe dia 100</v>
          </cell>
          <cell r="D58" t="str">
            <v>m</v>
          </cell>
          <cell r="E58">
            <v>5740</v>
          </cell>
          <cell r="O58">
            <v>0</v>
          </cell>
          <cell r="P58">
            <v>0</v>
          </cell>
          <cell r="R58">
            <v>5740</v>
          </cell>
        </row>
        <row r="59">
          <cell r="A59" t="str">
            <v>D150</v>
          </cell>
          <cell r="B59">
            <v>18.3</v>
          </cell>
          <cell r="C59" t="str">
            <v>DI pipe dia 150</v>
          </cell>
          <cell r="D59" t="str">
            <v>m</v>
          </cell>
          <cell r="E59">
            <v>5230</v>
          </cell>
          <cell r="O59">
            <v>0</v>
          </cell>
          <cell r="P59">
            <v>780</v>
          </cell>
          <cell r="R59">
            <v>6010</v>
          </cell>
        </row>
        <row r="60">
          <cell r="A60" t="str">
            <v>D200</v>
          </cell>
          <cell r="B60">
            <v>18.399999999999999</v>
          </cell>
          <cell r="C60" t="str">
            <v>DI pipe dia 200</v>
          </cell>
          <cell r="D60" t="str">
            <v>m</v>
          </cell>
          <cell r="E60">
            <v>5735</v>
          </cell>
          <cell r="O60">
            <v>75</v>
          </cell>
          <cell r="P60">
            <v>1430</v>
          </cell>
          <cell r="R60">
            <v>7240</v>
          </cell>
        </row>
        <row r="61">
          <cell r="A61" t="str">
            <v>D250</v>
          </cell>
          <cell r="B61">
            <v>18.5</v>
          </cell>
          <cell r="C61" t="str">
            <v>DI pipe dia 250</v>
          </cell>
          <cell r="D61" t="str">
            <v>m</v>
          </cell>
          <cell r="E61">
            <v>1525</v>
          </cell>
          <cell r="O61">
            <v>0</v>
          </cell>
          <cell r="P61">
            <v>140</v>
          </cell>
          <cell r="R61">
            <v>1665</v>
          </cell>
        </row>
        <row r="62">
          <cell r="A62" t="str">
            <v>D300</v>
          </cell>
          <cell r="B62">
            <v>18.600000000000001</v>
          </cell>
          <cell r="C62" t="str">
            <v>DI pipe dia 300</v>
          </cell>
          <cell r="D62" t="str">
            <v>m</v>
          </cell>
          <cell r="E62">
            <v>7410</v>
          </cell>
          <cell r="O62">
            <v>0</v>
          </cell>
          <cell r="P62">
            <v>10</v>
          </cell>
          <cell r="R62">
            <v>7420</v>
          </cell>
        </row>
        <row r="63">
          <cell r="A63" t="str">
            <v>D300_1</v>
          </cell>
          <cell r="B63" t="str">
            <v>18.6_1</v>
          </cell>
          <cell r="C63" t="str">
            <v>DI pipe dia 300</v>
          </cell>
          <cell r="D63" t="str">
            <v>m</v>
          </cell>
          <cell r="E63">
            <v>800</v>
          </cell>
          <cell r="O63">
            <v>0</v>
          </cell>
          <cell r="P63">
            <v>0</v>
          </cell>
          <cell r="R63">
            <v>800</v>
          </cell>
        </row>
        <row r="64">
          <cell r="E64">
            <v>33051</v>
          </cell>
          <cell r="F64">
            <v>0</v>
          </cell>
          <cell r="G64">
            <v>0</v>
          </cell>
          <cell r="H64">
            <v>0</v>
          </cell>
          <cell r="I64">
            <v>0</v>
          </cell>
          <cell r="J64">
            <v>0</v>
          </cell>
          <cell r="K64">
            <v>0</v>
          </cell>
          <cell r="L64">
            <v>0</v>
          </cell>
          <cell r="M64">
            <v>0</v>
          </cell>
          <cell r="N64">
            <v>0</v>
          </cell>
          <cell r="O64">
            <v>75</v>
          </cell>
          <cell r="P64">
            <v>2360</v>
          </cell>
          <cell r="Q64">
            <v>0</v>
          </cell>
          <cell r="R64">
            <v>35486</v>
          </cell>
        </row>
        <row r="65">
          <cell r="R65">
            <v>0</v>
          </cell>
        </row>
        <row r="66">
          <cell r="R66">
            <v>0</v>
          </cell>
        </row>
      </sheetData>
      <sheetData sheetId="11">
        <row r="20">
          <cell r="B20" t="str">
            <v>H32/6</v>
          </cell>
          <cell r="D20" t="str">
            <v xml:space="preserve">HDPE - 32/6 (dia/kgf/cm2)   </v>
          </cell>
          <cell r="G20">
            <v>1818</v>
          </cell>
          <cell r="H20">
            <v>0</v>
          </cell>
          <cell r="I20">
            <v>0</v>
          </cell>
          <cell r="J20">
            <v>0</v>
          </cell>
          <cell r="K20">
            <v>552</v>
          </cell>
          <cell r="L20">
            <v>0</v>
          </cell>
          <cell r="M20">
            <v>0</v>
          </cell>
          <cell r="N20">
            <v>0</v>
          </cell>
          <cell r="O20">
            <v>0</v>
          </cell>
          <cell r="R20">
            <v>200</v>
          </cell>
          <cell r="S20">
            <v>2570</v>
          </cell>
        </row>
        <row r="21">
          <cell r="B21" t="str">
            <v>H32/10</v>
          </cell>
          <cell r="D21" t="str">
            <v xml:space="preserve">HDPE - 32/10 (dia/kgf/cm2)   </v>
          </cell>
          <cell r="G21">
            <v>670</v>
          </cell>
          <cell r="H21">
            <v>240</v>
          </cell>
          <cell r="I21">
            <v>0</v>
          </cell>
          <cell r="J21">
            <v>103</v>
          </cell>
          <cell r="K21">
            <v>0</v>
          </cell>
          <cell r="L21">
            <v>0</v>
          </cell>
          <cell r="M21">
            <v>0</v>
          </cell>
          <cell r="N21">
            <v>0</v>
          </cell>
          <cell r="O21">
            <v>0</v>
          </cell>
          <cell r="R21">
            <v>936</v>
          </cell>
          <cell r="S21">
            <v>1949</v>
          </cell>
        </row>
        <row r="22">
          <cell r="B22" t="str">
            <v>H40/6</v>
          </cell>
          <cell r="D22" t="str">
            <v xml:space="preserve">HDPE - 40/6 (dia/kgf/cm2)   </v>
          </cell>
          <cell r="G22">
            <v>564</v>
          </cell>
          <cell r="H22">
            <v>229</v>
          </cell>
          <cell r="I22">
            <v>350</v>
          </cell>
          <cell r="J22">
            <v>0</v>
          </cell>
          <cell r="K22">
            <v>405</v>
          </cell>
          <cell r="L22">
            <v>293</v>
          </cell>
          <cell r="M22">
            <v>1200</v>
          </cell>
          <cell r="N22">
            <v>1550</v>
          </cell>
          <cell r="O22">
            <v>0</v>
          </cell>
          <cell r="R22">
            <v>150</v>
          </cell>
          <cell r="S22">
            <v>4741</v>
          </cell>
        </row>
        <row r="23">
          <cell r="B23" t="str">
            <v>H40/10</v>
          </cell>
          <cell r="D23" t="str">
            <v xml:space="preserve">HDPE - 40/10 (dia/kgf/cm2)   </v>
          </cell>
          <cell r="G23">
            <v>330</v>
          </cell>
          <cell r="H23">
            <v>0</v>
          </cell>
          <cell r="I23">
            <v>819</v>
          </cell>
          <cell r="J23">
            <v>0</v>
          </cell>
          <cell r="K23">
            <v>0</v>
          </cell>
          <cell r="L23">
            <v>0</v>
          </cell>
          <cell r="M23">
            <v>3826</v>
          </cell>
          <cell r="N23">
            <v>1325</v>
          </cell>
          <cell r="O23">
            <v>0</v>
          </cell>
          <cell r="R23">
            <v>557</v>
          </cell>
          <cell r="S23">
            <v>6857</v>
          </cell>
        </row>
        <row r="24">
          <cell r="B24" t="str">
            <v>H50/6</v>
          </cell>
          <cell r="D24" t="str">
            <v xml:space="preserve">HDPE - 50/6 (dia/kgf/cm2)   </v>
          </cell>
          <cell r="G24">
            <v>617</v>
          </cell>
          <cell r="H24">
            <v>0</v>
          </cell>
          <cell r="I24">
            <v>109</v>
          </cell>
          <cell r="J24">
            <v>0</v>
          </cell>
          <cell r="K24">
            <v>0</v>
          </cell>
          <cell r="L24">
            <v>899</v>
          </cell>
          <cell r="M24">
            <v>1050</v>
          </cell>
          <cell r="N24">
            <v>0</v>
          </cell>
          <cell r="O24">
            <v>0</v>
          </cell>
          <cell r="R24">
            <v>0</v>
          </cell>
          <cell r="S24">
            <v>2675</v>
          </cell>
        </row>
        <row r="25">
          <cell r="B25" t="str">
            <v>H50/10</v>
          </cell>
          <cell r="D25" t="str">
            <v xml:space="preserve">HDPE - 50/10 (dia/kgf/cm2)   </v>
          </cell>
          <cell r="G25">
            <v>0</v>
          </cell>
          <cell r="H25">
            <v>0</v>
          </cell>
          <cell r="I25">
            <v>553</v>
          </cell>
          <cell r="J25">
            <v>0</v>
          </cell>
          <cell r="K25">
            <v>0</v>
          </cell>
          <cell r="L25">
            <v>1953</v>
          </cell>
          <cell r="M25">
            <v>1535</v>
          </cell>
          <cell r="N25">
            <v>1310</v>
          </cell>
          <cell r="O25">
            <v>238</v>
          </cell>
          <cell r="R25">
            <v>1008</v>
          </cell>
          <cell r="S25">
            <v>6597</v>
          </cell>
        </row>
        <row r="26">
          <cell r="B26" t="str">
            <v>H63/6</v>
          </cell>
          <cell r="D26" t="str">
            <v xml:space="preserve">HDPE - 63/6 (dia/kgf/cm2)   </v>
          </cell>
          <cell r="G26">
            <v>36</v>
          </cell>
          <cell r="H26">
            <v>594</v>
          </cell>
          <cell r="I26">
            <v>506</v>
          </cell>
          <cell r="J26">
            <v>0</v>
          </cell>
          <cell r="K26">
            <v>0</v>
          </cell>
          <cell r="L26">
            <v>147</v>
          </cell>
          <cell r="M26">
            <v>75</v>
          </cell>
          <cell r="N26">
            <v>0</v>
          </cell>
          <cell r="O26">
            <v>0</v>
          </cell>
          <cell r="R26">
            <v>0</v>
          </cell>
          <cell r="S26">
            <v>1358</v>
          </cell>
        </row>
        <row r="27">
          <cell r="B27" t="str">
            <v>H63/10</v>
          </cell>
          <cell r="D27" t="str">
            <v xml:space="preserve">HDPE - 63/10(dia/kgf/cm2)   </v>
          </cell>
          <cell r="G27">
            <v>0</v>
          </cell>
          <cell r="H27">
            <v>0</v>
          </cell>
          <cell r="I27">
            <v>202</v>
          </cell>
          <cell r="J27">
            <v>0</v>
          </cell>
          <cell r="K27">
            <v>0</v>
          </cell>
          <cell r="L27">
            <v>0</v>
          </cell>
          <cell r="M27">
            <v>4526</v>
          </cell>
          <cell r="N27">
            <v>460</v>
          </cell>
          <cell r="O27">
            <v>1245</v>
          </cell>
          <cell r="R27">
            <v>2470</v>
          </cell>
          <cell r="S27">
            <v>8903</v>
          </cell>
        </row>
        <row r="28">
          <cell r="B28" t="str">
            <v>H75/6</v>
          </cell>
          <cell r="D28" t="str">
            <v xml:space="preserve">HDPE - 75/6 (dia/kgf/cm2)   </v>
          </cell>
          <cell r="G28">
            <v>141</v>
          </cell>
          <cell r="H28">
            <v>0</v>
          </cell>
          <cell r="I28">
            <v>202</v>
          </cell>
          <cell r="J28">
            <v>0</v>
          </cell>
          <cell r="K28">
            <v>239</v>
          </cell>
          <cell r="L28">
            <v>713</v>
          </cell>
          <cell r="M28">
            <v>700</v>
          </cell>
          <cell r="N28">
            <v>711</v>
          </cell>
          <cell r="O28">
            <v>0</v>
          </cell>
          <cell r="R28">
            <v>0</v>
          </cell>
          <cell r="S28">
            <v>2706</v>
          </cell>
        </row>
        <row r="29">
          <cell r="B29" t="str">
            <v>H75/10</v>
          </cell>
          <cell r="D29" t="str">
            <v xml:space="preserve">HDPE - 75/10 (dia/kgf/cm2)   </v>
          </cell>
          <cell r="G29">
            <v>0</v>
          </cell>
          <cell r="H29">
            <v>0</v>
          </cell>
          <cell r="I29">
            <v>0</v>
          </cell>
          <cell r="J29">
            <v>0</v>
          </cell>
          <cell r="K29">
            <v>0</v>
          </cell>
          <cell r="L29">
            <v>0</v>
          </cell>
          <cell r="M29">
            <v>686</v>
          </cell>
          <cell r="N29">
            <v>0</v>
          </cell>
          <cell r="O29">
            <v>0</v>
          </cell>
          <cell r="R29">
            <v>0</v>
          </cell>
          <cell r="S29">
            <v>686</v>
          </cell>
        </row>
        <row r="30">
          <cell r="B30" t="str">
            <v>H90/6</v>
          </cell>
          <cell r="D30" t="str">
            <v xml:space="preserve">HDPE - 90/6 (dia/kgf/cm2)   </v>
          </cell>
          <cell r="G30">
            <v>306</v>
          </cell>
          <cell r="H30">
            <v>0</v>
          </cell>
          <cell r="I30">
            <v>80</v>
          </cell>
          <cell r="J30">
            <v>0</v>
          </cell>
          <cell r="K30">
            <v>2456</v>
          </cell>
          <cell r="L30">
            <v>0</v>
          </cell>
          <cell r="M30">
            <v>420</v>
          </cell>
          <cell r="N30">
            <v>252</v>
          </cell>
          <cell r="O30">
            <v>400</v>
          </cell>
          <cell r="R30">
            <v>1202</v>
          </cell>
          <cell r="S30">
            <v>5116</v>
          </cell>
        </row>
        <row r="31">
          <cell r="B31" t="str">
            <v>H90/10</v>
          </cell>
          <cell r="D31" t="str">
            <v xml:space="preserve">HDPE - 90/10 (dia/kgf/cm2)   </v>
          </cell>
          <cell r="G31">
            <v>231</v>
          </cell>
          <cell r="H31">
            <v>0</v>
          </cell>
          <cell r="I31">
            <v>210</v>
          </cell>
          <cell r="J31">
            <v>0</v>
          </cell>
          <cell r="K31">
            <v>0</v>
          </cell>
          <cell r="L31">
            <v>277</v>
          </cell>
          <cell r="M31">
            <v>0</v>
          </cell>
          <cell r="N31">
            <v>0</v>
          </cell>
          <cell r="O31">
            <v>0</v>
          </cell>
          <cell r="R31">
            <v>1654</v>
          </cell>
          <cell r="S31">
            <v>2372</v>
          </cell>
        </row>
        <row r="32">
          <cell r="B32" t="str">
            <v>H110/4</v>
          </cell>
          <cell r="D32" t="str">
            <v xml:space="preserve">HDPE - 110/4 (dia/kgf/cm2)   </v>
          </cell>
          <cell r="G32">
            <v>0</v>
          </cell>
          <cell r="H32">
            <v>0</v>
          </cell>
          <cell r="I32">
            <v>0</v>
          </cell>
          <cell r="J32">
            <v>0</v>
          </cell>
          <cell r="K32">
            <v>0</v>
          </cell>
          <cell r="L32">
            <v>0</v>
          </cell>
          <cell r="M32">
            <v>0</v>
          </cell>
          <cell r="N32">
            <v>0</v>
          </cell>
          <cell r="O32">
            <v>0</v>
          </cell>
          <cell r="R32">
            <v>0</v>
          </cell>
          <cell r="S32">
            <v>0</v>
          </cell>
        </row>
        <row r="33">
          <cell r="B33" t="str">
            <v>H110/6</v>
          </cell>
          <cell r="D33" t="str">
            <v xml:space="preserve">HDPE - 110/6 (dia/kgf/cm2)   </v>
          </cell>
          <cell r="G33">
            <v>0</v>
          </cell>
          <cell r="H33">
            <v>0</v>
          </cell>
          <cell r="I33">
            <v>0</v>
          </cell>
          <cell r="J33">
            <v>0</v>
          </cell>
          <cell r="K33">
            <v>380</v>
          </cell>
          <cell r="L33">
            <v>1050</v>
          </cell>
          <cell r="M33">
            <v>430</v>
          </cell>
          <cell r="N33">
            <v>0</v>
          </cell>
          <cell r="O33">
            <v>660</v>
          </cell>
          <cell r="R33">
            <v>0</v>
          </cell>
          <cell r="S33">
            <v>2520</v>
          </cell>
        </row>
        <row r="34">
          <cell r="B34" t="str">
            <v>H110/10</v>
          </cell>
          <cell r="D34" t="str">
            <v xml:space="preserve">HDPE - 110/10 (dia/kgf/cm2)   </v>
          </cell>
          <cell r="G34">
            <v>0</v>
          </cell>
          <cell r="H34">
            <v>0</v>
          </cell>
          <cell r="I34">
            <v>260</v>
          </cell>
          <cell r="J34">
            <v>0</v>
          </cell>
          <cell r="K34">
            <v>0</v>
          </cell>
          <cell r="L34">
            <v>652</v>
          </cell>
          <cell r="M34">
            <v>0</v>
          </cell>
          <cell r="N34">
            <v>0</v>
          </cell>
          <cell r="O34">
            <v>0</v>
          </cell>
          <cell r="R34">
            <v>480</v>
          </cell>
          <cell r="S34">
            <v>1392</v>
          </cell>
        </row>
        <row r="35">
          <cell r="B35" t="str">
            <v>H125/4</v>
          </cell>
          <cell r="D35" t="str">
            <v xml:space="preserve">HDPE - 125/4 (dia/kgf/cm2)   </v>
          </cell>
          <cell r="G35">
            <v>20</v>
          </cell>
          <cell r="H35">
            <v>0</v>
          </cell>
          <cell r="I35">
            <v>0</v>
          </cell>
          <cell r="J35">
            <v>0</v>
          </cell>
          <cell r="K35">
            <v>0</v>
          </cell>
          <cell r="L35">
            <v>248</v>
          </cell>
          <cell r="M35">
            <v>0</v>
          </cell>
          <cell r="N35">
            <v>0</v>
          </cell>
          <cell r="O35">
            <v>0</v>
          </cell>
          <cell r="R35">
            <v>0</v>
          </cell>
          <cell r="S35">
            <v>268</v>
          </cell>
        </row>
        <row r="36">
          <cell r="B36" t="str">
            <v>H125/6</v>
          </cell>
          <cell r="D36" t="str">
            <v xml:space="preserve">HDPE - 125/6 (dia/kgf/cm2)   </v>
          </cell>
          <cell r="G36">
            <v>0</v>
          </cell>
          <cell r="H36">
            <v>0</v>
          </cell>
          <cell r="I36">
            <v>481</v>
          </cell>
          <cell r="J36">
            <v>0</v>
          </cell>
          <cell r="K36">
            <v>248</v>
          </cell>
          <cell r="L36">
            <v>553</v>
          </cell>
          <cell r="M36">
            <v>0</v>
          </cell>
          <cell r="N36">
            <v>0</v>
          </cell>
          <cell r="O36">
            <v>0</v>
          </cell>
          <cell r="R36">
            <v>0</v>
          </cell>
          <cell r="S36">
            <v>1282</v>
          </cell>
        </row>
        <row r="37">
          <cell r="B37" t="str">
            <v>H125/10</v>
          </cell>
          <cell r="D37" t="str">
            <v xml:space="preserve">HDPE - 125/10 (dia/kgf/cm2)   </v>
          </cell>
          <cell r="G37">
            <v>0</v>
          </cell>
          <cell r="H37">
            <v>0</v>
          </cell>
          <cell r="I37">
            <v>1571</v>
          </cell>
          <cell r="J37">
            <v>477</v>
          </cell>
          <cell r="K37">
            <v>0</v>
          </cell>
          <cell r="L37">
            <v>846</v>
          </cell>
          <cell r="M37">
            <v>0</v>
          </cell>
          <cell r="N37">
            <v>1638</v>
          </cell>
          <cell r="O37">
            <v>1300</v>
          </cell>
          <cell r="R37">
            <v>2481</v>
          </cell>
          <cell r="S37">
            <v>8313</v>
          </cell>
        </row>
        <row r="38">
          <cell r="B38" t="str">
            <v>H140/6</v>
          </cell>
          <cell r="D38" t="str">
            <v xml:space="preserve">HDPE - 140/6 (dia/kgf/cm2)   </v>
          </cell>
          <cell r="G38">
            <v>0</v>
          </cell>
          <cell r="H38">
            <v>0</v>
          </cell>
          <cell r="I38">
            <v>391</v>
          </cell>
          <cell r="J38">
            <v>0</v>
          </cell>
          <cell r="K38">
            <v>0</v>
          </cell>
          <cell r="L38">
            <v>0</v>
          </cell>
          <cell r="M38">
            <v>177</v>
          </cell>
          <cell r="N38">
            <v>0</v>
          </cell>
          <cell r="O38">
            <v>60</v>
          </cell>
          <cell r="R38">
            <v>403</v>
          </cell>
          <cell r="S38">
            <v>1031</v>
          </cell>
        </row>
        <row r="39">
          <cell r="B39" t="str">
            <v>H140/10</v>
          </cell>
          <cell r="D39" t="str">
            <v xml:space="preserve">HDPE - 140/10 (dia/kgf/cm2)   </v>
          </cell>
          <cell r="G39">
            <v>0</v>
          </cell>
          <cell r="H39">
            <v>0</v>
          </cell>
          <cell r="I39">
            <v>0</v>
          </cell>
          <cell r="J39">
            <v>0</v>
          </cell>
          <cell r="K39">
            <v>0</v>
          </cell>
          <cell r="L39">
            <v>0</v>
          </cell>
          <cell r="M39">
            <v>0</v>
          </cell>
          <cell r="N39">
            <v>1127</v>
          </cell>
          <cell r="O39">
            <v>0</v>
          </cell>
          <cell r="R39">
            <v>770</v>
          </cell>
          <cell r="S39">
            <v>1897</v>
          </cell>
        </row>
        <row r="40">
          <cell r="B40" t="str">
            <v>H160/4</v>
          </cell>
          <cell r="D40" t="str">
            <v xml:space="preserve">HDPE - 160/4 (dia/kgf/cm2)   </v>
          </cell>
          <cell r="G40">
            <v>0</v>
          </cell>
          <cell r="H40">
            <v>0</v>
          </cell>
          <cell r="I40">
            <v>1580</v>
          </cell>
          <cell r="J40">
            <v>0</v>
          </cell>
          <cell r="K40">
            <v>0</v>
          </cell>
          <cell r="L40">
            <v>0</v>
          </cell>
          <cell r="M40">
            <v>0</v>
          </cell>
          <cell r="N40">
            <v>0</v>
          </cell>
          <cell r="O40">
            <v>0</v>
          </cell>
          <cell r="R40">
            <v>10</v>
          </cell>
          <cell r="S40">
            <v>1590</v>
          </cell>
        </row>
        <row r="41">
          <cell r="B41" t="str">
            <v>H160/6</v>
          </cell>
          <cell r="D41" t="str">
            <v xml:space="preserve">HDPE - 160/6 (dia/kgf/cm2)   </v>
          </cell>
          <cell r="G41">
            <v>0</v>
          </cell>
          <cell r="H41">
            <v>0</v>
          </cell>
          <cell r="I41">
            <v>0</v>
          </cell>
          <cell r="J41">
            <v>0</v>
          </cell>
          <cell r="K41">
            <v>0</v>
          </cell>
          <cell r="L41">
            <v>0</v>
          </cell>
          <cell r="M41">
            <v>0</v>
          </cell>
          <cell r="N41">
            <v>3173</v>
          </cell>
          <cell r="O41">
            <v>440</v>
          </cell>
          <cell r="R41">
            <v>1865</v>
          </cell>
          <cell r="S41">
            <v>5478</v>
          </cell>
        </row>
        <row r="42">
          <cell r="J42">
            <v>0</v>
          </cell>
          <cell r="K42">
            <v>0</v>
          </cell>
          <cell r="L42">
            <v>0</v>
          </cell>
          <cell r="M42">
            <v>0</v>
          </cell>
          <cell r="N42">
            <v>0</v>
          </cell>
          <cell r="O42">
            <v>0</v>
          </cell>
          <cell r="R42">
            <v>0</v>
          </cell>
          <cell r="S42">
            <v>0</v>
          </cell>
        </row>
        <row r="43">
          <cell r="S43">
            <v>0</v>
          </cell>
        </row>
        <row r="44">
          <cell r="B44" t="str">
            <v>G40</v>
          </cell>
          <cell r="D44" t="str">
            <v>GI pipe dia 40 (Medium 'B' )</v>
          </cell>
          <cell r="O44">
            <v>5835</v>
          </cell>
          <cell r="S44">
            <v>5835</v>
          </cell>
        </row>
        <row r="45">
          <cell r="B45" t="str">
            <v>G50</v>
          </cell>
          <cell r="D45" t="str">
            <v>GI pipe dia 50 (Medium 'B' )</v>
          </cell>
          <cell r="O45">
            <v>2411</v>
          </cell>
          <cell r="S45">
            <v>2411</v>
          </cell>
        </row>
        <row r="46">
          <cell r="B46" t="str">
            <v>G63</v>
          </cell>
          <cell r="D46" t="str">
            <v>GI pipe dia 63 (Medium 'B' )</v>
          </cell>
          <cell r="O46">
            <v>0</v>
          </cell>
          <cell r="S46">
            <v>0</v>
          </cell>
        </row>
        <row r="47">
          <cell r="B47" t="str">
            <v>G75</v>
          </cell>
          <cell r="D47" t="str">
            <v>GI pipe dia 75 (Medium 'B' )</v>
          </cell>
          <cell r="O47">
            <v>2312</v>
          </cell>
          <cell r="S47">
            <v>2312</v>
          </cell>
        </row>
        <row r="48">
          <cell r="B48" t="str">
            <v>G100</v>
          </cell>
          <cell r="D48" t="str">
            <v>GI pipe dia 100 (Medium 'B' )</v>
          </cell>
          <cell r="O48">
            <v>0</v>
          </cell>
          <cell r="S48">
            <v>0</v>
          </cell>
        </row>
        <row r="49">
          <cell r="B49" t="str">
            <v>G150</v>
          </cell>
          <cell r="D49" t="str">
            <v>GI pipe dia 150 (Medium 'B' )</v>
          </cell>
          <cell r="S49">
            <v>0</v>
          </cell>
        </row>
        <row r="50">
          <cell r="S50">
            <v>0</v>
          </cell>
        </row>
        <row r="51">
          <cell r="S51">
            <v>0</v>
          </cell>
        </row>
        <row r="52">
          <cell r="B52" t="str">
            <v>D80</v>
          </cell>
          <cell r="D52" t="str">
            <v>DI pipe dia 80</v>
          </cell>
          <cell r="O52">
            <v>0</v>
          </cell>
          <cell r="S52">
            <v>0</v>
          </cell>
        </row>
        <row r="53">
          <cell r="B53" t="str">
            <v>D100</v>
          </cell>
          <cell r="D53" t="str">
            <v>DI pipe dia 100</v>
          </cell>
          <cell r="O53">
            <v>0</v>
          </cell>
          <cell r="S53">
            <v>0</v>
          </cell>
        </row>
        <row r="54">
          <cell r="B54" t="str">
            <v>D150</v>
          </cell>
          <cell r="D54" t="str">
            <v>DI pipe dia 150</v>
          </cell>
          <cell r="O54">
            <v>0</v>
          </cell>
          <cell r="S54">
            <v>0</v>
          </cell>
        </row>
        <row r="55">
          <cell r="B55" t="str">
            <v>D200</v>
          </cell>
          <cell r="D55" t="str">
            <v>DI pipe dia 200</v>
          </cell>
          <cell r="O55">
            <v>0</v>
          </cell>
          <cell r="S55">
            <v>0</v>
          </cell>
        </row>
        <row r="56">
          <cell r="B56" t="str">
            <v>D250</v>
          </cell>
          <cell r="D56" t="str">
            <v>DI pipe dia 250</v>
          </cell>
          <cell r="O56">
            <v>10</v>
          </cell>
          <cell r="S56">
            <v>10</v>
          </cell>
        </row>
        <row r="57">
          <cell r="B57" t="str">
            <v>D300</v>
          </cell>
          <cell r="D57" t="str">
            <v>DI pipe dia 300</v>
          </cell>
          <cell r="O57">
            <v>0</v>
          </cell>
          <cell r="S57">
            <v>0</v>
          </cell>
        </row>
        <row r="58">
          <cell r="B58" t="str">
            <v>D300_1</v>
          </cell>
          <cell r="D58" t="str">
            <v>DI pipe dia 300</v>
          </cell>
          <cell r="O58">
            <v>0</v>
          </cell>
          <cell r="S58">
            <v>0</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26">
          <cell r="B26" t="str">
            <v>1.3</v>
          </cell>
          <cell r="C26" t="str">
            <v>Site Clearance in thick vegetation area</v>
          </cell>
          <cell r="D26" t="str">
            <v>sqm</v>
          </cell>
          <cell r="E26">
            <v>32750</v>
          </cell>
          <cell r="F26">
            <v>3.68</v>
          </cell>
          <cell r="G26">
            <v>120520</v>
          </cell>
        </row>
        <row r="27">
          <cell r="B27" t="str">
            <v>1.1.c</v>
          </cell>
          <cell r="C27" t="str">
            <v>Cutting of Trees (61-90 cm dia.)</v>
          </cell>
          <cell r="D27" t="str">
            <v>no</v>
          </cell>
          <cell r="E27">
            <v>850</v>
          </cell>
          <cell r="F27">
            <v>90.160000000000011</v>
          </cell>
          <cell r="G27">
            <v>76636.000000000015</v>
          </cell>
        </row>
        <row r="28">
          <cell r="B28" t="str">
            <v>1.2.c</v>
          </cell>
          <cell r="C28" t="str">
            <v>Removal of Tree roots (61-90 cm dia.)</v>
          </cell>
          <cell r="D28" t="str">
            <v>no</v>
          </cell>
          <cell r="E28">
            <v>850</v>
          </cell>
          <cell r="F28">
            <v>231.84</v>
          </cell>
          <cell r="G28">
            <v>197064</v>
          </cell>
        </row>
        <row r="29">
          <cell r="B29">
            <v>2.2000000000000002</v>
          </cell>
          <cell r="C29" t="str">
            <v>E/W excavation in hard clay</v>
          </cell>
          <cell r="D29" t="str">
            <v>cum</v>
          </cell>
          <cell r="E29">
            <v>25201</v>
          </cell>
          <cell r="F29">
            <v>75.808000000000007</v>
          </cell>
          <cell r="G29">
            <v>1910437.4080000003</v>
          </cell>
        </row>
        <row r="30">
          <cell r="B30" t="str">
            <v>2.10</v>
          </cell>
          <cell r="C30" t="str">
            <v>E/W Excavation of fractured and soft rock</v>
          </cell>
          <cell r="D30" t="str">
            <v>sqm</v>
          </cell>
          <cell r="E30">
            <v>9015</v>
          </cell>
          <cell r="F30">
            <v>236.9</v>
          </cell>
          <cell r="G30">
            <v>2135653.5</v>
          </cell>
        </row>
        <row r="31">
          <cell r="B31" t="str">
            <v>6.1.b</v>
          </cell>
          <cell r="C31" t="str">
            <v>Rubble masonry works in 1:4 cement mortar</v>
          </cell>
          <cell r="D31" t="str">
            <v>cum</v>
          </cell>
          <cell r="E31">
            <v>350</v>
          </cell>
          <cell r="F31">
            <v>3062.1631243026563</v>
          </cell>
          <cell r="G31">
            <v>1071757.0935059297</v>
          </cell>
        </row>
        <row r="32">
          <cell r="B32" t="str">
            <v>16.2.a</v>
          </cell>
          <cell r="C32" t="str">
            <v>2mx1mx1m size Gabion box fabrication, 10 and 7 SWG ( 80x100 hex)</v>
          </cell>
          <cell r="D32" t="str">
            <v>cum</v>
          </cell>
          <cell r="E32">
            <v>750</v>
          </cell>
          <cell r="F32">
            <v>868.58349999999996</v>
          </cell>
          <cell r="G32">
            <v>651437.625</v>
          </cell>
        </row>
      </sheetData>
      <sheetData sheetId="34">
        <row r="136">
          <cell r="B136" t="str">
            <v>1.4</v>
          </cell>
          <cell r="C136" t="str">
            <v>Site Clearance in thin vegetation area</v>
          </cell>
          <cell r="I136">
            <v>29725</v>
          </cell>
          <cell r="K136">
            <v>2.76</v>
          </cell>
          <cell r="L136">
            <v>82041</v>
          </cell>
        </row>
        <row r="137">
          <cell r="B137">
            <v>2.14</v>
          </cell>
          <cell r="C137" t="str">
            <v>E/W Excavation for foundation, drain, pipelines etc. in BM Soil</v>
          </cell>
          <cell r="I137">
            <v>2792.83</v>
          </cell>
          <cell r="K137">
            <v>150.66839999999999</v>
          </cell>
          <cell r="L137">
            <v>420791.22757199995</v>
          </cell>
        </row>
        <row r="138">
          <cell r="B138" t="str">
            <v>16.2.a</v>
          </cell>
          <cell r="C138" t="str">
            <v>2mx1mx1m size Gabion box fabrication, 10 and 7 SWG ( 80x100 hex)</v>
          </cell>
          <cell r="I138">
            <v>110</v>
          </cell>
          <cell r="K138">
            <v>868.58349999999996</v>
          </cell>
          <cell r="L138">
            <v>95544.184999999998</v>
          </cell>
        </row>
        <row r="139">
          <cell r="B139" t="str">
            <v>16.2.c</v>
          </cell>
          <cell r="C139" t="str">
            <v>2mx1mx0.5m size Gabion box fabrication, 10 and 7 SWG ( 80x100 hex)</v>
          </cell>
          <cell r="I139">
            <v>1415.5</v>
          </cell>
          <cell r="K139">
            <v>1240.4475000000002</v>
          </cell>
          <cell r="L139">
            <v>1755853.4362500003</v>
          </cell>
        </row>
        <row r="140">
          <cell r="B140">
            <v>16.11</v>
          </cell>
          <cell r="C140" t="str">
            <v>Filling of Gabion box with boulder</v>
          </cell>
          <cell r="I140">
            <v>1525.5</v>
          </cell>
          <cell r="K140">
            <v>974.35519562499996</v>
          </cell>
          <cell r="L140">
            <v>1486378.8509259375</v>
          </cell>
        </row>
        <row r="141">
          <cell r="B141" t="str">
            <v>2.25.b</v>
          </cell>
          <cell r="C141" t="str">
            <v xml:space="preserve">Filling with ordinary soils with compaction </v>
          </cell>
          <cell r="I141">
            <v>115</v>
          </cell>
          <cell r="K141">
            <v>23.69</v>
          </cell>
          <cell r="L141">
            <v>2724.3500000000004</v>
          </cell>
        </row>
        <row r="142">
          <cell r="B142">
            <v>11.16</v>
          </cell>
          <cell r="C142" t="str">
            <v xml:space="preserve">Stone soling with sand </v>
          </cell>
          <cell r="I142">
            <v>93.5</v>
          </cell>
          <cell r="K142">
            <v>1371.1740676875002</v>
          </cell>
          <cell r="L142">
            <v>128204.77532878127</v>
          </cell>
        </row>
        <row r="143">
          <cell r="B143" t="str">
            <v>7.2.d</v>
          </cell>
          <cell r="C143" t="str">
            <v xml:space="preserve">P.C.C. for  foundation &amp; walls in M15 </v>
          </cell>
          <cell r="I143">
            <v>9.9156692424599981</v>
          </cell>
          <cell r="K143">
            <v>5021.5728177781257</v>
          </cell>
          <cell r="L143">
            <v>49792.255138015746</v>
          </cell>
        </row>
        <row r="144">
          <cell r="B144" t="str">
            <v>16.6.c</v>
          </cell>
          <cell r="C144" t="str">
            <v>2mx1mx0.5m size Gabion box construction and tying up with 11 SWG GI wire</v>
          </cell>
          <cell r="I144">
            <v>1525.5</v>
          </cell>
          <cell r="K144">
            <v>66.009999999999991</v>
          </cell>
          <cell r="L144">
            <v>100698.25499999999</v>
          </cell>
        </row>
      </sheetData>
      <sheetData sheetId="35">
        <row r="4">
          <cell r="B4" t="str">
            <v>1.3</v>
          </cell>
          <cell r="C4" t="str">
            <v>Site Clearance in thick vegetation area</v>
          </cell>
          <cell r="D4" t="str">
            <v>sqm</v>
          </cell>
          <cell r="E4">
            <v>333</v>
          </cell>
          <cell r="F4">
            <v>3.68</v>
          </cell>
          <cell r="G4">
            <v>1225.44</v>
          </cell>
        </row>
        <row r="5">
          <cell r="B5">
            <v>2.14</v>
          </cell>
          <cell r="C5" t="str">
            <v>E/W Excavation for foundation, drain, pipelines etc. in BM Soil</v>
          </cell>
          <cell r="D5" t="str">
            <v>cum</v>
          </cell>
          <cell r="E5">
            <v>182.48399999999998</v>
          </cell>
          <cell r="F5">
            <v>150.66839999999999</v>
          </cell>
          <cell r="G5">
            <v>27494.572305599995</v>
          </cell>
        </row>
        <row r="6">
          <cell r="B6" t="str">
            <v>2.25.a</v>
          </cell>
          <cell r="C6" t="str">
            <v>Filling with ordinary soils with compaction and sprinkling of water</v>
          </cell>
          <cell r="D6" t="str">
            <v>cum</v>
          </cell>
          <cell r="E6">
            <v>167.23259999999999</v>
          </cell>
          <cell r="F6">
            <v>47.38</v>
          </cell>
          <cell r="G6">
            <v>7923.4805880000004</v>
          </cell>
        </row>
        <row r="7">
          <cell r="B7" t="str">
            <v>8.2.b</v>
          </cell>
          <cell r="C7" t="str">
            <v>Formwork for wall (4 m height and 0.5 m wide) including materials</v>
          </cell>
          <cell r="D7" t="str">
            <v>sqm</v>
          </cell>
          <cell r="E7">
            <v>79.92</v>
          </cell>
          <cell r="F7">
            <v>231.72154999999998</v>
          </cell>
          <cell r="G7">
            <v>18519.186276</v>
          </cell>
        </row>
        <row r="8">
          <cell r="B8">
            <v>11.16</v>
          </cell>
          <cell r="C8" t="str">
            <v xml:space="preserve">Stone soling with sand </v>
          </cell>
          <cell r="D8" t="str">
            <v>cum</v>
          </cell>
          <cell r="E8">
            <v>3.2633999999999994</v>
          </cell>
          <cell r="F8">
            <v>1371.1740676875002</v>
          </cell>
          <cell r="G8">
            <v>4474.6894524913869</v>
          </cell>
        </row>
        <row r="9">
          <cell r="B9" t="str">
            <v>7.4.b</v>
          </cell>
          <cell r="C9" t="str">
            <v xml:space="preserve">P.C.C. for R.C.C. for super structures in M20 </v>
          </cell>
          <cell r="D9" t="str">
            <v>cum</v>
          </cell>
          <cell r="E9">
            <v>11.988</v>
          </cell>
          <cell r="F9">
            <v>6154.8131365578129</v>
          </cell>
          <cell r="G9">
            <v>73783.899881055055</v>
          </cell>
        </row>
        <row r="10">
          <cell r="B10" t="str">
            <v>7.5</v>
          </cell>
          <cell r="C10" t="str">
            <v>Reinforcement work for R.C.C. work</v>
          </cell>
          <cell r="D10" t="str">
            <v>MT</v>
          </cell>
          <cell r="E10">
            <v>1.7981999999999998</v>
          </cell>
          <cell r="F10">
            <v>39248.537514867188</v>
          </cell>
          <cell r="G10">
            <v>70576.720159234173</v>
          </cell>
        </row>
        <row r="91">
          <cell r="B91" t="str">
            <v>1.3</v>
          </cell>
          <cell r="C91" t="str">
            <v>Site Clearance in thick vegetation area</v>
          </cell>
          <cell r="D91" t="str">
            <v>sqm</v>
          </cell>
          <cell r="E91">
            <v>37.5</v>
          </cell>
          <cell r="F91">
            <v>3.68</v>
          </cell>
          <cell r="G91">
            <v>138</v>
          </cell>
        </row>
        <row r="92">
          <cell r="B92">
            <v>2.14</v>
          </cell>
          <cell r="C92" t="str">
            <v>E/W Excavation for foundation, drain, pipelines etc. in BM Soil</v>
          </cell>
          <cell r="D92" t="str">
            <v>cum</v>
          </cell>
          <cell r="E92">
            <v>20.55</v>
          </cell>
          <cell r="F92">
            <v>150.66839999999999</v>
          </cell>
          <cell r="G92">
            <v>3096.2356199999999</v>
          </cell>
        </row>
        <row r="93">
          <cell r="B93" t="str">
            <v>2.25.a</v>
          </cell>
          <cell r="C93" t="str">
            <v>Filling with ordinary soils with compaction and sprinkling of water</v>
          </cell>
          <cell r="D93" t="str">
            <v>cum</v>
          </cell>
          <cell r="E93">
            <v>18.8325</v>
          </cell>
          <cell r="F93">
            <v>47.38</v>
          </cell>
          <cell r="G93">
            <v>892.28385000000003</v>
          </cell>
        </row>
        <row r="94">
          <cell r="B94" t="str">
            <v>8.2.b</v>
          </cell>
          <cell r="C94" t="str">
            <v>Formwork for wall (4 m height and 0.5 m wide) including materials</v>
          </cell>
          <cell r="D94" t="str">
            <v>sqm</v>
          </cell>
          <cell r="E94">
            <v>9</v>
          </cell>
          <cell r="F94">
            <v>231.72154999999998</v>
          </cell>
          <cell r="G94">
            <v>2085.49395</v>
          </cell>
        </row>
        <row r="95">
          <cell r="B95">
            <v>11.16</v>
          </cell>
          <cell r="C95" t="str">
            <v xml:space="preserve">Stone soling with sand </v>
          </cell>
          <cell r="D95" t="str">
            <v>cum</v>
          </cell>
          <cell r="E95">
            <v>0.36749999999999994</v>
          </cell>
          <cell r="F95">
            <v>1371.1740676875002</v>
          </cell>
          <cell r="G95">
            <v>503.90646987515623</v>
          </cell>
        </row>
        <row r="96">
          <cell r="B96" t="str">
            <v>7.4.b</v>
          </cell>
          <cell r="C96" t="str">
            <v xml:space="preserve">P.C.C. for R.C.C. for super structures in M20 </v>
          </cell>
          <cell r="D96" t="str">
            <v>cum</v>
          </cell>
          <cell r="E96">
            <v>1.3499999999999999</v>
          </cell>
          <cell r="F96">
            <v>6154.8131365578129</v>
          </cell>
          <cell r="G96">
            <v>8308.9977343530463</v>
          </cell>
        </row>
        <row r="97">
          <cell r="B97" t="str">
            <v>7.5</v>
          </cell>
          <cell r="C97" t="str">
            <v>Reinforcement work for R.C.C. work</v>
          </cell>
          <cell r="D97" t="str">
            <v>MT</v>
          </cell>
          <cell r="E97">
            <v>0.20249999999999999</v>
          </cell>
          <cell r="F97">
            <v>39248.537514867188</v>
          </cell>
          <cell r="G97">
            <v>7947.8288467606053</v>
          </cell>
        </row>
      </sheetData>
      <sheetData sheetId="36"/>
      <sheetData sheetId="37">
        <row r="5">
          <cell r="A5" t="str">
            <v>1.1.b</v>
          </cell>
          <cell r="B5" t="str">
            <v>Cutting of Trees (21-60 cm dia.)</v>
          </cell>
          <cell r="C5" t="str">
            <v>no</v>
          </cell>
          <cell r="D5">
            <v>0</v>
          </cell>
          <cell r="E5">
            <v>0</v>
          </cell>
          <cell r="F5">
            <v>0</v>
          </cell>
          <cell r="G5">
            <v>0</v>
          </cell>
          <cell r="H5">
            <v>0</v>
          </cell>
          <cell r="I5">
            <v>0</v>
          </cell>
          <cell r="J5">
            <v>0</v>
          </cell>
          <cell r="K5">
            <v>0</v>
          </cell>
          <cell r="L5">
            <v>2</v>
          </cell>
          <cell r="M5">
            <v>0</v>
          </cell>
          <cell r="N5">
            <v>0</v>
          </cell>
          <cell r="O5">
            <v>0</v>
          </cell>
          <cell r="P5">
            <v>0</v>
          </cell>
          <cell r="Q5">
            <v>0</v>
          </cell>
          <cell r="R5">
            <v>0</v>
          </cell>
          <cell r="S5">
            <v>0</v>
          </cell>
          <cell r="T5">
            <v>0</v>
          </cell>
          <cell r="U5">
            <v>2</v>
          </cell>
        </row>
        <row r="6">
          <cell r="A6" t="str">
            <v>1.2.b</v>
          </cell>
          <cell r="B6" t="str">
            <v>Removal of Tree roots (21-60 cm dia.)</v>
          </cell>
          <cell r="C6" t="str">
            <v>no</v>
          </cell>
          <cell r="D6">
            <v>0</v>
          </cell>
          <cell r="E6">
            <v>0</v>
          </cell>
          <cell r="F6">
            <v>0</v>
          </cell>
          <cell r="G6">
            <v>0</v>
          </cell>
          <cell r="H6">
            <v>0</v>
          </cell>
          <cell r="I6">
            <v>0</v>
          </cell>
          <cell r="J6">
            <v>0</v>
          </cell>
          <cell r="K6">
            <v>0</v>
          </cell>
          <cell r="L6">
            <v>2</v>
          </cell>
          <cell r="M6">
            <v>0</v>
          </cell>
          <cell r="N6">
            <v>0</v>
          </cell>
          <cell r="O6">
            <v>0</v>
          </cell>
          <cell r="P6">
            <v>0</v>
          </cell>
          <cell r="Q6">
            <v>0</v>
          </cell>
          <cell r="R6">
            <v>0</v>
          </cell>
          <cell r="S6">
            <v>0</v>
          </cell>
          <cell r="T6">
            <v>0</v>
          </cell>
          <cell r="U6">
            <v>2</v>
          </cell>
        </row>
        <row r="7">
          <cell r="A7" t="str">
            <v>1.4</v>
          </cell>
          <cell r="B7" t="str">
            <v>Site Clearance in thin vegetation area</v>
          </cell>
          <cell r="C7" t="str">
            <v>sqm</v>
          </cell>
          <cell r="D7">
            <v>170.2702643687382</v>
          </cell>
          <cell r="E7">
            <v>36</v>
          </cell>
          <cell r="F7">
            <v>170.2702643687382</v>
          </cell>
          <cell r="G7">
            <v>36</v>
          </cell>
          <cell r="H7">
            <v>412.54052873747639</v>
          </cell>
          <cell r="I7">
            <v>0</v>
          </cell>
          <cell r="J7">
            <v>384</v>
          </cell>
          <cell r="K7">
            <v>0</v>
          </cell>
          <cell r="L7">
            <v>600</v>
          </cell>
          <cell r="M7">
            <v>0</v>
          </cell>
          <cell r="N7">
            <v>900</v>
          </cell>
          <cell r="O7">
            <v>0</v>
          </cell>
          <cell r="P7">
            <v>600</v>
          </cell>
          <cell r="Q7">
            <v>0</v>
          </cell>
          <cell r="R7">
            <v>900</v>
          </cell>
          <cell r="S7">
            <v>0</v>
          </cell>
          <cell r="T7">
            <v>900</v>
          </cell>
          <cell r="U7">
            <v>4284</v>
          </cell>
        </row>
        <row r="8">
          <cell r="A8">
            <v>2.14</v>
          </cell>
          <cell r="B8" t="str">
            <v>E/W Excavation for foundation, drain, pipelines etc. in BM Soil</v>
          </cell>
          <cell r="C8" t="str">
            <v>cum</v>
          </cell>
          <cell r="D8">
            <v>29.96</v>
          </cell>
          <cell r="E8">
            <v>6.8482500000000002</v>
          </cell>
          <cell r="F8">
            <v>29.96</v>
          </cell>
          <cell r="G8">
            <v>6.8482500000000002</v>
          </cell>
          <cell r="H8">
            <v>73.616500000000002</v>
          </cell>
          <cell r="I8">
            <v>150.79644737231007</v>
          </cell>
          <cell r="J8">
            <v>1.7842499999999999</v>
          </cell>
          <cell r="K8">
            <v>49.087385212340521</v>
          </cell>
          <cell r="L8">
            <v>17.562275</v>
          </cell>
          <cell r="M8">
            <v>58.90486225480862</v>
          </cell>
          <cell r="N8">
            <v>55.65625</v>
          </cell>
          <cell r="O8">
            <v>226.12099868176279</v>
          </cell>
          <cell r="P8">
            <v>194.95425</v>
          </cell>
          <cell r="Q8">
            <v>181.20706425905928</v>
          </cell>
          <cell r="R8">
            <v>3.65625</v>
          </cell>
          <cell r="S8">
            <v>292.2417478616693</v>
          </cell>
          <cell r="T8">
            <v>295.8979978616693</v>
          </cell>
          <cell r="U8">
            <v>1527.8697785036197</v>
          </cell>
        </row>
        <row r="9">
          <cell r="A9" t="str">
            <v>2.25.a</v>
          </cell>
          <cell r="B9" t="str">
            <v>Filling with ordinary soils with compaction and sprinkling of water</v>
          </cell>
          <cell r="C9" t="str">
            <v>cum</v>
          </cell>
          <cell r="D9">
            <v>9.14</v>
          </cell>
          <cell r="E9">
            <v>0</v>
          </cell>
          <cell r="F9">
            <v>9.14</v>
          </cell>
          <cell r="G9">
            <v>0</v>
          </cell>
          <cell r="H9">
            <v>18.28</v>
          </cell>
          <cell r="I9">
            <v>0</v>
          </cell>
          <cell r="J9">
            <v>0</v>
          </cell>
          <cell r="K9">
            <v>0</v>
          </cell>
          <cell r="L9">
            <v>0</v>
          </cell>
          <cell r="M9">
            <v>0</v>
          </cell>
          <cell r="N9">
            <v>0</v>
          </cell>
          <cell r="O9">
            <v>0</v>
          </cell>
          <cell r="P9">
            <v>0</v>
          </cell>
          <cell r="Q9">
            <v>0</v>
          </cell>
          <cell r="R9">
            <v>0</v>
          </cell>
          <cell r="S9">
            <v>0</v>
          </cell>
          <cell r="T9">
            <v>0</v>
          </cell>
          <cell r="U9">
            <v>0</v>
          </cell>
        </row>
        <row r="10">
          <cell r="A10">
            <v>11.16</v>
          </cell>
          <cell r="B10" t="str">
            <v xml:space="preserve">Stone soling with sand </v>
          </cell>
          <cell r="C10" t="str">
            <v>cum</v>
          </cell>
          <cell r="D10">
            <v>3.73</v>
          </cell>
          <cell r="E10">
            <v>0.19574999999999998</v>
          </cell>
          <cell r="F10">
            <v>3.73</v>
          </cell>
          <cell r="G10">
            <v>0.19574999999999998</v>
          </cell>
          <cell r="H10">
            <v>7.8514999999999997</v>
          </cell>
          <cell r="I10">
            <v>9.8033398755269516</v>
          </cell>
          <cell r="J10">
            <v>0.41174999999999995</v>
          </cell>
          <cell r="K10">
            <v>4.0856412459935258</v>
          </cell>
          <cell r="L10">
            <v>2.0219999999999998</v>
          </cell>
          <cell r="M10">
            <v>4.0856412459935258</v>
          </cell>
          <cell r="N10">
            <v>0.84374999999999989</v>
          </cell>
          <cell r="O10">
            <v>9.8033398755269516</v>
          </cell>
          <cell r="P10">
            <v>0.68174999999999986</v>
          </cell>
          <cell r="Q10">
            <v>9.8033398755269516</v>
          </cell>
          <cell r="R10">
            <v>0.84374999999999989</v>
          </cell>
          <cell r="S10">
            <v>16.664578230967063</v>
          </cell>
          <cell r="T10">
            <v>0.84374999999999989</v>
          </cell>
          <cell r="U10">
            <v>59.892630349534969</v>
          </cell>
        </row>
        <row r="11">
          <cell r="A11" t="str">
            <v>6.1.b</v>
          </cell>
          <cell r="B11" t="str">
            <v>Rubble masonry works in 1:4 cement mortar</v>
          </cell>
          <cell r="C11" t="str">
            <v>cum</v>
          </cell>
          <cell r="D11">
            <v>1.87</v>
          </cell>
          <cell r="E11">
            <v>0.77849999999999997</v>
          </cell>
          <cell r="F11">
            <v>1.87</v>
          </cell>
          <cell r="G11">
            <v>0.77849999999999997</v>
          </cell>
          <cell r="H11">
            <v>5.2970000000000006</v>
          </cell>
          <cell r="I11">
            <v>0</v>
          </cell>
          <cell r="J11">
            <v>1.2104999999999999</v>
          </cell>
          <cell r="K11">
            <v>0</v>
          </cell>
          <cell r="L11">
            <v>11.928437500000001</v>
          </cell>
          <cell r="M11">
            <v>0</v>
          </cell>
          <cell r="N11">
            <v>2.0744999999999996</v>
          </cell>
          <cell r="O11">
            <v>0</v>
          </cell>
          <cell r="P11">
            <v>1.7504999999999997</v>
          </cell>
          <cell r="Q11">
            <v>0</v>
          </cell>
          <cell r="R11">
            <v>2.0744999999999996</v>
          </cell>
          <cell r="S11">
            <v>0</v>
          </cell>
          <cell r="T11">
            <v>2.0744999999999996</v>
          </cell>
          <cell r="U11">
            <v>21.112937500000001</v>
          </cell>
        </row>
        <row r="12">
          <cell r="A12" t="str">
            <v>7.2.c</v>
          </cell>
          <cell r="B12" t="str">
            <v xml:space="preserve">P.C.C. for  foundation &amp; walls in M10 </v>
          </cell>
          <cell r="C12" t="str">
            <v>cum</v>
          </cell>
          <cell r="D12">
            <v>0</v>
          </cell>
          <cell r="E12">
            <v>0.44999999999999996</v>
          </cell>
          <cell r="F12">
            <v>0</v>
          </cell>
          <cell r="G12">
            <v>0.44999999999999996</v>
          </cell>
          <cell r="H12">
            <v>0.89999999999999991</v>
          </cell>
          <cell r="I12">
            <v>3.676252453322606</v>
          </cell>
          <cell r="J12">
            <v>1.17</v>
          </cell>
          <cell r="K12">
            <v>1.5321154672475721</v>
          </cell>
          <cell r="L12">
            <v>2.5871249999999999</v>
          </cell>
          <cell r="M12">
            <v>1.5321154672475721</v>
          </cell>
          <cell r="N12">
            <v>2.61</v>
          </cell>
          <cell r="O12">
            <v>3.676252453322606</v>
          </cell>
          <cell r="P12">
            <v>2.0699999999999998</v>
          </cell>
          <cell r="Q12">
            <v>3.676252453322606</v>
          </cell>
          <cell r="R12">
            <v>2.61</v>
          </cell>
          <cell r="S12">
            <v>6.2492168366126473</v>
          </cell>
          <cell r="T12">
            <v>2.61</v>
          </cell>
          <cell r="U12">
            <v>33.999330131075602</v>
          </cell>
        </row>
        <row r="13">
          <cell r="A13" t="str">
            <v>7.2.d</v>
          </cell>
          <cell r="B13" t="str">
            <v xml:space="preserve">P.C.C. for  foundation &amp; walls in M15 </v>
          </cell>
          <cell r="C13" t="str">
            <v>cum</v>
          </cell>
          <cell r="D13">
            <v>0.4</v>
          </cell>
          <cell r="E13">
            <v>0</v>
          </cell>
          <cell r="F13">
            <v>0.4</v>
          </cell>
          <cell r="G13">
            <v>0</v>
          </cell>
          <cell r="H13">
            <v>0.8</v>
          </cell>
          <cell r="I13">
            <v>0</v>
          </cell>
          <cell r="J13">
            <v>0</v>
          </cell>
          <cell r="K13">
            <v>0</v>
          </cell>
          <cell r="L13">
            <v>0</v>
          </cell>
          <cell r="M13">
            <v>0</v>
          </cell>
          <cell r="N13">
            <v>0</v>
          </cell>
          <cell r="O13">
            <v>0</v>
          </cell>
          <cell r="P13">
            <v>0</v>
          </cell>
          <cell r="Q13">
            <v>0</v>
          </cell>
          <cell r="R13">
            <v>0</v>
          </cell>
          <cell r="S13">
            <v>0</v>
          </cell>
          <cell r="T13">
            <v>0</v>
          </cell>
          <cell r="U13">
            <v>0</v>
          </cell>
        </row>
        <row r="14">
          <cell r="A14" t="str">
            <v>7.4.b</v>
          </cell>
          <cell r="B14" t="str">
            <v xml:space="preserve">P.C.C. for R.C.C. for super structures in M20 </v>
          </cell>
          <cell r="C14" t="str">
            <v>cum</v>
          </cell>
          <cell r="D14">
            <v>0</v>
          </cell>
          <cell r="E14">
            <v>0</v>
          </cell>
          <cell r="F14">
            <v>0</v>
          </cell>
          <cell r="G14">
            <v>0</v>
          </cell>
          <cell r="H14">
            <v>0</v>
          </cell>
          <cell r="I14">
            <v>38.524512275089435</v>
          </cell>
          <cell r="J14">
            <v>0</v>
          </cell>
          <cell r="K14">
            <v>15.373399082893227</v>
          </cell>
          <cell r="L14">
            <v>0</v>
          </cell>
          <cell r="M14">
            <v>15.373399082893227</v>
          </cell>
          <cell r="N14">
            <v>0</v>
          </cell>
          <cell r="O14">
            <v>38.524512275089435</v>
          </cell>
          <cell r="P14">
            <v>0</v>
          </cell>
          <cell r="Q14">
            <v>38.524512275089435</v>
          </cell>
          <cell r="R14">
            <v>0</v>
          </cell>
          <cell r="S14">
            <v>65.095120362660325</v>
          </cell>
          <cell r="T14">
            <v>0</v>
          </cell>
          <cell r="U14">
            <v>211.41545535371512</v>
          </cell>
        </row>
        <row r="15">
          <cell r="A15" t="str">
            <v>7.4.c</v>
          </cell>
          <cell r="B15" t="str">
            <v xml:space="preserve">P.C.C. for R.C.C. for super structures in M25 </v>
          </cell>
          <cell r="C15" t="str">
            <v>cum</v>
          </cell>
          <cell r="D15">
            <v>1.89</v>
          </cell>
          <cell r="E15">
            <v>0</v>
          </cell>
          <cell r="F15">
            <v>1.89</v>
          </cell>
          <cell r="G15">
            <v>0</v>
          </cell>
          <cell r="H15">
            <v>3.78</v>
          </cell>
          <cell r="I15">
            <v>0</v>
          </cell>
          <cell r="J15">
            <v>0</v>
          </cell>
          <cell r="K15">
            <v>0</v>
          </cell>
          <cell r="L15">
            <v>0</v>
          </cell>
          <cell r="M15">
            <v>0</v>
          </cell>
          <cell r="N15">
            <v>0</v>
          </cell>
          <cell r="O15">
            <v>0</v>
          </cell>
          <cell r="P15">
            <v>0</v>
          </cell>
          <cell r="Q15">
            <v>0</v>
          </cell>
          <cell r="R15">
            <v>0</v>
          </cell>
          <cell r="S15">
            <v>0</v>
          </cell>
          <cell r="T15">
            <v>0</v>
          </cell>
          <cell r="U15">
            <v>0</v>
          </cell>
        </row>
        <row r="16">
          <cell r="A16" t="str">
            <v>7.5</v>
          </cell>
          <cell r="B16" t="str">
            <v>Reinforcement work for R.C.C. work</v>
          </cell>
          <cell r="C16" t="str">
            <v>mt</v>
          </cell>
          <cell r="D16">
            <v>8.4600000000000005E-3</v>
          </cell>
          <cell r="E16">
            <v>0</v>
          </cell>
          <cell r="F16">
            <v>8.4600000000000005E-3</v>
          </cell>
          <cell r="G16">
            <v>0</v>
          </cell>
          <cell r="H16">
            <v>1.6920000000000001E-2</v>
          </cell>
          <cell r="I16">
            <v>5.7786768412634153</v>
          </cell>
          <cell r="J16">
            <v>0</v>
          </cell>
          <cell r="K16">
            <v>2.3060098624339838</v>
          </cell>
          <cell r="L16">
            <v>0</v>
          </cell>
          <cell r="M16">
            <v>2.3060098624339838</v>
          </cell>
          <cell r="N16">
            <v>0</v>
          </cell>
          <cell r="O16">
            <v>5.7786768412634153</v>
          </cell>
          <cell r="P16">
            <v>0</v>
          </cell>
          <cell r="Q16">
            <v>5.7786768412634153</v>
          </cell>
          <cell r="R16">
            <v>0</v>
          </cell>
          <cell r="S16">
            <v>9.7642680543990483</v>
          </cell>
          <cell r="T16">
            <v>0</v>
          </cell>
          <cell r="U16">
            <v>31.712318303057259</v>
          </cell>
        </row>
        <row r="17">
          <cell r="A17" t="str">
            <v>8.2.a</v>
          </cell>
          <cell r="B17" t="str">
            <v>Formwork for flooring and slab including materials</v>
          </cell>
          <cell r="C17" t="str">
            <v>sqm</v>
          </cell>
          <cell r="D17">
            <v>1.1599999999999999</v>
          </cell>
          <cell r="E17">
            <v>0</v>
          </cell>
          <cell r="F17">
            <v>1.1599999999999999</v>
          </cell>
          <cell r="G17">
            <v>0</v>
          </cell>
          <cell r="H17">
            <v>2.3199999999999998</v>
          </cell>
          <cell r="I17">
            <v>227.59391854389102</v>
          </cell>
          <cell r="J17">
            <v>0</v>
          </cell>
          <cell r="K17">
            <v>140.22622684755888</v>
          </cell>
          <cell r="L17">
            <v>0</v>
          </cell>
          <cell r="M17">
            <v>140.22622684755888</v>
          </cell>
          <cell r="N17">
            <v>0</v>
          </cell>
          <cell r="O17">
            <v>227.59391854389102</v>
          </cell>
          <cell r="P17">
            <v>0</v>
          </cell>
          <cell r="Q17">
            <v>227.59391854389102</v>
          </cell>
          <cell r="R17">
            <v>0</v>
          </cell>
          <cell r="S17">
            <v>299.95265133769794</v>
          </cell>
          <cell r="T17">
            <v>0</v>
          </cell>
          <cell r="U17">
            <v>1263.1868606644889</v>
          </cell>
        </row>
        <row r="18">
          <cell r="A18" t="str">
            <v>12.1.b</v>
          </cell>
          <cell r="B18" t="str">
            <v>12.5 mm plastering works in 1:3 cement sand mortar</v>
          </cell>
          <cell r="C18" t="str">
            <v>sqm</v>
          </cell>
          <cell r="D18">
            <v>12.56</v>
          </cell>
          <cell r="E18">
            <v>0</v>
          </cell>
          <cell r="F18">
            <v>12.56</v>
          </cell>
          <cell r="G18">
            <v>0</v>
          </cell>
          <cell r="H18">
            <v>25.12</v>
          </cell>
          <cell r="I18">
            <v>304.89457607044221</v>
          </cell>
          <cell r="J18">
            <v>0</v>
          </cell>
          <cell r="K18">
            <v>182.96936518462232</v>
          </cell>
          <cell r="L18">
            <v>0</v>
          </cell>
          <cell r="M18">
            <v>182.96936518462232</v>
          </cell>
          <cell r="N18">
            <v>0</v>
          </cell>
          <cell r="O18">
            <v>304.89457607044221</v>
          </cell>
          <cell r="P18">
            <v>0</v>
          </cell>
          <cell r="Q18">
            <v>304.89457607044221</v>
          </cell>
          <cell r="R18">
            <v>0</v>
          </cell>
          <cell r="S18">
            <v>428.30418948508321</v>
          </cell>
          <cell r="T18">
            <v>0</v>
          </cell>
          <cell r="U18">
            <v>1708.9266480656545</v>
          </cell>
        </row>
        <row r="19">
          <cell r="A19" t="str">
            <v>12.1.a</v>
          </cell>
          <cell r="B19" t="str">
            <v>12.5 mm plastering works in 1:2 cement sand mortar</v>
          </cell>
          <cell r="C19" t="str">
            <v>sqm</v>
          </cell>
          <cell r="D19">
            <v>149.41999999999999</v>
          </cell>
          <cell r="E19">
            <v>0</v>
          </cell>
          <cell r="F19">
            <v>149.41999999999999</v>
          </cell>
          <cell r="G19">
            <v>0</v>
          </cell>
          <cell r="H19">
            <v>298.83999999999997</v>
          </cell>
          <cell r="I19">
            <v>0</v>
          </cell>
          <cell r="J19">
            <v>0</v>
          </cell>
          <cell r="K19">
            <v>0</v>
          </cell>
          <cell r="L19">
            <v>0</v>
          </cell>
          <cell r="M19">
            <v>0</v>
          </cell>
          <cell r="N19">
            <v>0</v>
          </cell>
          <cell r="O19">
            <v>0</v>
          </cell>
          <cell r="P19">
            <v>0</v>
          </cell>
          <cell r="Q19">
            <v>0</v>
          </cell>
          <cell r="R19">
            <v>0</v>
          </cell>
          <cell r="S19">
            <v>0</v>
          </cell>
          <cell r="T19">
            <v>0</v>
          </cell>
          <cell r="U19">
            <v>0</v>
          </cell>
        </row>
        <row r="20">
          <cell r="A20" t="str">
            <v>12.4.c</v>
          </cell>
          <cell r="B20" t="str">
            <v>20 mm plastering works in 1:6 cement sand mortar</v>
          </cell>
          <cell r="C20" t="str">
            <v>sqm</v>
          </cell>
          <cell r="D20">
            <v>4.9400000000000004</v>
          </cell>
          <cell r="E20">
            <v>0</v>
          </cell>
          <cell r="F20">
            <v>4.9400000000000004</v>
          </cell>
          <cell r="G20">
            <v>0</v>
          </cell>
          <cell r="H20">
            <v>9.8800000000000008</v>
          </cell>
          <cell r="I20">
            <v>0</v>
          </cell>
          <cell r="J20">
            <v>0</v>
          </cell>
          <cell r="K20">
            <v>0</v>
          </cell>
          <cell r="L20">
            <v>0</v>
          </cell>
          <cell r="M20">
            <v>0</v>
          </cell>
          <cell r="N20">
            <v>0</v>
          </cell>
          <cell r="O20">
            <v>0</v>
          </cell>
          <cell r="P20">
            <v>0</v>
          </cell>
          <cell r="Q20">
            <v>0</v>
          </cell>
          <cell r="R20">
            <v>0</v>
          </cell>
          <cell r="S20">
            <v>0</v>
          </cell>
          <cell r="T20">
            <v>0</v>
          </cell>
          <cell r="U20">
            <v>0</v>
          </cell>
        </row>
        <row r="21">
          <cell r="A21">
            <v>14.6</v>
          </cell>
          <cell r="B21" t="str">
            <v>3 mm Cement punning work (1:1)</v>
          </cell>
          <cell r="C21" t="str">
            <v>sqm</v>
          </cell>
          <cell r="D21">
            <v>35.17</v>
          </cell>
          <cell r="E21">
            <v>0</v>
          </cell>
          <cell r="F21">
            <v>35.17</v>
          </cell>
          <cell r="G21">
            <v>0</v>
          </cell>
          <cell r="H21">
            <v>70.34</v>
          </cell>
          <cell r="I21">
            <v>0</v>
          </cell>
          <cell r="J21">
            <v>0</v>
          </cell>
          <cell r="K21">
            <v>0</v>
          </cell>
          <cell r="L21">
            <v>0</v>
          </cell>
          <cell r="M21">
            <v>0</v>
          </cell>
          <cell r="N21">
            <v>0</v>
          </cell>
          <cell r="O21">
            <v>0</v>
          </cell>
          <cell r="P21">
            <v>0</v>
          </cell>
          <cell r="Q21">
            <v>0</v>
          </cell>
          <cell r="R21">
            <v>0</v>
          </cell>
          <cell r="S21">
            <v>0</v>
          </cell>
          <cell r="T21">
            <v>0</v>
          </cell>
          <cell r="U21">
            <v>0</v>
          </cell>
        </row>
        <row r="22">
          <cell r="A22" t="str">
            <v>M-21</v>
          </cell>
          <cell r="B22" t="str">
            <v>Formwork for Ferro-Cement for 1 sq.m.</v>
          </cell>
          <cell r="C22" t="str">
            <v>sqm</v>
          </cell>
          <cell r="D22">
            <v>37.07</v>
          </cell>
          <cell r="E22">
            <v>0</v>
          </cell>
          <cell r="F22">
            <v>37.07</v>
          </cell>
          <cell r="G22">
            <v>0</v>
          </cell>
          <cell r="H22">
            <v>74.14</v>
          </cell>
          <cell r="I22">
            <v>0</v>
          </cell>
          <cell r="J22">
            <v>0</v>
          </cell>
          <cell r="K22">
            <v>0</v>
          </cell>
          <cell r="L22">
            <v>0</v>
          </cell>
          <cell r="M22">
            <v>0</v>
          </cell>
          <cell r="N22">
            <v>0</v>
          </cell>
          <cell r="O22">
            <v>0</v>
          </cell>
          <cell r="P22">
            <v>0</v>
          </cell>
          <cell r="Q22">
            <v>0</v>
          </cell>
          <cell r="R22">
            <v>0</v>
          </cell>
          <cell r="S22">
            <v>0</v>
          </cell>
          <cell r="T22">
            <v>0</v>
          </cell>
          <cell r="U22">
            <v>0</v>
          </cell>
        </row>
        <row r="23">
          <cell r="A23" t="str">
            <v>M-22</v>
          </cell>
          <cell r="B23" t="str">
            <v>Steel bar binding for Ferro-Cement work for 1 sq.m.</v>
          </cell>
          <cell r="C23" t="str">
            <v>sqm</v>
          </cell>
          <cell r="D23">
            <v>37.36</v>
          </cell>
          <cell r="E23">
            <v>0</v>
          </cell>
          <cell r="F23">
            <v>37.36</v>
          </cell>
          <cell r="G23">
            <v>0</v>
          </cell>
          <cell r="H23">
            <v>74.72</v>
          </cell>
          <cell r="I23">
            <v>0</v>
          </cell>
          <cell r="J23">
            <v>0</v>
          </cell>
          <cell r="K23">
            <v>0</v>
          </cell>
          <cell r="L23">
            <v>0</v>
          </cell>
          <cell r="M23">
            <v>0</v>
          </cell>
          <cell r="N23">
            <v>0</v>
          </cell>
          <cell r="O23">
            <v>0</v>
          </cell>
          <cell r="P23">
            <v>0</v>
          </cell>
          <cell r="Q23">
            <v>0</v>
          </cell>
          <cell r="R23">
            <v>0</v>
          </cell>
          <cell r="S23">
            <v>0</v>
          </cell>
          <cell r="T23">
            <v>0</v>
          </cell>
          <cell r="U23">
            <v>0</v>
          </cell>
        </row>
        <row r="24">
          <cell r="A24" t="str">
            <v>M-23</v>
          </cell>
          <cell r="B24" t="str">
            <v>600 mm circular metal manhole cover for Ferro-Cement tank as per standard details</v>
          </cell>
          <cell r="C24" t="str">
            <v>no</v>
          </cell>
          <cell r="D24">
            <v>2</v>
          </cell>
          <cell r="E24">
            <v>0</v>
          </cell>
          <cell r="F24">
            <v>2</v>
          </cell>
          <cell r="G24">
            <v>0</v>
          </cell>
          <cell r="H24">
            <v>4</v>
          </cell>
          <cell r="I24">
            <v>0</v>
          </cell>
          <cell r="J24">
            <v>0</v>
          </cell>
          <cell r="K24">
            <v>0</v>
          </cell>
          <cell r="L24">
            <v>0</v>
          </cell>
          <cell r="M24">
            <v>0</v>
          </cell>
          <cell r="N24">
            <v>0</v>
          </cell>
          <cell r="O24">
            <v>0</v>
          </cell>
          <cell r="P24">
            <v>0</v>
          </cell>
          <cell r="Q24">
            <v>0</v>
          </cell>
          <cell r="R24">
            <v>0</v>
          </cell>
          <cell r="S24">
            <v>0</v>
          </cell>
          <cell r="T24">
            <v>0</v>
          </cell>
          <cell r="U24">
            <v>0</v>
          </cell>
        </row>
        <row r="25">
          <cell r="A25" t="str">
            <v>13.4.b</v>
          </cell>
          <cell r="B25" t="str">
            <v>Laying two coat of water proof cement paint</v>
          </cell>
          <cell r="C25" t="str">
            <v>sqm</v>
          </cell>
          <cell r="D25">
            <v>28.1</v>
          </cell>
          <cell r="E25">
            <v>0</v>
          </cell>
          <cell r="F25">
            <v>28.1</v>
          </cell>
          <cell r="G25">
            <v>0</v>
          </cell>
          <cell r="H25">
            <v>56.2</v>
          </cell>
          <cell r="I25">
            <v>0</v>
          </cell>
          <cell r="J25">
            <v>0</v>
          </cell>
          <cell r="K25">
            <v>0</v>
          </cell>
          <cell r="L25">
            <v>0</v>
          </cell>
          <cell r="M25">
            <v>0</v>
          </cell>
          <cell r="N25">
            <v>0</v>
          </cell>
          <cell r="O25">
            <v>0</v>
          </cell>
          <cell r="P25">
            <v>0</v>
          </cell>
          <cell r="Q25">
            <v>0</v>
          </cell>
          <cell r="R25">
            <v>0</v>
          </cell>
          <cell r="S25">
            <v>0</v>
          </cell>
          <cell r="T25">
            <v>0</v>
          </cell>
          <cell r="U25">
            <v>0</v>
          </cell>
        </row>
        <row r="26">
          <cell r="A26" t="str">
            <v>vc</v>
          </cell>
          <cell r="B26" t="str">
            <v>Valve Chamber</v>
          </cell>
          <cell r="C26" t="str">
            <v>no</v>
          </cell>
          <cell r="D26">
            <v>2</v>
          </cell>
          <cell r="E26">
            <v>0</v>
          </cell>
          <cell r="F26">
            <v>2</v>
          </cell>
          <cell r="G26">
            <v>0</v>
          </cell>
          <cell r="H26">
            <v>4</v>
          </cell>
          <cell r="I26">
            <v>2</v>
          </cell>
          <cell r="J26">
            <v>0</v>
          </cell>
          <cell r="K26">
            <v>2</v>
          </cell>
          <cell r="L26">
            <v>0</v>
          </cell>
          <cell r="M26">
            <v>2</v>
          </cell>
          <cell r="N26">
            <v>0</v>
          </cell>
          <cell r="O26">
            <v>2</v>
          </cell>
          <cell r="P26">
            <v>0</v>
          </cell>
          <cell r="Q26">
            <v>2</v>
          </cell>
          <cell r="R26">
            <v>0</v>
          </cell>
          <cell r="S26">
            <v>2</v>
          </cell>
          <cell r="T26">
            <v>0</v>
          </cell>
          <cell r="U26">
            <v>12</v>
          </cell>
        </row>
        <row r="27">
          <cell r="A27" t="str">
            <v>M-1</v>
          </cell>
          <cell r="B27" t="str">
            <v xml:space="preserve">Fabrication &amp; placing of Angle post </v>
          </cell>
          <cell r="C27" t="str">
            <v>no</v>
          </cell>
          <cell r="D27">
            <v>0</v>
          </cell>
          <cell r="E27">
            <v>12</v>
          </cell>
          <cell r="F27">
            <v>0</v>
          </cell>
          <cell r="G27">
            <v>12</v>
          </cell>
          <cell r="H27">
            <v>24</v>
          </cell>
          <cell r="I27">
            <v>0</v>
          </cell>
          <cell r="J27">
            <v>28</v>
          </cell>
          <cell r="K27">
            <v>0</v>
          </cell>
          <cell r="L27">
            <v>49</v>
          </cell>
          <cell r="M27">
            <v>0</v>
          </cell>
          <cell r="N27">
            <v>60</v>
          </cell>
          <cell r="O27">
            <v>0</v>
          </cell>
          <cell r="P27">
            <v>48</v>
          </cell>
          <cell r="Q27">
            <v>0</v>
          </cell>
          <cell r="R27">
            <v>60</v>
          </cell>
          <cell r="S27">
            <v>0</v>
          </cell>
          <cell r="T27">
            <v>60</v>
          </cell>
          <cell r="U27">
            <v>305</v>
          </cell>
        </row>
        <row r="28">
          <cell r="A28" t="str">
            <v>M-2</v>
          </cell>
          <cell r="B28" t="str">
            <v>Fabrication &amp; placing of MS Grill gate</v>
          </cell>
          <cell r="C28" t="str">
            <v>set</v>
          </cell>
          <cell r="D28">
            <v>0</v>
          </cell>
          <cell r="E28">
            <v>1</v>
          </cell>
          <cell r="F28">
            <v>0</v>
          </cell>
          <cell r="G28">
            <v>1</v>
          </cell>
          <cell r="H28">
            <v>2</v>
          </cell>
          <cell r="I28">
            <v>0</v>
          </cell>
          <cell r="J28">
            <v>1</v>
          </cell>
          <cell r="K28">
            <v>0</v>
          </cell>
          <cell r="L28">
            <v>1</v>
          </cell>
          <cell r="M28">
            <v>0</v>
          </cell>
          <cell r="N28">
            <v>1</v>
          </cell>
          <cell r="O28">
            <v>0</v>
          </cell>
          <cell r="P28">
            <v>1</v>
          </cell>
          <cell r="Q28">
            <v>0</v>
          </cell>
          <cell r="R28">
            <v>1</v>
          </cell>
          <cell r="S28">
            <v>0</v>
          </cell>
          <cell r="T28">
            <v>1</v>
          </cell>
          <cell r="U28">
            <v>6</v>
          </cell>
        </row>
        <row r="29">
          <cell r="A29">
            <v>10.1</v>
          </cell>
          <cell r="B29" t="str">
            <v>Meshed shutter work with 24 gauge G.I. mosquito net in 38 x 75 mm salwood frame</v>
          </cell>
          <cell r="C29" t="str">
            <v>sqm</v>
          </cell>
          <cell r="D29">
            <v>0</v>
          </cell>
          <cell r="E29">
            <v>0</v>
          </cell>
          <cell r="F29">
            <v>0</v>
          </cell>
          <cell r="G29">
            <v>0</v>
          </cell>
          <cell r="H29">
            <v>0</v>
          </cell>
          <cell r="I29">
            <v>4.9199999999999994E-2</v>
          </cell>
          <cell r="J29">
            <v>0</v>
          </cell>
          <cell r="K29">
            <v>4.9199999999999994E-2</v>
          </cell>
          <cell r="L29">
            <v>0</v>
          </cell>
          <cell r="M29">
            <v>4.9199999999999994E-2</v>
          </cell>
          <cell r="N29">
            <v>0</v>
          </cell>
          <cell r="O29">
            <v>4.9199999999999994E-2</v>
          </cell>
          <cell r="P29">
            <v>0</v>
          </cell>
          <cell r="Q29">
            <v>4.9199999999999994E-2</v>
          </cell>
          <cell r="R29">
            <v>0</v>
          </cell>
          <cell r="S29">
            <v>4.9199999999999994E-2</v>
          </cell>
          <cell r="T29">
            <v>0</v>
          </cell>
          <cell r="U29">
            <v>0.29519999999999996</v>
          </cell>
        </row>
        <row r="30">
          <cell r="A30">
            <v>10.199999999999999</v>
          </cell>
          <cell r="B30" t="str">
            <v>Panel shutter work in 38 x 75 mm salwood frame</v>
          </cell>
          <cell r="C30" t="str">
            <v>sqm</v>
          </cell>
          <cell r="D30">
            <v>0</v>
          </cell>
          <cell r="E30">
            <v>0</v>
          </cell>
          <cell r="F30">
            <v>0</v>
          </cell>
          <cell r="G30">
            <v>0</v>
          </cell>
          <cell r="H30">
            <v>0</v>
          </cell>
          <cell r="I30">
            <v>0.39150000000000001</v>
          </cell>
          <cell r="J30">
            <v>0</v>
          </cell>
          <cell r="K30">
            <v>0.39150000000000001</v>
          </cell>
          <cell r="L30">
            <v>0</v>
          </cell>
          <cell r="M30">
            <v>0.39150000000000001</v>
          </cell>
          <cell r="N30">
            <v>0</v>
          </cell>
          <cell r="O30">
            <v>0.39150000000000001</v>
          </cell>
          <cell r="P30">
            <v>0</v>
          </cell>
          <cell r="Q30">
            <v>0.39150000000000001</v>
          </cell>
          <cell r="R30">
            <v>0</v>
          </cell>
          <cell r="S30">
            <v>0.39150000000000001</v>
          </cell>
          <cell r="T30">
            <v>0</v>
          </cell>
          <cell r="U30">
            <v>2.3490000000000002</v>
          </cell>
        </row>
        <row r="31">
          <cell r="A31">
            <v>10.1</v>
          </cell>
          <cell r="B31" t="str">
            <v>Salwood frame work for door and windows</v>
          </cell>
          <cell r="C31" t="str">
            <v>cum</v>
          </cell>
          <cell r="D31">
            <v>0</v>
          </cell>
          <cell r="E31">
            <v>0</v>
          </cell>
          <cell r="F31">
            <v>0</v>
          </cell>
          <cell r="G31">
            <v>0</v>
          </cell>
          <cell r="H31">
            <v>0</v>
          </cell>
          <cell r="I31">
            <v>4.9199999999999994E-2</v>
          </cell>
          <cell r="J31">
            <v>0</v>
          </cell>
          <cell r="K31">
            <v>4.9199999999999994E-2</v>
          </cell>
          <cell r="L31">
            <v>0</v>
          </cell>
          <cell r="M31">
            <v>4.9199999999999994E-2</v>
          </cell>
          <cell r="N31">
            <v>0</v>
          </cell>
          <cell r="O31">
            <v>4.9199999999999994E-2</v>
          </cell>
          <cell r="P31">
            <v>0</v>
          </cell>
          <cell r="Q31">
            <v>4.9199999999999994E-2</v>
          </cell>
          <cell r="R31">
            <v>0</v>
          </cell>
          <cell r="S31">
            <v>4.9199999999999994E-2</v>
          </cell>
          <cell r="T31">
            <v>0</v>
          </cell>
          <cell r="U31">
            <v>0.29519999999999996</v>
          </cell>
        </row>
        <row r="32">
          <cell r="A32" t="str">
            <v>M-112</v>
          </cell>
          <cell r="B32" t="str">
            <v>Barbed wire</v>
          </cell>
          <cell r="C32" t="str">
            <v>kg</v>
          </cell>
          <cell r="D32">
            <v>0</v>
          </cell>
          <cell r="E32">
            <v>35.200000000000003</v>
          </cell>
          <cell r="F32">
            <v>0</v>
          </cell>
          <cell r="G32">
            <v>35.200000000000003</v>
          </cell>
          <cell r="H32">
            <v>70.400000000000006</v>
          </cell>
          <cell r="I32">
            <v>0</v>
          </cell>
          <cell r="J32">
            <v>86.4</v>
          </cell>
          <cell r="K32">
            <v>0</v>
          </cell>
          <cell r="L32">
            <v>153.6</v>
          </cell>
          <cell r="M32">
            <v>0</v>
          </cell>
          <cell r="N32">
            <v>188.8</v>
          </cell>
          <cell r="O32">
            <v>0</v>
          </cell>
          <cell r="P32">
            <v>150.4</v>
          </cell>
          <cell r="Q32">
            <v>0</v>
          </cell>
          <cell r="R32">
            <v>188.8</v>
          </cell>
          <cell r="S32">
            <v>0</v>
          </cell>
          <cell r="T32">
            <v>188.8</v>
          </cell>
          <cell r="U32">
            <v>956.8</v>
          </cell>
        </row>
        <row r="36">
          <cell r="A36" t="str">
            <v>1.4</v>
          </cell>
          <cell r="B36" t="str">
            <v>Site Clearance in thin vegetation area</v>
          </cell>
          <cell r="D36">
            <v>0.96000000000000019</v>
          </cell>
          <cell r="E36">
            <v>2.16</v>
          </cell>
          <cell r="F36">
            <v>2.4000000000000004</v>
          </cell>
          <cell r="G36">
            <v>2.6400000000000006</v>
          </cell>
          <cell r="H36">
            <v>1.7999999999999998</v>
          </cell>
          <cell r="I36">
            <v>3.375</v>
          </cell>
          <cell r="J36">
            <v>4.5</v>
          </cell>
          <cell r="K36">
            <v>3.96</v>
          </cell>
          <cell r="L36">
            <v>4.5</v>
          </cell>
          <cell r="M36">
            <v>38.415000000000006</v>
          </cell>
          <cell r="N36">
            <v>5.52</v>
          </cell>
          <cell r="O36">
            <v>43.935000000000002</v>
          </cell>
        </row>
        <row r="37">
          <cell r="A37">
            <v>2.14</v>
          </cell>
          <cell r="B37" t="str">
            <v>E/W Excavation for foundation, drain, pipelines etc. in BM Soil</v>
          </cell>
          <cell r="D37">
            <v>3.7124999999999999</v>
          </cell>
          <cell r="E37">
            <v>6.1875</v>
          </cell>
          <cell r="F37">
            <v>6.682500000000001</v>
          </cell>
          <cell r="G37">
            <v>7.1775000000000002</v>
          </cell>
          <cell r="H37">
            <v>7.7519999999999998</v>
          </cell>
          <cell r="I37">
            <v>19.602000000000004</v>
          </cell>
          <cell r="J37">
            <v>24.057000000000006</v>
          </cell>
          <cell r="K37">
            <v>25.621500000000005</v>
          </cell>
          <cell r="L37">
            <v>29.792000000000002</v>
          </cell>
          <cell r="M37">
            <v>189.91550000000004</v>
          </cell>
          <cell r="N37">
            <v>22.928999999999998</v>
          </cell>
          <cell r="O37">
            <v>212.84450000000004</v>
          </cell>
        </row>
        <row r="38">
          <cell r="A38">
            <v>11.16</v>
          </cell>
          <cell r="B38" t="str">
            <v xml:space="preserve">Stone soling with sand </v>
          </cell>
          <cell r="D38">
            <v>0.33749999999999997</v>
          </cell>
          <cell r="E38">
            <v>0.5625</v>
          </cell>
          <cell r="F38">
            <v>0.60750000000000004</v>
          </cell>
          <cell r="G38">
            <v>0.65250000000000008</v>
          </cell>
          <cell r="H38">
            <v>0.48449999999999999</v>
          </cell>
          <cell r="I38">
            <v>0.72600000000000009</v>
          </cell>
          <cell r="J38">
            <v>0.89100000000000013</v>
          </cell>
          <cell r="K38">
            <v>0.82650000000000012</v>
          </cell>
          <cell r="L38">
            <v>0.91199999999999992</v>
          </cell>
          <cell r="M38">
            <v>8.6084999999999994</v>
          </cell>
          <cell r="N38">
            <v>1.6439999999999999</v>
          </cell>
          <cell r="O38">
            <v>10.2525</v>
          </cell>
        </row>
        <row r="39">
          <cell r="A39" t="str">
            <v>7.2.c</v>
          </cell>
          <cell r="B39" t="str">
            <v xml:space="preserve">P.C.C. for  foundation &amp; walls in M10 </v>
          </cell>
          <cell r="D39">
            <v>0.12675</v>
          </cell>
          <cell r="E39">
            <v>0.22424999999999998</v>
          </cell>
          <cell r="F39">
            <v>0.24374999999999999</v>
          </cell>
          <cell r="G39">
            <v>0.26324999999999998</v>
          </cell>
          <cell r="H39">
            <v>0.19124999999999998</v>
          </cell>
          <cell r="I39">
            <v>0.3</v>
          </cell>
          <cell r="J39">
            <v>0.375</v>
          </cell>
          <cell r="K39">
            <v>0.34425</v>
          </cell>
          <cell r="L39">
            <v>0.38249999999999995</v>
          </cell>
          <cell r="M39">
            <v>3.5332500000000002</v>
          </cell>
          <cell r="N39">
            <v>0.6359999999999999</v>
          </cell>
          <cell r="O39">
            <v>4.1692499999999999</v>
          </cell>
        </row>
        <row r="40">
          <cell r="A40" t="str">
            <v>7.4.b</v>
          </cell>
          <cell r="B40" t="str">
            <v xml:space="preserve">P.C.C. for R.C.C. for super structures in M20 </v>
          </cell>
          <cell r="D40">
            <v>0.76929424958826886</v>
          </cell>
          <cell r="E40">
            <v>1.324294249588269</v>
          </cell>
          <cell r="F40">
            <v>1.4352942495882688</v>
          </cell>
          <cell r="G40">
            <v>1.5462942495882688</v>
          </cell>
          <cell r="H40">
            <v>2.0637942495882693</v>
          </cell>
          <cell r="I40">
            <v>5.1087942495882688</v>
          </cell>
          <cell r="J40">
            <v>6.0087942495882682</v>
          </cell>
          <cell r="K40">
            <v>6.6537942495882687</v>
          </cell>
          <cell r="L40">
            <v>7.6387942495882681</v>
          </cell>
          <cell r="M40">
            <v>47.218530995059218</v>
          </cell>
          <cell r="N40">
            <v>5.6661769983530768</v>
          </cell>
          <cell r="O40">
            <v>52.884707993412292</v>
          </cell>
        </row>
        <row r="41">
          <cell r="A41" t="str">
            <v>7.5</v>
          </cell>
          <cell r="B41" t="str">
            <v>Reinforcement work for R.C.C. work</v>
          </cell>
          <cell r="D41">
            <v>7.6929424958826889E-2</v>
          </cell>
          <cell r="E41">
            <v>0.1324294249588269</v>
          </cell>
          <cell r="F41">
            <v>0.1435294249588269</v>
          </cell>
          <cell r="G41">
            <v>0.15462942495882689</v>
          </cell>
          <cell r="H41">
            <v>0.20637942495882694</v>
          </cell>
          <cell r="I41">
            <v>0.51087942495882688</v>
          </cell>
          <cell r="J41">
            <v>0.60087942495882685</v>
          </cell>
          <cell r="K41">
            <v>0.66537942495882696</v>
          </cell>
          <cell r="L41">
            <v>0.76387942495882688</v>
          </cell>
          <cell r="M41">
            <v>4.7218530995059229</v>
          </cell>
          <cell r="N41">
            <v>0.56661769983530763</v>
          </cell>
          <cell r="O41">
            <v>5.2884707993412308</v>
          </cell>
        </row>
        <row r="42">
          <cell r="A42" t="str">
            <v>8.2.a</v>
          </cell>
          <cell r="B42" t="str">
            <v>Formwork for flooring and slab including materials</v>
          </cell>
          <cell r="D42">
            <v>6.9787942495882707</v>
          </cell>
          <cell r="E42">
            <v>11.078794249588269</v>
          </cell>
          <cell r="F42">
            <v>11.898794249588269</v>
          </cell>
          <cell r="G42">
            <v>12.718794249588269</v>
          </cell>
          <cell r="H42">
            <v>17.018794249588268</v>
          </cell>
          <cell r="I42">
            <v>44.888794249588265</v>
          </cell>
          <cell r="J42">
            <v>52.088794249588268</v>
          </cell>
          <cell r="K42">
            <v>59.318794249588272</v>
          </cell>
          <cell r="L42">
            <v>68.268794249588282</v>
          </cell>
          <cell r="M42">
            <v>413.77553099505923</v>
          </cell>
          <cell r="N42">
            <v>47.995176998353074</v>
          </cell>
          <cell r="O42">
            <v>461.77070799341232</v>
          </cell>
        </row>
        <row r="43">
          <cell r="A43" t="str">
            <v>12.1.b</v>
          </cell>
          <cell r="B43" t="str">
            <v>12.5 mm plastering works in 1:3 cement sand mortar</v>
          </cell>
          <cell r="D43">
            <v>8.2375884991765389</v>
          </cell>
          <cell r="E43">
            <v>13.937588499176538</v>
          </cell>
          <cell r="F43">
            <v>15.077588499176539</v>
          </cell>
          <cell r="G43">
            <v>16.217588499176539</v>
          </cell>
          <cell r="H43">
            <v>19.397588499176535</v>
          </cell>
          <cell r="I43">
            <v>49.367588499176534</v>
          </cell>
          <cell r="J43">
            <v>58.067588499176537</v>
          </cell>
          <cell r="K43">
            <v>64.577588499176542</v>
          </cell>
          <cell r="L43">
            <v>74.247588499176544</v>
          </cell>
          <cell r="M43">
            <v>464.74106199011851</v>
          </cell>
          <cell r="N43">
            <v>55.270353996706149</v>
          </cell>
          <cell r="O43">
            <v>520.01141598682466</v>
          </cell>
        </row>
      </sheetData>
      <sheetData sheetId="38"/>
      <sheetData sheetId="39">
        <row r="90">
          <cell r="A90" t="str">
            <v>1.4</v>
          </cell>
          <cell r="B90" t="str">
            <v>Site Clearance in thin vegetation area</v>
          </cell>
          <cell r="D90">
            <v>0.96000000000000019</v>
          </cell>
          <cell r="E90">
            <v>1.2000000000000002</v>
          </cell>
          <cell r="F90">
            <v>1.7999999999999998</v>
          </cell>
          <cell r="M90">
            <v>2.25</v>
          </cell>
          <cell r="N90">
            <v>3</v>
          </cell>
          <cell r="P90">
            <v>176.34000000000003</v>
          </cell>
        </row>
        <row r="91">
          <cell r="A91">
            <v>2.14</v>
          </cell>
          <cell r="B91" t="str">
            <v>E/W Excavation for foundation, drain, pipelines etc. in BM Soil</v>
          </cell>
          <cell r="D91">
            <v>4.6124999999999998</v>
          </cell>
          <cell r="E91">
            <v>5.2274999999999991</v>
          </cell>
          <cell r="F91">
            <v>6.6214999999999993</v>
          </cell>
          <cell r="M91">
            <v>7.6669999999999998</v>
          </cell>
          <cell r="N91">
            <v>9.4094999999999995</v>
          </cell>
          <cell r="P91">
            <v>832.04149999999981</v>
          </cell>
        </row>
        <row r="92">
          <cell r="A92">
            <v>11.16</v>
          </cell>
          <cell r="B92" t="str">
            <v xml:space="preserve">Stone soling with sand </v>
          </cell>
          <cell r="D92">
            <v>0.33749999999999997</v>
          </cell>
          <cell r="E92">
            <v>0.38249999999999995</v>
          </cell>
          <cell r="F92">
            <v>0.48449999999999999</v>
          </cell>
          <cell r="M92">
            <v>0.56100000000000005</v>
          </cell>
          <cell r="N92">
            <v>0.6885</v>
          </cell>
          <cell r="P92">
            <v>58.300499999999992</v>
          </cell>
        </row>
        <row r="93">
          <cell r="A93" t="str">
            <v>7.2.c</v>
          </cell>
          <cell r="B93" t="str">
            <v xml:space="preserve">P.C.C. for  foundation &amp; walls in M10 </v>
          </cell>
          <cell r="D93">
            <v>0.12675</v>
          </cell>
          <cell r="E93">
            <v>0.14625000000000002</v>
          </cell>
          <cell r="F93">
            <v>0.19124999999999998</v>
          </cell>
          <cell r="M93">
            <v>0.22499999999999998</v>
          </cell>
          <cell r="N93">
            <v>0.28125</v>
          </cell>
          <cell r="P93">
            <v>22.13325</v>
          </cell>
        </row>
        <row r="94">
          <cell r="A94" t="str">
            <v>7.4.b</v>
          </cell>
          <cell r="B94" t="str">
            <v xml:space="preserve">P.C.C. for R.C.C. for super structures in M20 </v>
          </cell>
          <cell r="D94">
            <v>0.99729424958826884</v>
          </cell>
          <cell r="E94">
            <v>1.1322942495882689</v>
          </cell>
          <cell r="F94">
            <v>1.4262942495882689</v>
          </cell>
          <cell r="M94">
            <v>1.6467942495882688</v>
          </cell>
          <cell r="N94">
            <v>2.0142942495882687</v>
          </cell>
          <cell r="P94">
            <v>172.31537418371127</v>
          </cell>
        </row>
        <row r="95">
          <cell r="A95" t="str">
            <v>7.5</v>
          </cell>
          <cell r="B95" t="str">
            <v>Reinforcement work for R.C.C. work</v>
          </cell>
          <cell r="D95">
            <v>9.972942495882689E-2</v>
          </cell>
          <cell r="E95">
            <v>0.11322942495882689</v>
          </cell>
          <cell r="F95">
            <v>0.14262942495882688</v>
          </cell>
          <cell r="M95">
            <v>0.1646794249588269</v>
          </cell>
          <cell r="N95">
            <v>0.20142942495882687</v>
          </cell>
          <cell r="P95">
            <v>17.231537418371129</v>
          </cell>
        </row>
        <row r="96">
          <cell r="A96" t="str">
            <v>8.2.a</v>
          </cell>
          <cell r="B96" t="str">
            <v>Formwork for flooring and slab including materials</v>
          </cell>
          <cell r="D96">
            <v>10.018794249588268</v>
          </cell>
          <cell r="E96">
            <v>11.158794249588269</v>
          </cell>
          <cell r="F96">
            <v>13.518794249588268</v>
          </cell>
          <cell r="M96">
            <v>15.288794249588268</v>
          </cell>
          <cell r="N96">
            <v>18.238794249588267</v>
          </cell>
          <cell r="P96">
            <v>1710.8458741837112</v>
          </cell>
        </row>
        <row r="97">
          <cell r="A97" t="str">
            <v>12.1.b</v>
          </cell>
          <cell r="B97" t="str">
            <v>12.5 mm plastering works in 1:3 cement sand mortar</v>
          </cell>
          <cell r="D97">
            <v>11.277588499176536</v>
          </cell>
          <cell r="E97">
            <v>12.737588499176537</v>
          </cell>
          <cell r="F97">
            <v>15.897588499176537</v>
          </cell>
          <cell r="M97">
            <v>18.267588499176536</v>
          </cell>
          <cell r="N97">
            <v>22.217588499176536</v>
          </cell>
          <cell r="P97">
            <v>1942.5517483674225</v>
          </cell>
        </row>
        <row r="100">
          <cell r="A100" t="str">
            <v>1.4</v>
          </cell>
          <cell r="B100" t="str">
            <v>Site Clearance in thin vegetation area</v>
          </cell>
          <cell r="D100">
            <v>1.5</v>
          </cell>
          <cell r="E100">
            <v>0.96000000000000019</v>
          </cell>
          <cell r="P100">
            <v>24.780000000000005</v>
          </cell>
        </row>
        <row r="101">
          <cell r="A101">
            <v>2.14</v>
          </cell>
          <cell r="B101" t="str">
            <v>E/W Excavation for foundation, drain, pipelines etc. in BM Soil</v>
          </cell>
          <cell r="D101">
            <v>5.4909999999999988</v>
          </cell>
          <cell r="E101">
            <v>4.2749999999999995</v>
          </cell>
          <cell r="P101">
            <v>109.36099999999999</v>
          </cell>
        </row>
        <row r="102">
          <cell r="A102">
            <v>11.16</v>
          </cell>
          <cell r="B102" t="str">
            <v xml:space="preserve">Stone soling with sand </v>
          </cell>
          <cell r="D102">
            <v>0.43349999999999994</v>
          </cell>
          <cell r="E102">
            <v>0.33749999999999997</v>
          </cell>
          <cell r="P102">
            <v>8.2424999999999997</v>
          </cell>
        </row>
        <row r="103">
          <cell r="A103" t="str">
            <v>7.2.c</v>
          </cell>
          <cell r="B103" t="str">
            <v xml:space="preserve">P.C.C. for  foundation &amp; walls in M10 </v>
          </cell>
          <cell r="D103">
            <v>0.16874999999999998</v>
          </cell>
          <cell r="E103">
            <v>0.12675</v>
          </cell>
          <cell r="P103">
            <v>3.1252499999999999</v>
          </cell>
        </row>
        <row r="104">
          <cell r="A104" t="str">
            <v>7.4.b</v>
          </cell>
          <cell r="B104" t="str">
            <v xml:space="preserve">P.C.C. for R.C.C. for super structures in M20 </v>
          </cell>
          <cell r="D104">
            <v>1.0912942495882689</v>
          </cell>
          <cell r="E104">
            <v>0.85129424958826894</v>
          </cell>
          <cell r="P104">
            <v>20.779767740530186</v>
          </cell>
        </row>
        <row r="105">
          <cell r="A105" t="str">
            <v>7.5</v>
          </cell>
          <cell r="B105" t="str">
            <v>Reinforcement work for R.C.C. work</v>
          </cell>
          <cell r="D105">
            <v>0.1091294249588269</v>
          </cell>
          <cell r="E105">
            <v>8.5129424958826902E-2</v>
          </cell>
          <cell r="P105">
            <v>2.0779767740530186</v>
          </cell>
        </row>
        <row r="106">
          <cell r="A106" t="str">
            <v>8.2.a</v>
          </cell>
          <cell r="B106" t="str">
            <v>Formwork for flooring and slab including materials</v>
          </cell>
          <cell r="D106">
            <v>10.958794249588269</v>
          </cell>
          <cell r="E106">
            <v>8.8787942495882692</v>
          </cell>
          <cell r="P106">
            <v>214.61226774053017</v>
          </cell>
        </row>
        <row r="107">
          <cell r="A107" t="str">
            <v>12.1.b</v>
          </cell>
          <cell r="B107" t="str">
            <v>12.5 mm plastering works in 1:3 cement sand mortar</v>
          </cell>
          <cell r="D107">
            <v>12.937588499176538</v>
          </cell>
          <cell r="E107">
            <v>10.137588499176537</v>
          </cell>
          <cell r="P107">
            <v>247.16453548106034</v>
          </cell>
        </row>
        <row r="109">
          <cell r="A109" t="str">
            <v>1.4</v>
          </cell>
          <cell r="B109" t="str">
            <v>Site Clearance in thin vegetation area</v>
          </cell>
          <cell r="D109">
            <v>0.96000000000000019</v>
          </cell>
          <cell r="P109">
            <v>35.52000000000001</v>
          </cell>
        </row>
        <row r="110">
          <cell r="A110">
            <v>2.14</v>
          </cell>
          <cell r="B110" t="str">
            <v>E/W Excavation for foundation, drain, pipelines etc. in BM Soil</v>
          </cell>
          <cell r="D110">
            <v>4.2749999999999995</v>
          </cell>
          <cell r="P110">
            <v>165.279</v>
          </cell>
        </row>
        <row r="111">
          <cell r="A111">
            <v>11.16</v>
          </cell>
          <cell r="B111" t="str">
            <v xml:space="preserve">Stone soling with sand </v>
          </cell>
          <cell r="D111">
            <v>0.33749999999999997</v>
          </cell>
          <cell r="P111">
            <v>12.487499999999999</v>
          </cell>
        </row>
        <row r="112">
          <cell r="A112" t="str">
            <v>7.2.c</v>
          </cell>
          <cell r="B112" t="str">
            <v xml:space="preserve">P.C.C. for  foundation &amp; walls in M10 </v>
          </cell>
          <cell r="D112">
            <v>0.12675</v>
          </cell>
          <cell r="P112">
            <v>4.6897500000000001</v>
          </cell>
        </row>
        <row r="113">
          <cell r="A113" t="str">
            <v>7.4.b</v>
          </cell>
          <cell r="B113" t="str">
            <v xml:space="preserve">P.C.C. for R.C.C. for super structures in M20 </v>
          </cell>
          <cell r="D113">
            <v>0.85129424958826894</v>
          </cell>
          <cell r="P113">
            <v>31.497887234765951</v>
          </cell>
        </row>
        <row r="114">
          <cell r="A114" t="str">
            <v>7.5</v>
          </cell>
          <cell r="B114" t="str">
            <v>Reinforcement work for R.C.C. work</v>
          </cell>
          <cell r="D114">
            <v>8.5129424958826902E-2</v>
          </cell>
          <cell r="P114">
            <v>3.1497887234765956</v>
          </cell>
        </row>
        <row r="115">
          <cell r="A115" t="str">
            <v>8.2.a</v>
          </cell>
          <cell r="B115" t="str">
            <v>Formwork for flooring and slab including materials</v>
          </cell>
          <cell r="D115">
            <v>8.8787942495882692</v>
          </cell>
          <cell r="P115">
            <v>328.51538723476597</v>
          </cell>
        </row>
        <row r="116">
          <cell r="A116" t="str">
            <v>12.1.b</v>
          </cell>
          <cell r="B116" t="str">
            <v>12.5 mm plastering works in 1:3 cement sand mortar</v>
          </cell>
          <cell r="D116">
            <v>10.137588499176537</v>
          </cell>
          <cell r="P116">
            <v>375.09077446953188</v>
          </cell>
        </row>
      </sheetData>
      <sheetData sheetId="40">
        <row r="7">
          <cell r="B7" t="str">
            <v>1.4</v>
          </cell>
          <cell r="C7" t="str">
            <v>Site Clearance in thin vegetation area</v>
          </cell>
          <cell r="D7">
            <v>1</v>
          </cell>
          <cell r="E7">
            <v>10.3</v>
          </cell>
          <cell r="F7">
            <v>9.1</v>
          </cell>
          <cell r="H7">
            <v>93.73</v>
          </cell>
          <cell r="I7">
            <v>93.73</v>
          </cell>
          <cell r="J7" t="str">
            <v>sqm</v>
          </cell>
          <cell r="K7">
            <v>2.76</v>
          </cell>
          <cell r="L7">
            <v>258.69479999999999</v>
          </cell>
        </row>
        <row r="8">
          <cell r="B8">
            <v>2.14</v>
          </cell>
          <cell r="C8" t="str">
            <v>E/W Excavation for foundation, drain, pipelines etc. in BM Soil</v>
          </cell>
          <cell r="H8">
            <v>39.15</v>
          </cell>
          <cell r="I8">
            <v>39.15</v>
          </cell>
          <cell r="J8" t="str">
            <v>cum</v>
          </cell>
          <cell r="K8">
            <v>150.66839999999999</v>
          </cell>
          <cell r="L8">
            <v>5898.6678599999996</v>
          </cell>
        </row>
        <row r="9">
          <cell r="C9" t="str">
            <v>Longwalls-1</v>
          </cell>
          <cell r="D9">
            <v>3</v>
          </cell>
          <cell r="E9">
            <v>9.6</v>
          </cell>
          <cell r="F9">
            <v>0.75</v>
          </cell>
          <cell r="G9">
            <v>0.9</v>
          </cell>
          <cell r="H9">
            <v>19.439999999999998</v>
          </cell>
        </row>
        <row r="10">
          <cell r="C10" t="str">
            <v>Longwalls-2</v>
          </cell>
          <cell r="D10">
            <v>1</v>
          </cell>
          <cell r="E10">
            <v>7.85</v>
          </cell>
          <cell r="F10">
            <v>0.75</v>
          </cell>
          <cell r="G10">
            <v>0.9</v>
          </cell>
          <cell r="H10">
            <v>5.2987499999999992</v>
          </cell>
        </row>
        <row r="11">
          <cell r="C11" t="str">
            <v>Shortwalls-1</v>
          </cell>
          <cell r="D11">
            <v>7</v>
          </cell>
          <cell r="E11">
            <v>2.2000000000000002</v>
          </cell>
          <cell r="F11">
            <v>0.75</v>
          </cell>
          <cell r="G11">
            <v>0.9</v>
          </cell>
          <cell r="H11">
            <v>10.395000000000001</v>
          </cell>
        </row>
        <row r="12">
          <cell r="C12" t="str">
            <v>Shortwalls-2</v>
          </cell>
          <cell r="D12">
            <v>2</v>
          </cell>
          <cell r="E12">
            <v>1</v>
          </cell>
          <cell r="F12">
            <v>0.75</v>
          </cell>
          <cell r="G12">
            <v>0.9</v>
          </cell>
          <cell r="H12">
            <v>1.35</v>
          </cell>
        </row>
        <row r="13">
          <cell r="C13" t="str">
            <v>Shortwalls-3</v>
          </cell>
          <cell r="D13">
            <v>1</v>
          </cell>
          <cell r="E13">
            <v>3.95</v>
          </cell>
          <cell r="F13">
            <v>0.75</v>
          </cell>
          <cell r="G13">
            <v>0.9</v>
          </cell>
          <cell r="H13">
            <v>2.6662500000000002</v>
          </cell>
        </row>
        <row r="14">
          <cell r="B14" t="str">
            <v>2.25.a</v>
          </cell>
          <cell r="C14" t="str">
            <v>Filling with ordinary soils with compaction and sprinkling of water</v>
          </cell>
          <cell r="H14">
            <v>25.526192500000001</v>
          </cell>
          <cell r="I14">
            <v>25.526192500000001</v>
          </cell>
          <cell r="J14" t="str">
            <v>cum</v>
          </cell>
          <cell r="K14">
            <v>47.38</v>
          </cell>
          <cell r="L14">
            <v>1209.43100065</v>
          </cell>
        </row>
        <row r="15">
          <cell r="C15" t="str">
            <v>Foundation</v>
          </cell>
          <cell r="D15">
            <v>1</v>
          </cell>
          <cell r="E15">
            <v>58</v>
          </cell>
          <cell r="F15" t="str">
            <v>Area</v>
          </cell>
          <cell r="G15">
            <v>0.17199999999999999</v>
          </cell>
          <cell r="H15">
            <v>9.9759999999999991</v>
          </cell>
        </row>
        <row r="16">
          <cell r="C16" t="str">
            <v>Retiring room</v>
          </cell>
          <cell r="D16">
            <v>1</v>
          </cell>
          <cell r="E16">
            <v>2.5750000000000002</v>
          </cell>
          <cell r="F16">
            <v>2.875</v>
          </cell>
          <cell r="G16">
            <v>0.3</v>
          </cell>
          <cell r="H16">
            <v>2.2209374999999998</v>
          </cell>
        </row>
        <row r="17">
          <cell r="C17" t="str">
            <v>Kitchen</v>
          </cell>
          <cell r="D17">
            <v>1</v>
          </cell>
          <cell r="E17">
            <v>2.5750000000000002</v>
          </cell>
          <cell r="F17">
            <v>2.875</v>
          </cell>
          <cell r="G17">
            <v>0.3</v>
          </cell>
          <cell r="H17">
            <v>2.2209374999999998</v>
          </cell>
        </row>
        <row r="18">
          <cell r="C18" t="str">
            <v>Store</v>
          </cell>
          <cell r="D18">
            <v>1</v>
          </cell>
          <cell r="E18">
            <v>2.5750000000000002</v>
          </cell>
          <cell r="F18">
            <v>2.875</v>
          </cell>
          <cell r="G18">
            <v>0.3</v>
          </cell>
          <cell r="H18">
            <v>2.2209374999999998</v>
          </cell>
        </row>
        <row r="19">
          <cell r="C19" t="str">
            <v>Laboratory</v>
          </cell>
          <cell r="D19">
            <v>1</v>
          </cell>
          <cell r="E19">
            <v>2.5750000000000002</v>
          </cell>
          <cell r="F19">
            <v>1.98</v>
          </cell>
          <cell r="G19">
            <v>0.3</v>
          </cell>
          <cell r="H19">
            <v>1.5295500000000002</v>
          </cell>
        </row>
        <row r="20">
          <cell r="C20" t="str">
            <v>Bedroom</v>
          </cell>
          <cell r="D20">
            <v>1</v>
          </cell>
          <cell r="E20">
            <v>2.5750000000000002</v>
          </cell>
          <cell r="F20">
            <v>3.48</v>
          </cell>
          <cell r="G20">
            <v>0.3</v>
          </cell>
          <cell r="H20">
            <v>2.6882999999999999</v>
          </cell>
        </row>
        <row r="21">
          <cell r="C21" t="str">
            <v>Corridor</v>
          </cell>
          <cell r="D21">
            <v>1</v>
          </cell>
          <cell r="E21">
            <v>6.73</v>
          </cell>
          <cell r="F21">
            <v>1.38</v>
          </cell>
          <cell r="G21">
            <v>0.3</v>
          </cell>
          <cell r="H21">
            <v>2.7862199999999997</v>
          </cell>
        </row>
        <row r="22">
          <cell r="C22" t="str">
            <v>Verandah</v>
          </cell>
          <cell r="D22">
            <v>1</v>
          </cell>
          <cell r="E22">
            <v>4.3899999999999997</v>
          </cell>
          <cell r="F22">
            <v>1.43</v>
          </cell>
          <cell r="G22">
            <v>0.3</v>
          </cell>
          <cell r="H22">
            <v>1.8833099999999998</v>
          </cell>
        </row>
        <row r="23">
          <cell r="B23" t="str">
            <v>2.42</v>
          </cell>
          <cell r="C23" t="str">
            <v>Sand filling with compaction and sprinkling of water</v>
          </cell>
          <cell r="H23">
            <v>7.2567565000000016</v>
          </cell>
          <cell r="I23">
            <v>7.2567565000000016</v>
          </cell>
          <cell r="J23" t="str">
            <v>cum</v>
          </cell>
          <cell r="K23">
            <v>924.01857832812482</v>
          </cell>
          <cell r="L23">
            <v>6705.3778244033801</v>
          </cell>
        </row>
        <row r="24">
          <cell r="C24" t="str">
            <v>Retiring room</v>
          </cell>
          <cell r="D24">
            <v>1</v>
          </cell>
          <cell r="E24">
            <v>2.5750000000000002</v>
          </cell>
          <cell r="F24">
            <v>2.875</v>
          </cell>
          <cell r="G24">
            <v>0.14000000000000001</v>
          </cell>
          <cell r="H24">
            <v>1.0364375000000001</v>
          </cell>
        </row>
        <row r="25">
          <cell r="C25" t="str">
            <v>Kitchen</v>
          </cell>
          <cell r="D25">
            <v>1</v>
          </cell>
          <cell r="E25">
            <v>2.5750000000000002</v>
          </cell>
          <cell r="F25">
            <v>2.875</v>
          </cell>
          <cell r="G25">
            <v>0.14000000000000001</v>
          </cell>
          <cell r="H25">
            <v>1.0364375000000001</v>
          </cell>
        </row>
        <row r="26">
          <cell r="C26" t="str">
            <v>Store</v>
          </cell>
          <cell r="D26">
            <v>1</v>
          </cell>
          <cell r="E26">
            <v>2.5750000000000002</v>
          </cell>
          <cell r="F26">
            <v>2.875</v>
          </cell>
          <cell r="G26">
            <v>0.14000000000000001</v>
          </cell>
          <cell r="H26">
            <v>1.0364375000000001</v>
          </cell>
        </row>
        <row r="27">
          <cell r="C27" t="str">
            <v>Laboratory</v>
          </cell>
          <cell r="D27">
            <v>1</v>
          </cell>
          <cell r="E27">
            <v>2.5750000000000002</v>
          </cell>
          <cell r="F27">
            <v>1.98</v>
          </cell>
          <cell r="G27">
            <v>0.14000000000000001</v>
          </cell>
          <cell r="H27">
            <v>0.71379000000000015</v>
          </cell>
        </row>
        <row r="28">
          <cell r="C28" t="str">
            <v>Bedroom</v>
          </cell>
          <cell r="D28">
            <v>1</v>
          </cell>
          <cell r="E28">
            <v>2.5750000000000002</v>
          </cell>
          <cell r="F28">
            <v>3.48</v>
          </cell>
          <cell r="G28">
            <v>0.14000000000000001</v>
          </cell>
          <cell r="H28">
            <v>1.2545400000000002</v>
          </cell>
        </row>
        <row r="29">
          <cell r="C29" t="str">
            <v>Corridor</v>
          </cell>
          <cell r="D29">
            <v>1</v>
          </cell>
          <cell r="E29">
            <v>6.73</v>
          </cell>
          <cell r="F29">
            <v>1.38</v>
          </cell>
          <cell r="G29">
            <v>0.14000000000000001</v>
          </cell>
          <cell r="H29">
            <v>1.3002360000000002</v>
          </cell>
        </row>
        <row r="30">
          <cell r="C30" t="str">
            <v>Verandah</v>
          </cell>
          <cell r="D30">
            <v>1</v>
          </cell>
          <cell r="E30">
            <v>4.3899999999999997</v>
          </cell>
          <cell r="F30">
            <v>1.43</v>
          </cell>
          <cell r="G30">
            <v>0.14000000000000001</v>
          </cell>
          <cell r="H30">
            <v>0.87887800000000005</v>
          </cell>
        </row>
        <row r="31">
          <cell r="B31" t="str">
            <v>11.15.b</v>
          </cell>
          <cell r="C31" t="str">
            <v xml:space="preserve">Brick soling on edge with sand </v>
          </cell>
          <cell r="H31">
            <v>95.333975000000009</v>
          </cell>
          <cell r="I31">
            <v>43.5</v>
          </cell>
          <cell r="J31" t="str">
            <v>sqm</v>
          </cell>
          <cell r="K31">
            <v>343.27430057539067</v>
          </cell>
          <cell r="L31">
            <v>14932.432075029494</v>
          </cell>
        </row>
        <row r="32">
          <cell r="C32" t="str">
            <v>Below Foundation</v>
          </cell>
          <cell r="D32">
            <v>1</v>
          </cell>
          <cell r="E32">
            <v>58</v>
          </cell>
          <cell r="F32">
            <v>0.75</v>
          </cell>
          <cell r="H32">
            <v>43.5</v>
          </cell>
        </row>
        <row r="33">
          <cell r="C33" t="str">
            <v>Retiring room</v>
          </cell>
          <cell r="D33">
            <v>1</v>
          </cell>
          <cell r="E33">
            <v>2.5750000000000002</v>
          </cell>
          <cell r="F33">
            <v>2.875</v>
          </cell>
          <cell r="H33">
            <v>7.4031250000000002</v>
          </cell>
        </row>
        <row r="34">
          <cell r="C34" t="str">
            <v>Kitchen</v>
          </cell>
          <cell r="D34">
            <v>1</v>
          </cell>
          <cell r="E34">
            <v>2.5750000000000002</v>
          </cell>
          <cell r="F34">
            <v>2.875</v>
          </cell>
          <cell r="H34">
            <v>7.4031250000000002</v>
          </cell>
        </row>
        <row r="35">
          <cell r="C35" t="str">
            <v>Store</v>
          </cell>
          <cell r="D35">
            <v>1</v>
          </cell>
          <cell r="E35">
            <v>2.5750000000000002</v>
          </cell>
          <cell r="F35">
            <v>2.875</v>
          </cell>
          <cell r="H35">
            <v>7.4031250000000002</v>
          </cell>
        </row>
        <row r="36">
          <cell r="C36" t="str">
            <v>Laboratory</v>
          </cell>
          <cell r="D36">
            <v>1</v>
          </cell>
          <cell r="E36">
            <v>2.5750000000000002</v>
          </cell>
          <cell r="F36">
            <v>1.98</v>
          </cell>
          <cell r="H36">
            <v>5.0985000000000005</v>
          </cell>
        </row>
        <row r="37">
          <cell r="C37" t="str">
            <v>Bedroom</v>
          </cell>
          <cell r="D37">
            <v>1</v>
          </cell>
          <cell r="E37">
            <v>2.5750000000000002</v>
          </cell>
          <cell r="F37">
            <v>3.48</v>
          </cell>
          <cell r="H37">
            <v>8.9610000000000003</v>
          </cell>
        </row>
        <row r="38">
          <cell r="C38" t="str">
            <v>Corridor</v>
          </cell>
          <cell r="D38">
            <v>1</v>
          </cell>
          <cell r="E38">
            <v>6.73</v>
          </cell>
          <cell r="F38">
            <v>1.38</v>
          </cell>
          <cell r="H38">
            <v>9.2873999999999999</v>
          </cell>
        </row>
        <row r="39">
          <cell r="C39" t="str">
            <v>Verandah</v>
          </cell>
          <cell r="D39">
            <v>1</v>
          </cell>
          <cell r="E39">
            <v>4.3899999999999997</v>
          </cell>
          <cell r="F39">
            <v>1.43</v>
          </cell>
          <cell r="H39">
            <v>6.2776999999999994</v>
          </cell>
        </row>
        <row r="40">
          <cell r="B40" t="str">
            <v>5.1.b.3</v>
          </cell>
          <cell r="C40" t="str">
            <v xml:space="preserve">Local first class brick masonry works in 1:6 cement sand mortar </v>
          </cell>
          <cell r="H40">
            <v>73.417953125000011</v>
          </cell>
          <cell r="I40">
            <v>73.417953125000011</v>
          </cell>
          <cell r="J40" t="str">
            <v>cum</v>
          </cell>
          <cell r="K40">
            <v>3238.8808289078133</v>
          </cell>
          <cell r="L40">
            <v>237792.00087421501</v>
          </cell>
        </row>
        <row r="41">
          <cell r="C41" t="str">
            <v>Below Plinth Level</v>
          </cell>
        </row>
        <row r="42">
          <cell r="C42" t="str">
            <v>Long Wall-1</v>
          </cell>
        </row>
        <row r="43">
          <cell r="C43" t="str">
            <v>First footing</v>
          </cell>
          <cell r="D43">
            <v>2</v>
          </cell>
          <cell r="E43">
            <v>9.48</v>
          </cell>
          <cell r="F43">
            <v>0.625</v>
          </cell>
          <cell r="G43">
            <v>0.3</v>
          </cell>
          <cell r="H43">
            <v>3.5550000000000002</v>
          </cell>
        </row>
        <row r="44">
          <cell r="C44" t="str">
            <v>Second footing</v>
          </cell>
          <cell r="D44">
            <v>2</v>
          </cell>
          <cell r="E44">
            <v>9.3000000000000007</v>
          </cell>
          <cell r="F44">
            <v>0.45</v>
          </cell>
          <cell r="G44">
            <v>0.46</v>
          </cell>
          <cell r="H44">
            <v>3.8502000000000005</v>
          </cell>
        </row>
        <row r="45">
          <cell r="C45" t="str">
            <v>Third footing</v>
          </cell>
          <cell r="D45">
            <v>2</v>
          </cell>
          <cell r="E45">
            <v>9.23</v>
          </cell>
          <cell r="F45">
            <v>0.375</v>
          </cell>
          <cell r="G45">
            <v>0.52500000000000002</v>
          </cell>
          <cell r="H45">
            <v>3.6343125000000005</v>
          </cell>
        </row>
        <row r="46">
          <cell r="C46" t="str">
            <v>Long wall-2</v>
          </cell>
        </row>
        <row r="47">
          <cell r="C47" t="str">
            <v>First footing</v>
          </cell>
          <cell r="D47">
            <v>2</v>
          </cell>
          <cell r="E47">
            <v>7.73</v>
          </cell>
          <cell r="F47">
            <v>0.625</v>
          </cell>
          <cell r="G47">
            <v>0.3</v>
          </cell>
          <cell r="H47">
            <v>2.8987500000000002</v>
          </cell>
        </row>
        <row r="48">
          <cell r="C48" t="str">
            <v>Second footing</v>
          </cell>
          <cell r="D48">
            <v>2</v>
          </cell>
          <cell r="E48">
            <v>7.55</v>
          </cell>
          <cell r="F48">
            <v>0.45</v>
          </cell>
          <cell r="G48">
            <v>0.46</v>
          </cell>
          <cell r="H48">
            <v>3.1257000000000001</v>
          </cell>
        </row>
        <row r="49">
          <cell r="C49" t="str">
            <v>Third footing</v>
          </cell>
          <cell r="D49">
            <v>2</v>
          </cell>
          <cell r="E49">
            <v>7.48</v>
          </cell>
          <cell r="F49">
            <v>0.375</v>
          </cell>
          <cell r="G49">
            <v>0.52500000000000002</v>
          </cell>
          <cell r="H49">
            <v>2.9452500000000001</v>
          </cell>
        </row>
        <row r="50">
          <cell r="C50" t="str">
            <v>Short wall</v>
          </cell>
        </row>
        <row r="51">
          <cell r="C51" t="str">
            <v>First footing</v>
          </cell>
          <cell r="D51">
            <v>7</v>
          </cell>
          <cell r="E51">
            <v>2.33</v>
          </cell>
          <cell r="F51">
            <v>0.625</v>
          </cell>
          <cell r="G51">
            <v>0.3</v>
          </cell>
          <cell r="H51">
            <v>3.0581250000000004</v>
          </cell>
        </row>
        <row r="52">
          <cell r="C52" t="str">
            <v>Second footing</v>
          </cell>
          <cell r="D52">
            <v>7</v>
          </cell>
          <cell r="E52">
            <v>2.5</v>
          </cell>
          <cell r="F52">
            <v>0.45</v>
          </cell>
          <cell r="G52">
            <v>0.46</v>
          </cell>
          <cell r="H52">
            <v>3.6225000000000001</v>
          </cell>
        </row>
        <row r="53">
          <cell r="C53" t="str">
            <v>Third footing</v>
          </cell>
          <cell r="D53">
            <v>7</v>
          </cell>
          <cell r="E53">
            <v>2.58</v>
          </cell>
          <cell r="F53">
            <v>0.375</v>
          </cell>
          <cell r="G53">
            <v>0.52500000000000002</v>
          </cell>
          <cell r="H53">
            <v>3.5555625000000006</v>
          </cell>
        </row>
        <row r="54">
          <cell r="C54" t="str">
            <v>Short Wall-2</v>
          </cell>
        </row>
        <row r="55">
          <cell r="C55" t="str">
            <v>First footing</v>
          </cell>
          <cell r="D55">
            <v>1</v>
          </cell>
          <cell r="E55">
            <v>1.125</v>
          </cell>
          <cell r="F55">
            <v>0.625</v>
          </cell>
          <cell r="G55">
            <v>0.3</v>
          </cell>
          <cell r="H55">
            <v>0.2109375</v>
          </cell>
        </row>
        <row r="56">
          <cell r="C56" t="str">
            <v>Second footing</v>
          </cell>
          <cell r="D56">
            <v>1</v>
          </cell>
          <cell r="E56">
            <v>1.3</v>
          </cell>
          <cell r="F56">
            <v>0.45</v>
          </cell>
          <cell r="G56">
            <v>0.46</v>
          </cell>
          <cell r="H56">
            <v>0.26910000000000006</v>
          </cell>
        </row>
        <row r="57">
          <cell r="C57" t="str">
            <v>Third footing</v>
          </cell>
          <cell r="D57">
            <v>1</v>
          </cell>
          <cell r="E57">
            <v>1.375</v>
          </cell>
          <cell r="F57">
            <v>0.375</v>
          </cell>
          <cell r="G57">
            <v>0.52500000000000002</v>
          </cell>
          <cell r="H57">
            <v>0.27070312499999999</v>
          </cell>
        </row>
        <row r="58">
          <cell r="C58" t="str">
            <v>Verandah</v>
          </cell>
        </row>
        <row r="59">
          <cell r="C59" t="str">
            <v>Long Wall</v>
          </cell>
        </row>
        <row r="60">
          <cell r="C60" t="str">
            <v>First footing</v>
          </cell>
          <cell r="D60">
            <v>1</v>
          </cell>
          <cell r="E60">
            <v>4.49</v>
          </cell>
          <cell r="F60">
            <v>0.625</v>
          </cell>
          <cell r="G60">
            <v>0.3</v>
          </cell>
          <cell r="H60">
            <v>0.84187500000000004</v>
          </cell>
        </row>
        <row r="61">
          <cell r="C61" t="str">
            <v>Second footing</v>
          </cell>
          <cell r="D61">
            <v>1</v>
          </cell>
          <cell r="E61">
            <v>4.5999999999999996</v>
          </cell>
          <cell r="F61">
            <v>0.45</v>
          </cell>
          <cell r="G61">
            <v>0.46</v>
          </cell>
          <cell r="H61">
            <v>0.95219999999999994</v>
          </cell>
        </row>
        <row r="62">
          <cell r="C62" t="str">
            <v>Third footing</v>
          </cell>
          <cell r="D62">
            <v>1</v>
          </cell>
          <cell r="E62">
            <v>4.6399999999999997</v>
          </cell>
          <cell r="F62">
            <v>0.375</v>
          </cell>
          <cell r="G62">
            <v>0.52500000000000002</v>
          </cell>
          <cell r="H62">
            <v>0.91349999999999987</v>
          </cell>
        </row>
        <row r="63">
          <cell r="C63" t="str">
            <v xml:space="preserve">Short Wall </v>
          </cell>
        </row>
        <row r="64">
          <cell r="C64" t="str">
            <v>First footing</v>
          </cell>
          <cell r="D64">
            <v>1</v>
          </cell>
          <cell r="E64">
            <v>1.31</v>
          </cell>
          <cell r="F64">
            <v>0.625</v>
          </cell>
          <cell r="G64">
            <v>0.3</v>
          </cell>
          <cell r="H64">
            <v>0.24562500000000001</v>
          </cell>
        </row>
        <row r="65">
          <cell r="C65" t="str">
            <v>Second footing</v>
          </cell>
          <cell r="D65">
            <v>1</v>
          </cell>
          <cell r="E65">
            <v>1.4</v>
          </cell>
          <cell r="F65">
            <v>0.45</v>
          </cell>
          <cell r="G65">
            <v>0.46</v>
          </cell>
          <cell r="H65">
            <v>0.2898</v>
          </cell>
        </row>
        <row r="66">
          <cell r="C66" t="str">
            <v>Third footing</v>
          </cell>
          <cell r="D66">
            <v>1</v>
          </cell>
          <cell r="E66">
            <v>1.44</v>
          </cell>
          <cell r="F66">
            <v>0.375</v>
          </cell>
          <cell r="G66">
            <v>0.52500000000000002</v>
          </cell>
          <cell r="H66">
            <v>0.28350000000000003</v>
          </cell>
        </row>
        <row r="67">
          <cell r="C67" t="str">
            <v>Above plinth Level</v>
          </cell>
        </row>
        <row r="68">
          <cell r="C68" t="str">
            <v>Long Wall-1</v>
          </cell>
          <cell r="D68">
            <v>2</v>
          </cell>
          <cell r="E68">
            <v>9.1</v>
          </cell>
          <cell r="F68">
            <v>0.25</v>
          </cell>
          <cell r="G68">
            <v>2.9</v>
          </cell>
          <cell r="H68">
            <v>13.194999999999999</v>
          </cell>
        </row>
        <row r="69">
          <cell r="C69" t="str">
            <v>Short Wall-1</v>
          </cell>
          <cell r="D69">
            <v>7</v>
          </cell>
          <cell r="E69">
            <v>2.7</v>
          </cell>
          <cell r="F69">
            <v>0.25</v>
          </cell>
          <cell r="G69">
            <v>2.9</v>
          </cell>
          <cell r="H69">
            <v>13.702500000000001</v>
          </cell>
        </row>
        <row r="70">
          <cell r="C70" t="str">
            <v>Short Wall-2</v>
          </cell>
          <cell r="D70">
            <v>1</v>
          </cell>
          <cell r="E70">
            <v>1.5</v>
          </cell>
          <cell r="F70">
            <v>0.25</v>
          </cell>
          <cell r="G70">
            <v>2.9</v>
          </cell>
          <cell r="H70">
            <v>1.0874999999999999</v>
          </cell>
        </row>
        <row r="71">
          <cell r="C71" t="str">
            <v>Long Wall-2</v>
          </cell>
          <cell r="D71">
            <v>2</v>
          </cell>
          <cell r="E71">
            <v>7.35</v>
          </cell>
          <cell r="F71">
            <v>0.25</v>
          </cell>
          <cell r="G71">
            <v>2.9</v>
          </cell>
          <cell r="H71">
            <v>10.657499999999999</v>
          </cell>
        </row>
        <row r="72">
          <cell r="C72" t="str">
            <v>Pillar</v>
          </cell>
          <cell r="D72">
            <v>1</v>
          </cell>
          <cell r="E72">
            <v>0.5</v>
          </cell>
          <cell r="F72">
            <v>0.25</v>
          </cell>
          <cell r="G72">
            <v>2.9</v>
          </cell>
          <cell r="H72">
            <v>0.36249999999999999</v>
          </cell>
        </row>
        <row r="73">
          <cell r="C73" t="str">
            <v>Stairs</v>
          </cell>
          <cell r="D73">
            <v>1</v>
          </cell>
          <cell r="E73">
            <v>1.5</v>
          </cell>
          <cell r="F73" t="str">
            <v>Area</v>
          </cell>
          <cell r="G73">
            <v>0.22500000000000001</v>
          </cell>
          <cell r="H73">
            <v>0.33750000000000002</v>
          </cell>
        </row>
        <row r="74">
          <cell r="C74" t="str">
            <v>bath short wall</v>
          </cell>
          <cell r="D74">
            <v>1</v>
          </cell>
          <cell r="E74">
            <v>1.5</v>
          </cell>
          <cell r="F74">
            <v>0.125</v>
          </cell>
          <cell r="G74">
            <v>2.9</v>
          </cell>
          <cell r="H74">
            <v>0.54374999999999996</v>
          </cell>
        </row>
        <row r="75">
          <cell r="C75" t="str">
            <v>Parapet wall</v>
          </cell>
        </row>
        <row r="76">
          <cell r="C76" t="str">
            <v>Long Wall-1</v>
          </cell>
          <cell r="D76">
            <v>2</v>
          </cell>
          <cell r="E76">
            <v>9.1</v>
          </cell>
          <cell r="F76">
            <v>0.25</v>
          </cell>
          <cell r="G76">
            <v>0.9</v>
          </cell>
          <cell r="H76">
            <v>4.0949999999999998</v>
          </cell>
        </row>
        <row r="77">
          <cell r="C77" t="str">
            <v>Short Wall-1</v>
          </cell>
          <cell r="D77">
            <v>2</v>
          </cell>
          <cell r="E77">
            <v>7.65</v>
          </cell>
          <cell r="F77">
            <v>0.25</v>
          </cell>
          <cell r="G77">
            <v>0.9</v>
          </cell>
          <cell r="H77">
            <v>3.4425000000000003</v>
          </cell>
        </row>
        <row r="78">
          <cell r="C78" t="str">
            <v>Deductions</v>
          </cell>
        </row>
        <row r="79">
          <cell r="C79" t="str">
            <v>Door-1</v>
          </cell>
          <cell r="D79">
            <v>5</v>
          </cell>
          <cell r="E79">
            <v>0.97499999999999998</v>
          </cell>
          <cell r="F79">
            <v>0.25</v>
          </cell>
          <cell r="G79">
            <v>2.1</v>
          </cell>
          <cell r="H79">
            <v>-2.5593750000000002</v>
          </cell>
        </row>
        <row r="80">
          <cell r="C80" t="str">
            <v>Door-3</v>
          </cell>
          <cell r="D80">
            <v>1</v>
          </cell>
          <cell r="E80">
            <v>0.82499999999999996</v>
          </cell>
          <cell r="F80">
            <v>0.125</v>
          </cell>
          <cell r="G80">
            <v>2.1</v>
          </cell>
          <cell r="H80">
            <v>-0.21656249999999999</v>
          </cell>
        </row>
        <row r="81">
          <cell r="C81" t="str">
            <v>Window-1</v>
          </cell>
          <cell r="D81">
            <v>3</v>
          </cell>
          <cell r="E81">
            <v>1.8</v>
          </cell>
          <cell r="F81">
            <v>0.25</v>
          </cell>
          <cell r="G81">
            <v>1.35</v>
          </cell>
          <cell r="H81">
            <v>-1.8225000000000002</v>
          </cell>
        </row>
        <row r="82">
          <cell r="C82" t="str">
            <v>Window-2</v>
          </cell>
          <cell r="D82">
            <v>5</v>
          </cell>
          <cell r="E82">
            <v>1.05</v>
          </cell>
          <cell r="F82">
            <v>0.25</v>
          </cell>
          <cell r="G82">
            <v>1.35</v>
          </cell>
          <cell r="H82">
            <v>-1.7718750000000001</v>
          </cell>
        </row>
        <row r="83">
          <cell r="C83" t="str">
            <v>Window-3</v>
          </cell>
          <cell r="D83">
            <v>2</v>
          </cell>
          <cell r="E83">
            <v>1.8</v>
          </cell>
          <cell r="F83">
            <v>0.25</v>
          </cell>
          <cell r="G83">
            <v>1.05</v>
          </cell>
          <cell r="H83">
            <v>-0.94500000000000006</v>
          </cell>
        </row>
        <row r="84">
          <cell r="C84" t="str">
            <v>Window-4</v>
          </cell>
          <cell r="D84">
            <v>1</v>
          </cell>
          <cell r="E84">
            <v>1.05</v>
          </cell>
          <cell r="F84">
            <v>0.25</v>
          </cell>
          <cell r="G84">
            <v>1.05</v>
          </cell>
          <cell r="H84">
            <v>-0.27562500000000001</v>
          </cell>
        </row>
        <row r="85">
          <cell r="C85" t="str">
            <v>Door lintels</v>
          </cell>
          <cell r="D85">
            <v>5</v>
          </cell>
          <cell r="E85">
            <v>1.28</v>
          </cell>
          <cell r="F85">
            <v>0.25</v>
          </cell>
          <cell r="G85">
            <v>0.15</v>
          </cell>
          <cell r="H85">
            <v>-0.24</v>
          </cell>
        </row>
        <row r="86">
          <cell r="C86" t="str">
            <v>W-1 lintel</v>
          </cell>
          <cell r="D86">
            <v>3</v>
          </cell>
          <cell r="E86">
            <v>2.1</v>
          </cell>
          <cell r="F86">
            <v>0.25</v>
          </cell>
          <cell r="G86">
            <v>0.15</v>
          </cell>
          <cell r="H86">
            <v>-0.23625000000000002</v>
          </cell>
        </row>
        <row r="87">
          <cell r="C87" t="str">
            <v>W-2 lintel</v>
          </cell>
          <cell r="D87">
            <v>5</v>
          </cell>
          <cell r="E87">
            <v>1.35</v>
          </cell>
          <cell r="F87">
            <v>0.25</v>
          </cell>
          <cell r="G87">
            <v>0.15</v>
          </cell>
          <cell r="H87">
            <v>-0.25312499999999999</v>
          </cell>
        </row>
        <row r="88">
          <cell r="C88" t="str">
            <v>W-3 litel</v>
          </cell>
          <cell r="D88">
            <v>2</v>
          </cell>
          <cell r="E88">
            <v>2.1</v>
          </cell>
          <cell r="F88">
            <v>0.25</v>
          </cell>
          <cell r="G88">
            <v>0.15</v>
          </cell>
          <cell r="H88">
            <v>-0.1575</v>
          </cell>
        </row>
        <row r="89">
          <cell r="C89" t="str">
            <v>W-4 lintel</v>
          </cell>
          <cell r="D89">
            <v>1</v>
          </cell>
          <cell r="E89">
            <v>1.35</v>
          </cell>
          <cell r="F89">
            <v>0.25</v>
          </cell>
          <cell r="G89">
            <v>0.15</v>
          </cell>
          <cell r="H89">
            <v>-5.0625000000000003E-2</v>
          </cell>
        </row>
        <row r="90">
          <cell r="B90" t="str">
            <v>7.2.c</v>
          </cell>
          <cell r="C90" t="str">
            <v xml:space="preserve">P.C.C. for  foundation &amp; walls in M10 </v>
          </cell>
          <cell r="H90">
            <v>21.664636250000001</v>
          </cell>
          <cell r="I90">
            <v>21.664636250000001</v>
          </cell>
          <cell r="J90" t="str">
            <v>cum</v>
          </cell>
          <cell r="K90">
            <v>4334.2110718062495</v>
          </cell>
          <cell r="L90">
            <v>93899.106301405031</v>
          </cell>
        </row>
        <row r="91">
          <cell r="C91" t="str">
            <v>Below Foundation</v>
          </cell>
          <cell r="D91">
            <v>1</v>
          </cell>
          <cell r="E91">
            <v>58</v>
          </cell>
          <cell r="F91">
            <v>0.75</v>
          </cell>
          <cell r="G91">
            <v>7.4999999999999997E-2</v>
          </cell>
          <cell r="H91">
            <v>3.2624999999999997</v>
          </cell>
        </row>
        <row r="92">
          <cell r="C92" t="str">
            <v>Rooms</v>
          </cell>
        </row>
        <row r="93">
          <cell r="C93" t="str">
            <v>Retiring room</v>
          </cell>
          <cell r="D93">
            <v>1</v>
          </cell>
          <cell r="E93">
            <v>2.5750000000000002</v>
          </cell>
          <cell r="F93">
            <v>2.875</v>
          </cell>
          <cell r="G93">
            <v>0.05</v>
          </cell>
          <cell r="H93">
            <v>0.37015625000000002</v>
          </cell>
        </row>
        <row r="94">
          <cell r="C94" t="str">
            <v>Kitchen</v>
          </cell>
          <cell r="D94">
            <v>1</v>
          </cell>
          <cell r="E94">
            <v>2.5750000000000002</v>
          </cell>
          <cell r="F94">
            <v>2.875</v>
          </cell>
          <cell r="G94">
            <v>0.05</v>
          </cell>
          <cell r="H94">
            <v>0.37015625000000002</v>
          </cell>
        </row>
        <row r="95">
          <cell r="C95" t="str">
            <v>Store</v>
          </cell>
          <cell r="D95">
            <v>1</v>
          </cell>
          <cell r="E95">
            <v>2.5750000000000002</v>
          </cell>
          <cell r="F95">
            <v>2.875</v>
          </cell>
          <cell r="G95">
            <v>0.05</v>
          </cell>
          <cell r="H95">
            <v>0.37015625000000002</v>
          </cell>
        </row>
        <row r="96">
          <cell r="C96" t="str">
            <v>Laboratory</v>
          </cell>
          <cell r="D96">
            <v>1</v>
          </cell>
          <cell r="E96">
            <v>2.5750000000000002</v>
          </cell>
          <cell r="F96">
            <v>1.98</v>
          </cell>
          <cell r="G96">
            <v>0.05</v>
          </cell>
          <cell r="H96">
            <v>0.25492500000000001</v>
          </cell>
        </row>
        <row r="97">
          <cell r="C97" t="str">
            <v>Bedroom</v>
          </cell>
          <cell r="D97">
            <v>1</v>
          </cell>
          <cell r="E97">
            <v>2.5750000000000002</v>
          </cell>
          <cell r="F97">
            <v>3.48</v>
          </cell>
          <cell r="G97">
            <v>0.05</v>
          </cell>
          <cell r="H97">
            <v>0.44805000000000006</v>
          </cell>
        </row>
        <row r="98">
          <cell r="C98" t="str">
            <v>Corridor</v>
          </cell>
          <cell r="D98">
            <v>1</v>
          </cell>
          <cell r="E98">
            <v>6.73</v>
          </cell>
          <cell r="F98">
            <v>1.38</v>
          </cell>
          <cell r="G98">
            <v>0.05</v>
          </cell>
          <cell r="H98">
            <v>0.46437</v>
          </cell>
        </row>
        <row r="99">
          <cell r="C99" t="str">
            <v>Verandah</v>
          </cell>
          <cell r="D99">
            <v>1</v>
          </cell>
          <cell r="E99">
            <v>4.3899999999999997</v>
          </cell>
          <cell r="F99">
            <v>1.43</v>
          </cell>
          <cell r="G99">
            <v>0.05</v>
          </cell>
          <cell r="H99">
            <v>0.31388499999999997</v>
          </cell>
        </row>
        <row r="100">
          <cell r="B100" t="str">
            <v>7.4.b</v>
          </cell>
          <cell r="C100" t="str">
            <v xml:space="preserve">P.C.C. for R.C.C. for super structures in M20 </v>
          </cell>
          <cell r="H100">
            <v>15.810437500000001</v>
          </cell>
          <cell r="I100">
            <v>15.810437500000001</v>
          </cell>
          <cell r="J100" t="str">
            <v>cum</v>
          </cell>
          <cell r="K100">
            <v>6154.8131365578129</v>
          </cell>
          <cell r="L100">
            <v>97310.288419726276</v>
          </cell>
        </row>
        <row r="101">
          <cell r="C101" t="str">
            <v>Door Lintels (d1)</v>
          </cell>
          <cell r="D101">
            <v>5</v>
          </cell>
          <cell r="E101">
            <v>1.28</v>
          </cell>
          <cell r="F101">
            <v>0.25</v>
          </cell>
          <cell r="G101">
            <v>0.15</v>
          </cell>
          <cell r="H101">
            <v>0.24</v>
          </cell>
        </row>
        <row r="102">
          <cell r="C102" t="str">
            <v>Window-1</v>
          </cell>
          <cell r="D102">
            <v>3</v>
          </cell>
          <cell r="E102">
            <v>2.1</v>
          </cell>
          <cell r="F102">
            <v>0.25</v>
          </cell>
          <cell r="G102">
            <v>0.15</v>
          </cell>
          <cell r="H102">
            <v>0.23625000000000002</v>
          </cell>
        </row>
        <row r="103">
          <cell r="C103" t="str">
            <v>Window-2</v>
          </cell>
          <cell r="D103">
            <v>5</v>
          </cell>
          <cell r="E103">
            <v>1.35</v>
          </cell>
          <cell r="F103">
            <v>0.25</v>
          </cell>
          <cell r="G103">
            <v>0.15</v>
          </cell>
          <cell r="H103">
            <v>0.25312499999999999</v>
          </cell>
        </row>
        <row r="104">
          <cell r="C104" t="str">
            <v>Window-3</v>
          </cell>
          <cell r="D104">
            <v>2</v>
          </cell>
          <cell r="E104">
            <v>2.1</v>
          </cell>
          <cell r="F104">
            <v>0.25</v>
          </cell>
          <cell r="G104">
            <v>0.15</v>
          </cell>
          <cell r="H104">
            <v>0.1575</v>
          </cell>
        </row>
        <row r="105">
          <cell r="C105" t="str">
            <v>Window-4</v>
          </cell>
          <cell r="D105">
            <v>1</v>
          </cell>
          <cell r="E105">
            <v>1.35</v>
          </cell>
          <cell r="F105">
            <v>0.25</v>
          </cell>
          <cell r="G105">
            <v>0.15</v>
          </cell>
          <cell r="H105">
            <v>5.0625000000000003E-2</v>
          </cell>
        </row>
        <row r="106">
          <cell r="C106" t="str">
            <v>Beams</v>
          </cell>
        </row>
        <row r="107">
          <cell r="C107" t="str">
            <v>Long Wall-1</v>
          </cell>
          <cell r="D107">
            <v>3</v>
          </cell>
          <cell r="E107">
            <v>9.1</v>
          </cell>
          <cell r="F107">
            <v>0.25</v>
          </cell>
          <cell r="G107">
            <v>0.23</v>
          </cell>
          <cell r="H107">
            <v>1.56975</v>
          </cell>
        </row>
        <row r="108">
          <cell r="C108" t="str">
            <v>Long Wall-2</v>
          </cell>
          <cell r="D108">
            <v>1</v>
          </cell>
          <cell r="E108">
            <v>7.35</v>
          </cell>
          <cell r="F108">
            <v>0.25</v>
          </cell>
          <cell r="G108">
            <v>0.23</v>
          </cell>
          <cell r="H108">
            <v>0.42262499999999997</v>
          </cell>
        </row>
        <row r="109">
          <cell r="C109" t="str">
            <v>Short Wall-1</v>
          </cell>
          <cell r="D109">
            <v>7</v>
          </cell>
          <cell r="E109">
            <v>2.7</v>
          </cell>
          <cell r="F109">
            <v>0.25</v>
          </cell>
          <cell r="G109">
            <v>0.23</v>
          </cell>
          <cell r="H109">
            <v>1.0867500000000001</v>
          </cell>
        </row>
        <row r="110">
          <cell r="C110" t="str">
            <v>Short Wall-2</v>
          </cell>
          <cell r="D110">
            <v>1</v>
          </cell>
          <cell r="E110">
            <v>1.5</v>
          </cell>
          <cell r="F110">
            <v>0.25</v>
          </cell>
          <cell r="G110">
            <v>0.23</v>
          </cell>
          <cell r="H110">
            <v>8.6250000000000007E-2</v>
          </cell>
        </row>
        <row r="111">
          <cell r="C111" t="str">
            <v>Tie Beam</v>
          </cell>
          <cell r="D111">
            <v>1</v>
          </cell>
          <cell r="E111">
            <v>53.3</v>
          </cell>
          <cell r="F111">
            <v>0.25</v>
          </cell>
          <cell r="G111">
            <v>0.15</v>
          </cell>
          <cell r="H111">
            <v>1.9987499999999998</v>
          </cell>
        </row>
        <row r="112">
          <cell r="C112" t="str">
            <v>Slab</v>
          </cell>
          <cell r="D112">
            <v>1</v>
          </cell>
          <cell r="E112">
            <v>10.3</v>
          </cell>
          <cell r="F112">
            <v>9.1</v>
          </cell>
          <cell r="G112">
            <v>0.1</v>
          </cell>
          <cell r="H112">
            <v>9.3730000000000011</v>
          </cell>
        </row>
        <row r="113">
          <cell r="C113" t="str">
            <v>Slab in Kitchen</v>
          </cell>
          <cell r="D113">
            <v>1</v>
          </cell>
          <cell r="E113">
            <v>3.375</v>
          </cell>
          <cell r="F113">
            <v>0.75</v>
          </cell>
          <cell r="G113">
            <v>7.4999999999999997E-2</v>
          </cell>
          <cell r="H113">
            <v>0.18984375000000001</v>
          </cell>
        </row>
        <row r="114">
          <cell r="C114" t="str">
            <v>Slab in Lab</v>
          </cell>
          <cell r="D114">
            <v>1</v>
          </cell>
          <cell r="E114">
            <v>2.5950000000000002</v>
          </cell>
          <cell r="F114">
            <v>0.75</v>
          </cell>
          <cell r="G114">
            <v>7.4999999999999997E-2</v>
          </cell>
          <cell r="H114">
            <v>0.14596875000000001</v>
          </cell>
        </row>
        <row r="115">
          <cell r="B115" t="str">
            <v>7.5</v>
          </cell>
          <cell r="C115" t="str">
            <v>Reinforcement work for R.C.C. work</v>
          </cell>
          <cell r="I115">
            <v>1.5810437500000001</v>
          </cell>
          <cell r="J115" t="str">
            <v>mt</v>
          </cell>
          <cell r="K115">
            <v>39248.537514867188</v>
          </cell>
          <cell r="L115">
            <v>62053.654934521306</v>
          </cell>
        </row>
        <row r="116">
          <cell r="B116" t="str">
            <v>8.1.a</v>
          </cell>
          <cell r="C116" t="str">
            <v>Simple standard formwork of size &lt;1 sqm excluding materials</v>
          </cell>
          <cell r="H116">
            <v>144.97750000000002</v>
          </cell>
          <cell r="I116">
            <v>144.97750000000002</v>
          </cell>
          <cell r="J116" t="str">
            <v>sqm</v>
          </cell>
          <cell r="K116">
            <v>72.249900000000011</v>
          </cell>
          <cell r="L116">
            <v>10474.609877250003</v>
          </cell>
        </row>
        <row r="117">
          <cell r="C117" t="str">
            <v>Tie Beam</v>
          </cell>
          <cell r="D117">
            <v>1</v>
          </cell>
          <cell r="E117">
            <v>53.3</v>
          </cell>
          <cell r="F117">
            <v>0.3</v>
          </cell>
          <cell r="H117">
            <v>15.989999999999998</v>
          </cell>
        </row>
        <row r="118">
          <cell r="C118" t="str">
            <v>Lintel</v>
          </cell>
        </row>
        <row r="119">
          <cell r="C119" t="str">
            <v>Door Lintels (d1)</v>
          </cell>
          <cell r="D119">
            <v>5</v>
          </cell>
          <cell r="E119">
            <v>1.28</v>
          </cell>
          <cell r="F119">
            <v>0.3</v>
          </cell>
          <cell r="H119">
            <v>1.92</v>
          </cell>
        </row>
        <row r="120">
          <cell r="C120" t="str">
            <v>Window-1</v>
          </cell>
          <cell r="D120">
            <v>3</v>
          </cell>
          <cell r="E120">
            <v>2.1</v>
          </cell>
          <cell r="F120">
            <v>0.3</v>
          </cell>
          <cell r="H120">
            <v>1.8900000000000001</v>
          </cell>
        </row>
        <row r="121">
          <cell r="C121" t="str">
            <v>Window-2</v>
          </cell>
          <cell r="D121">
            <v>5</v>
          </cell>
          <cell r="E121">
            <v>1.35</v>
          </cell>
          <cell r="F121">
            <v>0.3</v>
          </cell>
          <cell r="H121">
            <v>2.0250000000000004</v>
          </cell>
        </row>
        <row r="122">
          <cell r="C122" t="str">
            <v>Window-3</v>
          </cell>
          <cell r="D122">
            <v>2</v>
          </cell>
          <cell r="E122">
            <v>2.1</v>
          </cell>
          <cell r="F122">
            <v>0.3</v>
          </cell>
          <cell r="H122">
            <v>1.26</v>
          </cell>
        </row>
        <row r="123">
          <cell r="C123" t="str">
            <v>Window-4</v>
          </cell>
          <cell r="D123">
            <v>1</v>
          </cell>
          <cell r="E123">
            <v>1.35</v>
          </cell>
          <cell r="F123">
            <v>0.3</v>
          </cell>
          <cell r="H123">
            <v>0.40500000000000003</v>
          </cell>
        </row>
        <row r="124">
          <cell r="C124" t="str">
            <v>Beams</v>
          </cell>
        </row>
        <row r="125">
          <cell r="C125" t="str">
            <v>Long Wall-1</v>
          </cell>
          <cell r="D125">
            <v>3</v>
          </cell>
          <cell r="E125">
            <v>9.1</v>
          </cell>
          <cell r="F125">
            <v>0.45</v>
          </cell>
          <cell r="H125">
            <v>12.285</v>
          </cell>
        </row>
        <row r="126">
          <cell r="C126" t="str">
            <v>Long Wall-2</v>
          </cell>
          <cell r="D126">
            <v>1</v>
          </cell>
          <cell r="E126">
            <v>7.35</v>
          </cell>
          <cell r="F126">
            <v>0.45</v>
          </cell>
          <cell r="H126">
            <v>3.3075000000000001</v>
          </cell>
        </row>
        <row r="127">
          <cell r="C127" t="str">
            <v>Short Wall-1</v>
          </cell>
          <cell r="D127">
            <v>7</v>
          </cell>
          <cell r="E127">
            <v>2.7</v>
          </cell>
          <cell r="F127">
            <v>0.45</v>
          </cell>
          <cell r="H127">
            <v>8.5050000000000008</v>
          </cell>
        </row>
        <row r="128">
          <cell r="C128" t="str">
            <v>Short Wall-2</v>
          </cell>
          <cell r="D128">
            <v>1</v>
          </cell>
          <cell r="E128">
            <v>1.5</v>
          </cell>
          <cell r="F128">
            <v>0.45</v>
          </cell>
          <cell r="H128">
            <v>0.67500000000000004</v>
          </cell>
        </row>
        <row r="129">
          <cell r="C129" t="str">
            <v>Slab</v>
          </cell>
          <cell r="D129">
            <v>1</v>
          </cell>
          <cell r="E129">
            <v>10.3</v>
          </cell>
          <cell r="F129">
            <v>9.1</v>
          </cell>
          <cell r="H129">
            <v>93.73</v>
          </cell>
        </row>
        <row r="130">
          <cell r="C130" t="str">
            <v>Slab in Kitchen</v>
          </cell>
          <cell r="D130">
            <v>1</v>
          </cell>
          <cell r="E130">
            <v>3.375</v>
          </cell>
          <cell r="F130">
            <v>0.5</v>
          </cell>
          <cell r="H130">
            <v>1.6875</v>
          </cell>
        </row>
        <row r="131">
          <cell r="C131" t="str">
            <v>Slab in Lab</v>
          </cell>
          <cell r="D131">
            <v>1</v>
          </cell>
          <cell r="E131">
            <v>2.5950000000000002</v>
          </cell>
          <cell r="F131">
            <v>0.5</v>
          </cell>
          <cell r="H131">
            <v>1.2975000000000001</v>
          </cell>
        </row>
        <row r="132">
          <cell r="B132" t="str">
            <v>12.1.b</v>
          </cell>
          <cell r="C132" t="str">
            <v>12.5 mm plastering works in 1:3 cement sand mortar</v>
          </cell>
          <cell r="H132">
            <v>137.405</v>
          </cell>
          <cell r="I132">
            <v>137.405</v>
          </cell>
          <cell r="J132" t="str">
            <v>sqm</v>
          </cell>
          <cell r="K132">
            <v>87.804354924304675</v>
          </cell>
          <cell r="L132">
            <v>12064.757388374084</v>
          </cell>
        </row>
        <row r="133">
          <cell r="C133" t="str">
            <v>Plastering in inner wall</v>
          </cell>
        </row>
        <row r="134">
          <cell r="C134" t="str">
            <v>Room-1</v>
          </cell>
          <cell r="D134">
            <v>6</v>
          </cell>
          <cell r="E134">
            <v>2.7</v>
          </cell>
          <cell r="G134">
            <v>2.9</v>
          </cell>
          <cell r="H134">
            <v>46.980000000000004</v>
          </cell>
        </row>
        <row r="135">
          <cell r="C135" t="str">
            <v>Room-1</v>
          </cell>
          <cell r="D135">
            <v>6</v>
          </cell>
          <cell r="E135">
            <v>3</v>
          </cell>
          <cell r="G135">
            <v>2.9</v>
          </cell>
          <cell r="H135">
            <v>52.199999999999996</v>
          </cell>
        </row>
        <row r="136">
          <cell r="C136" t="str">
            <v>Room-2</v>
          </cell>
          <cell r="D136">
            <v>2</v>
          </cell>
          <cell r="E136">
            <v>2.7</v>
          </cell>
          <cell r="G136">
            <v>2.9</v>
          </cell>
          <cell r="H136">
            <v>15.66</v>
          </cell>
        </row>
        <row r="137">
          <cell r="C137" t="str">
            <v>Room-2</v>
          </cell>
          <cell r="D137">
            <v>2</v>
          </cell>
          <cell r="E137">
            <v>2.1</v>
          </cell>
          <cell r="G137">
            <v>2.9</v>
          </cell>
          <cell r="H137">
            <v>12.18</v>
          </cell>
        </row>
        <row r="138">
          <cell r="C138" t="str">
            <v>Room-3</v>
          </cell>
          <cell r="D138">
            <v>2</v>
          </cell>
          <cell r="E138">
            <v>1.5</v>
          </cell>
          <cell r="G138">
            <v>2.9</v>
          </cell>
          <cell r="H138">
            <v>8.6999999999999993</v>
          </cell>
        </row>
        <row r="139">
          <cell r="C139" t="str">
            <v>Room-3</v>
          </cell>
          <cell r="D139">
            <v>2</v>
          </cell>
          <cell r="E139">
            <v>1.9</v>
          </cell>
          <cell r="G139">
            <v>2.9</v>
          </cell>
          <cell r="H139">
            <v>11.02</v>
          </cell>
        </row>
        <row r="140">
          <cell r="C140" t="str">
            <v>Verandah pillar</v>
          </cell>
          <cell r="D140">
            <v>1</v>
          </cell>
          <cell r="E140">
            <v>0.5</v>
          </cell>
          <cell r="G140">
            <v>2.9</v>
          </cell>
          <cell r="H140">
            <v>1.45</v>
          </cell>
        </row>
        <row r="141">
          <cell r="C141" t="str">
            <v>Verandah pillar</v>
          </cell>
          <cell r="D141">
            <v>1</v>
          </cell>
          <cell r="E141">
            <v>0.25</v>
          </cell>
          <cell r="G141">
            <v>2.9</v>
          </cell>
          <cell r="H141">
            <v>0.72499999999999998</v>
          </cell>
        </row>
        <row r="142">
          <cell r="C142" t="str">
            <v>Bathroom</v>
          </cell>
          <cell r="D142">
            <v>2</v>
          </cell>
          <cell r="E142">
            <v>1.5</v>
          </cell>
          <cell r="G142">
            <v>2.9</v>
          </cell>
          <cell r="H142">
            <v>8.6999999999999993</v>
          </cell>
        </row>
        <row r="143">
          <cell r="C143" t="str">
            <v>Bathroom</v>
          </cell>
          <cell r="D143">
            <v>2</v>
          </cell>
          <cell r="E143">
            <v>1.9</v>
          </cell>
          <cell r="G143">
            <v>2.9</v>
          </cell>
          <cell r="H143">
            <v>11.02</v>
          </cell>
        </row>
        <row r="144">
          <cell r="C144" t="str">
            <v>Deductions for opening</v>
          </cell>
        </row>
        <row r="145">
          <cell r="C145" t="str">
            <v>Door-1</v>
          </cell>
          <cell r="D145">
            <v>-5</v>
          </cell>
          <cell r="E145">
            <v>0.97499999999999998</v>
          </cell>
          <cell r="G145">
            <v>2.1</v>
          </cell>
          <cell r="H145">
            <v>-10.237500000000001</v>
          </cell>
        </row>
        <row r="146">
          <cell r="C146" t="str">
            <v>Door-3</v>
          </cell>
          <cell r="D146">
            <v>-1</v>
          </cell>
          <cell r="E146">
            <v>0.82499999999999996</v>
          </cell>
          <cell r="G146">
            <v>2.1</v>
          </cell>
          <cell r="H146">
            <v>-1.7324999999999999</v>
          </cell>
        </row>
        <row r="147">
          <cell r="C147" t="str">
            <v>Window-1</v>
          </cell>
          <cell r="D147">
            <v>-3</v>
          </cell>
          <cell r="E147">
            <v>1.8</v>
          </cell>
          <cell r="G147">
            <v>1.35</v>
          </cell>
          <cell r="H147">
            <v>-7.2900000000000009</v>
          </cell>
        </row>
        <row r="148">
          <cell r="C148" t="str">
            <v>Window-2</v>
          </cell>
          <cell r="D148">
            <v>-5</v>
          </cell>
          <cell r="E148">
            <v>1.05</v>
          </cell>
          <cell r="G148">
            <v>1.35</v>
          </cell>
          <cell r="H148">
            <v>-7.0875000000000004</v>
          </cell>
        </row>
        <row r="149">
          <cell r="C149" t="str">
            <v>Window-3</v>
          </cell>
          <cell r="D149">
            <v>-2</v>
          </cell>
          <cell r="E149">
            <v>1.8</v>
          </cell>
          <cell r="G149">
            <v>1.05</v>
          </cell>
          <cell r="H149">
            <v>-3.7800000000000002</v>
          </cell>
        </row>
        <row r="150">
          <cell r="C150" t="str">
            <v>Window-4</v>
          </cell>
          <cell r="D150">
            <v>-1</v>
          </cell>
          <cell r="E150">
            <v>1.05</v>
          </cell>
          <cell r="G150">
            <v>1.05</v>
          </cell>
          <cell r="H150">
            <v>-1.1025</v>
          </cell>
        </row>
        <row r="151">
          <cell r="C151" t="str">
            <v>Plastering in outer wall</v>
          </cell>
        </row>
        <row r="152">
          <cell r="C152" t="str">
            <v>Long Wall-1</v>
          </cell>
          <cell r="D152">
            <v>2</v>
          </cell>
          <cell r="E152">
            <v>9.1</v>
          </cell>
          <cell r="G152">
            <v>3</v>
          </cell>
          <cell r="H152">
            <v>54.599999999999994</v>
          </cell>
        </row>
        <row r="153">
          <cell r="C153" t="str">
            <v>Short Wall</v>
          </cell>
          <cell r="D153">
            <v>2</v>
          </cell>
          <cell r="E153">
            <v>7.65</v>
          </cell>
          <cell r="G153">
            <v>3</v>
          </cell>
          <cell r="H153">
            <v>45.900000000000006</v>
          </cell>
        </row>
        <row r="154">
          <cell r="C154" t="str">
            <v>Parapet Wall</v>
          </cell>
          <cell r="D154">
            <v>2</v>
          </cell>
          <cell r="E154">
            <v>9.1</v>
          </cell>
          <cell r="G154">
            <v>0.9</v>
          </cell>
          <cell r="H154">
            <v>16.38</v>
          </cell>
        </row>
        <row r="155">
          <cell r="C155" t="str">
            <v>Parapet Wall-2</v>
          </cell>
          <cell r="D155">
            <v>2</v>
          </cell>
          <cell r="E155">
            <v>7.65</v>
          </cell>
          <cell r="G155">
            <v>0.9</v>
          </cell>
          <cell r="H155">
            <v>13.770000000000001</v>
          </cell>
        </row>
        <row r="156">
          <cell r="C156" t="str">
            <v>Verandah outer Wall</v>
          </cell>
          <cell r="D156">
            <v>1</v>
          </cell>
          <cell r="E156">
            <v>3.2</v>
          </cell>
          <cell r="G156">
            <v>2.9</v>
          </cell>
          <cell r="H156">
            <v>9.2799999999999994</v>
          </cell>
        </row>
        <row r="157">
          <cell r="C157" t="str">
            <v>Corrider wall</v>
          </cell>
          <cell r="D157">
            <v>2</v>
          </cell>
          <cell r="E157">
            <v>5.6</v>
          </cell>
          <cell r="G157">
            <v>2.9</v>
          </cell>
          <cell r="H157">
            <v>32.479999999999997</v>
          </cell>
        </row>
        <row r="158">
          <cell r="C158" t="str">
            <v>Staircase</v>
          </cell>
          <cell r="D158">
            <v>2</v>
          </cell>
          <cell r="E158">
            <v>1.5</v>
          </cell>
          <cell r="G158">
            <v>0.35</v>
          </cell>
          <cell r="H158">
            <v>1.0499999999999998</v>
          </cell>
        </row>
        <row r="159">
          <cell r="C159" t="str">
            <v>Staircase</v>
          </cell>
          <cell r="D159">
            <v>2</v>
          </cell>
          <cell r="E159">
            <v>0.7</v>
          </cell>
          <cell r="G159">
            <v>0.5</v>
          </cell>
          <cell r="H159">
            <v>0.7</v>
          </cell>
        </row>
        <row r="160">
          <cell r="C160" t="str">
            <v>Deduction for opening</v>
          </cell>
        </row>
        <row r="161">
          <cell r="C161" t="str">
            <v>Doors and Windows</v>
          </cell>
          <cell r="H161">
            <v>-31.23</v>
          </cell>
        </row>
        <row r="162">
          <cell r="C162" t="str">
            <v xml:space="preserve">Verandah </v>
          </cell>
          <cell r="D162">
            <v>-1</v>
          </cell>
          <cell r="E162">
            <v>4.6500000000000004</v>
          </cell>
          <cell r="G162">
            <v>2.9</v>
          </cell>
          <cell r="H162">
            <v>-13.485000000000001</v>
          </cell>
        </row>
        <row r="163">
          <cell r="C163" t="str">
            <v xml:space="preserve">Verandah </v>
          </cell>
          <cell r="D163">
            <v>-1</v>
          </cell>
          <cell r="E163">
            <v>1.75</v>
          </cell>
          <cell r="G163">
            <v>2.9</v>
          </cell>
          <cell r="H163">
            <v>-5.0750000000000002</v>
          </cell>
        </row>
        <row r="164">
          <cell r="C164" t="str">
            <v>Plastering in Ceiling of room</v>
          </cell>
          <cell r="H164">
            <v>105.66000000000001</v>
          </cell>
        </row>
        <row r="165">
          <cell r="C165" t="str">
            <v>Room1</v>
          </cell>
          <cell r="D165">
            <v>3</v>
          </cell>
          <cell r="E165">
            <v>2.7</v>
          </cell>
          <cell r="G165">
            <v>3</v>
          </cell>
          <cell r="H165">
            <v>24.300000000000004</v>
          </cell>
        </row>
        <row r="166">
          <cell r="C166" t="str">
            <v>Room2</v>
          </cell>
          <cell r="D166">
            <v>1</v>
          </cell>
          <cell r="E166">
            <v>2.7</v>
          </cell>
          <cell r="G166">
            <v>2.1</v>
          </cell>
          <cell r="H166">
            <v>5.6700000000000008</v>
          </cell>
        </row>
        <row r="167">
          <cell r="C167" t="str">
            <v>Room3</v>
          </cell>
          <cell r="D167">
            <v>1</v>
          </cell>
          <cell r="E167">
            <v>1.5</v>
          </cell>
          <cell r="G167">
            <v>1.9</v>
          </cell>
          <cell r="H167">
            <v>2.8499999999999996</v>
          </cell>
        </row>
        <row r="168">
          <cell r="C168" t="str">
            <v>Room4</v>
          </cell>
          <cell r="D168">
            <v>1</v>
          </cell>
          <cell r="E168">
            <v>2.7</v>
          </cell>
          <cell r="G168">
            <v>3.6</v>
          </cell>
          <cell r="H168">
            <v>9.7200000000000006</v>
          </cell>
        </row>
        <row r="169">
          <cell r="C169" t="str">
            <v>Corridor</v>
          </cell>
          <cell r="D169">
            <v>1</v>
          </cell>
          <cell r="E169">
            <v>5.08</v>
          </cell>
          <cell r="G169">
            <v>1.5</v>
          </cell>
          <cell r="H169">
            <v>7.62</v>
          </cell>
        </row>
        <row r="170">
          <cell r="C170" t="str">
            <v>Chajja both face</v>
          </cell>
          <cell r="D170">
            <v>4</v>
          </cell>
          <cell r="E170">
            <v>10.6</v>
          </cell>
          <cell r="G170">
            <v>0.75</v>
          </cell>
          <cell r="H170">
            <v>31.799999999999997</v>
          </cell>
        </row>
        <row r="171">
          <cell r="C171" t="str">
            <v>Chajja both face short wall</v>
          </cell>
          <cell r="D171">
            <v>4</v>
          </cell>
          <cell r="E171">
            <v>7.9</v>
          </cell>
          <cell r="G171">
            <v>0.75</v>
          </cell>
          <cell r="H171">
            <v>23.700000000000003</v>
          </cell>
        </row>
        <row r="172">
          <cell r="B172" t="str">
            <v>12.4.b</v>
          </cell>
          <cell r="C172" t="str">
            <v>20 mm plastering works in 1:4 cement sand mortar</v>
          </cell>
          <cell r="H172">
            <v>61.206975</v>
          </cell>
          <cell r="I172">
            <v>61.206975</v>
          </cell>
          <cell r="J172" t="str">
            <v>sqm</v>
          </cell>
          <cell r="K172">
            <v>113.70820818442188</v>
          </cell>
          <cell r="L172">
            <v>6959.7354556387054</v>
          </cell>
        </row>
        <row r="173">
          <cell r="C173" t="str">
            <v>Rooms</v>
          </cell>
          <cell r="H173">
            <v>51.833974999999995</v>
          </cell>
        </row>
        <row r="174">
          <cell r="C174" t="str">
            <v>Roof Slab</v>
          </cell>
          <cell r="D174">
            <v>1</v>
          </cell>
          <cell r="E174">
            <v>10.3</v>
          </cell>
          <cell r="F174">
            <v>9.1</v>
          </cell>
          <cell r="G174">
            <v>0.1</v>
          </cell>
          <cell r="H174">
            <v>9.3730000000000011</v>
          </cell>
        </row>
        <row r="175">
          <cell r="B175">
            <v>14.6</v>
          </cell>
          <cell r="C175" t="str">
            <v>Cement punning works in 1:1 cement sand mortar</v>
          </cell>
          <cell r="H175">
            <v>61.206975</v>
          </cell>
          <cell r="I175">
            <v>61.206975</v>
          </cell>
          <cell r="J175" t="str">
            <v>sqm</v>
          </cell>
          <cell r="K175">
            <v>51.400182076293753</v>
          </cell>
          <cell r="L175">
            <v>3146.0496593391599</v>
          </cell>
        </row>
        <row r="176">
          <cell r="B176" t="str">
            <v>11.6.2</v>
          </cell>
          <cell r="C176" t="str">
            <v>25 mm Kota stone flooring on 20mm thick 1:4 mortar</v>
          </cell>
          <cell r="H176">
            <v>3.5819999999999999</v>
          </cell>
          <cell r="I176">
            <v>3.5819999999999999</v>
          </cell>
          <cell r="J176" t="str">
            <v>sqm</v>
          </cell>
          <cell r="K176">
            <v>1037.278498184422</v>
          </cell>
          <cell r="L176">
            <v>3715.5315804965994</v>
          </cell>
        </row>
        <row r="177">
          <cell r="C177" t="str">
            <v>Slab in Kitchen</v>
          </cell>
          <cell r="D177">
            <v>1</v>
          </cell>
          <cell r="E177">
            <v>3.375</v>
          </cell>
          <cell r="F177">
            <v>0.6</v>
          </cell>
          <cell r="H177">
            <v>2.0249999999999999</v>
          </cell>
        </row>
        <row r="178">
          <cell r="C178" t="str">
            <v>Slab in Lab</v>
          </cell>
          <cell r="D178">
            <v>1</v>
          </cell>
          <cell r="E178">
            <v>2.5950000000000002</v>
          </cell>
          <cell r="F178">
            <v>0.6</v>
          </cell>
          <cell r="H178">
            <v>1.5570000000000002</v>
          </cell>
        </row>
        <row r="179">
          <cell r="B179">
            <v>11.7</v>
          </cell>
          <cell r="C179" t="str">
            <v>Porcelain glazed tiles overlay in 1:4 cement sand mortar</v>
          </cell>
          <cell r="H179">
            <v>12.36</v>
          </cell>
          <cell r="I179">
            <v>12.36</v>
          </cell>
          <cell r="J179" t="str">
            <v>sqm</v>
          </cell>
          <cell r="K179">
            <v>808.7618276893752</v>
          </cell>
          <cell r="L179">
            <v>9996.2961902406769</v>
          </cell>
        </row>
        <row r="180">
          <cell r="C180" t="str">
            <v>Bathroom</v>
          </cell>
        </row>
        <row r="181">
          <cell r="C181" t="str">
            <v>Floor</v>
          </cell>
          <cell r="D181">
            <v>1</v>
          </cell>
          <cell r="E181">
            <v>1.9</v>
          </cell>
          <cell r="F181">
            <v>1.5</v>
          </cell>
          <cell r="H181">
            <v>2.8499999999999996</v>
          </cell>
        </row>
        <row r="182">
          <cell r="C182" t="str">
            <v>Wall</v>
          </cell>
          <cell r="D182">
            <v>2</v>
          </cell>
          <cell r="E182">
            <v>1.9</v>
          </cell>
          <cell r="F182">
            <v>1.2</v>
          </cell>
          <cell r="H182">
            <v>4.5599999999999996</v>
          </cell>
        </row>
        <row r="183">
          <cell r="D183">
            <v>1</v>
          </cell>
          <cell r="E183">
            <v>1.5</v>
          </cell>
          <cell r="F183">
            <v>1.2</v>
          </cell>
          <cell r="H183">
            <v>1.7999999999999998</v>
          </cell>
        </row>
        <row r="184">
          <cell r="D184">
            <v>1</v>
          </cell>
          <cell r="E184">
            <v>1.5</v>
          </cell>
          <cell r="F184">
            <v>2.1</v>
          </cell>
          <cell r="H184">
            <v>3.1500000000000004</v>
          </cell>
        </row>
        <row r="185">
          <cell r="B185">
            <v>10.1</v>
          </cell>
          <cell r="C185" t="str">
            <v>Salwood frame work for door and windows</v>
          </cell>
          <cell r="H185">
            <v>0.83474999999999999</v>
          </cell>
          <cell r="I185">
            <v>0.83474999999999999</v>
          </cell>
          <cell r="J185" t="str">
            <v>cum</v>
          </cell>
          <cell r="K185">
            <v>45227.199999999997</v>
          </cell>
          <cell r="L185">
            <v>37753.405199999994</v>
          </cell>
        </row>
        <row r="186">
          <cell r="C186" t="str">
            <v xml:space="preserve">Door-1 </v>
          </cell>
          <cell r="D186">
            <v>5</v>
          </cell>
          <cell r="E186">
            <v>5.1749999999999998</v>
          </cell>
          <cell r="F186">
            <v>0.1</v>
          </cell>
          <cell r="G186">
            <v>7.4999999999999997E-2</v>
          </cell>
          <cell r="H186">
            <v>0.19406250000000003</v>
          </cell>
        </row>
        <row r="187">
          <cell r="C187" t="str">
            <v>Door-2</v>
          </cell>
          <cell r="D187">
            <v>1</v>
          </cell>
          <cell r="E187">
            <v>5.7</v>
          </cell>
          <cell r="F187">
            <v>0.1</v>
          </cell>
          <cell r="G187">
            <v>7.4999999999999997E-2</v>
          </cell>
          <cell r="H187">
            <v>4.2750000000000003E-2</v>
          </cell>
        </row>
        <row r="188">
          <cell r="C188" t="str">
            <v xml:space="preserve">Door-3 </v>
          </cell>
          <cell r="D188">
            <v>1</v>
          </cell>
          <cell r="E188">
            <v>5.0250000000000004</v>
          </cell>
          <cell r="F188">
            <v>0.1</v>
          </cell>
          <cell r="G188">
            <v>7.4999999999999997E-2</v>
          </cell>
          <cell r="H188">
            <v>3.7687500000000006E-2</v>
          </cell>
        </row>
        <row r="189">
          <cell r="C189" t="str">
            <v>Window-1</v>
          </cell>
          <cell r="D189">
            <v>3</v>
          </cell>
          <cell r="E189">
            <v>9</v>
          </cell>
          <cell r="F189">
            <v>0.1</v>
          </cell>
          <cell r="G189">
            <v>7.4999999999999997E-2</v>
          </cell>
          <cell r="H189">
            <v>0.20250000000000001</v>
          </cell>
        </row>
        <row r="190">
          <cell r="C190" t="str">
            <v>Window-2</v>
          </cell>
          <cell r="D190">
            <v>5</v>
          </cell>
          <cell r="E190">
            <v>4.8000000000000007</v>
          </cell>
          <cell r="F190">
            <v>0.1</v>
          </cell>
          <cell r="G190">
            <v>7.4999999999999997E-2</v>
          </cell>
          <cell r="H190">
            <v>0.18000000000000002</v>
          </cell>
        </row>
        <row r="191">
          <cell r="C191" t="str">
            <v>Window-3</v>
          </cell>
          <cell r="D191">
            <v>2</v>
          </cell>
          <cell r="E191">
            <v>7.8000000000000007</v>
          </cell>
          <cell r="F191">
            <v>0.1</v>
          </cell>
          <cell r="G191">
            <v>7.4999999999999997E-2</v>
          </cell>
          <cell r="H191">
            <v>0.11700000000000002</v>
          </cell>
        </row>
        <row r="192">
          <cell r="C192" t="str">
            <v>Window-4</v>
          </cell>
          <cell r="D192">
            <v>1</v>
          </cell>
          <cell r="E192">
            <v>4.2</v>
          </cell>
          <cell r="F192">
            <v>0.1</v>
          </cell>
          <cell r="G192">
            <v>7.4999999999999997E-2</v>
          </cell>
          <cell r="H192">
            <v>3.15E-2</v>
          </cell>
        </row>
        <row r="193">
          <cell r="C193" t="str">
            <v>Ventilation</v>
          </cell>
          <cell r="D193">
            <v>1</v>
          </cell>
          <cell r="E193">
            <v>3.9</v>
          </cell>
          <cell r="F193">
            <v>0.1</v>
          </cell>
          <cell r="G193">
            <v>7.4999999999999997E-2</v>
          </cell>
          <cell r="H193">
            <v>2.9249999999999998E-2</v>
          </cell>
        </row>
        <row r="194">
          <cell r="B194">
            <v>10.7</v>
          </cell>
          <cell r="C194" t="str">
            <v xml:space="preserve">Flush shutter work with 4mm plywood in both side in 38 x 75 mm salwood frame </v>
          </cell>
          <cell r="H194">
            <v>8.3531250000000004</v>
          </cell>
          <cell r="I194">
            <v>8.3531250000000004</v>
          </cell>
          <cell r="J194" t="str">
            <v>sqm</v>
          </cell>
          <cell r="K194">
            <v>1657.279822222222</v>
          </cell>
          <cell r="L194">
            <v>13843.465515</v>
          </cell>
        </row>
        <row r="195">
          <cell r="C195" t="str">
            <v>Door-1</v>
          </cell>
          <cell r="D195">
            <v>5</v>
          </cell>
          <cell r="E195">
            <v>2.0249999999999999</v>
          </cell>
          <cell r="G195">
            <v>0.82499999999999996</v>
          </cell>
          <cell r="H195">
            <v>8.3531250000000004</v>
          </cell>
        </row>
        <row r="196">
          <cell r="B196" t="str">
            <v>10.9.1</v>
          </cell>
          <cell r="C196" t="str">
            <v>Flush door work with 18 gauge Aluminium sheet on oneside and 3mm plywood on otherside in 38 x 75 mm salwood frame</v>
          </cell>
          <cell r="H196">
            <v>1.3668750000000001</v>
          </cell>
          <cell r="I196">
            <v>1.3668750000000001</v>
          </cell>
          <cell r="J196" t="str">
            <v>sqm</v>
          </cell>
          <cell r="K196">
            <v>2308.7164888888892</v>
          </cell>
          <cell r="L196">
            <v>3155.7268507500007</v>
          </cell>
        </row>
        <row r="197">
          <cell r="C197" t="str">
            <v>Door-3</v>
          </cell>
          <cell r="D197">
            <v>1</v>
          </cell>
          <cell r="E197">
            <v>2.0249999999999999</v>
          </cell>
          <cell r="G197">
            <v>0.67500000000000004</v>
          </cell>
          <cell r="H197">
            <v>1.3668750000000001</v>
          </cell>
        </row>
        <row r="198">
          <cell r="B198">
            <v>10.199999999999999</v>
          </cell>
          <cell r="C198" t="str">
            <v>Panel shutter work in 38 x 75 mm salwood frame</v>
          </cell>
          <cell r="H198">
            <v>2.7337500000000001</v>
          </cell>
          <cell r="I198">
            <v>2.7337500000000001</v>
          </cell>
          <cell r="J198" t="str">
            <v>sqm</v>
          </cell>
          <cell r="K198">
            <v>2471.0679245283022</v>
          </cell>
          <cell r="L198">
            <v>6755.2819386792462</v>
          </cell>
        </row>
        <row r="199">
          <cell r="C199" t="str">
            <v>Door-2</v>
          </cell>
          <cell r="D199">
            <v>1</v>
          </cell>
          <cell r="E199">
            <v>2.0249999999999999</v>
          </cell>
          <cell r="G199">
            <v>1.35</v>
          </cell>
          <cell r="H199">
            <v>2.7337500000000001</v>
          </cell>
        </row>
        <row r="200">
          <cell r="B200">
            <v>10.3</v>
          </cell>
          <cell r="C200" t="str">
            <v xml:space="preserve">Glazed shutter work with 4mm float glass in 38 x 75 mm salwood frame </v>
          </cell>
          <cell r="H200">
            <v>11.070000000000002</v>
          </cell>
          <cell r="I200">
            <v>11.070000000000002</v>
          </cell>
          <cell r="J200" t="str">
            <v>sqm</v>
          </cell>
          <cell r="K200">
            <v>2111.5413004484308</v>
          </cell>
          <cell r="L200">
            <v>23374.762195964133</v>
          </cell>
        </row>
        <row r="201">
          <cell r="C201" t="str">
            <v xml:space="preserve">Window-1 </v>
          </cell>
          <cell r="D201">
            <v>6</v>
          </cell>
          <cell r="E201">
            <v>0.45</v>
          </cell>
          <cell r="G201">
            <v>1.2</v>
          </cell>
          <cell r="H201">
            <v>3.24</v>
          </cell>
        </row>
        <row r="202">
          <cell r="C202" t="str">
            <v>Window-2</v>
          </cell>
          <cell r="D202">
            <v>10</v>
          </cell>
          <cell r="E202">
            <v>0.45</v>
          </cell>
          <cell r="G202">
            <v>1.2</v>
          </cell>
          <cell r="H202">
            <v>5.3999999999999995</v>
          </cell>
        </row>
        <row r="203">
          <cell r="C203" t="str">
            <v>Window-3</v>
          </cell>
          <cell r="D203">
            <v>4</v>
          </cell>
          <cell r="E203">
            <v>0.45</v>
          </cell>
          <cell r="G203">
            <v>0.9</v>
          </cell>
          <cell r="H203">
            <v>1.62</v>
          </cell>
        </row>
        <row r="204">
          <cell r="C204" t="str">
            <v>Window-4</v>
          </cell>
          <cell r="D204">
            <v>2</v>
          </cell>
          <cell r="E204">
            <v>0.45</v>
          </cell>
          <cell r="G204">
            <v>0.9</v>
          </cell>
          <cell r="H204">
            <v>0.81</v>
          </cell>
        </row>
        <row r="205">
          <cell r="B205" t="str">
            <v>10.10</v>
          </cell>
          <cell r="C205" t="str">
            <v>Meshed shutter work with 24 gauge G.I. mosquito net in 38 x 75 mm salwood frame</v>
          </cell>
          <cell r="H205">
            <v>11.070000000000002</v>
          </cell>
          <cell r="I205">
            <v>11.070000000000002</v>
          </cell>
          <cell r="J205" t="str">
            <v>sqm</v>
          </cell>
          <cell r="K205">
            <v>1437.0472577777778</v>
          </cell>
          <cell r="L205">
            <v>15908.113143600003</v>
          </cell>
        </row>
        <row r="206">
          <cell r="C206" t="str">
            <v>Window-1</v>
          </cell>
          <cell r="D206">
            <v>6</v>
          </cell>
          <cell r="E206">
            <v>0.45</v>
          </cell>
          <cell r="G206">
            <v>1.2</v>
          </cell>
          <cell r="H206">
            <v>3.24</v>
          </cell>
        </row>
        <row r="207">
          <cell r="C207" t="str">
            <v>Window-2</v>
          </cell>
          <cell r="D207">
            <v>10</v>
          </cell>
          <cell r="E207">
            <v>0.45</v>
          </cell>
          <cell r="G207">
            <v>1.2</v>
          </cell>
          <cell r="H207">
            <v>5.3999999999999995</v>
          </cell>
        </row>
        <row r="208">
          <cell r="C208" t="str">
            <v>Window-3</v>
          </cell>
          <cell r="D208">
            <v>4</v>
          </cell>
          <cell r="E208">
            <v>0.45</v>
          </cell>
          <cell r="G208">
            <v>0.9</v>
          </cell>
          <cell r="H208">
            <v>1.62</v>
          </cell>
        </row>
        <row r="209">
          <cell r="C209" t="str">
            <v>Window-4</v>
          </cell>
          <cell r="D209">
            <v>2</v>
          </cell>
          <cell r="E209">
            <v>0.45</v>
          </cell>
          <cell r="G209">
            <v>0.9</v>
          </cell>
          <cell r="H209">
            <v>0.81</v>
          </cell>
        </row>
        <row r="210">
          <cell r="B210">
            <v>10.11</v>
          </cell>
          <cell r="C210" t="str">
            <v>Installation of 4mm Float glass in Salwood frame with Salwood bead for closed window</v>
          </cell>
          <cell r="H210">
            <v>3.6044999999999998</v>
          </cell>
          <cell r="I210">
            <v>3.6044999999999998</v>
          </cell>
          <cell r="J210" t="str">
            <v>sqm</v>
          </cell>
          <cell r="K210">
            <v>895.67637511617102</v>
          </cell>
          <cell r="L210">
            <v>3228.4654941062381</v>
          </cell>
        </row>
        <row r="211">
          <cell r="C211" t="str">
            <v xml:space="preserve">Window-1 </v>
          </cell>
          <cell r="D211">
            <v>3</v>
          </cell>
          <cell r="E211">
            <v>0.6</v>
          </cell>
          <cell r="G211">
            <v>1.2</v>
          </cell>
          <cell r="H211">
            <v>2.1599999999999997</v>
          </cell>
        </row>
        <row r="212">
          <cell r="C212" t="str">
            <v>Window-3</v>
          </cell>
          <cell r="D212">
            <v>2</v>
          </cell>
          <cell r="E212">
            <v>0.6</v>
          </cell>
          <cell r="G212">
            <v>0.9</v>
          </cell>
          <cell r="H212">
            <v>1.08</v>
          </cell>
        </row>
        <row r="213">
          <cell r="C213" t="str">
            <v>Ventillation</v>
          </cell>
          <cell r="D213">
            <v>1</v>
          </cell>
          <cell r="E213">
            <v>1.35</v>
          </cell>
          <cell r="G213">
            <v>0.27</v>
          </cell>
          <cell r="H213">
            <v>0.36450000000000005</v>
          </cell>
        </row>
        <row r="214">
          <cell r="B214" t="str">
            <v>M-3</v>
          </cell>
          <cell r="C214" t="str">
            <v>Fabrication of MS Grill for Windows</v>
          </cell>
          <cell r="H214">
            <v>14.674500000000002</v>
          </cell>
          <cell r="I214">
            <v>264.14100000000002</v>
          </cell>
          <cell r="J214" t="str">
            <v>Kg.</v>
          </cell>
          <cell r="K214">
            <v>74.75</v>
          </cell>
          <cell r="L214">
            <v>19744.53975</v>
          </cell>
        </row>
        <row r="215">
          <cell r="C215" t="str">
            <v>Window-1</v>
          </cell>
          <cell r="D215">
            <v>6</v>
          </cell>
          <cell r="E215">
            <v>0.45</v>
          </cell>
          <cell r="G215">
            <v>1.2</v>
          </cell>
          <cell r="H215">
            <v>3.24</v>
          </cell>
        </row>
        <row r="216">
          <cell r="D216">
            <v>3</v>
          </cell>
          <cell r="E216">
            <v>0.6</v>
          </cell>
          <cell r="G216">
            <v>1.2</v>
          </cell>
          <cell r="H216">
            <v>2.1599999999999997</v>
          </cell>
        </row>
        <row r="217">
          <cell r="C217" t="str">
            <v>Window-2</v>
          </cell>
          <cell r="D217">
            <v>10</v>
          </cell>
          <cell r="E217">
            <v>0.45</v>
          </cell>
          <cell r="G217">
            <v>1.2</v>
          </cell>
          <cell r="H217">
            <v>5.3999999999999995</v>
          </cell>
        </row>
        <row r="218">
          <cell r="C218" t="str">
            <v>Window-3</v>
          </cell>
          <cell r="D218">
            <v>4</v>
          </cell>
          <cell r="E218">
            <v>0.45</v>
          </cell>
          <cell r="G218">
            <v>0.9</v>
          </cell>
          <cell r="H218">
            <v>1.62</v>
          </cell>
        </row>
        <row r="219">
          <cell r="D219">
            <v>2</v>
          </cell>
          <cell r="E219">
            <v>0.6</v>
          </cell>
          <cell r="G219">
            <v>0.9</v>
          </cell>
          <cell r="H219">
            <v>1.08</v>
          </cell>
        </row>
        <row r="220">
          <cell r="C220" t="str">
            <v>Window-4</v>
          </cell>
          <cell r="D220">
            <v>2</v>
          </cell>
          <cell r="E220">
            <v>0.45</v>
          </cell>
          <cell r="G220">
            <v>0.9</v>
          </cell>
          <cell r="H220">
            <v>0.81</v>
          </cell>
        </row>
        <row r="221">
          <cell r="C221" t="str">
            <v>Ventillation</v>
          </cell>
          <cell r="D221">
            <v>1</v>
          </cell>
          <cell r="E221">
            <v>1.35</v>
          </cell>
          <cell r="G221">
            <v>0.27</v>
          </cell>
          <cell r="H221">
            <v>0.36450000000000005</v>
          </cell>
        </row>
        <row r="222">
          <cell r="B222" t="str">
            <v>13.3.c</v>
          </cell>
          <cell r="C222" t="str">
            <v>Laying base course and two coats of distemper paint</v>
          </cell>
          <cell r="H222">
            <v>151.005</v>
          </cell>
          <cell r="I222">
            <v>151.005</v>
          </cell>
          <cell r="J222" t="str">
            <v>sqm</v>
          </cell>
          <cell r="K222">
            <v>28.9846</v>
          </cell>
          <cell r="L222">
            <v>4376.8195230000001</v>
          </cell>
        </row>
        <row r="223">
          <cell r="C223" t="str">
            <v>Same as wall and ceiling plaster (internal)</v>
          </cell>
          <cell r="H223">
            <v>151.005</v>
          </cell>
        </row>
        <row r="224">
          <cell r="B224" t="str">
            <v>13.4.b</v>
          </cell>
          <cell r="C224" t="str">
            <v>Laying two coat of water proof cement paint</v>
          </cell>
          <cell r="H224">
            <v>124.36999999999999</v>
          </cell>
          <cell r="I224">
            <v>124.36999999999999</v>
          </cell>
          <cell r="J224" t="str">
            <v>sqm</v>
          </cell>
          <cell r="K224">
            <v>56.919250000000005</v>
          </cell>
          <cell r="L224">
            <v>7079.0471225000001</v>
          </cell>
        </row>
        <row r="225">
          <cell r="C225" t="str">
            <v>Same as wall and ceiling plaster (external)</v>
          </cell>
          <cell r="H225">
            <v>124.36999999999999</v>
          </cell>
        </row>
        <row r="226">
          <cell r="B226" t="str">
            <v>13.5.c</v>
          </cell>
          <cell r="C226" t="str">
            <v>Laying primer course and two coats of enamel paint</v>
          </cell>
          <cell r="H226">
            <v>35.010000000000005</v>
          </cell>
          <cell r="I226">
            <v>35.010000000000005</v>
          </cell>
          <cell r="J226" t="str">
            <v>sqm</v>
          </cell>
          <cell r="K226">
            <v>105.57</v>
          </cell>
          <cell r="L226">
            <v>3696.0057000000002</v>
          </cell>
        </row>
        <row r="227">
          <cell r="C227" t="str">
            <v xml:space="preserve">Door-1 </v>
          </cell>
          <cell r="D227">
            <v>5</v>
          </cell>
          <cell r="E227">
            <v>0.97499999999999998</v>
          </cell>
          <cell r="G227">
            <v>2.1</v>
          </cell>
          <cell r="H227">
            <v>10.237499999999999</v>
          </cell>
        </row>
        <row r="228">
          <cell r="C228" t="str">
            <v>Door-2</v>
          </cell>
          <cell r="D228">
            <v>1</v>
          </cell>
          <cell r="E228">
            <v>1.5</v>
          </cell>
          <cell r="G228">
            <v>2.1</v>
          </cell>
          <cell r="H228">
            <v>3.1500000000000004</v>
          </cell>
        </row>
        <row r="229">
          <cell r="C229" t="str">
            <v xml:space="preserve">Door-3 </v>
          </cell>
          <cell r="D229">
            <v>1</v>
          </cell>
          <cell r="E229">
            <v>0.82499999999999996</v>
          </cell>
          <cell r="G229">
            <v>2.1</v>
          </cell>
          <cell r="H229">
            <v>1.7324999999999999</v>
          </cell>
        </row>
        <row r="230">
          <cell r="C230" t="str">
            <v>Window-1</v>
          </cell>
          <cell r="D230">
            <v>3</v>
          </cell>
          <cell r="E230">
            <v>1.8</v>
          </cell>
          <cell r="G230">
            <v>1.35</v>
          </cell>
          <cell r="H230">
            <v>7.2900000000000009</v>
          </cell>
        </row>
        <row r="231">
          <cell r="C231" t="str">
            <v>Window-2</v>
          </cell>
          <cell r="D231">
            <v>5</v>
          </cell>
          <cell r="E231">
            <v>1.05</v>
          </cell>
          <cell r="G231">
            <v>1.35</v>
          </cell>
          <cell r="H231">
            <v>7.0875000000000012</v>
          </cell>
        </row>
        <row r="232">
          <cell r="C232" t="str">
            <v>Window-3</v>
          </cell>
          <cell r="D232">
            <v>2</v>
          </cell>
          <cell r="E232">
            <v>1.8</v>
          </cell>
          <cell r="G232">
            <v>1.05</v>
          </cell>
          <cell r="H232">
            <v>3.7800000000000002</v>
          </cell>
        </row>
        <row r="233">
          <cell r="C233" t="str">
            <v>Window-4</v>
          </cell>
          <cell r="D233">
            <v>1</v>
          </cell>
          <cell r="E233">
            <v>1.05</v>
          </cell>
          <cell r="G233">
            <v>1.05</v>
          </cell>
          <cell r="H233">
            <v>1.1025</v>
          </cell>
        </row>
        <row r="234">
          <cell r="C234" t="str">
            <v>Ventillation</v>
          </cell>
          <cell r="D234">
            <v>1</v>
          </cell>
          <cell r="E234">
            <v>1.5</v>
          </cell>
          <cell r="G234">
            <v>0.42</v>
          </cell>
          <cell r="H234">
            <v>0.63</v>
          </cell>
        </row>
        <row r="235">
          <cell r="B235" t="str">
            <v>Sanitary Work</v>
          </cell>
        </row>
        <row r="236">
          <cell r="B236" t="str">
            <v>17.4.a.1.1.a</v>
          </cell>
          <cell r="C236" t="str">
            <v>13mm dia. GI pipe laying works (with pipe)</v>
          </cell>
          <cell r="D236">
            <v>1</v>
          </cell>
          <cell r="E236">
            <v>15</v>
          </cell>
          <cell r="H236">
            <v>15</v>
          </cell>
          <cell r="I236">
            <v>15</v>
          </cell>
          <cell r="J236" t="str">
            <v>m</v>
          </cell>
          <cell r="K236">
            <v>77.665872533333342</v>
          </cell>
          <cell r="L236">
            <v>1164.9880880000001</v>
          </cell>
        </row>
        <row r="237">
          <cell r="B237" t="str">
            <v>17.4.a.1.2.a</v>
          </cell>
          <cell r="C237" t="str">
            <v>20mm dia. GI pipe laying works (with Pipe)</v>
          </cell>
          <cell r="D237">
            <v>1</v>
          </cell>
          <cell r="E237">
            <v>6</v>
          </cell>
          <cell r="H237">
            <v>6</v>
          </cell>
          <cell r="I237">
            <v>6</v>
          </cell>
          <cell r="J237" t="str">
            <v>m</v>
          </cell>
          <cell r="K237">
            <v>98.22596492866667</v>
          </cell>
          <cell r="L237">
            <v>589.35578957200005</v>
          </cell>
        </row>
        <row r="238">
          <cell r="B238" t="str">
            <v>M-7</v>
          </cell>
          <cell r="C238" t="str">
            <v>20mm Gate Valve with fitting</v>
          </cell>
          <cell r="D238">
            <v>1</v>
          </cell>
          <cell r="H238">
            <v>1</v>
          </cell>
          <cell r="I238">
            <v>1</v>
          </cell>
          <cell r="J238" t="str">
            <v>no</v>
          </cell>
          <cell r="K238">
            <v>250</v>
          </cell>
          <cell r="L238">
            <v>250</v>
          </cell>
        </row>
        <row r="239">
          <cell r="B239" t="str">
            <v>M-8</v>
          </cell>
          <cell r="C239" t="str">
            <v>Chrome Plate (CP) 15mm taps</v>
          </cell>
          <cell r="D239">
            <v>4</v>
          </cell>
          <cell r="H239">
            <v>2</v>
          </cell>
          <cell r="I239">
            <v>2</v>
          </cell>
          <cell r="J239" t="str">
            <v>no</v>
          </cell>
          <cell r="K239">
            <v>250</v>
          </cell>
          <cell r="L239">
            <v>500</v>
          </cell>
        </row>
        <row r="240">
          <cell r="B240" t="str">
            <v>M-9</v>
          </cell>
          <cell r="C240" t="str">
            <v>Glazed Indian Type WC Set</v>
          </cell>
          <cell r="D240">
            <v>1</v>
          </cell>
          <cell r="H240">
            <v>2</v>
          </cell>
          <cell r="I240">
            <v>2</v>
          </cell>
          <cell r="J240" t="str">
            <v>no</v>
          </cell>
          <cell r="K240">
            <v>750</v>
          </cell>
          <cell r="L240">
            <v>1500</v>
          </cell>
        </row>
        <row r="241">
          <cell r="B241" t="str">
            <v>M-12</v>
          </cell>
          <cell r="C241" t="str">
            <v>PVC Pipe 100mm</v>
          </cell>
          <cell r="D241">
            <v>1</v>
          </cell>
          <cell r="E241">
            <v>3</v>
          </cell>
          <cell r="H241">
            <v>3</v>
          </cell>
          <cell r="I241">
            <v>3</v>
          </cell>
          <cell r="J241" t="str">
            <v>Rm</v>
          </cell>
          <cell r="K241">
            <v>100</v>
          </cell>
          <cell r="L241">
            <v>300</v>
          </cell>
        </row>
        <row r="242">
          <cell r="B242" t="str">
            <v>M-13</v>
          </cell>
          <cell r="C242" t="str">
            <v>PVC Pipe 75mm</v>
          </cell>
          <cell r="D242">
            <v>4</v>
          </cell>
          <cell r="E242">
            <v>4.5</v>
          </cell>
          <cell r="H242">
            <v>18</v>
          </cell>
          <cell r="I242">
            <v>18</v>
          </cell>
          <cell r="J242" t="str">
            <v>Rm</v>
          </cell>
          <cell r="K242">
            <v>75</v>
          </cell>
          <cell r="L242">
            <v>1350</v>
          </cell>
        </row>
        <row r="243">
          <cell r="B243" t="str">
            <v>M-14</v>
          </cell>
          <cell r="C243" t="str">
            <v>PVC Pipe 50mm</v>
          </cell>
          <cell r="D243">
            <v>1</v>
          </cell>
          <cell r="E243">
            <v>5</v>
          </cell>
          <cell r="H243">
            <v>5</v>
          </cell>
          <cell r="I243">
            <v>5</v>
          </cell>
          <cell r="J243" t="str">
            <v>Rm</v>
          </cell>
          <cell r="K243">
            <v>50</v>
          </cell>
          <cell r="L243">
            <v>250</v>
          </cell>
        </row>
        <row r="244">
          <cell r="B244" t="str">
            <v>M-18</v>
          </cell>
          <cell r="C244" t="str">
            <v>Stainless Steel Sink</v>
          </cell>
          <cell r="D244">
            <v>2</v>
          </cell>
          <cell r="H244">
            <v>2</v>
          </cell>
          <cell r="I244">
            <v>2</v>
          </cell>
          <cell r="J244" t="str">
            <v>no</v>
          </cell>
          <cell r="K244">
            <v>969.45</v>
          </cell>
          <cell r="L244">
            <v>1938.9</v>
          </cell>
        </row>
        <row r="266">
          <cell r="B266" t="str">
            <v>E-1</v>
          </cell>
          <cell r="C266" t="str">
            <v>Supply, installation and commissioning  of Main Distribution Board(MDB) wall mounting concealed type, dust and vermin proofmade of 16 SWG mildsteel sheet cubical with double covercovering the MCB with the locking arrangement as perdrawing and specificatio</v>
          </cell>
          <cell r="I266">
            <v>1</v>
          </cell>
          <cell r="J266" t="str">
            <v>set</v>
          </cell>
          <cell r="K266">
            <v>3936</v>
          </cell>
          <cell r="L266">
            <v>3936</v>
          </cell>
        </row>
        <row r="267">
          <cell r="C267" t="str">
            <v>Main Distribution Board</v>
          </cell>
        </row>
        <row r="268">
          <cell r="C268" t="str">
            <v>1 no of 20 amp SP  MCB  Havells/ Siemens of equivalent</v>
          </cell>
        </row>
        <row r="269">
          <cell r="C269" t="str">
            <v>1set of 30 A amp bus bars</v>
          </cell>
        </row>
        <row r="270">
          <cell r="C270" t="str">
            <v>1 no of earth bus bar</v>
          </cell>
        </row>
        <row r="271">
          <cell r="C271" t="str">
            <v xml:space="preserve">2 nos. of 16 amp SP MCB (4.5 kA)   Havells\Siemens or equivalent  </v>
          </cell>
        </row>
        <row r="272">
          <cell r="C272" t="str">
            <v>4 nos. of  10 amp SP MCB (4.5 kA)   Havells\Siemens or equivalent</v>
          </cell>
        </row>
        <row r="273">
          <cell r="B273" t="str">
            <v>E-2</v>
          </cell>
          <cell r="C273" t="str">
            <v>Supply and installation of light point wiring from DB tovarious points with2 nos of 3/22 PVC insulated copper wirethrough 20 mm internal dia HDPEconduit concealed via junction box as per drawing and specificationincluding the cost of switch and metal box</v>
          </cell>
          <cell r="I273">
            <v>17</v>
          </cell>
          <cell r="J273" t="str">
            <v>pt</v>
          </cell>
          <cell r="K273">
            <v>426</v>
          </cell>
          <cell r="L273">
            <v>7242</v>
          </cell>
        </row>
        <row r="274">
          <cell r="B274" t="str">
            <v>E-3</v>
          </cell>
          <cell r="C274" t="str">
            <v>Supply and installation of  3 pin (15 A) socket point wiringwith2 nos of7/22 + 1no of 1/18 pvc insulated copper wiresthrough 20 mm internal diaHDPE conduit concealed from SDB to various points as per drawing andspecification including the cost of Switch s</v>
          </cell>
          <cell r="I274">
            <v>7</v>
          </cell>
          <cell r="J274" t="str">
            <v>pt</v>
          </cell>
          <cell r="K274">
            <v>610</v>
          </cell>
          <cell r="L274">
            <v>4270</v>
          </cell>
        </row>
        <row r="275">
          <cell r="B275">
            <v>4</v>
          </cell>
          <cell r="C275" t="str">
            <v>Supply and installation of  2 pin ( 5 A)socket point wiring with2 nos of3/20 pvc insulated copper wires through 20 mminternal dia HDPE conduitconcealed from SDB to variouspoints as per drawing and specification including the cost of Switch socket and meta</v>
          </cell>
          <cell r="I275">
            <v>2</v>
          </cell>
          <cell r="J275" t="str">
            <v>pt</v>
          </cell>
          <cell r="K275">
            <v>476</v>
          </cell>
          <cell r="L275">
            <v>952</v>
          </cell>
        </row>
        <row r="276">
          <cell r="B276" t="str">
            <v>E-4</v>
          </cell>
          <cell r="C276" t="str">
            <v>Supply and installation of 9'' sweep  exhaust fan as per drawing andspecification including GI sheet boxing.</v>
          </cell>
          <cell r="I276">
            <v>2</v>
          </cell>
          <cell r="J276" t="str">
            <v>set</v>
          </cell>
          <cell r="K276">
            <v>2447</v>
          </cell>
          <cell r="L276">
            <v>4894</v>
          </cell>
        </row>
        <row r="277">
          <cell r="B277" t="str">
            <v>E-5</v>
          </cell>
          <cell r="C277" t="str">
            <v>Supply and installation of 42'' sweep  ceiling fan as per drawing andspecification including GI sheet boxing.</v>
          </cell>
          <cell r="I277">
            <v>2</v>
          </cell>
          <cell r="J277" t="str">
            <v>set</v>
          </cell>
          <cell r="K277">
            <v>2447</v>
          </cell>
          <cell r="L277">
            <v>4894</v>
          </cell>
        </row>
        <row r="278">
          <cell r="B278" t="str">
            <v>E-6</v>
          </cell>
          <cell r="C278" t="str">
            <v>Supply and installation of earth electrode made of 30cm x 30cm x 3mmcopper plate including 8 SWG bare copper wireconnection to DB's.</v>
          </cell>
          <cell r="I278">
            <v>1</v>
          </cell>
          <cell r="J278" t="str">
            <v>set</v>
          </cell>
          <cell r="K278">
            <v>6758</v>
          </cell>
          <cell r="L278">
            <v>6758</v>
          </cell>
        </row>
        <row r="279">
          <cell r="B279" t="str">
            <v>E-7</v>
          </cell>
          <cell r="C279" t="str">
            <v>Chieseling, laying conduits cables the main line distribution from MDB toFloor DB,s with 2 x 7/16 size cable in 20 mm HDPE consduit.</v>
          </cell>
          <cell r="I279">
            <v>7</v>
          </cell>
          <cell r="J279" t="str">
            <v>job</v>
          </cell>
          <cell r="K279">
            <v>149</v>
          </cell>
          <cell r="L279">
            <v>1043</v>
          </cell>
        </row>
        <row r="282">
          <cell r="B282" t="str">
            <v>F-1</v>
          </cell>
          <cell r="C282" t="str">
            <v>Made of 25x38mm MS angle and 3x18mm MS Strip with metal polish all complete</v>
          </cell>
          <cell r="D282">
            <v>1</v>
          </cell>
          <cell r="E282">
            <v>1800</v>
          </cell>
          <cell r="F282">
            <v>375</v>
          </cell>
          <cell r="G282">
            <v>2025</v>
          </cell>
          <cell r="I282">
            <v>1</v>
          </cell>
          <cell r="J282" t="str">
            <v>no</v>
          </cell>
          <cell r="K282">
            <v>3000</v>
          </cell>
          <cell r="L282">
            <v>3000</v>
          </cell>
        </row>
        <row r="283">
          <cell r="B283" t="str">
            <v>F-2</v>
          </cell>
          <cell r="C283" t="str">
            <v>Made of 25x38mm MS angle and 3x18mm MS Strip with metal polish all complete</v>
          </cell>
          <cell r="D283">
            <v>3</v>
          </cell>
          <cell r="E283">
            <v>1200</v>
          </cell>
          <cell r="F283">
            <v>375</v>
          </cell>
          <cell r="G283">
            <v>2025</v>
          </cell>
          <cell r="I283">
            <v>3</v>
          </cell>
          <cell r="J283" t="str">
            <v>no</v>
          </cell>
          <cell r="K283">
            <v>3000</v>
          </cell>
          <cell r="L283">
            <v>9000</v>
          </cell>
        </row>
        <row r="284">
          <cell r="B284" t="str">
            <v>F-3</v>
          </cell>
          <cell r="C284" t="str">
            <v>Made of sisam wood of 25x38mm section, dunlop at seat and back rest with rexin cover, having hand rest, 3 coats chapra polish all complete</v>
          </cell>
          <cell r="D284">
            <v>2</v>
          </cell>
          <cell r="E284">
            <v>525</v>
          </cell>
          <cell r="F284">
            <v>475</v>
          </cell>
          <cell r="I284">
            <v>2</v>
          </cell>
          <cell r="J284" t="str">
            <v>no</v>
          </cell>
          <cell r="K284">
            <v>1800</v>
          </cell>
          <cell r="L284">
            <v>3600</v>
          </cell>
        </row>
        <row r="285">
          <cell r="B285" t="str">
            <v>F-4</v>
          </cell>
          <cell r="C285" t="str">
            <v>MS cupboard made of 20 gauge MS Sheet for Clothes Store : Godrej or Equivalent</v>
          </cell>
          <cell r="D285">
            <v>1</v>
          </cell>
          <cell r="E285">
            <v>525</v>
          </cell>
          <cell r="F285">
            <v>900</v>
          </cell>
          <cell r="G285">
            <v>2025</v>
          </cell>
          <cell r="I285">
            <v>1</v>
          </cell>
          <cell r="J285" t="str">
            <v>no</v>
          </cell>
          <cell r="K285">
            <v>9000</v>
          </cell>
          <cell r="L285">
            <v>9000</v>
          </cell>
        </row>
        <row r="286">
          <cell r="B286" t="str">
            <v>F-5</v>
          </cell>
          <cell r="C286" t="str">
            <v>Single Bed made of 50x75 salwood section</v>
          </cell>
          <cell r="D286">
            <v>4</v>
          </cell>
          <cell r="E286">
            <v>375</v>
          </cell>
          <cell r="F286">
            <v>375</v>
          </cell>
          <cell r="G286">
            <v>600</v>
          </cell>
          <cell r="I286">
            <v>4</v>
          </cell>
          <cell r="J286" t="str">
            <v>no</v>
          </cell>
          <cell r="K286">
            <v>4500</v>
          </cell>
          <cell r="L286">
            <v>18000</v>
          </cell>
        </row>
        <row r="344">
          <cell r="B344">
            <v>2.14</v>
          </cell>
          <cell r="C344" t="str">
            <v>E/W Excavation for foundation, drain, pipelines etc. in BM Soil</v>
          </cell>
          <cell r="D344">
            <v>1</v>
          </cell>
          <cell r="E344">
            <v>3.1</v>
          </cell>
          <cell r="F344">
            <v>1.9</v>
          </cell>
          <cell r="G344">
            <v>1.5</v>
          </cell>
          <cell r="H344">
            <v>8.8349999999999991</v>
          </cell>
          <cell r="I344">
            <v>8.8349999999999991</v>
          </cell>
          <cell r="J344" t="str">
            <v>cum</v>
          </cell>
          <cell r="K344">
            <v>150.66839999999999</v>
          </cell>
          <cell r="L344">
            <v>1331.1553139999999</v>
          </cell>
        </row>
        <row r="345">
          <cell r="B345" t="str">
            <v>11.15.b</v>
          </cell>
          <cell r="C345" t="str">
            <v xml:space="preserve">Brick soling on edge with sand </v>
          </cell>
          <cell r="D345">
            <v>1</v>
          </cell>
          <cell r="E345">
            <v>3</v>
          </cell>
          <cell r="F345">
            <v>1.8</v>
          </cell>
          <cell r="H345">
            <v>5.4</v>
          </cell>
          <cell r="I345">
            <v>5.4</v>
          </cell>
          <cell r="J345" t="str">
            <v>sqm</v>
          </cell>
          <cell r="K345">
            <v>343.27430057539067</v>
          </cell>
          <cell r="L345">
            <v>1853.6812231071096</v>
          </cell>
        </row>
        <row r="346">
          <cell r="B346" t="str">
            <v>5.1.b.3</v>
          </cell>
          <cell r="C346" t="str">
            <v xml:space="preserve">Local first class brick masonry works in 1:6 cement sand mortar </v>
          </cell>
          <cell r="H346">
            <v>3.0204374999999999</v>
          </cell>
          <cell r="I346">
            <v>3.0204374999999999</v>
          </cell>
          <cell r="J346" t="str">
            <v>cum</v>
          </cell>
          <cell r="K346">
            <v>3238.8808289078133</v>
          </cell>
          <cell r="L346">
            <v>9782.8371136642436</v>
          </cell>
        </row>
        <row r="347">
          <cell r="C347" t="str">
            <v>Outer Wall</v>
          </cell>
          <cell r="D347">
            <v>2</v>
          </cell>
          <cell r="E347">
            <v>3</v>
          </cell>
          <cell r="F347">
            <v>1.335</v>
          </cell>
          <cell r="G347">
            <v>0.25</v>
          </cell>
          <cell r="H347">
            <v>2.0024999999999999</v>
          </cell>
        </row>
        <row r="348">
          <cell r="D348">
            <v>2</v>
          </cell>
          <cell r="E348">
            <v>1.3</v>
          </cell>
          <cell r="F348">
            <v>1.335</v>
          </cell>
          <cell r="G348">
            <v>0.25</v>
          </cell>
          <cell r="H348">
            <v>0.86775000000000002</v>
          </cell>
        </row>
        <row r="349">
          <cell r="C349" t="str">
            <v>Partition Wall</v>
          </cell>
          <cell r="D349">
            <v>1</v>
          </cell>
          <cell r="E349">
            <v>0.9</v>
          </cell>
          <cell r="F349">
            <v>1.335</v>
          </cell>
          <cell r="G349">
            <v>0.125</v>
          </cell>
          <cell r="H349">
            <v>0.1501875</v>
          </cell>
        </row>
        <row r="350">
          <cell r="B350" t="str">
            <v>7.4.b</v>
          </cell>
          <cell r="C350" t="str">
            <v xml:space="preserve">P.C.C. for R.C.C. for super structures in M20 </v>
          </cell>
          <cell r="H350">
            <v>1.08</v>
          </cell>
          <cell r="I350">
            <v>1.08</v>
          </cell>
          <cell r="J350" t="str">
            <v>cum</v>
          </cell>
          <cell r="K350">
            <v>6154.8131365578129</v>
          </cell>
          <cell r="L350">
            <v>6647.1981874824387</v>
          </cell>
        </row>
        <row r="351">
          <cell r="C351" t="str">
            <v>Base of Septic Tank</v>
          </cell>
          <cell r="D351">
            <v>1</v>
          </cell>
          <cell r="E351">
            <v>3</v>
          </cell>
          <cell r="F351">
            <v>1.8</v>
          </cell>
          <cell r="G351">
            <v>0.1</v>
          </cell>
          <cell r="H351">
            <v>0.54</v>
          </cell>
        </row>
        <row r="352">
          <cell r="C352" t="str">
            <v>Septic Tank Cover</v>
          </cell>
          <cell r="D352">
            <v>1</v>
          </cell>
          <cell r="E352">
            <v>3</v>
          </cell>
          <cell r="F352">
            <v>1.8</v>
          </cell>
          <cell r="G352">
            <v>0.1</v>
          </cell>
          <cell r="H352">
            <v>0.54</v>
          </cell>
        </row>
        <row r="353">
          <cell r="B353" t="str">
            <v>7.5</v>
          </cell>
          <cell r="C353" t="str">
            <v>Reinforcement work for R.C.C. work</v>
          </cell>
          <cell r="I353">
            <v>0.10800000000000001</v>
          </cell>
          <cell r="J353" t="str">
            <v>mt</v>
          </cell>
          <cell r="K353">
            <v>39248.537514867188</v>
          </cell>
          <cell r="L353">
            <v>4238.8420516056567</v>
          </cell>
        </row>
        <row r="354">
          <cell r="B354" t="str">
            <v>8.1.a</v>
          </cell>
          <cell r="C354" t="str">
            <v>Simple standard formwork of size &lt;1 sqm excluding materials</v>
          </cell>
          <cell r="H354">
            <v>5.4</v>
          </cell>
          <cell r="I354">
            <v>5.4</v>
          </cell>
          <cell r="J354" t="str">
            <v>sqm</v>
          </cell>
          <cell r="K354">
            <v>72.249900000000011</v>
          </cell>
          <cell r="L354">
            <v>390.14946000000009</v>
          </cell>
        </row>
        <row r="355">
          <cell r="C355" t="str">
            <v>Septic Tank Cover</v>
          </cell>
          <cell r="D355">
            <v>1</v>
          </cell>
          <cell r="E355">
            <v>3</v>
          </cell>
          <cell r="F355">
            <v>1.8</v>
          </cell>
          <cell r="H355">
            <v>5.4</v>
          </cell>
        </row>
        <row r="356">
          <cell r="B356" t="str">
            <v>12.1.c</v>
          </cell>
          <cell r="C356" t="str">
            <v>12.5 mm plastering works in 1:4 cement sand mortar</v>
          </cell>
          <cell r="H356">
            <v>12.426000000000002</v>
          </cell>
          <cell r="I356">
            <v>12.426000000000002</v>
          </cell>
          <cell r="J356" t="str">
            <v>sqm</v>
          </cell>
          <cell r="K356">
            <v>83.687917974834363</v>
          </cell>
          <cell r="L356">
            <v>1039.9060687552919</v>
          </cell>
        </row>
        <row r="357">
          <cell r="C357" t="str">
            <v>Inside Outer Wall</v>
          </cell>
          <cell r="D357">
            <v>2</v>
          </cell>
          <cell r="E357">
            <v>2.5</v>
          </cell>
          <cell r="F357">
            <v>1.635</v>
          </cell>
          <cell r="H357">
            <v>8.1750000000000007</v>
          </cell>
        </row>
        <row r="358">
          <cell r="D358">
            <v>2</v>
          </cell>
          <cell r="E358">
            <v>1.3</v>
          </cell>
          <cell r="F358">
            <v>1.635</v>
          </cell>
          <cell r="H358">
            <v>4.2510000000000003</v>
          </cell>
        </row>
        <row r="359">
          <cell r="B359" t="str">
            <v>12.4.b</v>
          </cell>
          <cell r="C359" t="str">
            <v>20 mm plastering works in 1:4 cement sand mortar</v>
          </cell>
          <cell r="H359">
            <v>3.25</v>
          </cell>
          <cell r="I359">
            <v>3.25</v>
          </cell>
          <cell r="J359" t="str">
            <v>sqm</v>
          </cell>
          <cell r="K359">
            <v>113.70820818442188</v>
          </cell>
          <cell r="L359">
            <v>369.55167659937109</v>
          </cell>
        </row>
        <row r="360">
          <cell r="C360" t="str">
            <v>Base of Septic Tank</v>
          </cell>
          <cell r="D360">
            <v>1</v>
          </cell>
          <cell r="E360">
            <v>2.5</v>
          </cell>
          <cell r="F360">
            <v>1.3</v>
          </cell>
          <cell r="H360">
            <v>3.25</v>
          </cell>
        </row>
        <row r="361">
          <cell r="B361">
            <v>14.6</v>
          </cell>
          <cell r="C361" t="str">
            <v>Cement punning works in 1:1 cement sand mortar</v>
          </cell>
          <cell r="I361">
            <v>15.676000000000002</v>
          </cell>
          <cell r="J361" t="str">
            <v>sqm</v>
          </cell>
          <cell r="K361">
            <v>51.400182076293753</v>
          </cell>
          <cell r="L361">
            <v>805.74925422798094</v>
          </cell>
        </row>
        <row r="362">
          <cell r="B362" t="str">
            <v>M-10</v>
          </cell>
          <cell r="C362" t="str">
            <v>Inspection Chamber 450x450x450 with RCC Cover</v>
          </cell>
          <cell r="I362">
            <v>4</v>
          </cell>
          <cell r="J362" t="str">
            <v>no</v>
          </cell>
          <cell r="K362">
            <v>3543.4252941742179</v>
          </cell>
          <cell r="L362">
            <v>14173.701176696872</v>
          </cell>
        </row>
      </sheetData>
      <sheetData sheetId="41">
        <row r="332">
          <cell r="B332" t="str">
            <v>1.4</v>
          </cell>
          <cell r="C332" t="str">
            <v>Site Clearance in thin vegetation area</v>
          </cell>
          <cell r="I332">
            <v>61.413749999999993</v>
          </cell>
          <cell r="J332" t="str">
            <v>sqm</v>
          </cell>
          <cell r="K332">
            <v>2.76</v>
          </cell>
          <cell r="L332">
            <v>169.50194999999997</v>
          </cell>
        </row>
        <row r="333">
          <cell r="B333">
            <v>2.14</v>
          </cell>
          <cell r="C333" t="str">
            <v>E/W Excavation for foundation, drain, pipelines etc. in BM Soil</v>
          </cell>
          <cell r="I333">
            <v>142.19746499999999</v>
          </cell>
          <cell r="J333" t="str">
            <v>cum</v>
          </cell>
          <cell r="K333">
            <v>150.66839999999999</v>
          </cell>
          <cell r="L333">
            <v>21424.664535605996</v>
          </cell>
        </row>
        <row r="334">
          <cell r="B334" t="str">
            <v>2.42</v>
          </cell>
          <cell r="C334" t="str">
            <v>Sand filling with compaction and sprinkling of water</v>
          </cell>
          <cell r="I334">
            <v>3.4150900000000006</v>
          </cell>
          <cell r="J334" t="str">
            <v>cum</v>
          </cell>
          <cell r="K334">
            <v>924.01857832812482</v>
          </cell>
          <cell r="L334">
            <v>3155.6066066625963</v>
          </cell>
        </row>
        <row r="335">
          <cell r="B335" t="str">
            <v>7.5</v>
          </cell>
          <cell r="C335" t="str">
            <v>Reinforcement work for R.C.C. work</v>
          </cell>
          <cell r="I335">
            <v>0.69044977499999993</v>
          </cell>
          <cell r="J335" t="str">
            <v>mt</v>
          </cell>
          <cell r="K335">
            <v>39248.537514867188</v>
          </cell>
          <cell r="L335">
            <v>27099.143896219106</v>
          </cell>
        </row>
        <row r="336">
          <cell r="B336">
            <v>10.1</v>
          </cell>
          <cell r="C336" t="str">
            <v>Salwood frame work for door and windows</v>
          </cell>
          <cell r="I336">
            <v>0.31499999999999995</v>
          </cell>
          <cell r="J336" t="str">
            <v>cum</v>
          </cell>
          <cell r="K336">
            <v>45227.199999999997</v>
          </cell>
          <cell r="L336">
            <v>14246.567999999997</v>
          </cell>
        </row>
        <row r="337">
          <cell r="B337">
            <v>10.199999999999999</v>
          </cell>
          <cell r="C337" t="str">
            <v>Panel shutter work in 38 x 75 mm salwood frame</v>
          </cell>
          <cell r="I337">
            <v>3.645</v>
          </cell>
          <cell r="J337" t="str">
            <v>sqm</v>
          </cell>
          <cell r="K337">
            <v>2471.0679245283022</v>
          </cell>
          <cell r="L337">
            <v>9007.042584905661</v>
          </cell>
        </row>
        <row r="338">
          <cell r="B338">
            <v>10.7</v>
          </cell>
          <cell r="C338" t="str">
            <v xml:space="preserve">Flush shutter work with 4mm plywood in both side in 38 x 75 mm salwood frame </v>
          </cell>
          <cell r="I338">
            <v>4.8599999999999994</v>
          </cell>
          <cell r="J338" t="str">
            <v>sqm</v>
          </cell>
          <cell r="K338">
            <v>1657.279822222222</v>
          </cell>
          <cell r="L338">
            <v>8054.3799359999985</v>
          </cell>
        </row>
        <row r="339">
          <cell r="B339">
            <v>11.7</v>
          </cell>
          <cell r="C339" t="str">
            <v>Porcelain glazed tiles overlay in 1:4 cement sand mortar</v>
          </cell>
          <cell r="I339">
            <v>4.5674999999999999</v>
          </cell>
          <cell r="J339" t="str">
            <v>sqm</v>
          </cell>
          <cell r="K339">
            <v>808.7618276893752</v>
          </cell>
          <cell r="L339">
            <v>3694.0196479712213</v>
          </cell>
        </row>
        <row r="340">
          <cell r="B340">
            <v>14.6</v>
          </cell>
          <cell r="C340" t="str">
            <v>Cement punning works in 1:1 cement sand mortar</v>
          </cell>
          <cell r="I340">
            <v>44</v>
          </cell>
          <cell r="J340" t="str">
            <v>sqm</v>
          </cell>
          <cell r="K340">
            <v>51.400182076293753</v>
          </cell>
          <cell r="L340">
            <v>2261.6080113569251</v>
          </cell>
        </row>
        <row r="341">
          <cell r="B341" t="str">
            <v>11.15.b</v>
          </cell>
          <cell r="C341" t="str">
            <v xml:space="preserve">Brick soling on edge with sand </v>
          </cell>
          <cell r="I341">
            <v>85.250154999999992</v>
          </cell>
          <cell r="J341" t="str">
            <v>sqm</v>
          </cell>
          <cell r="K341">
            <v>343.27430057539067</v>
          </cell>
          <cell r="L341">
            <v>29264.187331568643</v>
          </cell>
        </row>
        <row r="342">
          <cell r="B342" t="str">
            <v>11.19.b</v>
          </cell>
          <cell r="C342" t="str">
            <v>Brick bats filling with compaction and sprinkling of water</v>
          </cell>
          <cell r="I342">
            <v>8.2949999999999999</v>
          </cell>
          <cell r="J342" t="str">
            <v>cum</v>
          </cell>
          <cell r="K342">
            <v>1255.2513442359377</v>
          </cell>
          <cell r="L342">
            <v>10412.309900437103</v>
          </cell>
        </row>
        <row r="343">
          <cell r="B343" t="str">
            <v>11.6.2</v>
          </cell>
          <cell r="C343" t="str">
            <v>25 mm Kota stone flooring on 20mm thick 1:4 mortar</v>
          </cell>
          <cell r="I343">
            <v>28.503636363636364</v>
          </cell>
          <cell r="J343" t="str">
            <v>sqm</v>
          </cell>
          <cell r="K343">
            <v>1037.278498184422</v>
          </cell>
          <cell r="L343">
            <v>29566.209120067608</v>
          </cell>
        </row>
        <row r="344">
          <cell r="B344" t="str">
            <v>12.1.b</v>
          </cell>
          <cell r="C344" t="str">
            <v>12.5 mm plastering works in 1:3 cement sand mortar</v>
          </cell>
          <cell r="I344">
            <v>245.56365000000002</v>
          </cell>
          <cell r="J344" t="str">
            <v>sqm</v>
          </cell>
          <cell r="K344">
            <v>87.804354924304675</v>
          </cell>
          <cell r="L344">
            <v>21561.557881107732</v>
          </cell>
        </row>
        <row r="345">
          <cell r="B345" t="str">
            <v>12.1.c</v>
          </cell>
          <cell r="C345" t="str">
            <v>12.5 mm plastering works in 1:4 cement sand mortar</v>
          </cell>
          <cell r="I345">
            <v>44</v>
          </cell>
          <cell r="J345" t="str">
            <v>sqm</v>
          </cell>
          <cell r="K345">
            <v>83.687917974834363</v>
          </cell>
          <cell r="L345">
            <v>3682.268390892712</v>
          </cell>
        </row>
        <row r="346">
          <cell r="B346" t="str">
            <v>13.4.b</v>
          </cell>
          <cell r="C346" t="str">
            <v>Laying two coat of water proof cement paint</v>
          </cell>
          <cell r="I346">
            <v>245.56365000000002</v>
          </cell>
          <cell r="J346" t="str">
            <v>sqm</v>
          </cell>
          <cell r="K346">
            <v>56.919250000000005</v>
          </cell>
          <cell r="L346">
            <v>13977.298785262503</v>
          </cell>
        </row>
        <row r="347">
          <cell r="B347" t="str">
            <v>13.5.c</v>
          </cell>
          <cell r="C347" t="str">
            <v>Laying primer course and two coats of enamel paint</v>
          </cell>
          <cell r="I347">
            <v>12.285</v>
          </cell>
          <cell r="J347" t="str">
            <v>sqm</v>
          </cell>
          <cell r="K347">
            <v>105.57</v>
          </cell>
          <cell r="L347">
            <v>1296.9274499999999</v>
          </cell>
        </row>
        <row r="348">
          <cell r="B348" t="str">
            <v>17.4.a.1.1.a</v>
          </cell>
          <cell r="C348" t="str">
            <v>13mm dia. GI pipe laying works (with pipe)</v>
          </cell>
          <cell r="I348">
            <v>14</v>
          </cell>
          <cell r="J348" t="str">
            <v>m</v>
          </cell>
          <cell r="K348">
            <v>77.665872533333342</v>
          </cell>
          <cell r="L348">
            <v>1087.3222154666669</v>
          </cell>
        </row>
        <row r="349">
          <cell r="B349" t="str">
            <v>17.4.a.1.2.a</v>
          </cell>
          <cell r="C349" t="str">
            <v>20mm dia. GI pipe laying works (with Pipe)</v>
          </cell>
          <cell r="I349">
            <v>14</v>
          </cell>
          <cell r="J349" t="str">
            <v>m</v>
          </cell>
          <cell r="K349">
            <v>98.22596492866667</v>
          </cell>
          <cell r="L349">
            <v>1375.1635090013333</v>
          </cell>
        </row>
        <row r="350">
          <cell r="B350" t="str">
            <v>17.4.a.2.1.a</v>
          </cell>
          <cell r="C350" t="str">
            <v>25mm dia. GI pipe laying works (with Pipe)</v>
          </cell>
          <cell r="I350">
            <v>4</v>
          </cell>
          <cell r="J350" t="str">
            <v>m</v>
          </cell>
          <cell r="K350">
            <v>150.19106852088041</v>
          </cell>
          <cell r="L350">
            <v>600.76427408352163</v>
          </cell>
        </row>
        <row r="351">
          <cell r="B351" t="str">
            <v>2.25.a</v>
          </cell>
          <cell r="C351" t="str">
            <v>Filling with ordinary soils with compaction and sprinkling of water</v>
          </cell>
          <cell r="I351">
            <v>37.560185999999995</v>
          </cell>
          <cell r="J351" t="str">
            <v>cum</v>
          </cell>
          <cell r="K351">
            <v>47.38</v>
          </cell>
          <cell r="L351">
            <v>1779.6016126799998</v>
          </cell>
        </row>
        <row r="352">
          <cell r="B352" t="str">
            <v>5.1.b.3</v>
          </cell>
          <cell r="C352" t="str">
            <v xml:space="preserve">Local first class brick masonry works in 1:6 cement sand mortar </v>
          </cell>
          <cell r="I352">
            <v>70.696741874999987</v>
          </cell>
          <cell r="J352" t="str">
            <v>cum</v>
          </cell>
          <cell r="K352">
            <v>3238.8808289078133</v>
          </cell>
          <cell r="L352">
            <v>228978.32192518166</v>
          </cell>
        </row>
        <row r="353">
          <cell r="B353" t="str">
            <v>7.1.a</v>
          </cell>
          <cell r="C353" t="str">
            <v xml:space="preserve">Plum concrete in M10 </v>
          </cell>
          <cell r="I353">
            <v>0.55391875000000002</v>
          </cell>
          <cell r="J353" t="str">
            <v>cum</v>
          </cell>
          <cell r="K353">
            <v>4591.7984018249999</v>
          </cell>
          <cell r="L353">
            <v>2543.4832309909016</v>
          </cell>
        </row>
        <row r="354">
          <cell r="B354" t="str">
            <v>7.2.c</v>
          </cell>
          <cell r="C354" t="str">
            <v xml:space="preserve">P.C.C. for  foundation &amp; walls in M10 </v>
          </cell>
          <cell r="I354">
            <v>3.3476050000000002</v>
          </cell>
          <cell r="J354" t="str">
            <v>cum</v>
          </cell>
          <cell r="K354">
            <v>4334.2110718062495</v>
          </cell>
          <cell r="L354">
            <v>14509.226655033961</v>
          </cell>
        </row>
        <row r="355">
          <cell r="B355" t="str">
            <v>7.4.b</v>
          </cell>
          <cell r="C355" t="str">
            <v xml:space="preserve">P.C.C. for R.C.C. for super structures in M20 </v>
          </cell>
          <cell r="I355">
            <v>16.933887500000001</v>
          </cell>
          <cell r="J355" t="str">
            <v>cum</v>
          </cell>
          <cell r="K355">
            <v>6154.8131365578129</v>
          </cell>
          <cell r="L355">
            <v>104224.91323799215</v>
          </cell>
        </row>
        <row r="356">
          <cell r="B356" t="str">
            <v>8.1.a</v>
          </cell>
          <cell r="C356" t="str">
            <v>Simple standard formwork of size &lt;1 sqm excluding materials</v>
          </cell>
          <cell r="I356">
            <v>103.75127499999999</v>
          </cell>
          <cell r="J356" t="str">
            <v>sqm</v>
          </cell>
          <cell r="K356">
            <v>72.249900000000011</v>
          </cell>
          <cell r="L356">
            <v>7496.0192436225007</v>
          </cell>
        </row>
        <row r="357">
          <cell r="B357" t="str">
            <v>E-2</v>
          </cell>
          <cell r="C357" t="str">
            <v>Supply and installation of light point wiring from DB tovarious points with2 nos of 3/22 PVC insulated copper wirethrough 20 mm internal dia HDPEconduit concealed via junction box as per drawing and specificationincluding the cost of switch and metal box</v>
          </cell>
          <cell r="I357">
            <v>8</v>
          </cell>
          <cell r="J357" t="str">
            <v>No</v>
          </cell>
          <cell r="K357">
            <v>426</v>
          </cell>
          <cell r="L357">
            <v>3408</v>
          </cell>
        </row>
        <row r="358">
          <cell r="B358" t="str">
            <v>E-3</v>
          </cell>
          <cell r="C358" t="str">
            <v>Supply and installation of  3 pin (15 A) socket point wiringwith2 nos of7/22 + 1no of 1/18 pvc insulated copper wiresthrough 20 mm internal diaHDPE conduit concealed from SDB to various points as per drawing andspecification including the cost of Switch s</v>
          </cell>
          <cell r="I358">
            <v>2</v>
          </cell>
          <cell r="J358" t="str">
            <v>No</v>
          </cell>
          <cell r="K358">
            <v>610</v>
          </cell>
          <cell r="L358">
            <v>1220</v>
          </cell>
        </row>
        <row r="359">
          <cell r="B359" t="str">
            <v>E-4</v>
          </cell>
          <cell r="C359" t="str">
            <v>Supply and installation of 9'' sweep  exhaust fan as per drawing andspecification including GI sheet boxing.</v>
          </cell>
          <cell r="I359">
            <v>4</v>
          </cell>
          <cell r="J359" t="str">
            <v>No</v>
          </cell>
          <cell r="K359">
            <v>2447</v>
          </cell>
          <cell r="L359">
            <v>9788</v>
          </cell>
        </row>
        <row r="360">
          <cell r="B360" t="str">
            <v>E-5</v>
          </cell>
          <cell r="C360" t="str">
            <v>Supply and installation of 42'' sweep  ceiling fan as per drawing andspecification including GI sheet boxing.</v>
          </cell>
          <cell r="I360">
            <v>4</v>
          </cell>
          <cell r="J360" t="str">
            <v>No</v>
          </cell>
          <cell r="K360">
            <v>2447</v>
          </cell>
          <cell r="L360">
            <v>9788</v>
          </cell>
        </row>
        <row r="361">
          <cell r="B361" t="str">
            <v>E-6</v>
          </cell>
          <cell r="C361" t="str">
            <v>Supply and installation of earth electrode made of 30cm x 30cm x 3mmcopper plate including 8 SWG bare copper wireconnection to DB's.</v>
          </cell>
          <cell r="I361">
            <v>1</v>
          </cell>
          <cell r="J361" t="str">
            <v>Set</v>
          </cell>
          <cell r="K361">
            <v>6758</v>
          </cell>
          <cell r="L361">
            <v>6758</v>
          </cell>
        </row>
        <row r="362">
          <cell r="B362" t="str">
            <v>E-7</v>
          </cell>
          <cell r="C362" t="str">
            <v>Chieseling, laying conduits cables the main line distribution from MDB toFloor DB,s with 2 x 7/16 size cable in 20 mm HDPE consduit.</v>
          </cell>
          <cell r="I362">
            <v>6</v>
          </cell>
          <cell r="J362" t="str">
            <v>Job</v>
          </cell>
          <cell r="K362">
            <v>149</v>
          </cell>
          <cell r="L362">
            <v>894</v>
          </cell>
        </row>
        <row r="363">
          <cell r="B363" t="str">
            <v>E-8</v>
          </cell>
          <cell r="C363" t="str">
            <v xml:space="preserve">Supply, installation and commissioning  of Main Distribution Board(MDB)wall mounting concealed type, dust and vermin proofmade of 16 SWG mildsteel sheet cubical with double covercovering the MCB with the lockingarrangement as perdrawing and specification </v>
          </cell>
          <cell r="I363">
            <v>1</v>
          </cell>
          <cell r="J363" t="str">
            <v>no</v>
          </cell>
          <cell r="K363">
            <v>2980</v>
          </cell>
          <cell r="L363">
            <v>2980</v>
          </cell>
        </row>
        <row r="364">
          <cell r="B364" t="str">
            <v>M-12</v>
          </cell>
          <cell r="C364" t="str">
            <v>PVC Pipe 100mm</v>
          </cell>
          <cell r="I364">
            <v>12</v>
          </cell>
          <cell r="J364" t="str">
            <v>Rm</v>
          </cell>
          <cell r="K364">
            <v>100</v>
          </cell>
          <cell r="L364">
            <v>1200</v>
          </cell>
        </row>
        <row r="365">
          <cell r="B365" t="str">
            <v>M-13</v>
          </cell>
          <cell r="C365" t="str">
            <v>PVC Pipe 75mm</v>
          </cell>
          <cell r="I365">
            <v>18</v>
          </cell>
          <cell r="J365" t="str">
            <v>Rm</v>
          </cell>
          <cell r="K365">
            <v>75</v>
          </cell>
          <cell r="L365">
            <v>1350</v>
          </cell>
        </row>
        <row r="366">
          <cell r="B366" t="str">
            <v>M-14</v>
          </cell>
          <cell r="C366" t="str">
            <v>PVC Pipe 50mm</v>
          </cell>
          <cell r="I366">
            <v>12</v>
          </cell>
          <cell r="J366" t="str">
            <v>Rm</v>
          </cell>
          <cell r="K366">
            <v>50</v>
          </cell>
          <cell r="L366">
            <v>600</v>
          </cell>
        </row>
        <row r="367">
          <cell r="B367" t="str">
            <v>M-15</v>
          </cell>
          <cell r="C367" t="str">
            <v>Supply and Fixation of RCC Jali for Ventitation</v>
          </cell>
          <cell r="I367">
            <v>6.39</v>
          </cell>
          <cell r="J367" t="str">
            <v>Sqm</v>
          </cell>
          <cell r="K367">
            <v>920</v>
          </cell>
          <cell r="L367">
            <v>5878.7999999999993</v>
          </cell>
        </row>
        <row r="368">
          <cell r="B368" t="str">
            <v>M-16</v>
          </cell>
          <cell r="C368" t="str">
            <v>Supply and Fixation of Stainless Steel Plate</v>
          </cell>
          <cell r="I368">
            <v>8.8872</v>
          </cell>
          <cell r="J368" t="str">
            <v>Sqm</v>
          </cell>
          <cell r="K368">
            <v>6512.9449838187702</v>
          </cell>
          <cell r="L368">
            <v>57881.844660194176</v>
          </cell>
        </row>
        <row r="369">
          <cell r="B369" t="str">
            <v>M-17</v>
          </cell>
          <cell r="C369" t="str">
            <v>H Connection of PVC pipe 100mm</v>
          </cell>
          <cell r="I369">
            <v>11.5</v>
          </cell>
          <cell r="J369" t="str">
            <v>no</v>
          </cell>
          <cell r="K369">
            <v>230</v>
          </cell>
          <cell r="L369">
            <v>2645</v>
          </cell>
        </row>
        <row r="370">
          <cell r="B370" t="str">
            <v>M-7</v>
          </cell>
          <cell r="C370" t="str">
            <v>20mm Gate Valve with fitting</v>
          </cell>
          <cell r="I370">
            <v>1</v>
          </cell>
          <cell r="J370" t="str">
            <v>no</v>
          </cell>
          <cell r="K370">
            <v>250</v>
          </cell>
          <cell r="L370">
            <v>250</v>
          </cell>
        </row>
        <row r="371">
          <cell r="B371" t="str">
            <v>M-7-1</v>
          </cell>
          <cell r="C371" t="str">
            <v>25mm Gate Valve with fitting</v>
          </cell>
          <cell r="I371">
            <v>1</v>
          </cell>
          <cell r="J371" t="str">
            <v>no</v>
          </cell>
          <cell r="K371">
            <v>400</v>
          </cell>
          <cell r="L371">
            <v>400</v>
          </cell>
        </row>
        <row r="372">
          <cell r="B372" t="str">
            <v>M-8</v>
          </cell>
          <cell r="C372" t="str">
            <v>Chrome Plate (CP) 15mm taps</v>
          </cell>
          <cell r="I372">
            <v>2</v>
          </cell>
          <cell r="J372" t="str">
            <v>no</v>
          </cell>
          <cell r="K372">
            <v>250</v>
          </cell>
          <cell r="L372">
            <v>500</v>
          </cell>
        </row>
        <row r="373">
          <cell r="B373" t="str">
            <v>M-9</v>
          </cell>
          <cell r="C373" t="str">
            <v>Glazed Indian Type WC Set</v>
          </cell>
          <cell r="I373">
            <v>2</v>
          </cell>
          <cell r="J373" t="str">
            <v>no</v>
          </cell>
          <cell r="K373">
            <v>750</v>
          </cell>
          <cell r="L373">
            <v>1500</v>
          </cell>
        </row>
      </sheetData>
      <sheetData sheetId="42">
        <row r="59">
          <cell r="B59" t="str">
            <v>1.4</v>
          </cell>
          <cell r="C59" t="str">
            <v>Site Clearance in thin vegetation area</v>
          </cell>
          <cell r="D59">
            <v>1</v>
          </cell>
          <cell r="E59">
            <v>1</v>
          </cell>
          <cell r="F59">
            <v>1</v>
          </cell>
          <cell r="H59">
            <v>1</v>
          </cell>
          <cell r="I59">
            <v>1</v>
          </cell>
          <cell r="J59" t="str">
            <v>sqm</v>
          </cell>
          <cell r="K59">
            <v>2.76</v>
          </cell>
          <cell r="L59">
            <v>2.76</v>
          </cell>
          <cell r="M59">
            <v>0</v>
          </cell>
          <cell r="N59">
            <v>2.76</v>
          </cell>
          <cell r="O59">
            <v>0</v>
          </cell>
          <cell r="P59">
            <v>2.76</v>
          </cell>
          <cell r="R59">
            <v>0</v>
          </cell>
          <cell r="U59">
            <v>454</v>
          </cell>
        </row>
        <row r="60">
          <cell r="B60">
            <v>2.14</v>
          </cell>
          <cell r="C60" t="str">
            <v>E/W Excavation for foundation, drain, pipelines etc. in BM Soil</v>
          </cell>
          <cell r="D60">
            <v>1</v>
          </cell>
          <cell r="E60">
            <v>0.8</v>
          </cell>
          <cell r="F60">
            <v>0.8</v>
          </cell>
          <cell r="G60">
            <v>0.4</v>
          </cell>
          <cell r="H60">
            <v>0.25600000000000006</v>
          </cell>
          <cell r="I60">
            <v>0.25600000000000006</v>
          </cell>
          <cell r="J60" t="str">
            <v>cum</v>
          </cell>
          <cell r="K60">
            <v>150.66839999999999</v>
          </cell>
          <cell r="L60">
            <v>38.571110400000009</v>
          </cell>
          <cell r="M60">
            <v>0</v>
          </cell>
          <cell r="N60">
            <v>38.571110400000009</v>
          </cell>
          <cell r="O60">
            <v>0</v>
          </cell>
          <cell r="P60">
            <v>38.571110400000009</v>
          </cell>
          <cell r="R60">
            <v>0</v>
          </cell>
          <cell r="U60">
            <v>116.22400000000003</v>
          </cell>
        </row>
        <row r="61">
          <cell r="B61">
            <v>11.16</v>
          </cell>
          <cell r="C61" t="str">
            <v xml:space="preserve">Stone soling with sand </v>
          </cell>
          <cell r="D61">
            <v>1</v>
          </cell>
          <cell r="E61">
            <v>0.8</v>
          </cell>
          <cell r="F61">
            <v>0.8</v>
          </cell>
          <cell r="G61">
            <v>0.15</v>
          </cell>
          <cell r="H61">
            <v>9.6000000000000016E-2</v>
          </cell>
          <cell r="I61">
            <v>9.6000000000000016E-2</v>
          </cell>
          <cell r="J61" t="str">
            <v>cum</v>
          </cell>
          <cell r="K61">
            <v>1371.1740676875002</v>
          </cell>
          <cell r="L61">
            <v>131.63271049800002</v>
          </cell>
          <cell r="M61">
            <v>0</v>
          </cell>
          <cell r="N61">
            <v>131.63271049800002</v>
          </cell>
          <cell r="O61">
            <v>17.995200000000001</v>
          </cell>
          <cell r="P61">
            <v>8.8320000000000007</v>
          </cell>
          <cell r="R61">
            <v>104.805510498</v>
          </cell>
          <cell r="U61">
            <v>43.58400000000001</v>
          </cell>
        </row>
        <row r="62">
          <cell r="B62" t="str">
            <v>7.4.b</v>
          </cell>
          <cell r="C62" t="str">
            <v xml:space="preserve">P.C.C. for R.C.C. for super structures in M20 </v>
          </cell>
          <cell r="D62">
            <v>1</v>
          </cell>
          <cell r="E62">
            <v>0.6</v>
          </cell>
          <cell r="F62">
            <v>0.6</v>
          </cell>
          <cell r="G62">
            <v>1</v>
          </cell>
          <cell r="H62">
            <v>0.36</v>
          </cell>
          <cell r="I62">
            <v>0.36</v>
          </cell>
          <cell r="J62" t="str">
            <v>cum</v>
          </cell>
          <cell r="K62">
            <v>6154.8131365578129</v>
          </cell>
          <cell r="L62">
            <v>2215.7327291608126</v>
          </cell>
          <cell r="M62">
            <v>1027.8319734674999</v>
          </cell>
          <cell r="N62">
            <v>1187.9007556933127</v>
          </cell>
          <cell r="O62">
            <v>53.985599999999998</v>
          </cell>
          <cell r="P62">
            <v>231.84</v>
          </cell>
          <cell r="R62">
            <v>902.07515569331235</v>
          </cell>
          <cell r="U62">
            <v>163.44</v>
          </cell>
        </row>
        <row r="63">
          <cell r="B63" t="str">
            <v>8.2.a</v>
          </cell>
          <cell r="C63" t="str">
            <v>Form work</v>
          </cell>
          <cell r="D63">
            <v>1</v>
          </cell>
          <cell r="E63">
            <v>0.6</v>
          </cell>
          <cell r="F63">
            <v>0.6</v>
          </cell>
          <cell r="G63">
            <v>1.5</v>
          </cell>
          <cell r="H63">
            <v>3.5999999999999996</v>
          </cell>
          <cell r="I63">
            <v>3.5999999999999996</v>
          </cell>
          <cell r="O63">
            <v>0</v>
          </cell>
          <cell r="P63">
            <v>0</v>
          </cell>
          <cell r="R63">
            <v>800</v>
          </cell>
          <cell r="U63">
            <v>1634.3999999999999</v>
          </cell>
        </row>
      </sheetData>
      <sheetData sheetId="43"/>
      <sheetData sheetId="44">
        <row r="12">
          <cell r="B12" t="str">
            <v>1.4</v>
          </cell>
          <cell r="C12" t="str">
            <v>Site Clearance in thin vegetation area</v>
          </cell>
          <cell r="I12">
            <v>4960.5</v>
          </cell>
          <cell r="J12" t="str">
            <v>sqm</v>
          </cell>
          <cell r="K12">
            <v>2.76</v>
          </cell>
          <cell r="L12">
            <v>13690.98</v>
          </cell>
        </row>
        <row r="13">
          <cell r="C13" t="str">
            <v>Drain-1</v>
          </cell>
          <cell r="D13">
            <v>1</v>
          </cell>
          <cell r="E13">
            <v>277</v>
          </cell>
          <cell r="F13">
            <v>1.5</v>
          </cell>
          <cell r="H13">
            <v>415.5</v>
          </cell>
        </row>
        <row r="14">
          <cell r="C14" t="str">
            <v>Drain 2.1</v>
          </cell>
          <cell r="D14">
            <v>1</v>
          </cell>
          <cell r="E14">
            <v>175</v>
          </cell>
          <cell r="F14">
            <v>1.5</v>
          </cell>
          <cell r="H14">
            <v>262.5</v>
          </cell>
        </row>
        <row r="15">
          <cell r="C15" t="str">
            <v>Drain 2.2</v>
          </cell>
          <cell r="D15">
            <v>1</v>
          </cell>
          <cell r="E15">
            <v>1190</v>
          </cell>
          <cell r="F15">
            <v>1.5</v>
          </cell>
          <cell r="H15">
            <v>1785</v>
          </cell>
        </row>
        <row r="16">
          <cell r="C16" t="str">
            <v>Drain 3.1</v>
          </cell>
          <cell r="D16">
            <v>1</v>
          </cell>
          <cell r="E16">
            <v>375</v>
          </cell>
          <cell r="F16">
            <v>1.5</v>
          </cell>
          <cell r="H16">
            <v>562.5</v>
          </cell>
        </row>
        <row r="17">
          <cell r="C17" t="str">
            <v>Drain 3.2</v>
          </cell>
          <cell r="D17">
            <v>1</v>
          </cell>
          <cell r="E17">
            <v>825</v>
          </cell>
          <cell r="F17">
            <v>1.5</v>
          </cell>
          <cell r="H17">
            <v>1237.5</v>
          </cell>
        </row>
        <row r="18">
          <cell r="C18" t="str">
            <v>Drain 3.A</v>
          </cell>
          <cell r="D18">
            <v>1</v>
          </cell>
          <cell r="E18">
            <v>225</v>
          </cell>
          <cell r="F18">
            <v>1.5</v>
          </cell>
          <cell r="H18">
            <v>337.5</v>
          </cell>
        </row>
        <row r="19">
          <cell r="C19" t="str">
            <v>Drain 3.B</v>
          </cell>
          <cell r="D19">
            <v>1</v>
          </cell>
          <cell r="E19">
            <v>240</v>
          </cell>
          <cell r="F19">
            <v>1.5</v>
          </cell>
          <cell r="H19">
            <v>360</v>
          </cell>
        </row>
        <row r="20">
          <cell r="B20" t="str">
            <v>H32/6</v>
          </cell>
          <cell r="D20" t="str">
            <v xml:space="preserve">HDPE - 32/6 (dia/kgf/cm2)   </v>
          </cell>
          <cell r="G20">
            <v>1818</v>
          </cell>
          <cell r="H20">
            <v>0</v>
          </cell>
          <cell r="I20">
            <v>0</v>
          </cell>
          <cell r="J20">
            <v>0</v>
          </cell>
          <cell r="K20">
            <v>552</v>
          </cell>
          <cell r="L20">
            <v>0</v>
          </cell>
        </row>
        <row r="21">
          <cell r="B21" t="str">
            <v>H32/10</v>
          </cell>
          <cell r="D21" t="str">
            <v xml:space="preserve">HDPE - 32/10 (dia/kgf/cm2)   </v>
          </cell>
          <cell r="G21">
            <v>670</v>
          </cell>
          <cell r="H21">
            <v>240</v>
          </cell>
          <cell r="I21">
            <v>0</v>
          </cell>
          <cell r="J21">
            <v>103</v>
          </cell>
          <cell r="K21">
            <v>0</v>
          </cell>
          <cell r="L21">
            <v>0</v>
          </cell>
        </row>
        <row r="22">
          <cell r="B22">
            <v>2.14</v>
          </cell>
          <cell r="C22" t="str">
            <v>E/W Excavation for foundation, drain, pipelines etc. in BM Soil</v>
          </cell>
          <cell r="D22" t="str">
            <v xml:space="preserve">HDPE - 40/6 (dia/kgf/cm2)   </v>
          </cell>
          <cell r="G22">
            <v>564</v>
          </cell>
          <cell r="H22">
            <v>229</v>
          </cell>
          <cell r="I22">
            <v>4559.5689999999477</v>
          </cell>
          <cell r="J22" t="str">
            <v>cum</v>
          </cell>
          <cell r="K22">
            <v>150.66839999999999</v>
          </cell>
          <cell r="L22">
            <v>686982.96591959207</v>
          </cell>
        </row>
        <row r="23">
          <cell r="B23" t="str">
            <v>H40/10</v>
          </cell>
          <cell r="C23" t="str">
            <v>Drain-1</v>
          </cell>
          <cell r="D23">
            <v>1</v>
          </cell>
          <cell r="E23">
            <v>277</v>
          </cell>
          <cell r="F23">
            <v>1.2000000000000002</v>
          </cell>
          <cell r="G23">
            <v>0.8</v>
          </cell>
          <cell r="H23">
            <v>265.92</v>
          </cell>
          <cell r="I23">
            <v>819</v>
          </cell>
          <cell r="J23">
            <v>0</v>
          </cell>
          <cell r="K23">
            <v>0</v>
          </cell>
          <cell r="L23">
            <v>0</v>
          </cell>
        </row>
        <row r="24">
          <cell r="B24" t="str">
            <v>H50/6</v>
          </cell>
          <cell r="C24" t="str">
            <v>Drain 2.1</v>
          </cell>
          <cell r="D24">
            <v>1</v>
          </cell>
          <cell r="E24">
            <v>175</v>
          </cell>
          <cell r="F24">
            <v>1.3</v>
          </cell>
          <cell r="G24">
            <v>1.05</v>
          </cell>
          <cell r="H24">
            <v>238.875</v>
          </cell>
          <cell r="I24">
            <v>109</v>
          </cell>
          <cell r="J24">
            <v>0</v>
          </cell>
          <cell r="K24">
            <v>0</v>
          </cell>
          <cell r="L24">
            <v>899</v>
          </cell>
        </row>
        <row r="25">
          <cell r="B25" t="str">
            <v>H50/10</v>
          </cell>
          <cell r="C25" t="str">
            <v>Drain 2.2</v>
          </cell>
          <cell r="D25">
            <v>1</v>
          </cell>
          <cell r="E25">
            <v>1190</v>
          </cell>
          <cell r="F25">
            <v>1.4</v>
          </cell>
          <cell r="G25">
            <v>1.1500000000000228</v>
          </cell>
          <cell r="H25">
            <v>1915.9000000000381</v>
          </cell>
          <cell r="I25">
            <v>553</v>
          </cell>
          <cell r="J25">
            <v>0</v>
          </cell>
          <cell r="K25">
            <v>0</v>
          </cell>
          <cell r="L25">
            <v>1953</v>
          </cell>
        </row>
        <row r="26">
          <cell r="B26" t="str">
            <v>H63/6</v>
          </cell>
          <cell r="C26" t="str">
            <v>Drain 3.1</v>
          </cell>
          <cell r="D26">
            <v>1</v>
          </cell>
          <cell r="E26">
            <v>375</v>
          </cell>
          <cell r="F26">
            <v>1.2000000000000002</v>
          </cell>
          <cell r="G26">
            <v>1.0999999999999546</v>
          </cell>
          <cell r="H26">
            <v>494.99999999997959</v>
          </cell>
          <cell r="I26">
            <v>506</v>
          </cell>
          <cell r="J26">
            <v>0</v>
          </cell>
          <cell r="K26">
            <v>0</v>
          </cell>
          <cell r="L26">
            <v>147</v>
          </cell>
        </row>
        <row r="27">
          <cell r="B27" t="str">
            <v>H63/10</v>
          </cell>
          <cell r="C27" t="str">
            <v>Drain 3.2</v>
          </cell>
          <cell r="D27">
            <v>1</v>
          </cell>
          <cell r="E27">
            <v>825</v>
          </cell>
          <cell r="F27">
            <v>1.3</v>
          </cell>
          <cell r="G27">
            <v>1.0999999999999546</v>
          </cell>
          <cell r="H27">
            <v>1179.7499999999513</v>
          </cell>
          <cell r="I27">
            <v>202</v>
          </cell>
          <cell r="J27">
            <v>0</v>
          </cell>
          <cell r="K27">
            <v>0</v>
          </cell>
          <cell r="L27">
            <v>0</v>
          </cell>
        </row>
        <row r="28">
          <cell r="B28" t="str">
            <v>H75/6</v>
          </cell>
          <cell r="C28" t="str">
            <v>Drain 3.A</v>
          </cell>
          <cell r="D28">
            <v>1</v>
          </cell>
          <cell r="E28">
            <v>225</v>
          </cell>
          <cell r="F28">
            <v>1.2000000000000002</v>
          </cell>
          <cell r="G28">
            <v>0.84999999999995457</v>
          </cell>
          <cell r="H28">
            <v>229.49999999998778</v>
          </cell>
          <cell r="I28">
            <v>202</v>
          </cell>
          <cell r="J28">
            <v>0</v>
          </cell>
          <cell r="K28">
            <v>239</v>
          </cell>
          <cell r="L28">
            <v>713</v>
          </cell>
        </row>
        <row r="29">
          <cell r="B29" t="str">
            <v>H75/10</v>
          </cell>
          <cell r="C29" t="str">
            <v>Drain 3.B</v>
          </cell>
          <cell r="D29">
            <v>1</v>
          </cell>
          <cell r="E29">
            <v>240</v>
          </cell>
          <cell r="F29">
            <v>1.04</v>
          </cell>
          <cell r="G29">
            <v>0.93999999999996375</v>
          </cell>
          <cell r="H29">
            <v>234.62399999999099</v>
          </cell>
          <cell r="I29">
            <v>0</v>
          </cell>
          <cell r="J29">
            <v>0</v>
          </cell>
          <cell r="K29">
            <v>0</v>
          </cell>
          <cell r="L29">
            <v>0</v>
          </cell>
        </row>
        <row r="30">
          <cell r="B30" t="str">
            <v>2.25.b</v>
          </cell>
          <cell r="C30" t="str">
            <v xml:space="preserve">Filling with ordinary soils with compaction </v>
          </cell>
          <cell r="D30" t="str">
            <v xml:space="preserve">HDPE - 90/6 (dia/kgf/cm2)   </v>
          </cell>
          <cell r="G30">
            <v>306</v>
          </cell>
          <cell r="H30">
            <v>0</v>
          </cell>
          <cell r="I30">
            <v>2134</v>
          </cell>
          <cell r="J30" t="str">
            <v>cum</v>
          </cell>
          <cell r="K30">
            <v>23.69</v>
          </cell>
          <cell r="L30">
            <v>50554.46</v>
          </cell>
        </row>
        <row r="31">
          <cell r="B31" t="str">
            <v>H90/10</v>
          </cell>
          <cell r="C31" t="str">
            <v>Drain-1</v>
          </cell>
          <cell r="D31">
            <v>1</v>
          </cell>
          <cell r="E31">
            <v>277</v>
          </cell>
          <cell r="F31">
            <v>1.2000000000000002</v>
          </cell>
          <cell r="G31">
            <v>0.5</v>
          </cell>
          <cell r="H31">
            <v>166.20000000000002</v>
          </cell>
          <cell r="I31">
            <v>210</v>
          </cell>
          <cell r="J31">
            <v>0</v>
          </cell>
          <cell r="K31">
            <v>0</v>
          </cell>
          <cell r="L31">
            <v>277</v>
          </cell>
        </row>
        <row r="32">
          <cell r="B32" t="str">
            <v>H110/4</v>
          </cell>
          <cell r="C32" t="str">
            <v>Drain 2.1</v>
          </cell>
          <cell r="D32">
            <v>1</v>
          </cell>
          <cell r="E32">
            <v>175</v>
          </cell>
          <cell r="F32">
            <v>1.3</v>
          </cell>
          <cell r="G32">
            <v>0.5</v>
          </cell>
          <cell r="H32">
            <v>113.75</v>
          </cell>
          <cell r="I32">
            <v>0</v>
          </cell>
          <cell r="J32">
            <v>0</v>
          </cell>
          <cell r="K32">
            <v>0</v>
          </cell>
          <cell r="L32">
            <v>0</v>
          </cell>
        </row>
        <row r="33">
          <cell r="B33" t="str">
            <v>H110/6</v>
          </cell>
          <cell r="C33" t="str">
            <v>Drain 2.2</v>
          </cell>
          <cell r="D33">
            <v>1</v>
          </cell>
          <cell r="E33">
            <v>1190</v>
          </cell>
          <cell r="F33">
            <v>1.4</v>
          </cell>
          <cell r="G33">
            <v>0.5</v>
          </cell>
          <cell r="H33">
            <v>833</v>
          </cell>
          <cell r="I33">
            <v>0</v>
          </cell>
          <cell r="J33">
            <v>0</v>
          </cell>
          <cell r="K33">
            <v>380</v>
          </cell>
          <cell r="L33">
            <v>1050</v>
          </cell>
        </row>
        <row r="34">
          <cell r="B34" t="str">
            <v>H110/10</v>
          </cell>
          <cell r="C34" t="str">
            <v>Drain 3.1</v>
          </cell>
          <cell r="D34">
            <v>1</v>
          </cell>
          <cell r="E34">
            <v>375</v>
          </cell>
          <cell r="F34">
            <v>1.2000000000000002</v>
          </cell>
          <cell r="G34">
            <v>0.5</v>
          </cell>
          <cell r="H34">
            <v>225.00000000000003</v>
          </cell>
          <cell r="I34">
            <v>260</v>
          </cell>
          <cell r="J34">
            <v>0</v>
          </cell>
          <cell r="K34">
            <v>0</v>
          </cell>
          <cell r="L34">
            <v>652</v>
          </cell>
        </row>
        <row r="35">
          <cell r="B35" t="str">
            <v>H125/4</v>
          </cell>
          <cell r="C35" t="str">
            <v>Drain 3.2</v>
          </cell>
          <cell r="D35">
            <v>1</v>
          </cell>
          <cell r="E35">
            <v>825</v>
          </cell>
          <cell r="F35">
            <v>1.3</v>
          </cell>
          <cell r="G35">
            <v>0.5</v>
          </cell>
          <cell r="H35">
            <v>536.25</v>
          </cell>
          <cell r="I35">
            <v>0</v>
          </cell>
          <cell r="J35">
            <v>0</v>
          </cell>
          <cell r="K35">
            <v>0</v>
          </cell>
          <cell r="L35">
            <v>248</v>
          </cell>
        </row>
        <row r="36">
          <cell r="B36" t="str">
            <v>H125/6</v>
          </cell>
          <cell r="C36" t="str">
            <v>Drain 3.A</v>
          </cell>
          <cell r="D36">
            <v>1</v>
          </cell>
          <cell r="E36">
            <v>225</v>
          </cell>
          <cell r="F36">
            <v>1.2000000000000002</v>
          </cell>
          <cell r="G36">
            <v>0.5</v>
          </cell>
          <cell r="H36">
            <v>135.00000000000003</v>
          </cell>
          <cell r="I36">
            <v>481</v>
          </cell>
          <cell r="J36">
            <v>0</v>
          </cell>
          <cell r="K36">
            <v>248</v>
          </cell>
          <cell r="L36">
            <v>553</v>
          </cell>
        </row>
        <row r="37">
          <cell r="B37" t="str">
            <v>H125/10</v>
          </cell>
          <cell r="C37" t="str">
            <v>Drain 3.B</v>
          </cell>
          <cell r="D37">
            <v>1</v>
          </cell>
          <cell r="E37">
            <v>240</v>
          </cell>
          <cell r="F37">
            <v>1.04</v>
          </cell>
          <cell r="G37">
            <v>0.5</v>
          </cell>
          <cell r="H37">
            <v>124.80000000000001</v>
          </cell>
          <cell r="I37">
            <v>1571</v>
          </cell>
          <cell r="J37">
            <v>477</v>
          </cell>
          <cell r="K37">
            <v>0</v>
          </cell>
          <cell r="L37">
            <v>846</v>
          </cell>
        </row>
        <row r="38">
          <cell r="B38">
            <v>11.16</v>
          </cell>
          <cell r="C38" t="str">
            <v xml:space="preserve">Stone soling with sand </v>
          </cell>
          <cell r="D38" t="str">
            <v xml:space="preserve">HDPE - 140/6 (dia/kgf/cm2)   </v>
          </cell>
          <cell r="G38">
            <v>0</v>
          </cell>
          <cell r="H38">
            <v>0</v>
          </cell>
          <cell r="I38">
            <v>632.71199999999999</v>
          </cell>
          <cell r="J38" t="str">
            <v>cum</v>
          </cell>
          <cell r="K38">
            <v>1371.1740676875002</v>
          </cell>
          <cell r="L38">
            <v>867558.28671469353</v>
          </cell>
        </row>
        <row r="39">
          <cell r="B39" t="str">
            <v>H140/10</v>
          </cell>
          <cell r="C39" t="str">
            <v>Drain-1</v>
          </cell>
          <cell r="D39">
            <v>1</v>
          </cell>
          <cell r="E39">
            <v>277</v>
          </cell>
          <cell r="F39">
            <v>1.2000000000000002</v>
          </cell>
          <cell r="G39">
            <v>0.15</v>
          </cell>
          <cell r="H39">
            <v>49.860000000000007</v>
          </cell>
          <cell r="I39">
            <v>0</v>
          </cell>
          <cell r="J39">
            <v>0</v>
          </cell>
          <cell r="K39">
            <v>0</v>
          </cell>
          <cell r="L39">
            <v>0</v>
          </cell>
        </row>
        <row r="40">
          <cell r="B40" t="str">
            <v>H160/4</v>
          </cell>
          <cell r="C40" t="str">
            <v>Drain 2.1</v>
          </cell>
          <cell r="D40">
            <v>1</v>
          </cell>
          <cell r="E40">
            <v>175</v>
          </cell>
          <cell r="F40">
            <v>1.3</v>
          </cell>
          <cell r="G40">
            <v>0.15</v>
          </cell>
          <cell r="H40">
            <v>34.125</v>
          </cell>
          <cell r="I40">
            <v>1580</v>
          </cell>
          <cell r="J40">
            <v>0</v>
          </cell>
          <cell r="K40">
            <v>0</v>
          </cell>
          <cell r="L40">
            <v>0</v>
          </cell>
        </row>
        <row r="41">
          <cell r="B41" t="str">
            <v>H160/6</v>
          </cell>
          <cell r="C41" t="str">
            <v>Drain 2.2</v>
          </cell>
          <cell r="D41">
            <v>1</v>
          </cell>
          <cell r="E41">
            <v>1190</v>
          </cell>
          <cell r="F41">
            <v>1.4</v>
          </cell>
          <cell r="G41">
            <v>0.15</v>
          </cell>
          <cell r="H41">
            <v>249.89999999999998</v>
          </cell>
          <cell r="I41">
            <v>0</v>
          </cell>
          <cell r="J41">
            <v>0</v>
          </cell>
          <cell r="K41">
            <v>0</v>
          </cell>
          <cell r="L41">
            <v>0</v>
          </cell>
        </row>
        <row r="42">
          <cell r="C42" t="str">
            <v>Drain 3.1</v>
          </cell>
          <cell r="D42">
            <v>1</v>
          </cell>
          <cell r="E42">
            <v>375</v>
          </cell>
          <cell r="F42">
            <v>1.2000000000000002</v>
          </cell>
          <cell r="G42">
            <v>0.15</v>
          </cell>
          <cell r="H42">
            <v>67.5</v>
          </cell>
          <cell r="J42">
            <v>0</v>
          </cell>
          <cell r="K42">
            <v>0</v>
          </cell>
          <cell r="L42">
            <v>0</v>
          </cell>
        </row>
        <row r="43">
          <cell r="C43" t="str">
            <v>Drain 3.2</v>
          </cell>
          <cell r="D43">
            <v>1</v>
          </cell>
          <cell r="E43">
            <v>825</v>
          </cell>
          <cell r="F43">
            <v>1.3</v>
          </cell>
          <cell r="G43">
            <v>0.15</v>
          </cell>
          <cell r="H43">
            <v>160.875</v>
          </cell>
        </row>
        <row r="44">
          <cell r="B44" t="str">
            <v>G40</v>
          </cell>
          <cell r="C44" t="str">
            <v>Drain 3.A</v>
          </cell>
          <cell r="D44">
            <v>1</v>
          </cell>
          <cell r="E44">
            <v>225</v>
          </cell>
          <cell r="F44">
            <v>1.2000000000000002</v>
          </cell>
          <cell r="G44">
            <v>0.15</v>
          </cell>
          <cell r="H44">
            <v>40.500000000000007</v>
          </cell>
        </row>
        <row r="45">
          <cell r="B45" t="str">
            <v>G50</v>
          </cell>
          <cell r="C45" t="str">
            <v>Drain 3.B</v>
          </cell>
          <cell r="D45">
            <v>1</v>
          </cell>
          <cell r="E45">
            <v>240</v>
          </cell>
          <cell r="F45">
            <v>1.04</v>
          </cell>
          <cell r="G45">
            <v>0.12</v>
          </cell>
          <cell r="H45">
            <v>29.952000000000002</v>
          </cell>
        </row>
        <row r="46">
          <cell r="B46" t="str">
            <v>7.2.d</v>
          </cell>
          <cell r="C46" t="str">
            <v xml:space="preserve">P.C.C. for  foundation &amp; walls in M15 </v>
          </cell>
          <cell r="D46" t="str">
            <v>GI pipe dia 63 (Medium 'B' )</v>
          </cell>
          <cell r="I46">
            <v>316.35599999999999</v>
          </cell>
          <cell r="J46" t="str">
            <v>cum</v>
          </cell>
          <cell r="K46">
            <v>5021.5728177781257</v>
          </cell>
          <cell r="L46">
            <v>1588604.6903410167</v>
          </cell>
        </row>
        <row r="47">
          <cell r="B47" t="str">
            <v>G75</v>
          </cell>
          <cell r="C47" t="str">
            <v>Drain-1</v>
          </cell>
          <cell r="D47">
            <v>1</v>
          </cell>
          <cell r="E47">
            <v>277</v>
          </cell>
          <cell r="F47">
            <v>1.2000000000000002</v>
          </cell>
          <cell r="G47">
            <v>7.4999999999999997E-2</v>
          </cell>
          <cell r="H47">
            <v>24.930000000000003</v>
          </cell>
        </row>
        <row r="48">
          <cell r="B48" t="str">
            <v>G100</v>
          </cell>
          <cell r="C48" t="str">
            <v>Drain 2.1</v>
          </cell>
          <cell r="D48">
            <v>1</v>
          </cell>
          <cell r="E48">
            <v>175</v>
          </cell>
          <cell r="F48">
            <v>1.3</v>
          </cell>
          <cell r="G48">
            <v>7.4999999999999997E-2</v>
          </cell>
          <cell r="H48">
            <v>17.0625</v>
          </cell>
        </row>
        <row r="49">
          <cell r="B49" t="str">
            <v>G150</v>
          </cell>
          <cell r="C49" t="str">
            <v>Drain 2.2</v>
          </cell>
          <cell r="D49">
            <v>1</v>
          </cell>
          <cell r="E49">
            <v>1190</v>
          </cell>
          <cell r="F49">
            <v>1.4</v>
          </cell>
          <cell r="G49">
            <v>7.4999999999999997E-2</v>
          </cell>
          <cell r="H49">
            <v>124.94999999999999</v>
          </cell>
        </row>
        <row r="50">
          <cell r="C50" t="str">
            <v>Drain 3.1</v>
          </cell>
          <cell r="D50">
            <v>1</v>
          </cell>
          <cell r="E50">
            <v>375</v>
          </cell>
          <cell r="F50">
            <v>1.2000000000000002</v>
          </cell>
          <cell r="G50">
            <v>7.4999999999999997E-2</v>
          </cell>
          <cell r="H50">
            <v>33.75</v>
          </cell>
        </row>
        <row r="51">
          <cell r="C51" t="str">
            <v>Drain 3.2</v>
          </cell>
          <cell r="D51">
            <v>1</v>
          </cell>
          <cell r="E51">
            <v>825</v>
          </cell>
          <cell r="F51">
            <v>1.3</v>
          </cell>
          <cell r="G51">
            <v>7.4999999999999997E-2</v>
          </cell>
          <cell r="H51">
            <v>80.4375</v>
          </cell>
        </row>
        <row r="52">
          <cell r="B52" t="str">
            <v>D80</v>
          </cell>
          <cell r="C52" t="str">
            <v>Drain 3.A</v>
          </cell>
          <cell r="D52">
            <v>1</v>
          </cell>
          <cell r="E52">
            <v>225</v>
          </cell>
          <cell r="F52">
            <v>1.2000000000000002</v>
          </cell>
          <cell r="G52">
            <v>7.4999999999999997E-2</v>
          </cell>
          <cell r="H52">
            <v>20.250000000000004</v>
          </cell>
        </row>
        <row r="53">
          <cell r="B53" t="str">
            <v>D100</v>
          </cell>
          <cell r="C53" t="str">
            <v>Drain 3.B</v>
          </cell>
          <cell r="D53">
            <v>1</v>
          </cell>
          <cell r="E53">
            <v>240</v>
          </cell>
          <cell r="F53">
            <v>1.04</v>
          </cell>
          <cell r="G53">
            <v>0.06</v>
          </cell>
          <cell r="H53">
            <v>14.976000000000001</v>
          </cell>
        </row>
        <row r="54">
          <cell r="B54" t="str">
            <v>14.2.c</v>
          </cell>
          <cell r="C54" t="str">
            <v>Cement Pointing in rubble masonry work in  1:3 mortar</v>
          </cell>
          <cell r="D54" t="str">
            <v>DI pipe dia 150</v>
          </cell>
          <cell r="I54">
            <v>4059.4999999999072</v>
          </cell>
          <cell r="J54" t="str">
            <v>sqm</v>
          </cell>
          <cell r="K54">
            <v>56.421091656153123</v>
          </cell>
          <cell r="L54">
            <v>229041.42157814838</v>
          </cell>
        </row>
        <row r="55">
          <cell r="B55" t="str">
            <v>D200</v>
          </cell>
          <cell r="C55" t="str">
            <v>Drain-1</v>
          </cell>
          <cell r="D55">
            <v>2</v>
          </cell>
          <cell r="E55">
            <v>277</v>
          </cell>
          <cell r="G55">
            <v>0.35</v>
          </cell>
          <cell r="H55">
            <v>193.89999999999998</v>
          </cell>
        </row>
        <row r="56">
          <cell r="B56" t="str">
            <v>D250</v>
          </cell>
          <cell r="C56" t="str">
            <v>Drain 2.1</v>
          </cell>
          <cell r="D56">
            <v>2</v>
          </cell>
          <cell r="E56">
            <v>175</v>
          </cell>
          <cell r="G56">
            <v>0.6</v>
          </cell>
          <cell r="H56">
            <v>210</v>
          </cell>
        </row>
        <row r="57">
          <cell r="B57" t="str">
            <v>D300</v>
          </cell>
          <cell r="C57" t="str">
            <v>Drain 2.2</v>
          </cell>
          <cell r="D57">
            <v>2</v>
          </cell>
          <cell r="E57">
            <v>1190</v>
          </cell>
          <cell r="G57">
            <v>0.70000000000002272</v>
          </cell>
          <cell r="H57">
            <v>1666.0000000000541</v>
          </cell>
        </row>
        <row r="58">
          <cell r="B58" t="str">
            <v>D300_1</v>
          </cell>
          <cell r="C58" t="str">
            <v>Drain 3.1</v>
          </cell>
          <cell r="D58">
            <v>2</v>
          </cell>
          <cell r="E58">
            <v>375</v>
          </cell>
          <cell r="G58">
            <v>0.6499999999999545</v>
          </cell>
          <cell r="H58">
            <v>487.49999999996589</v>
          </cell>
        </row>
        <row r="59">
          <cell r="C59" t="str">
            <v>Drain 3.2</v>
          </cell>
          <cell r="D59">
            <v>2</v>
          </cell>
          <cell r="E59">
            <v>825</v>
          </cell>
          <cell r="G59">
            <v>0.6499999999999545</v>
          </cell>
          <cell r="H59">
            <v>1072.499999999925</v>
          </cell>
        </row>
        <row r="60">
          <cell r="C60" t="str">
            <v>Drain 3.A</v>
          </cell>
          <cell r="D60">
            <v>2</v>
          </cell>
          <cell r="E60">
            <v>225</v>
          </cell>
          <cell r="G60">
            <v>0.3999999999999545</v>
          </cell>
          <cell r="H60">
            <v>179.99999999997954</v>
          </cell>
        </row>
        <row r="61">
          <cell r="C61" t="str">
            <v>Drain 3.B</v>
          </cell>
          <cell r="D61">
            <v>2</v>
          </cell>
          <cell r="E61">
            <v>240</v>
          </cell>
          <cell r="G61">
            <v>0.51999999999996371</v>
          </cell>
          <cell r="H61">
            <v>249.59999999998257</v>
          </cell>
        </row>
        <row r="62">
          <cell r="B62" t="str">
            <v>6.1.b</v>
          </cell>
          <cell r="C62" t="str">
            <v>Rubble masonry works in 1:4 cement mortar</v>
          </cell>
          <cell r="I62">
            <v>1202.8739999999732</v>
          </cell>
          <cell r="J62" t="str">
            <v>cum</v>
          </cell>
          <cell r="K62">
            <v>3062.1631243026563</v>
          </cell>
          <cell r="L62">
            <v>3683396.4059823514</v>
          </cell>
        </row>
        <row r="63">
          <cell r="C63" t="str">
            <v>Drain-1</v>
          </cell>
          <cell r="D63">
            <v>2</v>
          </cell>
          <cell r="E63">
            <v>277</v>
          </cell>
          <cell r="F63">
            <v>0.3</v>
          </cell>
          <cell r="G63">
            <v>0.35</v>
          </cell>
          <cell r="H63">
            <v>58.169999999999995</v>
          </cell>
        </row>
        <row r="64">
          <cell r="C64" t="str">
            <v>Drain 2.1</v>
          </cell>
          <cell r="D64">
            <v>2</v>
          </cell>
          <cell r="E64">
            <v>175</v>
          </cell>
          <cell r="F64">
            <v>0.3</v>
          </cell>
          <cell r="G64">
            <v>0.6</v>
          </cell>
          <cell r="H64">
            <v>63</v>
          </cell>
        </row>
        <row r="65">
          <cell r="C65" t="str">
            <v>Drain 2.2</v>
          </cell>
          <cell r="D65">
            <v>2</v>
          </cell>
          <cell r="E65">
            <v>1190</v>
          </cell>
          <cell r="F65">
            <v>0.3</v>
          </cell>
          <cell r="G65">
            <v>0.70000000000002272</v>
          </cell>
          <cell r="H65">
            <v>499.80000000001621</v>
          </cell>
        </row>
        <row r="66">
          <cell r="C66" t="str">
            <v>Drain 3.1</v>
          </cell>
          <cell r="D66">
            <v>2</v>
          </cell>
          <cell r="E66">
            <v>375</v>
          </cell>
          <cell r="F66">
            <v>0.3</v>
          </cell>
          <cell r="G66">
            <v>0.6499999999999545</v>
          </cell>
          <cell r="H66">
            <v>146.24999999998977</v>
          </cell>
        </row>
        <row r="67">
          <cell r="C67" t="str">
            <v>Drain 3.2</v>
          </cell>
          <cell r="D67">
            <v>2</v>
          </cell>
          <cell r="E67">
            <v>825</v>
          </cell>
          <cell r="F67">
            <v>0.3</v>
          </cell>
          <cell r="G67">
            <v>0.6499999999999545</v>
          </cell>
          <cell r="H67">
            <v>321.74999999997749</v>
          </cell>
        </row>
        <row r="68">
          <cell r="C68" t="str">
            <v>Drain 3.A</v>
          </cell>
          <cell r="D68">
            <v>2</v>
          </cell>
          <cell r="E68">
            <v>225</v>
          </cell>
          <cell r="F68">
            <v>0.3</v>
          </cell>
          <cell r="G68">
            <v>0.3999999999999545</v>
          </cell>
          <cell r="H68">
            <v>53.999999999993861</v>
          </cell>
        </row>
        <row r="69">
          <cell r="C69" t="str">
            <v>Drain 3.B</v>
          </cell>
          <cell r="D69">
            <v>2</v>
          </cell>
          <cell r="E69">
            <v>240</v>
          </cell>
          <cell r="F69">
            <v>0.24</v>
          </cell>
          <cell r="G69">
            <v>0.51999999999996371</v>
          </cell>
          <cell r="H69">
            <v>59.903999999995811</v>
          </cell>
        </row>
        <row r="70">
          <cell r="B70" t="str">
            <v>7.4.a</v>
          </cell>
          <cell r="C70" t="str">
            <v xml:space="preserve">P.C.C. for R.C.C. for super structures in M15 </v>
          </cell>
          <cell r="I70">
            <v>536.09400000000005</v>
          </cell>
          <cell r="J70" t="str">
            <v>cum</v>
          </cell>
          <cell r="K70">
            <v>5239.6617087703125</v>
          </cell>
          <cell r="L70">
            <v>2808951.2041015122</v>
          </cell>
        </row>
        <row r="71">
          <cell r="C71" t="str">
            <v>Cover Slab</v>
          </cell>
        </row>
        <row r="72">
          <cell r="C72" t="str">
            <v>Drain-1</v>
          </cell>
          <cell r="D72">
            <v>1</v>
          </cell>
          <cell r="E72">
            <v>277</v>
          </cell>
          <cell r="F72">
            <v>1</v>
          </cell>
          <cell r="G72">
            <v>0.15</v>
          </cell>
          <cell r="H72">
            <v>41.55</v>
          </cell>
        </row>
        <row r="73">
          <cell r="C73" t="str">
            <v>Drain 2.1</v>
          </cell>
          <cell r="D73">
            <v>1</v>
          </cell>
          <cell r="E73">
            <v>175</v>
          </cell>
          <cell r="F73">
            <v>1.1000000000000001</v>
          </cell>
          <cell r="G73">
            <v>0.15</v>
          </cell>
          <cell r="H73">
            <v>28.875000000000004</v>
          </cell>
        </row>
        <row r="74">
          <cell r="C74" t="str">
            <v>Drain 2.2</v>
          </cell>
          <cell r="D74">
            <v>1</v>
          </cell>
          <cell r="E74">
            <v>1190</v>
          </cell>
          <cell r="F74">
            <v>1.2</v>
          </cell>
          <cell r="G74">
            <v>0.15</v>
          </cell>
          <cell r="H74">
            <v>214.2</v>
          </cell>
        </row>
        <row r="75">
          <cell r="C75" t="str">
            <v>Drain 3.1</v>
          </cell>
          <cell r="D75">
            <v>1</v>
          </cell>
          <cell r="E75">
            <v>375</v>
          </cell>
          <cell r="F75">
            <v>1</v>
          </cell>
          <cell r="G75">
            <v>0.15</v>
          </cell>
          <cell r="H75">
            <v>56.25</v>
          </cell>
        </row>
        <row r="76">
          <cell r="C76" t="str">
            <v>Drain 3.2</v>
          </cell>
          <cell r="D76">
            <v>1</v>
          </cell>
          <cell r="E76">
            <v>825</v>
          </cell>
          <cell r="F76">
            <v>1.1000000000000001</v>
          </cell>
          <cell r="G76">
            <v>0.15</v>
          </cell>
          <cell r="H76">
            <v>136.125</v>
          </cell>
        </row>
        <row r="77">
          <cell r="C77" t="str">
            <v>Drain 3.A</v>
          </cell>
          <cell r="D77">
            <v>1</v>
          </cell>
          <cell r="E77">
            <v>225</v>
          </cell>
          <cell r="F77">
            <v>1</v>
          </cell>
          <cell r="G77">
            <v>0.15</v>
          </cell>
          <cell r="H77">
            <v>33.75</v>
          </cell>
        </row>
        <row r="78">
          <cell r="C78" t="str">
            <v>Drain 3.B</v>
          </cell>
          <cell r="D78">
            <v>1</v>
          </cell>
          <cell r="E78">
            <v>240</v>
          </cell>
          <cell r="F78">
            <v>0.88</v>
          </cell>
          <cell r="G78">
            <v>0.12</v>
          </cell>
          <cell r="H78">
            <v>25.343999999999998</v>
          </cell>
        </row>
        <row r="79">
          <cell r="B79" t="str">
            <v>8.2.a</v>
          </cell>
          <cell r="C79" t="str">
            <v>Formwork for flooring and slab including materials</v>
          </cell>
          <cell r="I79">
            <v>1660.8</v>
          </cell>
          <cell r="J79" t="str">
            <v>sqm</v>
          </cell>
          <cell r="K79">
            <v>241.29415</v>
          </cell>
          <cell r="L79">
            <v>400741.32432000001</v>
          </cell>
        </row>
        <row r="80">
          <cell r="C80" t="str">
            <v>Cover Slab</v>
          </cell>
        </row>
        <row r="81">
          <cell r="C81" t="str">
            <v>Drain-1</v>
          </cell>
          <cell r="D81">
            <v>1</v>
          </cell>
          <cell r="E81">
            <v>277</v>
          </cell>
          <cell r="F81">
            <v>0.4</v>
          </cell>
          <cell r="H81">
            <v>110.80000000000001</v>
          </cell>
        </row>
        <row r="82">
          <cell r="C82" t="str">
            <v>Drain 2.1</v>
          </cell>
          <cell r="D82">
            <v>1</v>
          </cell>
          <cell r="E82">
            <v>175</v>
          </cell>
          <cell r="F82">
            <v>0.5</v>
          </cell>
          <cell r="H82">
            <v>87.5</v>
          </cell>
        </row>
        <row r="83">
          <cell r="C83" t="str">
            <v>Drain 2.2</v>
          </cell>
          <cell r="D83">
            <v>1</v>
          </cell>
          <cell r="E83">
            <v>1190</v>
          </cell>
          <cell r="F83">
            <v>0.6</v>
          </cell>
          <cell r="H83">
            <v>714</v>
          </cell>
        </row>
        <row r="84">
          <cell r="C84" t="str">
            <v>Drain 3.1</v>
          </cell>
          <cell r="D84">
            <v>1</v>
          </cell>
          <cell r="E84">
            <v>375</v>
          </cell>
          <cell r="F84">
            <v>0.4</v>
          </cell>
          <cell r="H84">
            <v>150</v>
          </cell>
        </row>
        <row r="85">
          <cell r="C85" t="str">
            <v>Drain 3.2</v>
          </cell>
          <cell r="D85">
            <v>1</v>
          </cell>
          <cell r="E85">
            <v>825</v>
          </cell>
          <cell r="F85">
            <v>0.5</v>
          </cell>
          <cell r="H85">
            <v>412.5</v>
          </cell>
        </row>
        <row r="86">
          <cell r="C86" t="str">
            <v>Drain 3.A</v>
          </cell>
          <cell r="D86">
            <v>1</v>
          </cell>
          <cell r="E86">
            <v>225</v>
          </cell>
          <cell r="F86">
            <v>0.4</v>
          </cell>
          <cell r="H86">
            <v>90</v>
          </cell>
        </row>
        <row r="87">
          <cell r="C87" t="str">
            <v>Drain 3.B</v>
          </cell>
          <cell r="D87">
            <v>1</v>
          </cell>
          <cell r="E87">
            <v>240</v>
          </cell>
          <cell r="F87">
            <v>0.4</v>
          </cell>
          <cell r="H87">
            <v>96</v>
          </cell>
        </row>
        <row r="88">
          <cell r="B88" t="str">
            <v>7.5</v>
          </cell>
          <cell r="C88" t="str">
            <v>Reinforcement work for R.C.C. work</v>
          </cell>
          <cell r="I88">
            <v>40.207050000000002</v>
          </cell>
          <cell r="J88" t="str">
            <v>mt</v>
          </cell>
          <cell r="K88">
            <v>39248.537514867188</v>
          </cell>
          <cell r="L88">
            <v>1578067.9102871409</v>
          </cell>
        </row>
      </sheetData>
      <sheetData sheetId="45"/>
      <sheetData sheetId="46"/>
      <sheetData sheetId="47"/>
      <sheetData sheetId="48"/>
      <sheetData sheetId="49"/>
      <sheetData sheetId="50"/>
      <sheetData sheetId="51"/>
      <sheetData sheetId="52"/>
      <sheetData sheetId="53"/>
      <sheetData sheetId="54"/>
      <sheetData sheetId="55"/>
      <sheetData sheetId="56"/>
      <sheetData sheetId="57">
        <row r="4">
          <cell r="B4" t="str">
            <v>1.4</v>
          </cell>
          <cell r="C4" t="str">
            <v>Site Clearance in thin vegetation area</v>
          </cell>
          <cell r="D4">
            <v>1</v>
          </cell>
          <cell r="E4">
            <v>15</v>
          </cell>
          <cell r="F4">
            <v>20</v>
          </cell>
          <cell r="H4">
            <v>450</v>
          </cell>
          <cell r="I4">
            <v>450</v>
          </cell>
          <cell r="J4" t="str">
            <v>sqm</v>
          </cell>
          <cell r="K4">
            <v>2.76</v>
          </cell>
          <cell r="L4">
            <v>1242</v>
          </cell>
        </row>
        <row r="5">
          <cell r="B5">
            <v>2.14</v>
          </cell>
          <cell r="C5" t="str">
            <v>E/W Excavation for foundation, drain, pipelines etc. in BM Soil</v>
          </cell>
          <cell r="I5">
            <v>143.86500000000001</v>
          </cell>
          <cell r="J5" t="str">
            <v>cum</v>
          </cell>
          <cell r="K5">
            <v>150.66839999999999</v>
          </cell>
          <cell r="L5">
            <v>21675.909366</v>
          </cell>
        </row>
        <row r="6">
          <cell r="C6" t="str">
            <v>Weir+ U/S and D/S floor</v>
          </cell>
          <cell r="D6">
            <v>1</v>
          </cell>
          <cell r="E6">
            <v>10.25</v>
          </cell>
          <cell r="F6">
            <v>13.5</v>
          </cell>
          <cell r="G6">
            <v>0.5</v>
          </cell>
          <cell r="H6">
            <v>69.1875</v>
          </cell>
        </row>
        <row r="7">
          <cell r="C7" t="str">
            <v>U/S Gabion Apron-1</v>
          </cell>
          <cell r="D7">
            <v>1</v>
          </cell>
          <cell r="E7">
            <v>13.5</v>
          </cell>
          <cell r="F7">
            <v>1</v>
          </cell>
          <cell r="G7">
            <v>0.5</v>
          </cell>
          <cell r="H7">
            <v>6.75</v>
          </cell>
        </row>
        <row r="8">
          <cell r="C8" t="str">
            <v>U/S Gabion Apron-2</v>
          </cell>
          <cell r="D8">
            <v>1</v>
          </cell>
          <cell r="E8">
            <v>13.5</v>
          </cell>
          <cell r="F8">
            <v>1</v>
          </cell>
          <cell r="G8">
            <v>1</v>
          </cell>
          <cell r="H8">
            <v>13.5</v>
          </cell>
        </row>
        <row r="9">
          <cell r="C9" t="str">
            <v>U/S &amp; D/S Cufoff</v>
          </cell>
          <cell r="D9">
            <v>2</v>
          </cell>
          <cell r="E9">
            <v>13.5</v>
          </cell>
          <cell r="F9">
            <v>1</v>
          </cell>
          <cell r="G9">
            <v>0.3</v>
          </cell>
          <cell r="H9">
            <v>8.1</v>
          </cell>
        </row>
        <row r="10">
          <cell r="C10" t="str">
            <v>D/S Gabion Apron-1</v>
          </cell>
          <cell r="D10">
            <v>1</v>
          </cell>
          <cell r="E10">
            <v>18</v>
          </cell>
          <cell r="F10">
            <v>1</v>
          </cell>
          <cell r="G10">
            <v>1</v>
          </cell>
          <cell r="H10">
            <v>18</v>
          </cell>
        </row>
        <row r="11">
          <cell r="C11" t="str">
            <v>D/S Gabion Apron-2</v>
          </cell>
          <cell r="D11">
            <v>1</v>
          </cell>
          <cell r="E11">
            <v>18</v>
          </cell>
          <cell r="F11">
            <v>1</v>
          </cell>
          <cell r="G11">
            <v>0.5</v>
          </cell>
          <cell r="H11">
            <v>9</v>
          </cell>
        </row>
        <row r="12">
          <cell r="C12" t="str">
            <v>Left bank Gabion protection</v>
          </cell>
          <cell r="D12">
            <v>2</v>
          </cell>
          <cell r="E12">
            <v>36</v>
          </cell>
          <cell r="F12">
            <v>1</v>
          </cell>
          <cell r="G12">
            <v>0.5</v>
          </cell>
          <cell r="H12">
            <v>36</v>
          </cell>
        </row>
        <row r="13">
          <cell r="C13" t="str">
            <v>Side Intake Chamber</v>
          </cell>
          <cell r="D13">
            <v>1</v>
          </cell>
          <cell r="E13">
            <v>9</v>
          </cell>
          <cell r="F13">
            <v>2.1</v>
          </cell>
          <cell r="G13">
            <v>1.35</v>
          </cell>
          <cell r="H13">
            <v>25.515000000000004</v>
          </cell>
        </row>
        <row r="14">
          <cell r="C14" t="str">
            <v>Right bank Gabion protection U/S</v>
          </cell>
          <cell r="D14">
            <v>2</v>
          </cell>
          <cell r="E14">
            <v>12</v>
          </cell>
          <cell r="F14">
            <v>1</v>
          </cell>
          <cell r="G14">
            <v>1</v>
          </cell>
          <cell r="H14">
            <v>24</v>
          </cell>
        </row>
        <row r="15">
          <cell r="C15" t="str">
            <v>Right bank Gabion protection D/S</v>
          </cell>
          <cell r="D15">
            <v>1</v>
          </cell>
          <cell r="E15">
            <v>6</v>
          </cell>
          <cell r="F15">
            <v>1</v>
          </cell>
          <cell r="G15">
            <v>0.5</v>
          </cell>
          <cell r="H15">
            <v>3</v>
          </cell>
        </row>
        <row r="17">
          <cell r="B17">
            <v>11.16</v>
          </cell>
          <cell r="C17" t="str">
            <v xml:space="preserve">Stone soling with sand </v>
          </cell>
          <cell r="I17">
            <v>0</v>
          </cell>
          <cell r="J17" t="str">
            <v>cum</v>
          </cell>
          <cell r="K17">
            <v>1371.1740676875002</v>
          </cell>
          <cell r="L17">
            <v>0</v>
          </cell>
        </row>
        <row r="18">
          <cell r="H18">
            <v>0</v>
          </cell>
        </row>
        <row r="19">
          <cell r="H19">
            <v>0</v>
          </cell>
        </row>
        <row r="20">
          <cell r="H20">
            <v>0</v>
          </cell>
        </row>
        <row r="21">
          <cell r="B21" t="str">
            <v>7.2.c</v>
          </cell>
          <cell r="C21" t="str">
            <v xml:space="preserve">P.C.C. for  foundation &amp; walls in M10 </v>
          </cell>
          <cell r="I21">
            <v>15.727500000000001</v>
          </cell>
          <cell r="J21" t="str">
            <v>cum</v>
          </cell>
          <cell r="K21">
            <v>4334.2110718062495</v>
          </cell>
          <cell r="L21">
            <v>68166.304631832798</v>
          </cell>
        </row>
        <row r="22">
          <cell r="C22" t="str">
            <v>Weir+ U/S and D/S floor</v>
          </cell>
          <cell r="D22">
            <v>1</v>
          </cell>
          <cell r="E22">
            <v>10.25</v>
          </cell>
          <cell r="F22">
            <v>13.5</v>
          </cell>
          <cell r="G22">
            <v>0.1</v>
          </cell>
          <cell r="H22">
            <v>13.8375</v>
          </cell>
        </row>
        <row r="23">
          <cell r="C23" t="str">
            <v>Side Intake Chamber</v>
          </cell>
          <cell r="D23">
            <v>1</v>
          </cell>
          <cell r="E23">
            <v>9</v>
          </cell>
          <cell r="F23">
            <v>2.1</v>
          </cell>
          <cell r="G23">
            <v>0.1</v>
          </cell>
          <cell r="H23">
            <v>1.8900000000000003</v>
          </cell>
        </row>
        <row r="24">
          <cell r="B24" t="str">
            <v>7.4.c</v>
          </cell>
          <cell r="C24" t="str">
            <v xml:space="preserve">P.C.C. for R.C.C. for super structures in M25 </v>
          </cell>
          <cell r="I24">
            <v>21.507750000000001</v>
          </cell>
          <cell r="J24" t="str">
            <v>cum</v>
          </cell>
          <cell r="K24">
            <v>7432.4170875750006</v>
          </cell>
          <cell r="L24">
            <v>159854.56861529124</v>
          </cell>
        </row>
        <row r="25">
          <cell r="C25" t="str">
            <v>Base of Side Intake Chamber</v>
          </cell>
          <cell r="D25">
            <v>1</v>
          </cell>
          <cell r="E25">
            <v>9</v>
          </cell>
          <cell r="F25">
            <v>2.1</v>
          </cell>
          <cell r="G25">
            <v>0.3</v>
          </cell>
          <cell r="H25">
            <v>5.6700000000000008</v>
          </cell>
        </row>
        <row r="26">
          <cell r="C26" t="str">
            <v>Side Walls(Long) of Intake Chamber</v>
          </cell>
          <cell r="D26">
            <v>2</v>
          </cell>
          <cell r="E26">
            <v>8.4</v>
          </cell>
          <cell r="F26">
            <v>2.4849999999999999</v>
          </cell>
          <cell r="G26">
            <v>0.3</v>
          </cell>
          <cell r="H26">
            <v>12.524399999999998</v>
          </cell>
        </row>
        <row r="27">
          <cell r="C27" t="str">
            <v>Side Wall-1(Short) of Intake Chamber</v>
          </cell>
          <cell r="D27">
            <v>1</v>
          </cell>
          <cell r="E27">
            <v>2.1</v>
          </cell>
          <cell r="F27">
            <v>0.3</v>
          </cell>
          <cell r="G27">
            <v>2.4</v>
          </cell>
          <cell r="H27">
            <v>1.512</v>
          </cell>
        </row>
        <row r="28">
          <cell r="C28" t="str">
            <v>Side Wall-2(Short) of Intake Chamber</v>
          </cell>
          <cell r="D28">
            <v>1</v>
          </cell>
          <cell r="E28">
            <v>2.1</v>
          </cell>
          <cell r="F28">
            <v>0.3</v>
          </cell>
          <cell r="G28">
            <v>2.57</v>
          </cell>
          <cell r="H28">
            <v>1.6191</v>
          </cell>
        </row>
        <row r="29">
          <cell r="C29" t="str">
            <v>Weir in the Intake Chamber</v>
          </cell>
          <cell r="D29">
            <v>1</v>
          </cell>
          <cell r="E29">
            <v>1.5</v>
          </cell>
          <cell r="F29">
            <v>2.0699999999999998</v>
          </cell>
          <cell r="G29">
            <v>0.25</v>
          </cell>
          <cell r="H29">
            <v>0.77624999999999988</v>
          </cell>
        </row>
        <row r="30">
          <cell r="C30" t="str">
            <v>Deduction for openings</v>
          </cell>
          <cell r="H30">
            <v>0</v>
          </cell>
        </row>
        <row r="31">
          <cell r="C31" t="str">
            <v>Trash rack</v>
          </cell>
          <cell r="D31">
            <v>1</v>
          </cell>
          <cell r="E31">
            <v>3</v>
          </cell>
          <cell r="F31">
            <v>0.6</v>
          </cell>
          <cell r="G31">
            <v>0.3</v>
          </cell>
          <cell r="H31">
            <v>-0.53999999999999992</v>
          </cell>
        </row>
        <row r="32">
          <cell r="C32" t="str">
            <v>Gate for flushing</v>
          </cell>
          <cell r="D32">
            <v>1</v>
          </cell>
          <cell r="E32">
            <v>0.6</v>
          </cell>
          <cell r="F32">
            <v>0.3</v>
          </cell>
          <cell r="G32">
            <v>0.3</v>
          </cell>
          <cell r="H32">
            <v>-5.3999999999999999E-2</v>
          </cell>
        </row>
        <row r="33">
          <cell r="B33" t="str">
            <v>7.4.b</v>
          </cell>
          <cell r="C33" t="str">
            <v xml:space="preserve">P.C.C. for R.C.C. for super structures in M20 </v>
          </cell>
          <cell r="I33">
            <v>125.38124999999999</v>
          </cell>
          <cell r="J33" t="str">
            <v>cum</v>
          </cell>
          <cell r="K33">
            <v>6154.8131365578129</v>
          </cell>
          <cell r="L33">
            <v>771698.1645780392</v>
          </cell>
        </row>
        <row r="34">
          <cell r="C34" t="str">
            <v>Floor(U/S+Weir+D/S)</v>
          </cell>
          <cell r="D34">
            <v>1</v>
          </cell>
          <cell r="E34">
            <v>10.25</v>
          </cell>
          <cell r="F34">
            <v>13.5</v>
          </cell>
          <cell r="G34">
            <v>0.5</v>
          </cell>
          <cell r="H34">
            <v>69.1875</v>
          </cell>
        </row>
        <row r="35">
          <cell r="C35" t="str">
            <v>Weir</v>
          </cell>
          <cell r="D35">
            <v>1</v>
          </cell>
          <cell r="E35">
            <v>13.5</v>
          </cell>
          <cell r="F35">
            <v>2.375</v>
          </cell>
          <cell r="G35">
            <v>1.5</v>
          </cell>
          <cell r="H35">
            <v>48.09375</v>
          </cell>
        </row>
        <row r="36">
          <cell r="C36" t="str">
            <v>Deduction for openings</v>
          </cell>
          <cell r="H36">
            <v>0</v>
          </cell>
        </row>
        <row r="37">
          <cell r="C37" t="str">
            <v>U/S &amp; D/S Cutoff</v>
          </cell>
          <cell r="D37">
            <v>2</v>
          </cell>
          <cell r="E37">
            <v>13.5</v>
          </cell>
          <cell r="F37">
            <v>1</v>
          </cell>
          <cell r="G37">
            <v>0.3</v>
          </cell>
          <cell r="H37">
            <v>8.1</v>
          </cell>
        </row>
        <row r="38">
          <cell r="B38" t="str">
            <v>7.5</v>
          </cell>
          <cell r="C38" t="str">
            <v>Reinforcement work for R.C.C. work</v>
          </cell>
          <cell r="D38" t="str">
            <v>@100kg/cum</v>
          </cell>
          <cell r="H38">
            <v>14.688900000000002</v>
          </cell>
          <cell r="I38">
            <v>14.688900000000002</v>
          </cell>
          <cell r="J38" t="str">
            <v>mt</v>
          </cell>
          <cell r="K38">
            <v>39248.537514867188</v>
          </cell>
          <cell r="L38">
            <v>576517.84270213277</v>
          </cell>
        </row>
        <row r="39">
          <cell r="B39" t="str">
            <v>8.2.a</v>
          </cell>
          <cell r="C39" t="str">
            <v>Formwork for flooring and slab including materials</v>
          </cell>
          <cell r="I39">
            <v>204.73399999999998</v>
          </cell>
          <cell r="J39" t="str">
            <v>sqm</v>
          </cell>
          <cell r="K39">
            <v>241.29415</v>
          </cell>
          <cell r="L39">
            <v>49401.116506099999</v>
          </cell>
        </row>
        <row r="40">
          <cell r="C40" t="str">
            <v>Longer side floor(U/S+Weir+D/S)</v>
          </cell>
          <cell r="D40">
            <v>2</v>
          </cell>
          <cell r="E40">
            <v>10.25</v>
          </cell>
          <cell r="F40">
            <v>0.5</v>
          </cell>
          <cell r="H40">
            <v>10.25</v>
          </cell>
        </row>
        <row r="41">
          <cell r="C41" t="str">
            <v>Shorter side floor</v>
          </cell>
          <cell r="D41">
            <v>2</v>
          </cell>
          <cell r="E41">
            <v>13.5</v>
          </cell>
          <cell r="F41">
            <v>0.5</v>
          </cell>
          <cell r="H41">
            <v>13.5</v>
          </cell>
        </row>
        <row r="42">
          <cell r="C42" t="str">
            <v>Weir U/S</v>
          </cell>
          <cell r="D42">
            <v>1</v>
          </cell>
          <cell r="E42">
            <v>13.5</v>
          </cell>
          <cell r="F42">
            <v>2.12</v>
          </cell>
          <cell r="H42">
            <v>28.62</v>
          </cell>
        </row>
        <row r="43">
          <cell r="C43" t="str">
            <v>Weir D/S</v>
          </cell>
          <cell r="D43">
            <v>1</v>
          </cell>
          <cell r="E43">
            <v>13.5</v>
          </cell>
          <cell r="F43">
            <v>2.7</v>
          </cell>
          <cell r="H43">
            <v>36.450000000000003</v>
          </cell>
        </row>
        <row r="44">
          <cell r="C44" t="str">
            <v>Weir sides</v>
          </cell>
          <cell r="D44">
            <v>2</v>
          </cell>
          <cell r="E44">
            <v>2.38</v>
          </cell>
          <cell r="F44">
            <v>1.5</v>
          </cell>
          <cell r="H44">
            <v>7.14</v>
          </cell>
        </row>
        <row r="45">
          <cell r="C45" t="str">
            <v>Outer side Walls(Long) of Intake Chamber</v>
          </cell>
          <cell r="D45">
            <v>2</v>
          </cell>
          <cell r="E45">
            <v>9</v>
          </cell>
          <cell r="F45">
            <v>2.4900000000000002</v>
          </cell>
          <cell r="H45">
            <v>44.820000000000007</v>
          </cell>
        </row>
        <row r="46">
          <cell r="C46" t="str">
            <v>Inner side Walls(Long) of Intake Chamber</v>
          </cell>
          <cell r="D46">
            <v>2</v>
          </cell>
          <cell r="E46">
            <v>8.4</v>
          </cell>
          <cell r="F46">
            <v>2.4900000000000002</v>
          </cell>
          <cell r="H46">
            <v>41.832000000000008</v>
          </cell>
        </row>
        <row r="47">
          <cell r="C47" t="str">
            <v>Inner Side Wall-1(Short) of Intake Chamber</v>
          </cell>
          <cell r="D47">
            <v>1</v>
          </cell>
          <cell r="E47">
            <v>2.1</v>
          </cell>
          <cell r="F47">
            <v>2.4</v>
          </cell>
          <cell r="H47">
            <v>5.04</v>
          </cell>
        </row>
        <row r="48">
          <cell r="C48" t="str">
            <v>Outer Side Wall-1(Short) of Intake Chamber</v>
          </cell>
          <cell r="D48">
            <v>1</v>
          </cell>
          <cell r="E48">
            <v>1.5</v>
          </cell>
          <cell r="F48">
            <v>2.4</v>
          </cell>
          <cell r="H48">
            <v>3.5999999999999996</v>
          </cell>
        </row>
        <row r="49">
          <cell r="C49" t="str">
            <v>Inner Side Wall-2(Short) of Intake Chamber</v>
          </cell>
          <cell r="D49">
            <v>1</v>
          </cell>
          <cell r="E49">
            <v>2.1</v>
          </cell>
          <cell r="F49">
            <v>2.57</v>
          </cell>
          <cell r="H49">
            <v>5.3970000000000002</v>
          </cell>
        </row>
        <row r="50">
          <cell r="C50" t="str">
            <v>Outer Side Wall-2(Short) of Intake Chamber</v>
          </cell>
          <cell r="D50">
            <v>1</v>
          </cell>
          <cell r="E50">
            <v>1.5</v>
          </cell>
          <cell r="F50">
            <v>2.57</v>
          </cell>
          <cell r="H50">
            <v>3.8549999999999995</v>
          </cell>
        </row>
        <row r="51">
          <cell r="C51" t="str">
            <v>Weir</v>
          </cell>
          <cell r="D51">
            <v>2</v>
          </cell>
          <cell r="E51">
            <v>1.5</v>
          </cell>
          <cell r="F51">
            <v>2.0699999999999998</v>
          </cell>
          <cell r="H51">
            <v>6.2099999999999991</v>
          </cell>
        </row>
        <row r="52">
          <cell r="C52" t="str">
            <v>Deduction for openings</v>
          </cell>
          <cell r="H52">
            <v>0</v>
          </cell>
        </row>
        <row r="53">
          <cell r="C53" t="str">
            <v>Trash rack</v>
          </cell>
          <cell r="D53">
            <v>1</v>
          </cell>
          <cell r="E53">
            <v>3</v>
          </cell>
          <cell r="F53">
            <v>0.6</v>
          </cell>
          <cell r="H53">
            <v>-1.7999999999999998</v>
          </cell>
        </row>
        <row r="54">
          <cell r="C54" t="str">
            <v>Gate for flushing</v>
          </cell>
          <cell r="D54">
            <v>1</v>
          </cell>
          <cell r="E54">
            <v>0.6</v>
          </cell>
          <cell r="F54">
            <v>0.3</v>
          </cell>
          <cell r="H54">
            <v>-0.18</v>
          </cell>
        </row>
        <row r="55">
          <cell r="B55" t="str">
            <v>16.2.b</v>
          </cell>
          <cell r="C55" t="str">
            <v>3mx1mx1m size Gabion box fabrication, 10 and 7 SWG ( 80x100 hex)</v>
          </cell>
          <cell r="H55">
            <v>133.5</v>
          </cell>
          <cell r="I55">
            <v>133.5</v>
          </cell>
          <cell r="J55" t="str">
            <v>cum</v>
          </cell>
          <cell r="K55">
            <v>854.7643333333333</v>
          </cell>
          <cell r="L55">
            <v>114111.0385</v>
          </cell>
        </row>
        <row r="56">
          <cell r="C56" t="str">
            <v>U/S Gabion Apron-2</v>
          </cell>
          <cell r="D56">
            <v>1</v>
          </cell>
          <cell r="E56">
            <v>13.5</v>
          </cell>
          <cell r="F56">
            <v>1</v>
          </cell>
          <cell r="G56">
            <v>1</v>
          </cell>
          <cell r="H56">
            <v>13.5</v>
          </cell>
        </row>
        <row r="57">
          <cell r="C57" t="str">
            <v>D/S Gabion Apron-2</v>
          </cell>
          <cell r="D57">
            <v>1</v>
          </cell>
          <cell r="E57">
            <v>18</v>
          </cell>
          <cell r="F57">
            <v>1</v>
          </cell>
          <cell r="G57">
            <v>1</v>
          </cell>
          <cell r="H57">
            <v>18</v>
          </cell>
        </row>
        <row r="58">
          <cell r="C58" t="str">
            <v>Left bank Gabion protection</v>
          </cell>
          <cell r="D58">
            <v>2</v>
          </cell>
          <cell r="E58">
            <v>36</v>
          </cell>
          <cell r="F58">
            <v>1</v>
          </cell>
          <cell r="G58">
            <v>1</v>
          </cell>
          <cell r="H58">
            <v>72</v>
          </cell>
        </row>
        <row r="59">
          <cell r="C59" t="str">
            <v>Right bank Gabion protection U/S</v>
          </cell>
          <cell r="D59">
            <v>2</v>
          </cell>
          <cell r="E59">
            <v>12</v>
          </cell>
          <cell r="F59">
            <v>1</v>
          </cell>
          <cell r="G59">
            <v>1</v>
          </cell>
          <cell r="H59">
            <v>24</v>
          </cell>
        </row>
        <row r="60">
          <cell r="C60" t="str">
            <v>Right bank Gabion protection D/S</v>
          </cell>
          <cell r="D60">
            <v>1</v>
          </cell>
          <cell r="E60">
            <v>6</v>
          </cell>
          <cell r="F60">
            <v>1</v>
          </cell>
          <cell r="G60">
            <v>1</v>
          </cell>
          <cell r="H60">
            <v>6</v>
          </cell>
        </row>
        <row r="61">
          <cell r="B61" t="str">
            <v>16.2.d</v>
          </cell>
          <cell r="C61" t="str">
            <v>3mx1mx0.5m size Gabion box fabrication, 10 and 7 SWG ( 80x100 hex)</v>
          </cell>
          <cell r="H61">
            <v>15.75</v>
          </cell>
          <cell r="I61">
            <v>15.75</v>
          </cell>
          <cell r="J61" t="str">
            <v>cum</v>
          </cell>
          <cell r="K61">
            <v>1195.7393333333332</v>
          </cell>
          <cell r="L61">
            <v>18832.894499999999</v>
          </cell>
        </row>
        <row r="62">
          <cell r="C62" t="str">
            <v>U/S Gabion Apron-1</v>
          </cell>
          <cell r="D62">
            <v>1</v>
          </cell>
          <cell r="E62">
            <v>13.5</v>
          </cell>
          <cell r="F62">
            <v>1</v>
          </cell>
          <cell r="G62">
            <v>0.5</v>
          </cell>
          <cell r="H62">
            <v>6.75</v>
          </cell>
        </row>
        <row r="63">
          <cell r="C63" t="str">
            <v>D/S Gabion Apron-2</v>
          </cell>
          <cell r="D63">
            <v>1</v>
          </cell>
          <cell r="E63">
            <v>18</v>
          </cell>
          <cell r="F63">
            <v>1</v>
          </cell>
          <cell r="G63">
            <v>0.5</v>
          </cell>
          <cell r="H63">
            <v>9</v>
          </cell>
        </row>
        <row r="64">
          <cell r="B64">
            <v>16.11</v>
          </cell>
          <cell r="C64" t="str">
            <v>Filling of Gabion box with boulder</v>
          </cell>
          <cell r="H64">
            <v>149.25</v>
          </cell>
          <cell r="I64">
            <v>149.25</v>
          </cell>
          <cell r="J64" t="str">
            <v>cum</v>
          </cell>
          <cell r="K64">
            <v>974.35519562499996</v>
          </cell>
          <cell r="L64">
            <v>145422.51294703124</v>
          </cell>
        </row>
        <row r="65">
          <cell r="C65" t="str">
            <v>U/S Gabion Apron-2</v>
          </cell>
          <cell r="D65">
            <v>1</v>
          </cell>
          <cell r="E65">
            <v>13.5</v>
          </cell>
          <cell r="F65">
            <v>1</v>
          </cell>
          <cell r="G65">
            <v>1</v>
          </cell>
          <cell r="H65">
            <v>13.5</v>
          </cell>
        </row>
        <row r="66">
          <cell r="C66" t="str">
            <v>D/S Gabion Apron-2</v>
          </cell>
          <cell r="D66">
            <v>1</v>
          </cell>
          <cell r="E66">
            <v>18</v>
          </cell>
          <cell r="F66">
            <v>1</v>
          </cell>
          <cell r="G66">
            <v>1</v>
          </cell>
          <cell r="H66">
            <v>18</v>
          </cell>
        </row>
        <row r="67">
          <cell r="C67" t="str">
            <v>Left bank Gabion protection</v>
          </cell>
          <cell r="D67">
            <v>2</v>
          </cell>
          <cell r="E67">
            <v>36</v>
          </cell>
          <cell r="F67">
            <v>1</v>
          </cell>
          <cell r="G67">
            <v>1</v>
          </cell>
          <cell r="H67">
            <v>72</v>
          </cell>
        </row>
        <row r="68">
          <cell r="C68" t="str">
            <v>Right bank Gabion protection U/S</v>
          </cell>
          <cell r="D68">
            <v>2</v>
          </cell>
          <cell r="E68">
            <v>12</v>
          </cell>
          <cell r="F68">
            <v>1</v>
          </cell>
          <cell r="G68">
            <v>1</v>
          </cell>
          <cell r="H68">
            <v>24</v>
          </cell>
        </row>
        <row r="69">
          <cell r="C69" t="str">
            <v>Right bank Gabion protection D/S</v>
          </cell>
          <cell r="D69">
            <v>1</v>
          </cell>
          <cell r="E69">
            <v>6</v>
          </cell>
          <cell r="F69">
            <v>1</v>
          </cell>
          <cell r="G69">
            <v>1</v>
          </cell>
          <cell r="H69">
            <v>6</v>
          </cell>
        </row>
        <row r="70">
          <cell r="C70" t="str">
            <v>U/S Gabion Apron-1</v>
          </cell>
          <cell r="D70">
            <v>1</v>
          </cell>
          <cell r="E70">
            <v>13.5</v>
          </cell>
          <cell r="F70">
            <v>1</v>
          </cell>
          <cell r="G70">
            <v>0.5</v>
          </cell>
          <cell r="H70">
            <v>6.75</v>
          </cell>
        </row>
        <row r="71">
          <cell r="C71" t="str">
            <v>D/S Gabion Apron-2</v>
          </cell>
          <cell r="D71">
            <v>1</v>
          </cell>
          <cell r="E71">
            <v>18</v>
          </cell>
          <cell r="F71">
            <v>1</v>
          </cell>
          <cell r="G71">
            <v>0.5</v>
          </cell>
          <cell r="H71">
            <v>9</v>
          </cell>
        </row>
        <row r="72">
          <cell r="B72" t="str">
            <v>M-101</v>
          </cell>
          <cell r="C72" t="str">
            <v>MS Gate for Flushing</v>
          </cell>
          <cell r="I72">
            <v>1</v>
          </cell>
          <cell r="J72" t="str">
            <v>Job</v>
          </cell>
          <cell r="K72">
            <v>100000</v>
          </cell>
          <cell r="L72">
            <v>100000</v>
          </cell>
        </row>
        <row r="73">
          <cell r="B73" t="str">
            <v>M-102</v>
          </cell>
          <cell r="C73" t="str">
            <v>MS Plate for Trash rack</v>
          </cell>
          <cell r="I73">
            <v>1</v>
          </cell>
          <cell r="J73" t="str">
            <v>Job</v>
          </cell>
          <cell r="K73">
            <v>15000</v>
          </cell>
          <cell r="L73">
            <v>15000</v>
          </cell>
        </row>
        <row r="74">
          <cell r="B74" t="str">
            <v>M-103</v>
          </cell>
          <cell r="C74" t="str">
            <v>Stop log structure</v>
          </cell>
          <cell r="I74">
            <v>1</v>
          </cell>
          <cell r="J74" t="str">
            <v>Job</v>
          </cell>
          <cell r="K74">
            <v>5000</v>
          </cell>
          <cell r="L74">
            <v>5000</v>
          </cell>
        </row>
        <row r="75">
          <cell r="B75" t="str">
            <v>M-104</v>
          </cell>
          <cell r="C75" t="str">
            <v>Dewatering Cost</v>
          </cell>
          <cell r="I75">
            <v>1</v>
          </cell>
          <cell r="J75" t="str">
            <v>Job</v>
          </cell>
          <cell r="K75">
            <v>100000</v>
          </cell>
          <cell r="L75">
            <v>100000</v>
          </cell>
        </row>
      </sheetData>
      <sheetData sheetId="58">
        <row r="47">
          <cell r="B47" t="str">
            <v>1.4</v>
          </cell>
          <cell r="C47" t="str">
            <v>Site Clearance in thin vegetation area</v>
          </cell>
          <cell r="I47">
            <v>1250</v>
          </cell>
          <cell r="J47" t="str">
            <v>sqm</v>
          </cell>
          <cell r="K47">
            <v>2.76</v>
          </cell>
          <cell r="L47">
            <v>3449.9999999999995</v>
          </cell>
        </row>
        <row r="48">
          <cell r="C48" t="str">
            <v>Site Clearance</v>
          </cell>
          <cell r="D48">
            <v>1</v>
          </cell>
          <cell r="E48">
            <v>10</v>
          </cell>
          <cell r="F48">
            <v>5</v>
          </cell>
          <cell r="H48">
            <v>1250</v>
          </cell>
        </row>
        <row r="49">
          <cell r="B49">
            <v>2.14</v>
          </cell>
          <cell r="C49" t="str">
            <v>E/W Excavation for foundation, drain, pipelines etc. in BM Soil</v>
          </cell>
          <cell r="I49">
            <v>90.702224999999999</v>
          </cell>
          <cell r="J49" t="str">
            <v>cum</v>
          </cell>
          <cell r="K49">
            <v>150.66839999999999</v>
          </cell>
          <cell r="L49">
            <v>13665.959117189999</v>
          </cell>
        </row>
        <row r="50">
          <cell r="C50" t="str">
            <v>Grit Chamber</v>
          </cell>
          <cell r="D50">
            <v>1</v>
          </cell>
          <cell r="E50">
            <v>7.85</v>
          </cell>
          <cell r="F50">
            <v>4.1399999999999997</v>
          </cell>
          <cell r="G50">
            <v>2.875</v>
          </cell>
          <cell r="H50">
            <v>93.434624999999997</v>
          </cell>
        </row>
        <row r="51">
          <cell r="C51" t="str">
            <v>Deduction : Sloping Portion</v>
          </cell>
          <cell r="D51">
            <v>-1</v>
          </cell>
          <cell r="E51">
            <v>0.6</v>
          </cell>
          <cell r="F51">
            <v>4.1399999999999997</v>
          </cell>
          <cell r="G51">
            <v>0.3</v>
          </cell>
          <cell r="H51">
            <v>-0.74519999999999986</v>
          </cell>
        </row>
        <row r="52">
          <cell r="D52">
            <v>-1</v>
          </cell>
          <cell r="E52">
            <v>0.8</v>
          </cell>
          <cell r="F52">
            <v>4.1399999999999997</v>
          </cell>
          <cell r="G52">
            <v>0.6</v>
          </cell>
          <cell r="H52">
            <v>-1.9871999999999996</v>
          </cell>
        </row>
        <row r="53">
          <cell r="B53">
            <v>11.16</v>
          </cell>
          <cell r="C53" t="str">
            <v xml:space="preserve">Stone soling with sand </v>
          </cell>
          <cell r="I53">
            <v>9.8749439999999975</v>
          </cell>
          <cell r="J53" t="str">
            <v>cum</v>
          </cell>
          <cell r="K53">
            <v>1371.1740676875002</v>
          </cell>
          <cell r="L53">
            <v>13540.267132666269</v>
          </cell>
        </row>
        <row r="54">
          <cell r="C54" t="str">
            <v>Base</v>
          </cell>
          <cell r="D54">
            <v>1</v>
          </cell>
          <cell r="E54">
            <v>8.5719999999999992</v>
          </cell>
          <cell r="F54">
            <v>3.84</v>
          </cell>
          <cell r="G54">
            <v>0.3</v>
          </cell>
          <cell r="H54">
            <v>9.8749439999999975</v>
          </cell>
        </row>
        <row r="55">
          <cell r="B55" t="str">
            <v>7.2.c</v>
          </cell>
          <cell r="C55" t="str">
            <v xml:space="preserve">P.C.C. for  foundation &amp; walls in M10 </v>
          </cell>
          <cell r="I55">
            <v>3.2916479999999999</v>
          </cell>
          <cell r="J55" t="str">
            <v>cum</v>
          </cell>
          <cell r="K55">
            <v>4334.2110718062495</v>
          </cell>
          <cell r="L55">
            <v>14266.697206088897</v>
          </cell>
        </row>
        <row r="56">
          <cell r="C56" t="str">
            <v>Base</v>
          </cell>
          <cell r="D56">
            <v>1</v>
          </cell>
          <cell r="E56">
            <v>8.5719999999999992</v>
          </cell>
          <cell r="F56">
            <v>3.84</v>
          </cell>
          <cell r="G56">
            <v>0.1</v>
          </cell>
          <cell r="H56">
            <v>3.2916479999999999</v>
          </cell>
        </row>
        <row r="57">
          <cell r="B57" t="str">
            <v>7.4.b</v>
          </cell>
          <cell r="C57" t="str">
            <v xml:space="preserve">P.C.C. for R.C.C. for super structures in M20 </v>
          </cell>
          <cell r="I57">
            <v>27.538793999999996</v>
          </cell>
          <cell r="J57" t="str">
            <v>cum</v>
          </cell>
          <cell r="K57">
            <v>6154.8131365578129</v>
          </cell>
          <cell r="L57">
            <v>169496.13107615945</v>
          </cell>
        </row>
        <row r="58">
          <cell r="C58" t="str">
            <v>Bed</v>
          </cell>
          <cell r="D58">
            <v>1</v>
          </cell>
          <cell r="E58">
            <v>8.5719999999999992</v>
          </cell>
          <cell r="F58">
            <v>3.84</v>
          </cell>
          <cell r="G58">
            <v>0.3</v>
          </cell>
          <cell r="H58">
            <v>9.8749439999999975</v>
          </cell>
        </row>
        <row r="59">
          <cell r="C59" t="str">
            <v>Long Wall</v>
          </cell>
          <cell r="D59">
            <v>3</v>
          </cell>
          <cell r="E59">
            <v>7.55</v>
          </cell>
          <cell r="F59">
            <v>0.3</v>
          </cell>
          <cell r="G59">
            <v>1.9</v>
          </cell>
          <cell r="H59">
            <v>12.910499999999999</v>
          </cell>
        </row>
        <row r="60">
          <cell r="C60" t="str">
            <v>Short Wall-1</v>
          </cell>
          <cell r="D60">
            <v>1</v>
          </cell>
          <cell r="E60">
            <v>3.24</v>
          </cell>
          <cell r="F60">
            <v>0.3</v>
          </cell>
          <cell r="G60">
            <v>1.6</v>
          </cell>
          <cell r="H60">
            <v>1.5552000000000001</v>
          </cell>
        </row>
        <row r="61">
          <cell r="C61" t="str">
            <v>Short Wall-2</v>
          </cell>
          <cell r="D61">
            <v>1</v>
          </cell>
          <cell r="E61">
            <v>3.24</v>
          </cell>
          <cell r="F61">
            <v>0.3</v>
          </cell>
          <cell r="G61">
            <v>2.2000000000000002</v>
          </cell>
          <cell r="H61">
            <v>2.1384000000000003</v>
          </cell>
        </row>
        <row r="62">
          <cell r="C62" t="str">
            <v>Short Wall-3</v>
          </cell>
          <cell r="D62">
            <v>1</v>
          </cell>
          <cell r="E62">
            <v>3.24</v>
          </cell>
          <cell r="F62">
            <v>0.15</v>
          </cell>
          <cell r="G62">
            <v>2.2000000000000002</v>
          </cell>
          <cell r="H62">
            <v>1.0692000000000002</v>
          </cell>
        </row>
        <row r="63">
          <cell r="C63" t="str">
            <v>Deduction Proportional Weir</v>
          </cell>
          <cell r="D63">
            <v>-2</v>
          </cell>
          <cell r="E63">
            <v>0.21</v>
          </cell>
          <cell r="F63">
            <v>0.15</v>
          </cell>
          <cell r="G63">
            <v>0.15</v>
          </cell>
          <cell r="H63">
            <v>-9.4500000000000001E-3</v>
          </cell>
        </row>
        <row r="64">
          <cell r="B64" t="str">
            <v>7.5</v>
          </cell>
          <cell r="C64" t="str">
            <v>Reinforcement work for R.C.C. work</v>
          </cell>
          <cell r="D64" t="str">
            <v>@100 kg/cum</v>
          </cell>
          <cell r="H64">
            <v>2.7538793999999998</v>
          </cell>
          <cell r="I64">
            <v>2.7538793999999998</v>
          </cell>
          <cell r="J64" t="str">
            <v>mt</v>
          </cell>
          <cell r="K64">
            <v>39248.537514867188</v>
          </cell>
          <cell r="L64">
            <v>108085.73894231993</v>
          </cell>
        </row>
        <row r="65">
          <cell r="B65" t="str">
            <v>8.2.a</v>
          </cell>
          <cell r="C65" t="str">
            <v>Formwork for flooring and slab including materials</v>
          </cell>
          <cell r="I65">
            <v>124.94999999999999</v>
          </cell>
          <cell r="J65" t="str">
            <v>sqm</v>
          </cell>
          <cell r="K65">
            <v>241.29415</v>
          </cell>
          <cell r="L65">
            <v>30149.704042499998</v>
          </cell>
        </row>
        <row r="66">
          <cell r="C66" t="str">
            <v>Long Wall</v>
          </cell>
          <cell r="D66">
            <v>6</v>
          </cell>
          <cell r="E66">
            <v>7.55</v>
          </cell>
          <cell r="F66">
            <v>1.9</v>
          </cell>
          <cell r="H66">
            <v>86.07</v>
          </cell>
        </row>
        <row r="67">
          <cell r="C67" t="str">
            <v>Short Wall-1</v>
          </cell>
          <cell r="D67">
            <v>2</v>
          </cell>
          <cell r="E67">
            <v>3.24</v>
          </cell>
          <cell r="F67">
            <v>1.6</v>
          </cell>
          <cell r="H67">
            <v>10.368000000000002</v>
          </cell>
        </row>
        <row r="68">
          <cell r="C68" t="str">
            <v>Short Wall-2</v>
          </cell>
          <cell r="D68">
            <v>2</v>
          </cell>
          <cell r="E68">
            <v>3.24</v>
          </cell>
          <cell r="F68">
            <v>2.2000000000000002</v>
          </cell>
          <cell r="H68">
            <v>14.256000000000002</v>
          </cell>
        </row>
        <row r="69">
          <cell r="C69" t="str">
            <v>Short Wall-3</v>
          </cell>
          <cell r="D69">
            <v>2</v>
          </cell>
          <cell r="E69">
            <v>3.24</v>
          </cell>
          <cell r="F69">
            <v>2.2000000000000002</v>
          </cell>
          <cell r="H69">
            <v>14.256000000000002</v>
          </cell>
        </row>
        <row r="70">
          <cell r="B70" t="str">
            <v>12.4.a</v>
          </cell>
          <cell r="C70" t="str">
            <v>20 mm plastering works in 1:3 cement sand mortar</v>
          </cell>
          <cell r="I70">
            <v>89.828279999999992</v>
          </cell>
          <cell r="J70" t="str">
            <v>sqm</v>
          </cell>
          <cell r="K70">
            <v>176.78511684939062</v>
          </cell>
          <cell r="L70">
            <v>15880.302976179777</v>
          </cell>
        </row>
        <row r="71">
          <cell r="C71" t="str">
            <v>Bed</v>
          </cell>
          <cell r="D71">
            <v>1</v>
          </cell>
          <cell r="E71">
            <v>8.5719999999999992</v>
          </cell>
          <cell r="F71">
            <v>3.24</v>
          </cell>
          <cell r="H71">
            <v>27.77328</v>
          </cell>
        </row>
        <row r="72">
          <cell r="C72" t="str">
            <v>Long Wall</v>
          </cell>
          <cell r="D72">
            <v>3</v>
          </cell>
          <cell r="E72">
            <v>7.55</v>
          </cell>
          <cell r="F72">
            <v>1.9</v>
          </cell>
          <cell r="H72">
            <v>43.034999999999997</v>
          </cell>
        </row>
        <row r="73">
          <cell r="C73" t="str">
            <v>Short Wall-1</v>
          </cell>
          <cell r="D73">
            <v>1</v>
          </cell>
          <cell r="E73">
            <v>3.24</v>
          </cell>
          <cell r="F73">
            <v>1.6</v>
          </cell>
          <cell r="H73">
            <v>5.1840000000000011</v>
          </cell>
        </row>
        <row r="74">
          <cell r="C74" t="str">
            <v>Short Wall-2</v>
          </cell>
          <cell r="D74">
            <v>1</v>
          </cell>
          <cell r="E74">
            <v>3.24</v>
          </cell>
          <cell r="F74">
            <v>2.2000000000000002</v>
          </cell>
          <cell r="H74">
            <v>7.128000000000001</v>
          </cell>
        </row>
        <row r="75">
          <cell r="C75" t="str">
            <v>Short Wall-3</v>
          </cell>
          <cell r="D75">
            <v>1</v>
          </cell>
          <cell r="E75">
            <v>3.24</v>
          </cell>
          <cell r="F75">
            <v>2.2000000000000002</v>
          </cell>
          <cell r="H75">
            <v>7.128000000000001</v>
          </cell>
        </row>
        <row r="76">
          <cell r="C76" t="str">
            <v>Proportional Weir Deduction</v>
          </cell>
          <cell r="D76">
            <v>-2</v>
          </cell>
          <cell r="E76">
            <v>0.21</v>
          </cell>
          <cell r="H76">
            <v>-0.42</v>
          </cell>
        </row>
        <row r="77">
          <cell r="B77" t="str">
            <v>M-105</v>
          </cell>
          <cell r="C77" t="str">
            <v xml:space="preserve">Railing Work with 50mm GI Post @ 1600 c/c and 2 horizontal 40mm GI Pipe  </v>
          </cell>
          <cell r="I77">
            <v>21.58</v>
          </cell>
          <cell r="J77" t="str">
            <v>rm</v>
          </cell>
          <cell r="K77">
            <v>1000</v>
          </cell>
          <cell r="L77">
            <v>21580</v>
          </cell>
        </row>
        <row r="78">
          <cell r="C78" t="str">
            <v>Long Wall</v>
          </cell>
          <cell r="D78">
            <v>2</v>
          </cell>
          <cell r="E78">
            <v>7.55</v>
          </cell>
          <cell r="G78">
            <v>1</v>
          </cell>
          <cell r="H78">
            <v>15.1</v>
          </cell>
        </row>
        <row r="79">
          <cell r="C79" t="str">
            <v>Short Wall</v>
          </cell>
          <cell r="D79">
            <v>2</v>
          </cell>
          <cell r="E79">
            <v>3.24</v>
          </cell>
          <cell r="G79">
            <v>1</v>
          </cell>
          <cell r="H79">
            <v>6.48</v>
          </cell>
        </row>
      </sheetData>
      <sheetData sheetId="59">
        <row r="88">
          <cell r="B88" t="str">
            <v>1.4</v>
          </cell>
          <cell r="C88" t="str">
            <v>Site Clearance in thin vegetation area</v>
          </cell>
          <cell r="I88">
            <v>5625</v>
          </cell>
          <cell r="J88" t="str">
            <v>sqm</v>
          </cell>
          <cell r="K88">
            <v>2.76</v>
          </cell>
          <cell r="L88">
            <v>15524.999999999998</v>
          </cell>
        </row>
        <row r="89">
          <cell r="C89" t="str">
            <v>Site Clearance</v>
          </cell>
          <cell r="D89">
            <v>1</v>
          </cell>
          <cell r="E89">
            <v>15</v>
          </cell>
          <cell r="F89">
            <v>15</v>
          </cell>
          <cell r="H89">
            <v>5625</v>
          </cell>
        </row>
        <row r="90">
          <cell r="B90">
            <v>2.14</v>
          </cell>
          <cell r="C90" t="str">
            <v>E/W Excavation for foundation, drain, pipelines etc. in BM Soil</v>
          </cell>
          <cell r="I90">
            <v>207.0455</v>
          </cell>
          <cell r="J90" t="str">
            <v>cum</v>
          </cell>
          <cell r="K90">
            <v>150.66839999999999</v>
          </cell>
          <cell r="L90">
            <v>31195.2142122</v>
          </cell>
        </row>
        <row r="91">
          <cell r="C91" t="str">
            <v>Tank</v>
          </cell>
          <cell r="D91">
            <v>1</v>
          </cell>
          <cell r="E91">
            <v>13.1</v>
          </cell>
          <cell r="F91">
            <v>10.9</v>
          </cell>
          <cell r="G91">
            <v>1.45</v>
          </cell>
          <cell r="H91">
            <v>207.0455</v>
          </cell>
        </row>
        <row r="92">
          <cell r="B92">
            <v>11.16</v>
          </cell>
          <cell r="C92" t="str">
            <v xml:space="preserve">Stone soling with sand </v>
          </cell>
          <cell r="I92">
            <v>28.558</v>
          </cell>
          <cell r="J92" t="str">
            <v>cum</v>
          </cell>
          <cell r="K92">
            <v>1371.1740676875002</v>
          </cell>
          <cell r="L92">
            <v>39157.989025019626</v>
          </cell>
        </row>
        <row r="93">
          <cell r="C93" t="str">
            <v>Base</v>
          </cell>
          <cell r="D93">
            <v>1</v>
          </cell>
          <cell r="E93">
            <v>13.1</v>
          </cell>
          <cell r="F93">
            <v>10.9</v>
          </cell>
          <cell r="G93">
            <v>0.2</v>
          </cell>
          <cell r="H93">
            <v>28.558</v>
          </cell>
        </row>
        <row r="94">
          <cell r="B94" t="str">
            <v>7.2.c</v>
          </cell>
          <cell r="C94" t="str">
            <v xml:space="preserve">P.C.C. for  foundation &amp; walls in M10 </v>
          </cell>
          <cell r="I94">
            <v>10.6194375</v>
          </cell>
          <cell r="J94" t="str">
            <v>cum</v>
          </cell>
          <cell r="K94">
            <v>4334.2110718062495</v>
          </cell>
          <cell r="L94">
            <v>46026.883588854478</v>
          </cell>
        </row>
        <row r="95">
          <cell r="C95" t="str">
            <v>Base</v>
          </cell>
          <cell r="D95">
            <v>1</v>
          </cell>
          <cell r="E95">
            <v>13.05</v>
          </cell>
          <cell r="F95">
            <v>10.85</v>
          </cell>
          <cell r="G95">
            <v>7.4999999999999997E-2</v>
          </cell>
          <cell r="H95">
            <v>10.6194375</v>
          </cell>
        </row>
        <row r="96">
          <cell r="B96" t="str">
            <v>7.4.b</v>
          </cell>
          <cell r="C96" t="str">
            <v xml:space="preserve">P.C.C. for R.C.C. for super structures in M20 </v>
          </cell>
          <cell r="I96">
            <v>68.448250000000002</v>
          </cell>
          <cell r="J96" t="str">
            <v>cum</v>
          </cell>
          <cell r="K96">
            <v>6154.8131365578129</v>
          </cell>
          <cell r="L96">
            <v>421286.18827439332</v>
          </cell>
        </row>
        <row r="97">
          <cell r="C97" t="str">
            <v>Foundation</v>
          </cell>
          <cell r="D97">
            <v>1</v>
          </cell>
          <cell r="E97">
            <v>11.95</v>
          </cell>
          <cell r="F97">
            <v>10.9</v>
          </cell>
          <cell r="G97">
            <v>0.15</v>
          </cell>
          <cell r="H97">
            <v>19.538249999999998</v>
          </cell>
        </row>
        <row r="98">
          <cell r="C98" t="str">
            <v>Long Wall-1</v>
          </cell>
          <cell r="D98">
            <v>3</v>
          </cell>
          <cell r="E98">
            <v>12.75</v>
          </cell>
          <cell r="F98">
            <v>0.3</v>
          </cell>
          <cell r="G98">
            <v>1.45</v>
          </cell>
          <cell r="H98">
            <v>16.638749999999998</v>
          </cell>
        </row>
        <row r="99">
          <cell r="C99" t="str">
            <v>Short Wall - 1</v>
          </cell>
          <cell r="D99">
            <v>1</v>
          </cell>
          <cell r="E99">
            <v>10.9</v>
          </cell>
          <cell r="F99">
            <v>0.3</v>
          </cell>
          <cell r="G99">
            <v>4</v>
          </cell>
          <cell r="H99">
            <v>13.08</v>
          </cell>
        </row>
        <row r="100">
          <cell r="C100" t="str">
            <v>Short Wall - 2</v>
          </cell>
          <cell r="D100">
            <v>1</v>
          </cell>
          <cell r="E100">
            <v>10.9</v>
          </cell>
          <cell r="F100">
            <v>0.3</v>
          </cell>
          <cell r="G100">
            <v>1.45</v>
          </cell>
          <cell r="H100">
            <v>4.7415000000000003</v>
          </cell>
        </row>
        <row r="101">
          <cell r="C101" t="str">
            <v>Outer Channel</v>
          </cell>
        </row>
        <row r="102">
          <cell r="C102" t="str">
            <v>Bed</v>
          </cell>
          <cell r="D102">
            <v>1</v>
          </cell>
          <cell r="E102">
            <v>10.9</v>
          </cell>
          <cell r="F102">
            <v>0.65</v>
          </cell>
          <cell r="G102">
            <v>0.1</v>
          </cell>
          <cell r="H102">
            <v>0.70850000000000002</v>
          </cell>
        </row>
        <row r="103">
          <cell r="C103" t="str">
            <v>Walls</v>
          </cell>
          <cell r="D103">
            <v>2</v>
          </cell>
          <cell r="E103">
            <v>10.9</v>
          </cell>
          <cell r="F103">
            <v>0.1</v>
          </cell>
          <cell r="G103">
            <v>0.4</v>
          </cell>
          <cell r="H103">
            <v>0.87200000000000022</v>
          </cell>
        </row>
        <row r="104">
          <cell r="C104" t="str">
            <v>Inner Channel</v>
          </cell>
        </row>
        <row r="105">
          <cell r="C105" t="str">
            <v>Bed</v>
          </cell>
          <cell r="D105">
            <v>1</v>
          </cell>
          <cell r="E105">
            <v>10.9</v>
          </cell>
          <cell r="F105">
            <v>0.45</v>
          </cell>
          <cell r="G105">
            <v>0.15</v>
          </cell>
          <cell r="H105">
            <v>0.73575000000000013</v>
          </cell>
        </row>
        <row r="106">
          <cell r="C106" t="str">
            <v>Walls</v>
          </cell>
          <cell r="D106">
            <v>1</v>
          </cell>
          <cell r="E106">
            <v>10.9</v>
          </cell>
          <cell r="F106">
            <v>0.15</v>
          </cell>
          <cell r="G106">
            <v>1.05</v>
          </cell>
          <cell r="H106">
            <v>1.71675</v>
          </cell>
        </row>
        <row r="107">
          <cell r="C107" t="str">
            <v>Baffle Walls</v>
          </cell>
          <cell r="D107">
            <v>38</v>
          </cell>
          <cell r="E107">
            <v>4.3</v>
          </cell>
          <cell r="F107">
            <v>7.4999999999999997E-2</v>
          </cell>
          <cell r="G107">
            <v>0.85</v>
          </cell>
          <cell r="H107">
            <v>10.41675</v>
          </cell>
        </row>
        <row r="108">
          <cell r="B108" t="str">
            <v>7.5</v>
          </cell>
          <cell r="C108" t="str">
            <v>Reinforcement work for R.C.C. work</v>
          </cell>
          <cell r="D108" t="str">
            <v>@100 kg/cum</v>
          </cell>
          <cell r="H108">
            <v>6.8448250000000002</v>
          </cell>
          <cell r="I108">
            <v>6.8448250000000002</v>
          </cell>
          <cell r="J108" t="str">
            <v>mt</v>
          </cell>
          <cell r="K108">
            <v>39248.537514867188</v>
          </cell>
          <cell r="L108">
            <v>268649.37079520081</v>
          </cell>
        </row>
        <row r="109">
          <cell r="B109" t="str">
            <v>8.2.a</v>
          </cell>
          <cell r="C109" t="str">
            <v>Formwork for flooring and slab including materials</v>
          </cell>
          <cell r="I109">
            <v>366.13</v>
          </cell>
          <cell r="J109" t="str">
            <v>sqm</v>
          </cell>
          <cell r="K109">
            <v>241.29415</v>
          </cell>
          <cell r="L109">
            <v>88345.027139500002</v>
          </cell>
        </row>
        <row r="110">
          <cell r="C110" t="str">
            <v>Long Wall-1</v>
          </cell>
          <cell r="D110">
            <v>6</v>
          </cell>
          <cell r="E110">
            <v>12.75</v>
          </cell>
          <cell r="F110">
            <v>0.3</v>
          </cell>
          <cell r="H110">
            <v>22.95</v>
          </cell>
        </row>
        <row r="111">
          <cell r="C111" t="str">
            <v>Short Wall - 1</v>
          </cell>
          <cell r="D111">
            <v>2</v>
          </cell>
          <cell r="E111">
            <v>10.9</v>
          </cell>
          <cell r="F111">
            <v>0.3</v>
          </cell>
          <cell r="H111">
            <v>6.54</v>
          </cell>
        </row>
        <row r="112">
          <cell r="C112" t="str">
            <v>Short Wall - 2</v>
          </cell>
          <cell r="D112">
            <v>2</v>
          </cell>
          <cell r="E112">
            <v>10.9</v>
          </cell>
          <cell r="F112">
            <v>0.3</v>
          </cell>
          <cell r="H112">
            <v>6.54</v>
          </cell>
        </row>
        <row r="113">
          <cell r="C113" t="str">
            <v>Outer Channel</v>
          </cell>
        </row>
        <row r="114">
          <cell r="C114" t="str">
            <v>Bed</v>
          </cell>
          <cell r="D114">
            <v>1</v>
          </cell>
          <cell r="E114">
            <v>10.9</v>
          </cell>
          <cell r="F114">
            <v>0.65</v>
          </cell>
          <cell r="H114">
            <v>7.0850000000000009</v>
          </cell>
        </row>
        <row r="115">
          <cell r="C115" t="str">
            <v>Walls</v>
          </cell>
          <cell r="D115">
            <v>4</v>
          </cell>
          <cell r="E115">
            <v>10.9</v>
          </cell>
          <cell r="F115">
            <v>0.4</v>
          </cell>
          <cell r="H115">
            <v>17.440000000000001</v>
          </cell>
        </row>
        <row r="116">
          <cell r="C116" t="str">
            <v>Inner Channel</v>
          </cell>
        </row>
        <row r="117">
          <cell r="C117" t="str">
            <v>Bed</v>
          </cell>
          <cell r="D117">
            <v>1</v>
          </cell>
          <cell r="E117">
            <v>10.9</v>
          </cell>
          <cell r="F117">
            <v>0.45</v>
          </cell>
          <cell r="H117">
            <v>4.9050000000000002</v>
          </cell>
        </row>
        <row r="118">
          <cell r="C118" t="str">
            <v>Walls</v>
          </cell>
          <cell r="D118">
            <v>2</v>
          </cell>
          <cell r="E118">
            <v>10.9</v>
          </cell>
          <cell r="F118">
            <v>1.05</v>
          </cell>
          <cell r="H118">
            <v>22.89</v>
          </cell>
        </row>
        <row r="119">
          <cell r="C119" t="str">
            <v>Baffle Walls</v>
          </cell>
          <cell r="D119">
            <v>76</v>
          </cell>
          <cell r="E119">
            <v>4.3</v>
          </cell>
          <cell r="F119">
            <v>0.85</v>
          </cell>
          <cell r="H119">
            <v>277.77999999999997</v>
          </cell>
        </row>
        <row r="120">
          <cell r="B120" t="str">
            <v>12.4.a</v>
          </cell>
          <cell r="C120" t="str">
            <v>20 mm plastering works in 1:3 cement sand mortar</v>
          </cell>
          <cell r="I120">
            <v>493.09</v>
          </cell>
          <cell r="J120" t="str">
            <v>sqm</v>
          </cell>
          <cell r="K120">
            <v>176.78511684939062</v>
          </cell>
          <cell r="L120">
            <v>87170.973267266018</v>
          </cell>
        </row>
        <row r="121">
          <cell r="C121" t="str">
            <v>Long Wall-1</v>
          </cell>
          <cell r="D121">
            <v>1</v>
          </cell>
          <cell r="E121">
            <v>11.35</v>
          </cell>
          <cell r="F121">
            <v>10.3</v>
          </cell>
          <cell r="H121">
            <v>116.905</v>
          </cell>
        </row>
        <row r="122">
          <cell r="C122" t="str">
            <v>Short Wall - 1</v>
          </cell>
          <cell r="D122">
            <v>4</v>
          </cell>
          <cell r="E122">
            <v>12.75</v>
          </cell>
          <cell r="F122">
            <v>0.3</v>
          </cell>
          <cell r="H122">
            <v>15.299999999999999</v>
          </cell>
        </row>
        <row r="123">
          <cell r="C123" t="str">
            <v>Short Wall - 2</v>
          </cell>
          <cell r="D123">
            <v>1</v>
          </cell>
          <cell r="E123">
            <v>10.9</v>
          </cell>
          <cell r="F123">
            <v>0.3</v>
          </cell>
          <cell r="H123">
            <v>3.27</v>
          </cell>
        </row>
        <row r="124">
          <cell r="C124" t="str">
            <v>Outer Channel</v>
          </cell>
          <cell r="D124">
            <v>1</v>
          </cell>
          <cell r="E124">
            <v>10.9</v>
          </cell>
          <cell r="F124">
            <v>0.3</v>
          </cell>
          <cell r="H124">
            <v>3.27</v>
          </cell>
        </row>
        <row r="125">
          <cell r="C125" t="str">
            <v>Bed</v>
          </cell>
          <cell r="H125">
            <v>0</v>
          </cell>
        </row>
        <row r="126">
          <cell r="C126" t="str">
            <v>Walls</v>
          </cell>
          <cell r="D126">
            <v>2</v>
          </cell>
          <cell r="E126">
            <v>10.9</v>
          </cell>
          <cell r="F126">
            <v>0.65</v>
          </cell>
          <cell r="H126">
            <v>14.170000000000002</v>
          </cell>
        </row>
        <row r="127">
          <cell r="C127" t="str">
            <v>Inner Channel</v>
          </cell>
          <cell r="D127">
            <v>4</v>
          </cell>
          <cell r="E127">
            <v>10.9</v>
          </cell>
          <cell r="F127">
            <v>0.4</v>
          </cell>
          <cell r="H127">
            <v>17.440000000000001</v>
          </cell>
        </row>
        <row r="128">
          <cell r="C128" t="str">
            <v>Bed</v>
          </cell>
          <cell r="H128">
            <v>0</v>
          </cell>
        </row>
        <row r="129">
          <cell r="C129" t="str">
            <v>Walls</v>
          </cell>
          <cell r="D129">
            <v>2</v>
          </cell>
          <cell r="E129">
            <v>10.9</v>
          </cell>
          <cell r="F129">
            <v>0.45</v>
          </cell>
          <cell r="H129">
            <v>9.81</v>
          </cell>
        </row>
        <row r="130">
          <cell r="C130" t="str">
            <v>Baffle Walls</v>
          </cell>
          <cell r="D130">
            <v>2</v>
          </cell>
          <cell r="E130">
            <v>10.9</v>
          </cell>
          <cell r="F130">
            <v>1.05</v>
          </cell>
          <cell r="H130">
            <v>22.89</v>
          </cell>
        </row>
        <row r="131">
          <cell r="C131" t="str">
            <v>Efluent Chamber</v>
          </cell>
          <cell r="D131">
            <v>38</v>
          </cell>
          <cell r="E131">
            <v>4.3</v>
          </cell>
          <cell r="F131">
            <v>1.7749999999999999</v>
          </cell>
          <cell r="H131">
            <v>290.03499999999997</v>
          </cell>
        </row>
        <row r="132">
          <cell r="B132" t="str">
            <v>M-105</v>
          </cell>
          <cell r="C132" t="str">
            <v xml:space="preserve">Railing Work with 50mm GI Post @ 1600 c/c and 2 horizontal 40mm GI Pipe  </v>
          </cell>
          <cell r="I132">
            <v>48.6</v>
          </cell>
          <cell r="J132" t="str">
            <v>rm</v>
          </cell>
          <cell r="K132">
            <v>1000</v>
          </cell>
          <cell r="L132">
            <v>48600</v>
          </cell>
        </row>
        <row r="133">
          <cell r="C133" t="str">
            <v>Long Wall</v>
          </cell>
          <cell r="D133">
            <v>2</v>
          </cell>
          <cell r="E133">
            <v>12.45</v>
          </cell>
          <cell r="H133">
            <v>27.6</v>
          </cell>
        </row>
        <row r="134">
          <cell r="C134" t="str">
            <v>Short Wall</v>
          </cell>
          <cell r="D134">
            <v>2</v>
          </cell>
          <cell r="E134">
            <v>10.6</v>
          </cell>
          <cell r="H134">
            <v>21</v>
          </cell>
        </row>
        <row r="135">
          <cell r="K135" t="str">
            <v>Total</v>
          </cell>
          <cell r="L135">
            <v>1045956.6463024344</v>
          </cell>
        </row>
        <row r="139">
          <cell r="B139" t="str">
            <v>1.4</v>
          </cell>
          <cell r="C139" t="str">
            <v>Site Clearance in thin vegetation area</v>
          </cell>
          <cell r="I139">
            <v>7500</v>
          </cell>
          <cell r="J139" t="str">
            <v>sqm</v>
          </cell>
          <cell r="K139">
            <v>2.76</v>
          </cell>
          <cell r="L139">
            <v>20700</v>
          </cell>
        </row>
        <row r="140">
          <cell r="C140" t="str">
            <v>Site Clearance</v>
          </cell>
          <cell r="D140">
            <v>1</v>
          </cell>
          <cell r="E140">
            <v>20</v>
          </cell>
          <cell r="F140">
            <v>15</v>
          </cell>
          <cell r="H140">
            <v>7500</v>
          </cell>
        </row>
        <row r="141">
          <cell r="B141">
            <v>2.14</v>
          </cell>
          <cell r="C141" t="str">
            <v>E/W Excavation for foundation, drain, pipelines etc. in BM Soil</v>
          </cell>
          <cell r="I141">
            <v>47.570250000000001</v>
          </cell>
          <cell r="J141" t="str">
            <v>cum</v>
          </cell>
          <cell r="K141">
            <v>150.66839999999999</v>
          </cell>
          <cell r="L141">
            <v>7167.3334550999998</v>
          </cell>
        </row>
        <row r="142">
          <cell r="C142" t="str">
            <v>Tank</v>
          </cell>
          <cell r="D142">
            <v>1</v>
          </cell>
          <cell r="E142">
            <v>14.35</v>
          </cell>
          <cell r="F142">
            <v>11.05</v>
          </cell>
          <cell r="G142">
            <v>0.3</v>
          </cell>
          <cell r="H142">
            <v>47.570250000000001</v>
          </cell>
        </row>
        <row r="143">
          <cell r="B143">
            <v>11.16</v>
          </cell>
          <cell r="C143" t="str">
            <v xml:space="preserve">Stone soling with sand </v>
          </cell>
          <cell r="I143">
            <v>31.713500000000003</v>
          </cell>
          <cell r="J143" t="str">
            <v>cum</v>
          </cell>
          <cell r="K143">
            <v>1371.1740676875002</v>
          </cell>
          <cell r="L143">
            <v>43484.728795607538</v>
          </cell>
        </row>
        <row r="144">
          <cell r="C144" t="str">
            <v>Base</v>
          </cell>
          <cell r="D144">
            <v>1</v>
          </cell>
          <cell r="E144">
            <v>14.35</v>
          </cell>
          <cell r="F144">
            <v>11.05</v>
          </cell>
          <cell r="G144">
            <v>0.2</v>
          </cell>
          <cell r="H144">
            <v>31.713500000000003</v>
          </cell>
        </row>
        <row r="145">
          <cell r="B145" t="str">
            <v>7.2.c</v>
          </cell>
          <cell r="C145" t="str">
            <v xml:space="preserve">P.C.C. for  foundation &amp; walls in M10 </v>
          </cell>
          <cell r="I145">
            <v>11.8925625</v>
          </cell>
          <cell r="J145" t="str">
            <v>cum</v>
          </cell>
          <cell r="K145">
            <v>4334.2110718062495</v>
          </cell>
          <cell r="L145">
            <v>51544.87605964781</v>
          </cell>
        </row>
        <row r="146">
          <cell r="C146" t="str">
            <v>Base</v>
          </cell>
          <cell r="D146">
            <v>1</v>
          </cell>
          <cell r="E146">
            <v>14.35</v>
          </cell>
          <cell r="F146">
            <v>11.05</v>
          </cell>
          <cell r="G146">
            <v>7.4999999999999997E-2</v>
          </cell>
          <cell r="H146">
            <v>11.8925625</v>
          </cell>
        </row>
        <row r="147">
          <cell r="B147" t="str">
            <v>7.4.b</v>
          </cell>
          <cell r="C147" t="str">
            <v xml:space="preserve">P.C.C. for R.C.C. for super structures in M20 </v>
          </cell>
          <cell r="I147">
            <v>126.42710624999999</v>
          </cell>
          <cell r="J147" t="str">
            <v>cum</v>
          </cell>
          <cell r="K147">
            <v>6154.8131365578129</v>
          </cell>
          <cell r="L147">
            <v>778135.21436449036</v>
          </cell>
        </row>
        <row r="148">
          <cell r="C148" t="str">
            <v>Bed</v>
          </cell>
          <cell r="D148">
            <v>1</v>
          </cell>
          <cell r="E148">
            <v>14.045</v>
          </cell>
          <cell r="F148">
            <v>10.75</v>
          </cell>
          <cell r="G148">
            <v>0.3</v>
          </cell>
          <cell r="H148">
            <v>45.295124999999999</v>
          </cell>
        </row>
        <row r="149">
          <cell r="C149" t="str">
            <v>Long Wall-1</v>
          </cell>
          <cell r="D149">
            <v>2</v>
          </cell>
          <cell r="E149">
            <v>14.045</v>
          </cell>
          <cell r="F149">
            <v>0.25</v>
          </cell>
          <cell r="G149">
            <v>4.6950000000000003</v>
          </cell>
          <cell r="H149">
            <v>32.970637500000002</v>
          </cell>
        </row>
        <row r="150">
          <cell r="C150" t="str">
            <v>Long Wall-2</v>
          </cell>
          <cell r="D150">
            <v>1</v>
          </cell>
          <cell r="E150">
            <v>13.545</v>
          </cell>
          <cell r="F150">
            <v>0.25</v>
          </cell>
          <cell r="G150">
            <v>4.6950000000000003</v>
          </cell>
          <cell r="H150">
            <v>15.89844375</v>
          </cell>
        </row>
        <row r="151">
          <cell r="C151" t="str">
            <v>Short Wall - 1</v>
          </cell>
          <cell r="D151">
            <v>1</v>
          </cell>
          <cell r="E151">
            <v>10.25</v>
          </cell>
          <cell r="F151">
            <v>0.25</v>
          </cell>
          <cell r="G151">
            <v>5.0999999999999996</v>
          </cell>
          <cell r="H151">
            <v>13.06875</v>
          </cell>
        </row>
        <row r="152">
          <cell r="C152" t="str">
            <v>Short Wall - 2</v>
          </cell>
          <cell r="D152">
            <v>1</v>
          </cell>
          <cell r="E152">
            <v>10.25</v>
          </cell>
          <cell r="F152">
            <v>0.25</v>
          </cell>
          <cell r="G152">
            <v>4.452</v>
          </cell>
          <cell r="H152">
            <v>11.408250000000001</v>
          </cell>
        </row>
        <row r="153">
          <cell r="C153" t="str">
            <v>Influent Chamber</v>
          </cell>
        </row>
        <row r="154">
          <cell r="C154" t="str">
            <v>Outer Bed</v>
          </cell>
          <cell r="D154">
            <v>1</v>
          </cell>
          <cell r="E154">
            <v>10.25</v>
          </cell>
          <cell r="F154">
            <v>0.65</v>
          </cell>
          <cell r="G154">
            <v>0.1</v>
          </cell>
          <cell r="H154">
            <v>0.66625000000000001</v>
          </cell>
        </row>
        <row r="155">
          <cell r="C155" t="str">
            <v>Outer Channel Walls</v>
          </cell>
          <cell r="D155">
            <v>2</v>
          </cell>
          <cell r="E155">
            <v>10.25</v>
          </cell>
          <cell r="F155">
            <v>0.1</v>
          </cell>
          <cell r="G155">
            <v>0.4</v>
          </cell>
          <cell r="H155">
            <v>0.82000000000000017</v>
          </cell>
        </row>
        <row r="156">
          <cell r="C156" t="str">
            <v>Inner Bed</v>
          </cell>
          <cell r="D156">
            <v>1</v>
          </cell>
          <cell r="E156">
            <v>10.25</v>
          </cell>
          <cell r="F156">
            <v>0.45</v>
          </cell>
          <cell r="G156">
            <v>0.1</v>
          </cell>
          <cell r="H156">
            <v>0.46125000000000005</v>
          </cell>
        </row>
        <row r="157">
          <cell r="C157" t="str">
            <v>Inner Channel Walls</v>
          </cell>
          <cell r="D157">
            <v>1</v>
          </cell>
          <cell r="E157">
            <v>10.25</v>
          </cell>
          <cell r="F157">
            <v>0.15</v>
          </cell>
          <cell r="G157">
            <v>1.45</v>
          </cell>
          <cell r="H157">
            <v>2.2293750000000001</v>
          </cell>
        </row>
        <row r="158">
          <cell r="C158" t="str">
            <v>Efluent Chamber</v>
          </cell>
        </row>
        <row r="159">
          <cell r="C159" t="str">
            <v>Inner Bed</v>
          </cell>
          <cell r="D159">
            <v>1</v>
          </cell>
          <cell r="E159">
            <v>10.25</v>
          </cell>
          <cell r="F159">
            <v>1.4100000000000001</v>
          </cell>
          <cell r="G159">
            <v>0.1</v>
          </cell>
          <cell r="H159">
            <v>1.4452500000000001</v>
          </cell>
        </row>
        <row r="160">
          <cell r="C160" t="str">
            <v>Inner Channel Walls</v>
          </cell>
          <cell r="D160">
            <v>2</v>
          </cell>
          <cell r="E160">
            <v>10.25</v>
          </cell>
          <cell r="F160">
            <v>0.1</v>
          </cell>
          <cell r="G160">
            <v>0.42299999999999999</v>
          </cell>
          <cell r="H160">
            <v>0.86715000000000009</v>
          </cell>
        </row>
        <row r="161">
          <cell r="C161" t="str">
            <v>Outer Channel Walls</v>
          </cell>
          <cell r="D161">
            <v>1</v>
          </cell>
          <cell r="E161">
            <v>10.25</v>
          </cell>
          <cell r="F161">
            <v>0.1</v>
          </cell>
          <cell r="G161">
            <v>0.96499999999999997</v>
          </cell>
          <cell r="H161">
            <v>0.98912500000000003</v>
          </cell>
        </row>
        <row r="162">
          <cell r="C162" t="str">
            <v>Outer Channel Bed</v>
          </cell>
          <cell r="D162">
            <v>1</v>
          </cell>
          <cell r="E162">
            <v>10.25</v>
          </cell>
          <cell r="F162">
            <v>0.2</v>
          </cell>
          <cell r="G162">
            <v>0.15</v>
          </cell>
          <cell r="H162">
            <v>0.3075</v>
          </cell>
        </row>
        <row r="163">
          <cell r="B163" t="str">
            <v>7.5</v>
          </cell>
          <cell r="C163" t="str">
            <v>Reinforcement work for R.C.C. work</v>
          </cell>
          <cell r="D163" t="str">
            <v>@100 kg/cum</v>
          </cell>
          <cell r="H163">
            <v>12.642710624999999</v>
          </cell>
          <cell r="I163">
            <v>12.642710624999999</v>
          </cell>
          <cell r="J163" t="str">
            <v>mt</v>
          </cell>
          <cell r="K163">
            <v>39248.537514867188</v>
          </cell>
          <cell r="L163">
            <v>496207.90225492249</v>
          </cell>
        </row>
        <row r="164">
          <cell r="B164" t="str">
            <v>8.2.a</v>
          </cell>
          <cell r="C164" t="str">
            <v>Formwork for flooring and slab including materials</v>
          </cell>
          <cell r="I164">
            <v>689.59664999999995</v>
          </cell>
          <cell r="J164" t="str">
            <v>sqm</v>
          </cell>
          <cell r="K164">
            <v>241.29415</v>
          </cell>
          <cell r="L164">
            <v>166395.63750459749</v>
          </cell>
        </row>
        <row r="165">
          <cell r="C165" t="str">
            <v>Long Wall-1</v>
          </cell>
          <cell r="D165">
            <v>4</v>
          </cell>
          <cell r="E165">
            <v>14.045</v>
          </cell>
          <cell r="F165">
            <v>4.6950000000000003</v>
          </cell>
          <cell r="H165">
            <v>263.76510000000002</v>
          </cell>
        </row>
        <row r="166">
          <cell r="C166" t="str">
            <v>Long Wall-2</v>
          </cell>
          <cell r="D166">
            <v>2</v>
          </cell>
          <cell r="E166">
            <v>13.545</v>
          </cell>
          <cell r="F166">
            <v>4.6950000000000003</v>
          </cell>
          <cell r="H166">
            <v>127.18755</v>
          </cell>
        </row>
        <row r="167">
          <cell r="C167" t="str">
            <v>Short Wall - 1</v>
          </cell>
          <cell r="D167">
            <v>2</v>
          </cell>
          <cell r="E167">
            <v>10.25</v>
          </cell>
          <cell r="F167">
            <v>5.0999999999999996</v>
          </cell>
          <cell r="H167">
            <v>104.55</v>
          </cell>
        </row>
        <row r="168">
          <cell r="C168" t="str">
            <v>Short Wall - 2</v>
          </cell>
          <cell r="D168">
            <v>2</v>
          </cell>
          <cell r="E168">
            <v>10.25</v>
          </cell>
          <cell r="F168">
            <v>4.452</v>
          </cell>
          <cell r="H168">
            <v>91.266000000000005</v>
          </cell>
        </row>
        <row r="169">
          <cell r="C169" t="str">
            <v>Influent Chamber</v>
          </cell>
        </row>
        <row r="170">
          <cell r="C170" t="str">
            <v>Outer Bed</v>
          </cell>
          <cell r="D170">
            <v>1</v>
          </cell>
          <cell r="E170">
            <v>10.25</v>
          </cell>
          <cell r="F170">
            <v>0.65</v>
          </cell>
          <cell r="H170">
            <v>6.6625000000000005</v>
          </cell>
        </row>
        <row r="171">
          <cell r="C171" t="str">
            <v>Outer Channel Walls</v>
          </cell>
          <cell r="D171">
            <v>2</v>
          </cell>
          <cell r="E171">
            <v>10.25</v>
          </cell>
          <cell r="F171">
            <v>0.4</v>
          </cell>
          <cell r="H171">
            <v>8.2000000000000011</v>
          </cell>
        </row>
        <row r="172">
          <cell r="C172" t="str">
            <v>Inner Bed</v>
          </cell>
          <cell r="D172">
            <v>1</v>
          </cell>
          <cell r="E172">
            <v>10.25</v>
          </cell>
          <cell r="F172">
            <v>0.45</v>
          </cell>
          <cell r="H172">
            <v>4.6124999999999998</v>
          </cell>
        </row>
        <row r="173">
          <cell r="C173" t="str">
            <v>Inner Channel Walls</v>
          </cell>
          <cell r="D173">
            <v>2</v>
          </cell>
          <cell r="E173">
            <v>10.25</v>
          </cell>
          <cell r="F173">
            <v>1.45</v>
          </cell>
          <cell r="H173">
            <v>29.724999999999998</v>
          </cell>
        </row>
        <row r="174">
          <cell r="C174" t="str">
            <v>Efluent Chamber</v>
          </cell>
        </row>
        <row r="175">
          <cell r="C175" t="str">
            <v>Inner Bed</v>
          </cell>
          <cell r="D175">
            <v>1</v>
          </cell>
          <cell r="E175">
            <v>10.25</v>
          </cell>
          <cell r="F175">
            <v>1.41</v>
          </cell>
          <cell r="H175">
            <v>14.452499999999999</v>
          </cell>
        </row>
        <row r="176">
          <cell r="C176" t="str">
            <v>Inner Channel Walls</v>
          </cell>
          <cell r="D176">
            <v>4</v>
          </cell>
          <cell r="E176">
            <v>10.25</v>
          </cell>
          <cell r="F176">
            <v>0.42299999999999999</v>
          </cell>
          <cell r="H176">
            <v>17.343</v>
          </cell>
        </row>
        <row r="177">
          <cell r="C177" t="str">
            <v>Outer Channel Walls</v>
          </cell>
          <cell r="D177">
            <v>2</v>
          </cell>
          <cell r="E177">
            <v>10.25</v>
          </cell>
          <cell r="F177">
            <v>0.96499999999999997</v>
          </cell>
          <cell r="H177">
            <v>19.782499999999999</v>
          </cell>
        </row>
        <row r="178">
          <cell r="C178" t="str">
            <v>Outer Channel Bed</v>
          </cell>
          <cell r="D178">
            <v>1</v>
          </cell>
          <cell r="E178">
            <v>10.25</v>
          </cell>
          <cell r="F178">
            <v>0.2</v>
          </cell>
          <cell r="H178">
            <v>2.0500000000000003</v>
          </cell>
        </row>
        <row r="179">
          <cell r="B179" t="str">
            <v>12.4.a</v>
          </cell>
          <cell r="C179" t="str">
            <v>20 mm plastering works in 1:3 cement sand mortar</v>
          </cell>
          <cell r="I179">
            <v>583.17357499999991</v>
          </cell>
          <cell r="J179" t="str">
            <v>sqm</v>
          </cell>
          <cell r="K179">
            <v>176.78511684939062</v>
          </cell>
          <cell r="L179">
            <v>103096.40859985184</v>
          </cell>
        </row>
        <row r="180">
          <cell r="C180" t="str">
            <v>Bed</v>
          </cell>
          <cell r="D180">
            <v>1</v>
          </cell>
          <cell r="E180">
            <v>14.045</v>
          </cell>
          <cell r="F180">
            <v>10.75</v>
          </cell>
          <cell r="H180">
            <v>150.98374999999999</v>
          </cell>
        </row>
        <row r="181">
          <cell r="C181" t="str">
            <v>Long Wall-1</v>
          </cell>
          <cell r="D181">
            <v>2</v>
          </cell>
          <cell r="E181">
            <v>14.045</v>
          </cell>
          <cell r="F181">
            <v>4.6950000000000003</v>
          </cell>
          <cell r="H181">
            <v>131.88255000000001</v>
          </cell>
        </row>
        <row r="182">
          <cell r="C182" t="str">
            <v>Long Wall-2</v>
          </cell>
          <cell r="D182">
            <v>1</v>
          </cell>
          <cell r="E182">
            <v>13.545</v>
          </cell>
          <cell r="F182">
            <v>4.6950000000000003</v>
          </cell>
          <cell r="H182">
            <v>63.593775000000001</v>
          </cell>
        </row>
        <row r="183">
          <cell r="C183" t="str">
            <v>Short Wall - 1</v>
          </cell>
          <cell r="D183">
            <v>1</v>
          </cell>
          <cell r="E183">
            <v>10.25</v>
          </cell>
          <cell r="F183">
            <v>5.0999999999999996</v>
          </cell>
          <cell r="H183">
            <v>52.274999999999999</v>
          </cell>
        </row>
        <row r="184">
          <cell r="C184" t="str">
            <v>Short Wall - 2</v>
          </cell>
          <cell r="D184">
            <v>1</v>
          </cell>
          <cell r="E184">
            <v>10.25</v>
          </cell>
          <cell r="F184">
            <v>4.452</v>
          </cell>
          <cell r="H184">
            <v>45.633000000000003</v>
          </cell>
        </row>
        <row r="185">
          <cell r="C185" t="str">
            <v>Influent Chamber</v>
          </cell>
        </row>
        <row r="186">
          <cell r="C186" t="str">
            <v>Outer Bed</v>
          </cell>
          <cell r="D186">
            <v>2</v>
          </cell>
          <cell r="E186">
            <v>10.25</v>
          </cell>
          <cell r="F186">
            <v>0.65</v>
          </cell>
          <cell r="H186">
            <v>13.325000000000001</v>
          </cell>
        </row>
        <row r="187">
          <cell r="C187" t="str">
            <v>Outer Channel Walls</v>
          </cell>
          <cell r="D187">
            <v>4</v>
          </cell>
          <cell r="E187">
            <v>10.25</v>
          </cell>
          <cell r="F187">
            <v>0.4</v>
          </cell>
          <cell r="H187">
            <v>16.400000000000002</v>
          </cell>
        </row>
        <row r="188">
          <cell r="C188" t="str">
            <v>Inner Bed</v>
          </cell>
          <cell r="D188">
            <v>2</v>
          </cell>
          <cell r="E188">
            <v>10.25</v>
          </cell>
          <cell r="F188">
            <v>0.45</v>
          </cell>
          <cell r="H188">
            <v>9.2249999999999996</v>
          </cell>
        </row>
        <row r="189">
          <cell r="C189" t="str">
            <v>Inner Channel Walls</v>
          </cell>
          <cell r="D189">
            <v>2</v>
          </cell>
          <cell r="E189">
            <v>10.25</v>
          </cell>
          <cell r="F189">
            <v>1.45</v>
          </cell>
          <cell r="H189">
            <v>29.724999999999998</v>
          </cell>
        </row>
        <row r="190">
          <cell r="C190" t="str">
            <v>Efluent Chamber</v>
          </cell>
        </row>
        <row r="191">
          <cell r="C191" t="str">
            <v>Inner Bed</v>
          </cell>
          <cell r="D191">
            <v>2</v>
          </cell>
          <cell r="E191">
            <v>10.25</v>
          </cell>
          <cell r="F191">
            <v>1.41</v>
          </cell>
          <cell r="H191">
            <v>28.904999999999998</v>
          </cell>
        </row>
        <row r="192">
          <cell r="C192" t="str">
            <v>Inner Channel Walls</v>
          </cell>
          <cell r="D192">
            <v>4</v>
          </cell>
          <cell r="E192">
            <v>10.25</v>
          </cell>
          <cell r="F192">
            <v>0.42299999999999999</v>
          </cell>
          <cell r="H192">
            <v>17.343</v>
          </cell>
        </row>
        <row r="193">
          <cell r="C193" t="str">
            <v>Outer Channel Walls</v>
          </cell>
          <cell r="D193">
            <v>2</v>
          </cell>
          <cell r="E193">
            <v>10.25</v>
          </cell>
          <cell r="F193">
            <v>0.96499999999999997</v>
          </cell>
          <cell r="H193">
            <v>19.782499999999999</v>
          </cell>
        </row>
        <row r="194">
          <cell r="C194" t="str">
            <v>Outer Channel Bed</v>
          </cell>
          <cell r="D194">
            <v>2</v>
          </cell>
          <cell r="E194">
            <v>10.25</v>
          </cell>
          <cell r="F194">
            <v>0.2</v>
          </cell>
          <cell r="H194">
            <v>4.1000000000000005</v>
          </cell>
        </row>
        <row r="195">
          <cell r="B195" t="str">
            <v>M-105</v>
          </cell>
          <cell r="C195" t="str">
            <v xml:space="preserve">Railing Work with 50mm GI Post @ 1600 c/c and 2 horizontal 40mm GI Pipe  </v>
          </cell>
          <cell r="I195">
            <v>48.6</v>
          </cell>
          <cell r="J195" t="str">
            <v>rm</v>
          </cell>
          <cell r="K195">
            <v>1000</v>
          </cell>
          <cell r="L195">
            <v>48600</v>
          </cell>
        </row>
        <row r="196">
          <cell r="C196" t="str">
            <v>Long Wall</v>
          </cell>
          <cell r="D196">
            <v>2</v>
          </cell>
          <cell r="E196">
            <v>13.8</v>
          </cell>
          <cell r="G196">
            <v>1</v>
          </cell>
          <cell r="H196">
            <v>27.6</v>
          </cell>
        </row>
        <row r="197">
          <cell r="C197" t="str">
            <v>Short Wall</v>
          </cell>
          <cell r="D197">
            <v>2</v>
          </cell>
          <cell r="E197">
            <v>10.5</v>
          </cell>
          <cell r="G197">
            <v>1</v>
          </cell>
          <cell r="H197">
            <v>21</v>
          </cell>
        </row>
        <row r="202">
          <cell r="B202" t="str">
            <v>1.4</v>
          </cell>
          <cell r="C202" t="str">
            <v>Site Clearance in thin vegetation area</v>
          </cell>
          <cell r="I202">
            <v>15000</v>
          </cell>
          <cell r="J202" t="str">
            <v>sqm</v>
          </cell>
          <cell r="K202">
            <v>2.76</v>
          </cell>
          <cell r="L202">
            <v>41400</v>
          </cell>
        </row>
        <row r="203">
          <cell r="C203" t="str">
            <v>Site Clearance</v>
          </cell>
          <cell r="D203">
            <v>1</v>
          </cell>
          <cell r="E203">
            <v>30</v>
          </cell>
          <cell r="F203">
            <v>20</v>
          </cell>
          <cell r="H203">
            <v>15000</v>
          </cell>
        </row>
        <row r="204">
          <cell r="B204">
            <v>2.14</v>
          </cell>
          <cell r="C204" t="str">
            <v>E/W Excavation for foundation, drain, pipelines etc. in BM Soil</v>
          </cell>
          <cell r="I204">
            <v>1134.7049999999999</v>
          </cell>
          <cell r="J204" t="str">
            <v>cum</v>
          </cell>
          <cell r="K204">
            <v>150.66839999999999</v>
          </cell>
          <cell r="L204">
            <v>170964.18682199999</v>
          </cell>
        </row>
        <row r="205">
          <cell r="C205" t="str">
            <v>Tank</v>
          </cell>
          <cell r="D205">
            <v>1</v>
          </cell>
          <cell r="E205">
            <v>25.3</v>
          </cell>
          <cell r="F205">
            <v>13.8</v>
          </cell>
          <cell r="G205">
            <v>3.25</v>
          </cell>
          <cell r="H205">
            <v>1134.7049999999999</v>
          </cell>
        </row>
        <row r="206">
          <cell r="B206">
            <v>11.16</v>
          </cell>
          <cell r="C206" t="str">
            <v xml:space="preserve">Stone soling with sand </v>
          </cell>
          <cell r="I206">
            <v>69.828000000000003</v>
          </cell>
          <cell r="J206" t="str">
            <v>cum</v>
          </cell>
          <cell r="K206">
            <v>1371.1740676875002</v>
          </cell>
          <cell r="L206">
            <v>95746.342798482758</v>
          </cell>
        </row>
        <row r="207">
          <cell r="C207" t="str">
            <v>Base</v>
          </cell>
          <cell r="D207">
            <v>1</v>
          </cell>
          <cell r="E207">
            <v>25.3</v>
          </cell>
          <cell r="F207">
            <v>13.8</v>
          </cell>
          <cell r="G207">
            <v>0.2</v>
          </cell>
          <cell r="H207">
            <v>69.828000000000003</v>
          </cell>
        </row>
        <row r="208">
          <cell r="B208" t="str">
            <v>7.2.c</v>
          </cell>
          <cell r="C208" t="str">
            <v xml:space="preserve">P.C.C. for  foundation &amp; walls in M10 </v>
          </cell>
          <cell r="I208">
            <v>26.185499999999998</v>
          </cell>
          <cell r="J208" t="str">
            <v>cum</v>
          </cell>
          <cell r="K208">
            <v>4334.2110718062495</v>
          </cell>
          <cell r="L208">
            <v>113493.48402078253</v>
          </cell>
        </row>
        <row r="209">
          <cell r="C209" t="str">
            <v>Base</v>
          </cell>
          <cell r="D209">
            <v>1</v>
          </cell>
          <cell r="E209">
            <v>25.3</v>
          </cell>
          <cell r="F209">
            <v>13.8</v>
          </cell>
          <cell r="G209">
            <v>7.4999999999999997E-2</v>
          </cell>
          <cell r="H209">
            <v>26.185499999999998</v>
          </cell>
        </row>
        <row r="210">
          <cell r="B210" t="str">
            <v>7.4.b</v>
          </cell>
          <cell r="C210" t="str">
            <v xml:space="preserve">P.C.C. for R.C.C. for super structures in M20 </v>
          </cell>
          <cell r="I210">
            <v>298.863</v>
          </cell>
          <cell r="J210" t="str">
            <v>cum</v>
          </cell>
          <cell r="K210">
            <v>6154.8131365578129</v>
          </cell>
          <cell r="L210">
            <v>1839445.9184310776</v>
          </cell>
        </row>
        <row r="211">
          <cell r="C211" t="str">
            <v>Bed</v>
          </cell>
          <cell r="D211">
            <v>1</v>
          </cell>
          <cell r="E211">
            <v>25.3</v>
          </cell>
          <cell r="F211">
            <v>13.8</v>
          </cell>
          <cell r="G211">
            <v>0.3</v>
          </cell>
          <cell r="H211">
            <v>104.74199999999999</v>
          </cell>
        </row>
        <row r="212">
          <cell r="C212" t="str">
            <v>Long Wall</v>
          </cell>
          <cell r="D212">
            <v>2</v>
          </cell>
          <cell r="E212">
            <v>24.3</v>
          </cell>
          <cell r="F212">
            <v>0.3</v>
          </cell>
          <cell r="G212">
            <v>3.8</v>
          </cell>
          <cell r="H212">
            <v>55.403999999999996</v>
          </cell>
        </row>
        <row r="213">
          <cell r="C213" t="str">
            <v>Short Wall</v>
          </cell>
          <cell r="D213">
            <v>6</v>
          </cell>
          <cell r="E213">
            <v>12.200000000000001</v>
          </cell>
          <cell r="F213">
            <v>0.3</v>
          </cell>
          <cell r="G213">
            <v>3.8</v>
          </cell>
          <cell r="H213">
            <v>83.447999999999993</v>
          </cell>
        </row>
        <row r="214">
          <cell r="C214" t="str">
            <v xml:space="preserve">Perforated Wall </v>
          </cell>
          <cell r="D214">
            <v>20</v>
          </cell>
          <cell r="E214">
            <v>4.5</v>
          </cell>
          <cell r="F214">
            <v>0.15</v>
          </cell>
          <cell r="G214">
            <v>3.5</v>
          </cell>
          <cell r="H214">
            <v>47.250000000000007</v>
          </cell>
        </row>
        <row r="215">
          <cell r="C215" t="str">
            <v>Weir Wall</v>
          </cell>
          <cell r="D215">
            <v>2</v>
          </cell>
          <cell r="E215">
            <v>1.1000000000000001</v>
          </cell>
          <cell r="F215">
            <v>24.3</v>
          </cell>
          <cell r="G215">
            <v>0.15</v>
          </cell>
          <cell r="H215">
            <v>8.0190000000000001</v>
          </cell>
        </row>
        <row r="216">
          <cell r="B216" t="str">
            <v>7.5</v>
          </cell>
          <cell r="C216" t="str">
            <v>Reinforcement work for R.C.C. work</v>
          </cell>
          <cell r="D216" t="str">
            <v>@100 kg/cum</v>
          </cell>
          <cell r="H216">
            <v>29.886299999999999</v>
          </cell>
          <cell r="I216">
            <v>29.886299999999999</v>
          </cell>
          <cell r="J216" t="str">
            <v>mt</v>
          </cell>
          <cell r="K216">
            <v>39248.537514867188</v>
          </cell>
          <cell r="L216">
            <v>1172993.5667305752</v>
          </cell>
        </row>
        <row r="217">
          <cell r="B217" t="str">
            <v>8.2.a</v>
          </cell>
          <cell r="C217" t="str">
            <v>Formwork for flooring and slab including materials</v>
          </cell>
          <cell r="I217">
            <v>1662.6</v>
          </cell>
          <cell r="J217" t="str">
            <v>sqm</v>
          </cell>
          <cell r="K217">
            <v>241.29415</v>
          </cell>
          <cell r="L217">
            <v>401175.65378999995</v>
          </cell>
        </row>
        <row r="218">
          <cell r="C218" t="str">
            <v>Long Wall</v>
          </cell>
          <cell r="D218">
            <v>4</v>
          </cell>
          <cell r="E218">
            <v>24.3</v>
          </cell>
          <cell r="G218">
            <v>3.8</v>
          </cell>
          <cell r="H218">
            <v>369.36</v>
          </cell>
        </row>
        <row r="219">
          <cell r="C219" t="str">
            <v>Short Wall</v>
          </cell>
          <cell r="D219">
            <v>12</v>
          </cell>
          <cell r="E219">
            <v>12.2</v>
          </cell>
          <cell r="G219">
            <v>3.8</v>
          </cell>
          <cell r="H219">
            <v>556.31999999999994</v>
          </cell>
        </row>
        <row r="220">
          <cell r="C220" t="str">
            <v xml:space="preserve">Perforated Wall </v>
          </cell>
          <cell r="D220">
            <v>40</v>
          </cell>
          <cell r="E220">
            <v>4.5</v>
          </cell>
          <cell r="G220">
            <v>3.5</v>
          </cell>
          <cell r="H220">
            <v>630</v>
          </cell>
        </row>
        <row r="221">
          <cell r="C221" t="str">
            <v>Weir Wall</v>
          </cell>
          <cell r="D221">
            <v>4</v>
          </cell>
          <cell r="E221">
            <v>1.1000000000000001</v>
          </cell>
          <cell r="G221">
            <v>24.3</v>
          </cell>
          <cell r="H221">
            <v>106.92000000000002</v>
          </cell>
        </row>
        <row r="222">
          <cell r="B222" t="str">
            <v>12.4.a</v>
          </cell>
          <cell r="C222" t="str">
            <v>20 mm plastering works in 1:3 cement sand mortar</v>
          </cell>
          <cell r="I222">
            <v>1680.88</v>
          </cell>
          <cell r="J222" t="str">
            <v>sqm</v>
          </cell>
          <cell r="K222">
            <v>176.78511684939062</v>
          </cell>
          <cell r="L222">
            <v>297154.56720980373</v>
          </cell>
        </row>
        <row r="223">
          <cell r="C223" t="str">
            <v>Bed</v>
          </cell>
          <cell r="D223">
            <v>1</v>
          </cell>
          <cell r="E223">
            <v>25.3</v>
          </cell>
          <cell r="F223">
            <v>13.8</v>
          </cell>
          <cell r="H223">
            <v>349.14000000000004</v>
          </cell>
        </row>
        <row r="224">
          <cell r="C224" t="str">
            <v>Long Wall</v>
          </cell>
          <cell r="D224">
            <v>2</v>
          </cell>
          <cell r="E224">
            <v>24.3</v>
          </cell>
          <cell r="F224">
            <v>3.8</v>
          </cell>
          <cell r="H224">
            <v>184.68</v>
          </cell>
        </row>
        <row r="225">
          <cell r="C225" t="str">
            <v>Short Wall</v>
          </cell>
          <cell r="D225">
            <v>10</v>
          </cell>
          <cell r="E225">
            <v>12.2</v>
          </cell>
          <cell r="F225">
            <v>3.8</v>
          </cell>
          <cell r="H225">
            <v>463.59999999999991</v>
          </cell>
        </row>
        <row r="226">
          <cell r="C226" t="str">
            <v xml:space="preserve">Perforated Wall </v>
          </cell>
          <cell r="D226">
            <v>40</v>
          </cell>
          <cell r="E226">
            <v>4.5</v>
          </cell>
          <cell r="F226">
            <v>3.5</v>
          </cell>
          <cell r="H226">
            <v>630</v>
          </cell>
        </row>
        <row r="227">
          <cell r="C227" t="str">
            <v>Weir Wall</v>
          </cell>
          <cell r="D227">
            <v>2</v>
          </cell>
          <cell r="E227">
            <v>1.1000000000000001</v>
          </cell>
          <cell r="F227">
            <v>24.3</v>
          </cell>
          <cell r="H227">
            <v>53.460000000000008</v>
          </cell>
        </row>
        <row r="228">
          <cell r="B228" t="str">
            <v>M-105</v>
          </cell>
          <cell r="C228" t="str">
            <v xml:space="preserve">Railing Work with 50mm GI Post @ 1600 c/c and 2 horizontal 40mm GI Pipe  </v>
          </cell>
          <cell r="I228">
            <v>73</v>
          </cell>
          <cell r="J228" t="str">
            <v>rm</v>
          </cell>
          <cell r="K228">
            <v>1000</v>
          </cell>
          <cell r="L228">
            <v>73000</v>
          </cell>
        </row>
        <row r="229">
          <cell r="C229" t="str">
            <v>Long Wall</v>
          </cell>
          <cell r="D229">
            <v>2</v>
          </cell>
          <cell r="E229">
            <v>24</v>
          </cell>
          <cell r="H229">
            <v>48</v>
          </cell>
        </row>
        <row r="230">
          <cell r="C230" t="str">
            <v>Short Wall</v>
          </cell>
          <cell r="D230">
            <v>2</v>
          </cell>
          <cell r="E230">
            <v>12.5</v>
          </cell>
          <cell r="H230">
            <v>25</v>
          </cell>
        </row>
        <row r="231">
          <cell r="B231" t="str">
            <v>M-108</v>
          </cell>
          <cell r="C231" t="str">
            <v>20-40mm river gravel filter filling work</v>
          </cell>
          <cell r="I231">
            <v>393.75</v>
          </cell>
          <cell r="J231" t="str">
            <v>cum</v>
          </cell>
          <cell r="K231">
            <v>2000</v>
          </cell>
          <cell r="L231">
            <v>787500</v>
          </cell>
        </row>
        <row r="232">
          <cell r="D232">
            <v>5</v>
          </cell>
          <cell r="E232">
            <v>5</v>
          </cell>
          <cell r="F232">
            <v>4.5</v>
          </cell>
          <cell r="G232">
            <v>3.5</v>
          </cell>
          <cell r="H232">
            <v>393.75</v>
          </cell>
        </row>
        <row r="233">
          <cell r="B233" t="str">
            <v>M-109</v>
          </cell>
          <cell r="C233" t="str">
            <v>10-20mm river gravel filter filling work</v>
          </cell>
          <cell r="I233">
            <v>236.25</v>
          </cell>
          <cell r="J233" t="str">
            <v>cum</v>
          </cell>
          <cell r="K233">
            <v>2500</v>
          </cell>
          <cell r="L233">
            <v>590625</v>
          </cell>
        </row>
        <row r="234">
          <cell r="D234">
            <v>5</v>
          </cell>
          <cell r="E234">
            <v>3</v>
          </cell>
          <cell r="F234">
            <v>4.5</v>
          </cell>
          <cell r="G234">
            <v>3.5</v>
          </cell>
          <cell r="H234">
            <v>236.25</v>
          </cell>
        </row>
        <row r="235">
          <cell r="B235" t="str">
            <v>M-110</v>
          </cell>
          <cell r="C235" t="str">
            <v>4-10mm river gravel filter filling work</v>
          </cell>
          <cell r="I235">
            <v>157.5</v>
          </cell>
          <cell r="J235" t="str">
            <v>cum</v>
          </cell>
          <cell r="K235">
            <v>3000</v>
          </cell>
          <cell r="L235">
            <v>472500</v>
          </cell>
        </row>
        <row r="236">
          <cell r="D236">
            <v>5</v>
          </cell>
          <cell r="E236">
            <v>2</v>
          </cell>
          <cell r="F236">
            <v>4.5</v>
          </cell>
          <cell r="G236">
            <v>3.5</v>
          </cell>
          <cell r="H236">
            <v>157.5</v>
          </cell>
        </row>
        <row r="237">
          <cell r="B237" t="str">
            <v>M-111</v>
          </cell>
          <cell r="C237" t="str">
            <v>MS U-Notch</v>
          </cell>
          <cell r="I237">
            <v>1</v>
          </cell>
          <cell r="J237" t="str">
            <v>job</v>
          </cell>
          <cell r="K237">
            <v>100000</v>
          </cell>
          <cell r="L237">
            <v>100000</v>
          </cell>
        </row>
        <row r="242">
          <cell r="B242" t="str">
            <v>1.1.b</v>
          </cell>
          <cell r="C242" t="str">
            <v>Cutting of Trees (21-60 cm dia.)</v>
          </cell>
          <cell r="D242">
            <v>40</v>
          </cell>
          <cell r="H242">
            <v>40</v>
          </cell>
          <cell r="I242">
            <v>40</v>
          </cell>
          <cell r="J242" t="str">
            <v>no</v>
          </cell>
          <cell r="K242">
            <v>35.880000000000003</v>
          </cell>
          <cell r="L242">
            <v>1435.2</v>
          </cell>
        </row>
        <row r="243">
          <cell r="B243" t="str">
            <v>1.2.b</v>
          </cell>
          <cell r="C243" t="str">
            <v>Removal of Tree roots (21-60 cm dia.)</v>
          </cell>
          <cell r="D243">
            <v>40</v>
          </cell>
          <cell r="H243">
            <v>40</v>
          </cell>
          <cell r="I243">
            <v>40</v>
          </cell>
          <cell r="J243" t="str">
            <v>no</v>
          </cell>
          <cell r="K243">
            <v>48.760000000000005</v>
          </cell>
          <cell r="L243">
            <v>1950.4</v>
          </cell>
        </row>
        <row r="244">
          <cell r="B244" t="str">
            <v>1.4</v>
          </cell>
          <cell r="C244" t="str">
            <v>Site Clearance in thin vegetation area</v>
          </cell>
          <cell r="D244">
            <v>1</v>
          </cell>
          <cell r="E244">
            <v>90</v>
          </cell>
          <cell r="F244">
            <v>75</v>
          </cell>
          <cell r="H244">
            <v>6750</v>
          </cell>
          <cell r="I244">
            <v>6750</v>
          </cell>
          <cell r="J244" t="str">
            <v>sqm</v>
          </cell>
          <cell r="K244">
            <v>2.76</v>
          </cell>
          <cell r="L244">
            <v>18630</v>
          </cell>
        </row>
        <row r="245">
          <cell r="B245">
            <v>2.14</v>
          </cell>
          <cell r="C245" t="str">
            <v>E/W Excavation for foundation, drain, pipelines etc. in BM Soil</v>
          </cell>
          <cell r="H245">
            <v>471.36078682760183</v>
          </cell>
          <cell r="I245">
            <v>471.36078682760183</v>
          </cell>
          <cell r="J245" t="str">
            <v>cum</v>
          </cell>
          <cell r="K245">
            <v>150.66839999999999</v>
          </cell>
          <cell r="L245">
            <v>71019.175574055844</v>
          </cell>
        </row>
        <row r="246">
          <cell r="C246" t="str">
            <v>Reservoir(50 cum)</v>
          </cell>
          <cell r="D246">
            <v>1</v>
          </cell>
          <cell r="E246">
            <v>5</v>
          </cell>
          <cell r="G246">
            <v>2.5</v>
          </cell>
          <cell r="H246">
            <v>17.562036827601816</v>
          </cell>
        </row>
        <row r="247">
          <cell r="C247" t="str">
            <v>Fencing post</v>
          </cell>
          <cell r="D247">
            <v>163</v>
          </cell>
          <cell r="E247">
            <v>0.3</v>
          </cell>
          <cell r="F247">
            <v>0.3</v>
          </cell>
          <cell r="G247">
            <v>0.65</v>
          </cell>
          <cell r="H247">
            <v>9.535499999999999</v>
          </cell>
        </row>
        <row r="248">
          <cell r="C248" t="str">
            <v>Gate</v>
          </cell>
          <cell r="D248">
            <v>2</v>
          </cell>
          <cell r="E248">
            <v>0.45</v>
          </cell>
          <cell r="F248">
            <v>0.45</v>
          </cell>
          <cell r="G248">
            <v>0.65</v>
          </cell>
          <cell r="H248">
            <v>0.26325000000000004</v>
          </cell>
        </row>
        <row r="249">
          <cell r="C249" t="str">
            <v>Retaining Wall</v>
          </cell>
          <cell r="D249">
            <v>1</v>
          </cell>
          <cell r="E249">
            <v>64</v>
          </cell>
          <cell r="F249">
            <v>2</v>
          </cell>
          <cell r="G249">
            <v>3</v>
          </cell>
          <cell r="H249">
            <v>384</v>
          </cell>
        </row>
        <row r="250">
          <cell r="C250" t="str">
            <v>Guard house</v>
          </cell>
          <cell r="D250">
            <v>1</v>
          </cell>
          <cell r="E250">
            <v>10</v>
          </cell>
          <cell r="F250">
            <v>6</v>
          </cell>
          <cell r="G250">
            <v>1</v>
          </cell>
          <cell r="H250">
            <v>60</v>
          </cell>
        </row>
        <row r="251">
          <cell r="B251">
            <v>11.16</v>
          </cell>
          <cell r="C251" t="str">
            <v xml:space="preserve">Stone soling with sand </v>
          </cell>
          <cell r="H251">
            <v>20.501249999999995</v>
          </cell>
          <cell r="I251">
            <v>20.501249999999995</v>
          </cell>
          <cell r="J251" t="str">
            <v>cum</v>
          </cell>
          <cell r="K251">
            <v>1371.1740676875002</v>
          </cell>
          <cell r="L251">
            <v>28110.782355178355</v>
          </cell>
        </row>
        <row r="252">
          <cell r="C252" t="str">
            <v>Fencing post</v>
          </cell>
          <cell r="D252">
            <v>163</v>
          </cell>
          <cell r="E252">
            <v>0.3</v>
          </cell>
          <cell r="F252">
            <v>0.3</v>
          </cell>
          <cell r="G252">
            <v>0.15</v>
          </cell>
          <cell r="H252">
            <v>2.2004999999999995</v>
          </cell>
        </row>
        <row r="253">
          <cell r="C253" t="str">
            <v>Retaining Wall</v>
          </cell>
          <cell r="D253">
            <v>1</v>
          </cell>
          <cell r="E253">
            <v>64</v>
          </cell>
          <cell r="F253">
            <v>1.9</v>
          </cell>
          <cell r="G253">
            <v>0.15</v>
          </cell>
          <cell r="H253">
            <v>18.239999999999998</v>
          </cell>
        </row>
        <row r="254">
          <cell r="C254" t="str">
            <v>Gate</v>
          </cell>
          <cell r="D254">
            <v>2</v>
          </cell>
          <cell r="E254">
            <v>0.45</v>
          </cell>
          <cell r="F254">
            <v>0.45</v>
          </cell>
          <cell r="G254">
            <v>0.15</v>
          </cell>
          <cell r="H254">
            <v>6.0749999999999998E-2</v>
          </cell>
        </row>
        <row r="255">
          <cell r="B255" t="str">
            <v>6.1.b</v>
          </cell>
          <cell r="C255" t="str">
            <v>Rubble masonry works in 1:4 cement mortar</v>
          </cell>
          <cell r="H255">
            <v>225.70949999999999</v>
          </cell>
          <cell r="I255">
            <v>225.70949999999999</v>
          </cell>
          <cell r="J255" t="str">
            <v>cum</v>
          </cell>
          <cell r="K255">
            <v>3062.1631243026563</v>
          </cell>
          <cell r="L255">
            <v>691159.30770479038</v>
          </cell>
        </row>
        <row r="256">
          <cell r="C256" t="str">
            <v>Retaining Wall</v>
          </cell>
          <cell r="D256">
            <v>1</v>
          </cell>
          <cell r="E256">
            <v>64</v>
          </cell>
          <cell r="F256">
            <v>1.1499999999999999</v>
          </cell>
          <cell r="G256">
            <v>3</v>
          </cell>
          <cell r="H256">
            <v>220.79999999999998</v>
          </cell>
        </row>
        <row r="257">
          <cell r="C257" t="str">
            <v>Gate base</v>
          </cell>
          <cell r="D257">
            <v>2</v>
          </cell>
          <cell r="E257">
            <v>0.45</v>
          </cell>
          <cell r="F257">
            <v>0.45</v>
          </cell>
          <cell r="G257">
            <v>0.5</v>
          </cell>
          <cell r="H257">
            <v>0.20250000000000001</v>
          </cell>
        </row>
        <row r="258">
          <cell r="C258" t="str">
            <v>Gate upper</v>
          </cell>
          <cell r="D258">
            <v>2</v>
          </cell>
          <cell r="E258">
            <v>0.3</v>
          </cell>
          <cell r="F258">
            <v>0.3</v>
          </cell>
          <cell r="G258">
            <v>1.7</v>
          </cell>
          <cell r="H258">
            <v>0.30599999999999999</v>
          </cell>
        </row>
        <row r="259">
          <cell r="C259" t="str">
            <v>Post upper</v>
          </cell>
          <cell r="D259">
            <v>163</v>
          </cell>
          <cell r="E259">
            <v>0.3</v>
          </cell>
          <cell r="F259">
            <v>0.3</v>
          </cell>
          <cell r="G259">
            <v>0.3</v>
          </cell>
          <cell r="H259">
            <v>4.4009999999999989</v>
          </cell>
        </row>
        <row r="260">
          <cell r="B260" t="str">
            <v>7.2.c</v>
          </cell>
          <cell r="C260" t="str">
            <v xml:space="preserve">P.C.C. for  foundation &amp; walls in M10 </v>
          </cell>
          <cell r="H260">
            <v>16.454999999999998</v>
          </cell>
          <cell r="I260">
            <v>16.454999999999998</v>
          </cell>
          <cell r="J260" t="str">
            <v>cum</v>
          </cell>
          <cell r="K260">
            <v>4334.2110718062495</v>
          </cell>
          <cell r="L260">
            <v>71319.443186571822</v>
          </cell>
        </row>
        <row r="261">
          <cell r="C261" t="str">
            <v>Retaining Wall</v>
          </cell>
          <cell r="D261">
            <v>1</v>
          </cell>
          <cell r="E261">
            <v>64</v>
          </cell>
          <cell r="F261">
            <v>1.9</v>
          </cell>
          <cell r="G261">
            <v>7.4999999999999997E-2</v>
          </cell>
          <cell r="H261">
            <v>9.1199999999999992</v>
          </cell>
        </row>
        <row r="262">
          <cell r="C262" t="str">
            <v>Fencing post</v>
          </cell>
          <cell r="D262">
            <v>163</v>
          </cell>
          <cell r="E262">
            <v>0.3</v>
          </cell>
          <cell r="F262">
            <v>0.3</v>
          </cell>
          <cell r="G262">
            <v>0.5</v>
          </cell>
          <cell r="H262">
            <v>7.3349999999999991</v>
          </cell>
        </row>
        <row r="263">
          <cell r="B263" t="str">
            <v>M-112</v>
          </cell>
          <cell r="C263" t="str">
            <v>Barbed Wire</v>
          </cell>
          <cell r="H263">
            <v>524.79999999999995</v>
          </cell>
          <cell r="I263">
            <v>524.79999999999995</v>
          </cell>
          <cell r="J263" t="str">
            <v>kg</v>
          </cell>
          <cell r="K263">
            <v>65</v>
          </cell>
          <cell r="L263">
            <v>34112</v>
          </cell>
        </row>
        <row r="264">
          <cell r="C264" t="str">
            <v>Straight</v>
          </cell>
          <cell r="D264">
            <v>1148</v>
          </cell>
          <cell r="E264">
            <v>2</v>
          </cell>
          <cell r="H264">
            <v>367.36</v>
          </cell>
        </row>
        <row r="265">
          <cell r="C265" t="str">
            <v>Diagonal</v>
          </cell>
          <cell r="D265">
            <v>328</v>
          </cell>
          <cell r="E265">
            <v>3</v>
          </cell>
          <cell r="H265">
            <v>157.44</v>
          </cell>
        </row>
        <row r="266">
          <cell r="B266" t="str">
            <v>M-1</v>
          </cell>
          <cell r="C266" t="str">
            <v xml:space="preserve">Fabrication &amp; placing of Angle post </v>
          </cell>
          <cell r="D266">
            <v>165</v>
          </cell>
          <cell r="H266">
            <v>165</v>
          </cell>
          <cell r="I266">
            <v>165</v>
          </cell>
          <cell r="J266" t="str">
            <v>no</v>
          </cell>
          <cell r="K266">
            <v>315.2955</v>
          </cell>
          <cell r="L266">
            <v>52023.7575</v>
          </cell>
        </row>
        <row r="267">
          <cell r="B267" t="str">
            <v>M-2</v>
          </cell>
          <cell r="C267" t="str">
            <v>Fabrication &amp; placing of MS Grill gate</v>
          </cell>
          <cell r="D267">
            <v>1</v>
          </cell>
          <cell r="H267">
            <v>1</v>
          </cell>
          <cell r="I267">
            <v>1</v>
          </cell>
          <cell r="J267" t="str">
            <v>set</v>
          </cell>
          <cell r="K267">
            <v>2717.148815</v>
          </cell>
          <cell r="L267">
            <v>2717.148815</v>
          </cell>
        </row>
        <row r="268">
          <cell r="K268" t="str">
            <v>Total</v>
          </cell>
          <cell r="L268">
            <v>972477.21513559634</v>
          </cell>
        </row>
      </sheetData>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Dmand 1"/>
      <sheetName val="ProfileData"/>
      <sheetName val="PipeDesign"/>
      <sheetName val="PD-TMPLT"/>
      <sheetName val="DrawingControls"/>
      <sheetName val="Profile"/>
      <sheetName val="FlowDiagram"/>
      <sheetName val="PipeList"/>
      <sheetName val="PipeLineWork"/>
      <sheetName val="PFdata"/>
      <sheetName val="Features"/>
      <sheetName val="FitData"/>
      <sheetName val="Fittings"/>
      <sheetName val="T&amp;P"/>
      <sheetName val="Summary"/>
    </sheetNames>
    <sheetDataSet>
      <sheetData sheetId="0" refreshError="1"/>
      <sheetData sheetId="1"/>
      <sheetData sheetId="2"/>
      <sheetData sheetId="3" refreshError="1">
        <row r="25">
          <cell r="D25">
            <v>682</v>
          </cell>
        </row>
        <row r="26">
          <cell r="D26">
            <v>479</v>
          </cell>
        </row>
      </sheetData>
      <sheetData sheetId="4"/>
      <sheetData sheetId="5"/>
      <sheetData sheetId="6"/>
      <sheetData sheetId="7"/>
      <sheetData sheetId="8"/>
      <sheetData sheetId="9"/>
      <sheetData sheetId="10"/>
      <sheetData sheetId="11" refreshError="1"/>
      <sheetData sheetId="12"/>
      <sheetData sheetId="13" refreshError="1"/>
      <sheetData sheetId="14"/>
      <sheetData sheetId="15"/>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date Rate"/>
      <sheetName val="Update Descrip"/>
      <sheetName val="Table of Content"/>
      <sheetName val="Update Descrip (Final)"/>
    </sheetNames>
    <sheetDataSet>
      <sheetData sheetId="0" refreshError="1">
        <row r="6">
          <cell r="E6">
            <v>245</v>
          </cell>
        </row>
        <row r="172">
          <cell r="E172">
            <v>6.51</v>
          </cell>
        </row>
      </sheetData>
      <sheetData sheetId="1" refreshError="1"/>
      <sheetData sheetId="2" refreshError="1"/>
      <sheetData sheetId="3"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date Descrip"/>
      <sheetName val="Table of Content"/>
      <sheetName val="update Rate"/>
    </sheetNames>
    <sheetDataSet>
      <sheetData sheetId="0" refreshError="1"/>
      <sheetData sheetId="1" refreshError="1"/>
      <sheetData sheetId="2" refreshError="1">
        <row r="47">
          <cell r="E47">
            <v>58.24</v>
          </cell>
        </row>
        <row r="65">
          <cell r="E65">
            <v>208</v>
          </cell>
        </row>
        <row r="66">
          <cell r="E66">
            <v>364</v>
          </cell>
        </row>
        <row r="67">
          <cell r="E67">
            <v>123.09</v>
          </cell>
        </row>
        <row r="83">
          <cell r="E83">
            <v>425.23</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
      <sheetName val="T-RATE"/>
      <sheetName val="M-RATE"/>
      <sheetName val="URG CIVIL"/>
      <sheetName val="COST-EST"/>
      <sheetName val="Bill-EST"/>
      <sheetName val="Sani-Cost-est"/>
      <sheetName val="Sani-Bill-est"/>
      <sheetName val="Ele-COST-EST "/>
      <sheetName val="Ele-Bill-EST"/>
      <sheetName val="Fur-Cost-est"/>
      <sheetName val="Fur-Bill-est"/>
      <sheetName val="Sum-Cost"/>
      <sheetName val="Boq"/>
      <sheetName val="Sum -Cost"/>
      <sheetName val="Sum -bILL"/>
      <sheetName val="Sum-Bill"/>
      <sheetName val="TRANS_dist_pipework_Contractor"/>
      <sheetName val="F_AppTrack"/>
      <sheetName val="F_Box Sum"/>
      <sheetName val="F_Drain"/>
      <sheetName val="F_Guard House"/>
      <sheetName val="F_Grit Chamber"/>
      <sheetName val="F_Treatment"/>
      <sheetName val="F_Intake"/>
      <sheetName val="Major Cross"/>
      <sheetName val="Earhwork_pipe_WUC"/>
      <sheetName val="F_Public Toilet"/>
      <sheetName val="SCross"/>
      <sheetName val="sum_F_RVT_ALL"/>
      <sheetName val="Misc"/>
      <sheetName val="update Rate"/>
      <sheetName val="od-id"/>
      <sheetName val="r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xn &amp; Trans."/>
      <sheetName val="DR"/>
      <sheetName val="Analysis"/>
      <sheetName val="Sum"/>
      <sheetName val="Break"/>
      <sheetName val="Abs of Cost"/>
      <sheetName val="BoQ"/>
      <sheetName val="Est"/>
      <sheetName val="EW"/>
      <sheetName val="EWS"/>
      <sheetName val="drain"/>
      <sheetName val="Pav"/>
      <sheetName val="DW"/>
      <sheetName val="6m span SC"/>
      <sheetName val="6m span rein"/>
      <sheetName val="GW"/>
      <sheetName val="Rein. detail of bridge"/>
      <sheetName val="Sign"/>
      <sheetName val="8m span lapse khola"/>
      <sheetName val="rein detail of lapse"/>
      <sheetName val="Major Crossing Pipe marker"/>
      <sheetName val="update Rate"/>
    </sheetNames>
    <sheetDataSet>
      <sheetData sheetId="0" refreshError="1"/>
      <sheetData sheetId="1">
        <row r="13">
          <cell r="D13">
            <v>1144.29</v>
          </cell>
        </row>
        <row r="18">
          <cell r="D18">
            <v>176.6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Equipment"/>
      <sheetName val="Lab Establishment"/>
      <sheetName val="Lab Equipment"/>
      <sheetName val="Running Cost "/>
      <sheetName val="Furniture for Accomodation"/>
      <sheetName val="Furniture Office &amp; lab"/>
      <sheetName val="Vehicle_Cost"/>
      <sheetName val="Labour Rates_BB"/>
      <sheetName val="Dayworks"/>
      <sheetName val="Support staff wage"/>
      <sheetName val="Equipment Rates"/>
      <sheetName val="Material_Tax"/>
      <sheetName val="Material collection equipment"/>
      <sheetName val="Haulage dist"/>
      <sheetName val="Haulage items"/>
      <sheetName val="Transport Cost final"/>
      <sheetName val="Transport_Cost_F"/>
      <sheetName val="Qtty  for Storm Drain "/>
      <sheetName val="Rate Analysis"/>
      <sheetName val="Insurance"/>
      <sheetName val="Summary_Sheet_M"/>
      <sheetName val="PS"/>
      <sheetName val="Qtty Summary"/>
      <sheetName val="BoQ BB-01"/>
      <sheetName val="Sum-BB-01"/>
      <sheetName val="Road Qty"/>
      <sheetName val="Neighbourhood"/>
      <sheetName val="Neigh Qtty"/>
      <sheetName val="Cover Slab Qtty"/>
      <sheetName val="Inlet detail"/>
      <sheetName val="PipeDesign"/>
      <sheetName val="Data"/>
    </sheetNames>
    <sheetDataSet>
      <sheetData sheetId="0"/>
      <sheetData sheetId="1"/>
      <sheetData sheetId="2"/>
      <sheetData sheetId="3">
        <row r="27">
          <cell r="C27">
            <v>64000</v>
          </cell>
        </row>
      </sheetData>
      <sheetData sheetId="4"/>
      <sheetData sheetId="5">
        <row r="75">
          <cell r="J75">
            <v>971865</v>
          </cell>
        </row>
      </sheetData>
      <sheetData sheetId="6"/>
      <sheetData sheetId="7">
        <row r="9">
          <cell r="E9">
            <v>350</v>
          </cell>
        </row>
      </sheetData>
      <sheetData sheetId="8">
        <row r="9">
          <cell r="C9" t="str">
            <v xml:space="preserve">Work shall be excuted as Dayworks only under the written instructions of the Engineer. </v>
          </cell>
        </row>
      </sheetData>
      <sheetData sheetId="9"/>
      <sheetData sheetId="10">
        <row r="10">
          <cell r="D10">
            <v>800</v>
          </cell>
        </row>
      </sheetData>
      <sheetData sheetId="11"/>
      <sheetData sheetId="12"/>
      <sheetData sheetId="13">
        <row r="9">
          <cell r="K9">
            <v>8.6</v>
          </cell>
        </row>
      </sheetData>
      <sheetData sheetId="14"/>
      <sheetData sheetId="15"/>
      <sheetData sheetId="16">
        <row r="10">
          <cell r="D10">
            <v>12</v>
          </cell>
        </row>
        <row r="41">
          <cell r="D41">
            <v>2083.33</v>
          </cell>
        </row>
      </sheetData>
      <sheetData sheetId="17"/>
      <sheetData sheetId="18">
        <row r="560">
          <cell r="O560">
            <v>31000</v>
          </cell>
        </row>
      </sheetData>
      <sheetData sheetId="19">
        <row r="13">
          <cell r="D13">
            <v>101809.49999999997</v>
          </cell>
        </row>
      </sheetData>
      <sheetData sheetId="20">
        <row r="11">
          <cell r="E11">
            <v>1656000</v>
          </cell>
        </row>
      </sheetData>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 Pro Cost"/>
      <sheetName val="S-COST3"/>
      <sheetName val="MAT"/>
      <sheetName val="T-RATE"/>
      <sheetName val="M-RATE"/>
      <sheetName val="URG CIVIL"/>
      <sheetName val="UR PLJ"/>
      <sheetName val="update Rate"/>
      <sheetName val="R-150M"/>
      <sheetName val="HL-Data"/>
      <sheetName val="PD-CW-Sample"/>
      <sheetName val="Rate Analysis"/>
      <sheetName val="rate"/>
      <sheetName val="4aoc"/>
      <sheetName val="Rates"/>
      <sheetName val="BOQ_ZB"/>
      <sheetName val="SOFTWEL"/>
      <sheetName val="Summary of CostHal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_Birendranagar"/>
      <sheetName val="Breakdown_Material"/>
      <sheetName val="BOQ_WUSC"/>
      <sheetName val="BOQ"/>
      <sheetName val="Sheet1"/>
      <sheetName val="TOC"/>
      <sheetName val="Cost Extract"/>
      <sheetName val="Summary of Cost"/>
      <sheetName val="F_Pipesdetails"/>
      <sheetName val="F_Pipes"/>
      <sheetName val="TRANS_dist_pipework_Contractor"/>
      <sheetName val="Earhwork_pipe_WUC"/>
      <sheetName val="F_TransPL"/>
      <sheetName val="Pipecosttrans"/>
      <sheetName val="F_Pipecostdist"/>
      <sheetName val="Pipelaycost"/>
      <sheetName val="F_SA_1APL"/>
      <sheetName val="F_SA_1BPL"/>
      <sheetName val="RVT_FENCING"/>
      <sheetName val="RVT_20"/>
      <sheetName val="RVT_50"/>
      <sheetName val="RVT_125"/>
      <sheetName val="RVT_200"/>
      <sheetName val="F_SA_2PL"/>
      <sheetName val="F_SA_3APL"/>
      <sheetName val="F_SA_3BPL"/>
      <sheetName val="F_SA_4PL"/>
      <sheetName val="F_SA_5PL"/>
      <sheetName val="F_SA_6PL"/>
      <sheetName val="F_SA_7PL"/>
      <sheetName val="F_SA_8PL"/>
      <sheetName val="F_SA_9PL"/>
      <sheetName val="F_SA_10PL"/>
      <sheetName val="F_AppTrack"/>
      <sheetName val="Major Cross"/>
      <sheetName val="SCross"/>
      <sheetName val="F_RVT_All"/>
      <sheetName val="sum_F_RVT_ALL"/>
      <sheetName val="F_Box"/>
      <sheetName val="F_Box Sum"/>
      <sheetName val="F_Guard House"/>
      <sheetName val="F_Public Toilet"/>
      <sheetName val="Misc"/>
      <sheetName val="Mitigation"/>
      <sheetName val="F_Drain"/>
      <sheetName val="F_Piperate"/>
      <sheetName val="LabMatRate"/>
      <sheetName val="RateAnalysis"/>
      <sheetName val="TruckAna"/>
      <sheetName val="F_treatment NRQ"/>
      <sheetName val="PipeCostComp"/>
      <sheetName val="SCrossData"/>
      <sheetName val="Summary of Pipe Work"/>
      <sheetName val="F_Earth Work"/>
      <sheetName val="LocalMat"/>
      <sheetName val="F_Office building"/>
      <sheetName val="SumRate"/>
      <sheetName val="F_Intake"/>
      <sheetName val="F_Grit Chamber"/>
      <sheetName val="F_Treatment"/>
      <sheetName val="PD-HL-Sample"/>
      <sheetName val="Ta403"/>
      <sheetName val="Ta3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ow r="6">
          <cell r="B6" t="str">
            <v>H16/10</v>
          </cell>
          <cell r="C6">
            <v>11.6</v>
          </cell>
          <cell r="D6">
            <v>9.1999999999999998E-2</v>
          </cell>
          <cell r="E6">
            <v>7.0000000000000007E-2</v>
          </cell>
          <cell r="F6">
            <v>0.2</v>
          </cell>
          <cell r="G6">
            <v>0.20226749999999982</v>
          </cell>
          <cell r="H6">
            <v>5.8127842499999985E-2</v>
          </cell>
          <cell r="I6">
            <v>7.9115934197999991</v>
          </cell>
          <cell r="J6">
            <v>7.9697212622999993</v>
          </cell>
        </row>
        <row r="7">
          <cell r="B7" t="str">
            <v>H20/10</v>
          </cell>
          <cell r="C7">
            <v>14.9</v>
          </cell>
          <cell r="D7">
            <v>0.13400000000000001</v>
          </cell>
          <cell r="E7">
            <v>0.1</v>
          </cell>
          <cell r="F7">
            <v>0.2</v>
          </cell>
          <cell r="G7">
            <v>0.20226749999999982</v>
          </cell>
          <cell r="H7">
            <v>8.4664466249999987E-2</v>
          </cell>
          <cell r="I7">
            <v>11.302276314</v>
          </cell>
          <cell r="J7">
            <v>11.386940780250001</v>
          </cell>
        </row>
        <row r="8">
          <cell r="B8" t="str">
            <v>H25/10</v>
          </cell>
          <cell r="C8">
            <v>18.899999999999999</v>
          </cell>
          <cell r="D8">
            <v>0.20200000000000001</v>
          </cell>
          <cell r="E8">
            <v>0.16</v>
          </cell>
          <cell r="F8">
            <v>0.2</v>
          </cell>
          <cell r="G8">
            <v>0.20226749999999982</v>
          </cell>
          <cell r="H8">
            <v>0.12762852375</v>
          </cell>
          <cell r="I8">
            <v>18.083642102399999</v>
          </cell>
          <cell r="J8">
            <v>18.21127062615</v>
          </cell>
        </row>
        <row r="9">
          <cell r="B9" t="str">
            <v>H32/6</v>
          </cell>
          <cell r="C9">
            <v>26.9</v>
          </cell>
          <cell r="D9">
            <v>0.22</v>
          </cell>
          <cell r="E9">
            <v>0.17</v>
          </cell>
          <cell r="F9">
            <v>0.2</v>
          </cell>
          <cell r="G9">
            <v>0.20226749999999982</v>
          </cell>
          <cell r="H9">
            <v>0.13900136249999998</v>
          </cell>
          <cell r="I9">
            <v>19.213869733799999</v>
          </cell>
          <cell r="J9">
            <v>19.352871096299999</v>
          </cell>
        </row>
        <row r="10">
          <cell r="B10" t="str">
            <v>H32/10</v>
          </cell>
          <cell r="C10">
            <v>24.1</v>
          </cell>
          <cell r="D10">
            <v>0.33400000000000002</v>
          </cell>
          <cell r="E10">
            <v>0.26</v>
          </cell>
          <cell r="F10">
            <v>0.2</v>
          </cell>
          <cell r="G10">
            <v>0.20226749999999982</v>
          </cell>
          <cell r="H10">
            <v>0.21102934124999997</v>
          </cell>
          <cell r="I10">
            <v>29.385918416399996</v>
          </cell>
          <cell r="J10">
            <v>29.596947757649996</v>
          </cell>
        </row>
        <row r="11">
          <cell r="B11" t="str">
            <v>H40/4</v>
          </cell>
          <cell r="C11">
            <v>35.6</v>
          </cell>
          <cell r="D11">
            <v>0.251</v>
          </cell>
          <cell r="E11">
            <v>0.20080000000000003</v>
          </cell>
          <cell r="F11">
            <v>0.2</v>
          </cell>
          <cell r="G11">
            <v>0.20226749999999982</v>
          </cell>
          <cell r="H11">
            <v>0.15858791812499995</v>
          </cell>
          <cell r="I11">
            <v>22.694970838511999</v>
          </cell>
          <cell r="J11">
            <v>22.853558756637</v>
          </cell>
        </row>
        <row r="12">
          <cell r="B12" t="str">
            <v>H40/6</v>
          </cell>
          <cell r="C12">
            <v>33.700000000000003</v>
          </cell>
          <cell r="D12">
            <v>0.35</v>
          </cell>
          <cell r="E12">
            <v>0.28000000000000003</v>
          </cell>
          <cell r="F12">
            <v>0.2</v>
          </cell>
          <cell r="G12">
            <v>0.20226749999999982</v>
          </cell>
          <cell r="H12">
            <v>0.22113853124999994</v>
          </cell>
          <cell r="I12">
            <v>31.646373679199996</v>
          </cell>
          <cell r="J12">
            <v>31.867512210449995</v>
          </cell>
        </row>
        <row r="13">
          <cell r="B13" t="str">
            <v>H40/10</v>
          </cell>
          <cell r="C13">
            <v>30.3</v>
          </cell>
          <cell r="D13">
            <v>0.51400000000000001</v>
          </cell>
          <cell r="E13">
            <v>0.4</v>
          </cell>
          <cell r="F13">
            <v>0.2</v>
          </cell>
          <cell r="G13">
            <v>0.20226749999999982</v>
          </cell>
          <cell r="H13">
            <v>0.32475772874999992</v>
          </cell>
          <cell r="I13">
            <v>45.209105256000001</v>
          </cell>
          <cell r="J13">
            <v>45.533862984750002</v>
          </cell>
        </row>
        <row r="14">
          <cell r="B14" t="str">
            <v>H50/4</v>
          </cell>
          <cell r="C14">
            <v>44.7</v>
          </cell>
          <cell r="D14">
            <v>0.378</v>
          </cell>
          <cell r="E14">
            <v>0.29988929889298893</v>
          </cell>
          <cell r="F14">
            <v>0.2</v>
          </cell>
          <cell r="G14">
            <v>0.20226749999999982</v>
          </cell>
          <cell r="H14">
            <v>0.23882961374999995</v>
          </cell>
          <cell r="I14">
            <v>33.894317197002948</v>
          </cell>
          <cell r="J14">
            <v>34.133146810752947</v>
          </cell>
        </row>
        <row r="15">
          <cell r="B15" t="str">
            <v>H50/6</v>
          </cell>
          <cell r="C15">
            <v>42.2</v>
          </cell>
          <cell r="D15">
            <v>0.54200000000000004</v>
          </cell>
          <cell r="E15">
            <v>0.43</v>
          </cell>
          <cell r="F15">
            <v>0.2</v>
          </cell>
          <cell r="G15">
            <v>0.20226749999999982</v>
          </cell>
          <cell r="H15">
            <v>0.34244881124999998</v>
          </cell>
          <cell r="I15">
            <v>48.599788150199991</v>
          </cell>
          <cell r="J15">
            <v>48.942236961449993</v>
          </cell>
        </row>
        <row r="16">
          <cell r="B16" t="str">
            <v>H50/10</v>
          </cell>
          <cell r="C16">
            <v>38</v>
          </cell>
          <cell r="D16">
            <v>0.79600000000000004</v>
          </cell>
          <cell r="E16">
            <v>0.63</v>
          </cell>
          <cell r="F16">
            <v>0.2</v>
          </cell>
          <cell r="G16">
            <v>0.20226749999999982</v>
          </cell>
          <cell r="H16">
            <v>0.50293220249999993</v>
          </cell>
          <cell r="I16">
            <v>71.204340778199992</v>
          </cell>
          <cell r="J16">
            <v>71.707272980699997</v>
          </cell>
        </row>
        <row r="17">
          <cell r="B17" t="str">
            <v>H63/4</v>
          </cell>
          <cell r="C17">
            <v>56.5</v>
          </cell>
          <cell r="D17">
            <v>0.58499999999999996</v>
          </cell>
          <cell r="E17">
            <v>0.46</v>
          </cell>
          <cell r="F17">
            <v>0.2</v>
          </cell>
          <cell r="G17">
            <v>0.20226749999999982</v>
          </cell>
          <cell r="H17">
            <v>0.3696172593749999</v>
          </cell>
          <cell r="I17">
            <v>51.990471044400003</v>
          </cell>
          <cell r="J17">
            <v>52.360088303775001</v>
          </cell>
        </row>
        <row r="18">
          <cell r="B18" t="str">
            <v>H63/6</v>
          </cell>
          <cell r="C18">
            <v>53.3</v>
          </cell>
          <cell r="D18">
            <v>0.85</v>
          </cell>
          <cell r="E18">
            <v>0.67</v>
          </cell>
          <cell r="F18">
            <v>0.2</v>
          </cell>
          <cell r="G18">
            <v>0.20226749999999982</v>
          </cell>
          <cell r="H18">
            <v>0.53705071874999988</v>
          </cell>
          <cell r="I18">
            <v>75.725251303799993</v>
          </cell>
          <cell r="J18">
            <v>76.262302022549989</v>
          </cell>
        </row>
        <row r="19">
          <cell r="B19" t="str">
            <v>H63/10</v>
          </cell>
          <cell r="C19">
            <v>47.8</v>
          </cell>
          <cell r="D19">
            <v>1.2689999999999999</v>
          </cell>
          <cell r="E19">
            <v>1</v>
          </cell>
          <cell r="F19">
            <v>0.2</v>
          </cell>
          <cell r="G19">
            <v>0.20226749999999982</v>
          </cell>
          <cell r="H19">
            <v>0.80178513187499978</v>
          </cell>
          <cell r="I19">
            <v>113.02276313999998</v>
          </cell>
          <cell r="J19">
            <v>113.82454827187497</v>
          </cell>
        </row>
        <row r="20">
          <cell r="B20" t="str">
            <v>H75/4</v>
          </cell>
          <cell r="C20">
            <v>67.099999999999994</v>
          </cell>
          <cell r="D20">
            <v>0.84599999999999997</v>
          </cell>
          <cell r="E20">
            <v>0.66</v>
          </cell>
          <cell r="F20">
            <v>0.2</v>
          </cell>
          <cell r="G20">
            <v>0.20226749999999982</v>
          </cell>
          <cell r="H20">
            <v>0.53452342124999985</v>
          </cell>
          <cell r="I20">
            <v>74.595023672399989</v>
          </cell>
          <cell r="J20">
            <v>75.12954709364999</v>
          </cell>
        </row>
        <row r="21">
          <cell r="B21" t="str">
            <v>H75/6</v>
          </cell>
          <cell r="C21">
            <v>63.6</v>
          </cell>
          <cell r="D21">
            <v>1.1910000000000001</v>
          </cell>
          <cell r="E21">
            <v>0.94</v>
          </cell>
          <cell r="F21">
            <v>0.2</v>
          </cell>
          <cell r="G21">
            <v>0.20226749999999982</v>
          </cell>
          <cell r="H21">
            <v>0.7525028306249999</v>
          </cell>
          <cell r="I21">
            <v>106.24139735159999</v>
          </cell>
          <cell r="J21">
            <v>106.99390018222499</v>
          </cell>
        </row>
        <row r="22">
          <cell r="B22" t="str">
            <v>H75/10</v>
          </cell>
          <cell r="C22">
            <v>57.1</v>
          </cell>
          <cell r="D22">
            <v>1.782</v>
          </cell>
          <cell r="E22">
            <v>1.406448362720403</v>
          </cell>
          <cell r="F22">
            <v>0.2</v>
          </cell>
          <cell r="G22">
            <v>0.20226749999999982</v>
          </cell>
          <cell r="H22">
            <v>1.1259110362499998</v>
          </cell>
          <cell r="I22">
            <v>158.96068016838888</v>
          </cell>
          <cell r="J22">
            <v>160.08659120463886</v>
          </cell>
        </row>
        <row r="23">
          <cell r="B23" t="str">
            <v>H90/4</v>
          </cell>
          <cell r="C23">
            <v>80.5</v>
          </cell>
          <cell r="D23">
            <v>1.22</v>
          </cell>
          <cell r="E23">
            <v>0.96</v>
          </cell>
          <cell r="F23">
            <v>0.2</v>
          </cell>
          <cell r="G23">
            <v>0.20226749999999982</v>
          </cell>
          <cell r="H23">
            <v>0.77082573749999983</v>
          </cell>
          <cell r="I23">
            <v>108.50185261439998</v>
          </cell>
          <cell r="J23">
            <v>109.27267835189998</v>
          </cell>
        </row>
        <row r="24">
          <cell r="B24" t="str">
            <v>H90/6</v>
          </cell>
          <cell r="C24">
            <v>76.3</v>
          </cell>
          <cell r="D24">
            <v>1.7150000000000001</v>
          </cell>
          <cell r="E24">
            <v>1.36</v>
          </cell>
          <cell r="F24">
            <v>0.2</v>
          </cell>
          <cell r="G24">
            <v>0.20226749999999982</v>
          </cell>
          <cell r="H24">
            <v>1.0835788031249998</v>
          </cell>
          <cell r="I24">
            <v>153.71095787039999</v>
          </cell>
          <cell r="J24">
            <v>154.79453667352499</v>
          </cell>
        </row>
        <row r="25">
          <cell r="B25" t="str">
            <v>H90/10</v>
          </cell>
          <cell r="C25">
            <v>68.5</v>
          </cell>
          <cell r="D25">
            <v>2.5680000000000001</v>
          </cell>
          <cell r="E25">
            <v>2.02</v>
          </cell>
          <cell r="F25">
            <v>0.2</v>
          </cell>
          <cell r="G25">
            <v>0.20226749999999982</v>
          </cell>
          <cell r="H25">
            <v>1.6225249949999996</v>
          </cell>
          <cell r="I25">
            <v>228.30598154279997</v>
          </cell>
          <cell r="J25">
            <v>229.92850653779996</v>
          </cell>
        </row>
        <row r="26">
          <cell r="B26" t="str">
            <v>H110/4</v>
          </cell>
          <cell r="C26">
            <v>98.7</v>
          </cell>
          <cell r="D26">
            <v>1.7030000000000001</v>
          </cell>
          <cell r="E26">
            <v>1.4</v>
          </cell>
          <cell r="F26">
            <v>0.2</v>
          </cell>
          <cell r="G26">
            <v>0.20226749999999982</v>
          </cell>
          <cell r="H26">
            <v>1.0759969106249998</v>
          </cell>
          <cell r="I26">
            <v>158.23186839599998</v>
          </cell>
          <cell r="J26">
            <v>159.30786530662499</v>
          </cell>
        </row>
        <row r="27">
          <cell r="B27" t="str">
            <v>H110/6</v>
          </cell>
          <cell r="C27">
            <v>93.4</v>
          </cell>
          <cell r="D27">
            <v>2.5449999999999999</v>
          </cell>
          <cell r="E27">
            <v>2</v>
          </cell>
          <cell r="F27">
            <v>0.2</v>
          </cell>
          <cell r="G27">
            <v>0.20226749999999982</v>
          </cell>
          <cell r="H27">
            <v>1.6079930343749995</v>
          </cell>
          <cell r="I27">
            <v>226.04552627999996</v>
          </cell>
          <cell r="J27">
            <v>227.65351931437496</v>
          </cell>
        </row>
        <row r="28">
          <cell r="B28" t="str">
            <v>H110/10</v>
          </cell>
          <cell r="C28">
            <v>83.7</v>
          </cell>
          <cell r="D28">
            <v>3.8010000000000002</v>
          </cell>
          <cell r="E28">
            <v>3.02</v>
          </cell>
          <cell r="F28">
            <v>0.2</v>
          </cell>
          <cell r="G28">
            <v>0.20226749999999982</v>
          </cell>
          <cell r="H28">
            <v>2.4015644493749995</v>
          </cell>
          <cell r="I28">
            <v>341.32874468279994</v>
          </cell>
          <cell r="J28">
            <v>343.73030913217491</v>
          </cell>
        </row>
        <row r="29">
          <cell r="B29" t="str">
            <v>H125/4</v>
          </cell>
          <cell r="C29">
            <v>112.2</v>
          </cell>
          <cell r="D29">
            <v>2.2890000000000001</v>
          </cell>
          <cell r="E29">
            <v>1.8</v>
          </cell>
          <cell r="F29">
            <v>0.2</v>
          </cell>
          <cell r="G29">
            <v>0.20226749999999982</v>
          </cell>
          <cell r="H29">
            <v>1.4462459943749999</v>
          </cell>
          <cell r="I29">
            <v>203.440973652</v>
          </cell>
          <cell r="J29">
            <v>204.887219646375</v>
          </cell>
        </row>
        <row r="30">
          <cell r="B30" t="str">
            <v>H125/6</v>
          </cell>
          <cell r="C30">
            <v>106.1</v>
          </cell>
          <cell r="D30">
            <v>3.2930000000000001</v>
          </cell>
          <cell r="E30">
            <v>2.5895150720838793</v>
          </cell>
          <cell r="F30">
            <v>0.2</v>
          </cell>
          <cell r="G30">
            <v>0.20226749999999982</v>
          </cell>
          <cell r="H30">
            <v>2.0805976668749997</v>
          </cell>
          <cell r="I30">
            <v>292.67414863959624</v>
          </cell>
          <cell r="J30">
            <v>294.75474630647125</v>
          </cell>
        </row>
        <row r="31">
          <cell r="B31" t="str">
            <v>H125/10</v>
          </cell>
          <cell r="C31">
            <v>95.1</v>
          </cell>
          <cell r="D31">
            <v>4.9619999999999997</v>
          </cell>
          <cell r="E31">
            <v>3.9019659239842723</v>
          </cell>
          <cell r="F31">
            <v>0.2</v>
          </cell>
          <cell r="G31">
            <v>0.20226749999999982</v>
          </cell>
          <cell r="H31">
            <v>3.1351125487499991</v>
          </cell>
          <cell r="I31">
            <v>441.01097040682555</v>
          </cell>
          <cell r="J31">
            <v>444.14608295557554</v>
          </cell>
        </row>
        <row r="32">
          <cell r="B32" t="str">
            <v>H140/4</v>
          </cell>
          <cell r="C32">
            <v>125.5</v>
          </cell>
          <cell r="D32">
            <v>2.9009999999999998</v>
          </cell>
          <cell r="E32">
            <v>2.2799999999999998</v>
          </cell>
          <cell r="F32">
            <v>0.2</v>
          </cell>
          <cell r="G32">
            <v>0.20226749999999982</v>
          </cell>
          <cell r="H32">
            <v>1.8329225118749994</v>
          </cell>
          <cell r="I32">
            <v>257.69189995919993</v>
          </cell>
          <cell r="J32">
            <v>259.52482247107491</v>
          </cell>
        </row>
        <row r="33">
          <cell r="B33" t="str">
            <v>H140/6</v>
          </cell>
          <cell r="C33">
            <v>119</v>
          </cell>
          <cell r="D33">
            <v>4.1500000000000004</v>
          </cell>
          <cell r="E33">
            <v>3.23</v>
          </cell>
          <cell r="F33">
            <v>0.2</v>
          </cell>
          <cell r="G33">
            <v>0.20226749999999982</v>
          </cell>
          <cell r="H33">
            <v>2.6220711562499996</v>
          </cell>
          <cell r="I33">
            <v>365.06352494219993</v>
          </cell>
          <cell r="J33">
            <v>367.68559609844993</v>
          </cell>
        </row>
        <row r="34">
          <cell r="B34" t="str">
            <v>H140/10</v>
          </cell>
          <cell r="C34">
            <v>106.6</v>
          </cell>
          <cell r="D34">
            <v>6.2089999999999996</v>
          </cell>
          <cell r="E34">
            <v>4.8325469879518064</v>
          </cell>
          <cell r="F34">
            <v>0.2</v>
          </cell>
          <cell r="G34">
            <v>0.20226749999999982</v>
          </cell>
          <cell r="H34">
            <v>3.9229975443749989</v>
          </cell>
          <cell r="I34">
            <v>546.18781358219735</v>
          </cell>
          <cell r="J34">
            <v>550.11081112657234</v>
          </cell>
        </row>
        <row r="35">
          <cell r="B35" t="str">
            <v>H160/4</v>
          </cell>
          <cell r="C35">
            <v>143.4</v>
          </cell>
          <cell r="D35">
            <v>3.7730000000000001</v>
          </cell>
          <cell r="E35">
            <v>2.99</v>
          </cell>
          <cell r="F35">
            <v>0.2</v>
          </cell>
          <cell r="G35">
            <v>0.20226749999999982</v>
          </cell>
          <cell r="H35">
            <v>2.3838733668749996</v>
          </cell>
          <cell r="I35">
            <v>337.93806178859995</v>
          </cell>
          <cell r="J35">
            <v>340.32193515547493</v>
          </cell>
        </row>
        <row r="36">
          <cell r="B36" t="str">
            <v>H160/6</v>
          </cell>
          <cell r="C36">
            <v>136</v>
          </cell>
          <cell r="D36">
            <v>5.3550000000000004</v>
          </cell>
          <cell r="E36">
            <v>4.2436920222634518</v>
          </cell>
          <cell r="F36">
            <v>0.2</v>
          </cell>
          <cell r="G36">
            <v>0.20226749999999982</v>
          </cell>
          <cell r="H36">
            <v>3.3834195281249992</v>
          </cell>
          <cell r="I36">
            <v>479.63379827138965</v>
          </cell>
          <cell r="J36">
            <v>483.01721779951464</v>
          </cell>
        </row>
        <row r="37">
          <cell r="B37" t="str">
            <v>H160/10</v>
          </cell>
          <cell r="C37">
            <v>122</v>
          </cell>
          <cell r="D37">
            <v>8.0790000000000006</v>
          </cell>
          <cell r="E37">
            <v>6.4023880201431229</v>
          </cell>
          <cell r="F37">
            <v>0.2</v>
          </cell>
          <cell r="G37">
            <v>0.20226749999999982</v>
          </cell>
          <cell r="H37">
            <v>5.1045091256249995</v>
          </cell>
          <cell r="I37">
            <v>723.61558473100956</v>
          </cell>
          <cell r="J37">
            <v>728.72009385663455</v>
          </cell>
        </row>
        <row r="38">
          <cell r="B38" t="str">
            <v>H180/4</v>
          </cell>
          <cell r="C38">
            <v>161.5</v>
          </cell>
          <cell r="D38">
            <v>4.7619999999999996</v>
          </cell>
          <cell r="E38">
            <v>3.75</v>
          </cell>
          <cell r="F38">
            <v>0.2</v>
          </cell>
          <cell r="G38">
            <v>0.20226749999999982</v>
          </cell>
          <cell r="H38">
            <v>3.008747673749999</v>
          </cell>
          <cell r="I38">
            <v>423.83536177499997</v>
          </cell>
          <cell r="J38">
            <v>426.84410944874998</v>
          </cell>
        </row>
        <row r="39">
          <cell r="B39" t="str">
            <v>H180/6</v>
          </cell>
          <cell r="C39">
            <v>153.19999999999999</v>
          </cell>
          <cell r="D39">
            <v>6.8</v>
          </cell>
          <cell r="E39">
            <v>5.354892902141958</v>
          </cell>
          <cell r="F39">
            <v>0.2</v>
          </cell>
          <cell r="G39">
            <v>0.20226749999999982</v>
          </cell>
          <cell r="H39">
            <v>4.296405749999999</v>
          </cell>
          <cell r="I39">
            <v>605.22479211885764</v>
          </cell>
          <cell r="J39">
            <v>609.5211978688576</v>
          </cell>
        </row>
        <row r="40">
          <cell r="B40" t="str">
            <v>H180/10</v>
          </cell>
          <cell r="C40">
            <v>137.1</v>
          </cell>
          <cell r="D40">
            <v>10.256</v>
          </cell>
          <cell r="E40">
            <v>8.0764384712305759</v>
          </cell>
          <cell r="F40">
            <v>0.2</v>
          </cell>
          <cell r="G40">
            <v>0.20226749999999982</v>
          </cell>
          <cell r="H40">
            <v>6.4799907899999987</v>
          </cell>
          <cell r="I40">
            <v>912.82139234867702</v>
          </cell>
          <cell r="J40">
            <v>919.30138313867701</v>
          </cell>
        </row>
        <row r="41">
          <cell r="B41" t="str">
            <v>H200/4</v>
          </cell>
          <cell r="C41">
            <v>179.4</v>
          </cell>
          <cell r="D41">
            <v>5.89</v>
          </cell>
          <cell r="E41">
            <v>4.6399999999999997</v>
          </cell>
          <cell r="F41">
            <v>0.2</v>
          </cell>
          <cell r="G41">
            <v>0.20226749999999982</v>
          </cell>
          <cell r="H41">
            <v>3.7214455687499988</v>
          </cell>
          <cell r="I41">
            <v>524.42562096959989</v>
          </cell>
          <cell r="J41">
            <v>528.14706653834992</v>
          </cell>
        </row>
        <row r="42">
          <cell r="B42" t="str">
            <v>H200/6</v>
          </cell>
          <cell r="C42">
            <v>169.9</v>
          </cell>
          <cell r="D42">
            <v>8.391</v>
          </cell>
          <cell r="E42">
            <v>6.61</v>
          </cell>
          <cell r="F42">
            <v>0.2</v>
          </cell>
          <cell r="G42">
            <v>0.20226749999999982</v>
          </cell>
          <cell r="H42">
            <v>5.301638330624999</v>
          </cell>
          <cell r="I42">
            <v>747.08046435539995</v>
          </cell>
          <cell r="J42">
            <v>752.38210268602495</v>
          </cell>
        </row>
        <row r="43">
          <cell r="B43" t="str">
            <v>H200/10</v>
          </cell>
          <cell r="C43">
            <v>152.5</v>
          </cell>
          <cell r="D43">
            <v>12.62</v>
          </cell>
          <cell r="E43">
            <v>9.9413895840781787</v>
          </cell>
          <cell r="F43">
            <v>0.2</v>
          </cell>
          <cell r="G43">
            <v>0.20226749999999982</v>
          </cell>
          <cell r="H43">
            <v>7.9736236124999973</v>
          </cell>
          <cell r="I43">
            <v>1123.6033202437309</v>
          </cell>
          <cell r="J43">
            <v>1131.5769438562309</v>
          </cell>
        </row>
        <row r="44">
          <cell r="B44" t="str">
            <v>H225/4</v>
          </cell>
          <cell r="C44">
            <v>201.9</v>
          </cell>
          <cell r="D44">
            <v>7.4450000000000003</v>
          </cell>
          <cell r="E44">
            <v>5.85</v>
          </cell>
          <cell r="F44">
            <v>0.2</v>
          </cell>
          <cell r="G44">
            <v>0.20226749999999982</v>
          </cell>
          <cell r="H44">
            <v>4.7039324718749986</v>
          </cell>
          <cell r="I44">
            <v>661.18316436899988</v>
          </cell>
          <cell r="J44">
            <v>665.88709684087485</v>
          </cell>
        </row>
        <row r="45">
          <cell r="B45" t="str">
            <v>H225/6</v>
          </cell>
          <cell r="C45">
            <v>191.4</v>
          </cell>
          <cell r="D45">
            <v>10.544</v>
          </cell>
          <cell r="E45">
            <v>8.2850772330423101</v>
          </cell>
          <cell r="F45">
            <v>0.2</v>
          </cell>
          <cell r="G45">
            <v>0.20226749999999982</v>
          </cell>
          <cell r="H45">
            <v>6.6619562099999996</v>
          </cell>
          <cell r="I45">
            <v>936.40232170674744</v>
          </cell>
          <cell r="J45">
            <v>943.06427791674741</v>
          </cell>
        </row>
        <row r="46">
          <cell r="B46" t="str">
            <v>H225/10</v>
          </cell>
          <cell r="C46">
            <v>171.5</v>
          </cell>
          <cell r="D46">
            <v>16.013999999999999</v>
          </cell>
          <cell r="E46">
            <v>12.583196776359971</v>
          </cell>
          <cell r="F46">
            <v>0.2</v>
          </cell>
          <cell r="G46">
            <v>0.20226749999999982</v>
          </cell>
          <cell r="H46">
            <v>10.118035541249998</v>
          </cell>
          <cell r="I46">
            <v>1422.1876687985443</v>
          </cell>
          <cell r="J46">
            <v>1432.3057043397944</v>
          </cell>
        </row>
        <row r="47">
          <cell r="B47" t="str">
            <v>H250/4</v>
          </cell>
          <cell r="C47">
            <v>224.3</v>
          </cell>
          <cell r="D47">
            <v>9.1869999999999994</v>
          </cell>
          <cell r="E47">
            <v>7.24</v>
          </cell>
          <cell r="F47">
            <v>0.2</v>
          </cell>
          <cell r="G47">
            <v>0.20226749999999982</v>
          </cell>
          <cell r="H47">
            <v>5.8045705331249984</v>
          </cell>
          <cell r="I47">
            <v>818.2848051336</v>
          </cell>
          <cell r="J47">
            <v>824.089375666725</v>
          </cell>
        </row>
        <row r="48">
          <cell r="B48" t="str">
            <v>H250/6</v>
          </cell>
          <cell r="C48">
            <v>212.6</v>
          </cell>
          <cell r="D48">
            <v>13.041</v>
          </cell>
          <cell r="E48">
            <v>10.2772221617503</v>
          </cell>
          <cell r="F48">
            <v>0.2</v>
          </cell>
          <cell r="G48">
            <v>0.20226749999999982</v>
          </cell>
          <cell r="H48">
            <v>8.2396216743749982</v>
          </cell>
          <cell r="I48">
            <v>1161.5600461246629</v>
          </cell>
          <cell r="J48">
            <v>1169.7996677990379</v>
          </cell>
        </row>
        <row r="49">
          <cell r="B49" t="str">
            <v>H250/10</v>
          </cell>
          <cell r="C49">
            <v>190.6</v>
          </cell>
          <cell r="D49">
            <v>19.757000000000001</v>
          </cell>
          <cell r="E49">
            <v>15.569900946990314</v>
          </cell>
          <cell r="F49">
            <v>0.2</v>
          </cell>
          <cell r="G49">
            <v>0.20226749999999982</v>
          </cell>
          <cell r="H49">
            <v>12.482954176874998</v>
          </cell>
          <cell r="I49">
            <v>1759.7532268449474</v>
          </cell>
          <cell r="J49">
            <v>1772.2361810218224</v>
          </cell>
        </row>
        <row r="50">
          <cell r="B50" t="str">
            <v>H280/4</v>
          </cell>
          <cell r="C50">
            <v>251.4</v>
          </cell>
          <cell r="D50">
            <v>11.455</v>
          </cell>
          <cell r="E50">
            <v>9.02</v>
          </cell>
          <cell r="F50">
            <v>0.2</v>
          </cell>
          <cell r="G50">
            <v>0.20226749999999982</v>
          </cell>
          <cell r="H50">
            <v>7.2375482156249982</v>
          </cell>
          <cell r="I50">
            <v>1019.4653235227998</v>
          </cell>
          <cell r="J50">
            <v>1026.7028717384248</v>
          </cell>
        </row>
        <row r="51">
          <cell r="B51" t="str">
            <v>H280/6</v>
          </cell>
          <cell r="C51">
            <v>238.2</v>
          </cell>
          <cell r="D51">
            <v>16.327000000000002</v>
          </cell>
          <cell r="E51">
            <v>12.856354430379747</v>
          </cell>
          <cell r="F51">
            <v>0.2</v>
          </cell>
          <cell r="G51">
            <v>0.20226749999999982</v>
          </cell>
          <cell r="H51">
            <v>10.315796570624999</v>
          </cell>
          <cell r="I51">
            <v>1453.0607016286995</v>
          </cell>
          <cell r="J51">
            <v>1463.3764981993245</v>
          </cell>
        </row>
        <row r="52">
          <cell r="B52" t="str">
            <v>H280/10</v>
          </cell>
          <cell r="C52">
            <v>213.6</v>
          </cell>
          <cell r="D52">
            <v>24.707999999999998</v>
          </cell>
          <cell r="E52">
            <v>19.455797468354429</v>
          </cell>
          <cell r="F52">
            <v>0.2</v>
          </cell>
          <cell r="G52">
            <v>0.20226749999999982</v>
          </cell>
          <cell r="H52">
            <v>15.611116657499995</v>
          </cell>
          <cell r="I52">
            <v>2198.9479889656341</v>
          </cell>
          <cell r="J52">
            <v>2214.5591056231342</v>
          </cell>
        </row>
        <row r="53">
          <cell r="B53" t="str">
            <v>H315/4</v>
          </cell>
          <cell r="C53">
            <v>282.8</v>
          </cell>
          <cell r="D53">
            <v>14.507999999999999</v>
          </cell>
          <cell r="E53">
            <v>11.424020951549542</v>
          </cell>
          <cell r="F53">
            <v>0.2</v>
          </cell>
          <cell r="G53">
            <v>0.20226749999999982</v>
          </cell>
          <cell r="H53">
            <v>9.1665080324999977</v>
          </cell>
          <cell r="I53">
            <v>1291.1744141133813</v>
          </cell>
          <cell r="J53">
            <v>1300.3409221458812</v>
          </cell>
        </row>
        <row r="54">
          <cell r="B54" t="str">
            <v>H315/6</v>
          </cell>
          <cell r="C54">
            <v>267.89999999999998</v>
          </cell>
          <cell r="D54">
            <v>20.690999999999999</v>
          </cell>
          <cell r="E54">
            <v>16.292694893059799</v>
          </cell>
          <cell r="F54">
            <v>0.2</v>
          </cell>
          <cell r="G54">
            <v>0.20226749999999982</v>
          </cell>
          <cell r="H54">
            <v>13.073078143124995</v>
          </cell>
          <cell r="I54">
            <v>1841.4453958105851</v>
          </cell>
          <cell r="J54">
            <v>1854.5184739537101</v>
          </cell>
        </row>
        <row r="55">
          <cell r="B55" t="str">
            <v>H315/10</v>
          </cell>
          <cell r="C55">
            <v>240.4</v>
          </cell>
          <cell r="D55">
            <v>31.16</v>
          </cell>
          <cell r="E55">
            <v>24.536289829768663</v>
          </cell>
          <cell r="F55">
            <v>0.2</v>
          </cell>
          <cell r="G55">
            <v>0.20226749999999982</v>
          </cell>
          <cell r="H55">
            <v>19.687647524999996</v>
          </cell>
          <cell r="I55">
            <v>2773.1592737643341</v>
          </cell>
          <cell r="J55">
            <v>2792.8469212893342</v>
          </cell>
        </row>
        <row r="56">
          <cell r="B56" t="str">
            <v>H350/4</v>
          </cell>
          <cell r="C56">
            <v>318.8</v>
          </cell>
          <cell r="D56">
            <v>18.382000000000001</v>
          </cell>
          <cell r="E56">
            <v>14.474521169794851</v>
          </cell>
          <cell r="F56">
            <v>0.2</v>
          </cell>
          <cell r="G56">
            <v>0.20226749999999982</v>
          </cell>
          <cell r="H56">
            <v>11.614195661249997</v>
          </cell>
          <cell r="I56">
            <v>1635.9503777386387</v>
          </cell>
          <cell r="J56">
            <v>1647.5645733998888</v>
          </cell>
        </row>
        <row r="57">
          <cell r="B57" t="str">
            <v>H350/6</v>
          </cell>
          <cell r="C57">
            <v>302</v>
          </cell>
          <cell r="D57">
            <v>26.242999999999999</v>
          </cell>
          <cell r="E57">
            <v>20.664501091226537</v>
          </cell>
          <cell r="F57">
            <v>0.2</v>
          </cell>
          <cell r="G57">
            <v>0.20226749999999982</v>
          </cell>
          <cell r="H57">
            <v>16.580967073124995</v>
          </cell>
          <cell r="I57">
            <v>2335.5590122399681</v>
          </cell>
          <cell r="J57">
            <v>2352.1399793130931</v>
          </cell>
        </row>
        <row r="58">
          <cell r="B58" t="str">
            <v>H350/10</v>
          </cell>
          <cell r="C58">
            <v>271</v>
          </cell>
          <cell r="D58">
            <v>39.634999999999998</v>
          </cell>
          <cell r="E58">
            <v>31.209751200349192</v>
          </cell>
          <cell r="F58">
            <v>0.2</v>
          </cell>
          <cell r="G58">
            <v>0.20226749999999982</v>
          </cell>
          <cell r="H58">
            <v>25.042359103124994</v>
          </cell>
          <cell r="I58">
            <v>3527.4123175753971</v>
          </cell>
          <cell r="J58">
            <v>3552.454676678522</v>
          </cell>
        </row>
        <row r="59">
          <cell r="B59" t="str">
            <v>H400/4</v>
          </cell>
          <cell r="C59">
            <v>359.2</v>
          </cell>
          <cell r="D59">
            <v>23.341999999999999</v>
          </cell>
          <cell r="E59">
            <v>18.380169358358796</v>
          </cell>
          <cell r="F59">
            <v>0.2</v>
          </cell>
          <cell r="G59">
            <v>0.20226749999999982</v>
          </cell>
          <cell r="H59">
            <v>14.748044561249996</v>
          </cell>
          <cell r="I59">
            <v>2077.3775278628718</v>
          </cell>
          <cell r="J59">
            <v>2092.1255724241219</v>
          </cell>
        </row>
        <row r="60">
          <cell r="B60" t="str">
            <v>H400/6</v>
          </cell>
          <cell r="C60">
            <v>340.3</v>
          </cell>
          <cell r="D60">
            <v>33.308999999999997</v>
          </cell>
          <cell r="E60">
            <v>26.22847490178961</v>
          </cell>
          <cell r="F60">
            <v>0.2</v>
          </cell>
          <cell r="G60">
            <v>0.20226749999999982</v>
          </cell>
          <cell r="H60">
            <v>21.045438106874993</v>
          </cell>
          <cell r="I60">
            <v>2964.4147063484015</v>
          </cell>
          <cell r="J60">
            <v>2985.4601444552763</v>
          </cell>
        </row>
        <row r="61">
          <cell r="B61" t="str">
            <v>H400/10</v>
          </cell>
          <cell r="C61">
            <v>305.3</v>
          </cell>
          <cell r="D61">
            <v>50.344000000000001</v>
          </cell>
          <cell r="E61">
            <v>39.642329113924049</v>
          </cell>
          <cell r="F61">
            <v>0.2</v>
          </cell>
          <cell r="G61">
            <v>0.20226749999999982</v>
          </cell>
          <cell r="H61">
            <v>31.808566334999991</v>
          </cell>
          <cell r="I61">
            <v>4480.4855737609632</v>
          </cell>
          <cell r="J61">
            <v>4512.2941400959635</v>
          </cell>
        </row>
        <row r="62">
          <cell r="B62" t="str">
            <v>H440/4</v>
          </cell>
          <cell r="C62">
            <v>404.2</v>
          </cell>
          <cell r="D62">
            <v>29.251000000000001</v>
          </cell>
          <cell r="E62">
            <v>23.033087734613709</v>
          </cell>
          <cell r="F62">
            <v>0.2</v>
          </cell>
          <cell r="G62">
            <v>0.20226749999999982</v>
          </cell>
          <cell r="H62">
            <v>18.481494793124998</v>
          </cell>
          <cell r="I62">
            <v>2603.2632194120843</v>
          </cell>
          <cell r="J62">
            <v>2621.7447142052092</v>
          </cell>
        </row>
        <row r="63">
          <cell r="B63" t="str">
            <v>H440/6</v>
          </cell>
          <cell r="C63">
            <v>383</v>
          </cell>
          <cell r="D63">
            <v>42.064999999999998</v>
          </cell>
          <cell r="E63">
            <v>33.123203841117416</v>
          </cell>
          <cell r="F63">
            <v>0.2</v>
          </cell>
          <cell r="G63">
            <v>0.20226749999999982</v>
          </cell>
          <cell r="H63">
            <v>26.577692334374994</v>
          </cell>
          <cell r="I63">
            <v>3743.6760221725513</v>
          </cell>
          <cell r="J63">
            <v>3770.2537145069264</v>
          </cell>
        </row>
        <row r="64">
          <cell r="B64" t="str">
            <v>H440/10</v>
          </cell>
          <cell r="C64">
            <v>343.7</v>
          </cell>
          <cell r="D64">
            <v>63.597999999999999</v>
          </cell>
          <cell r="E64">
            <v>50.078914011348758</v>
          </cell>
          <cell r="F64">
            <v>0.2</v>
          </cell>
          <cell r="G64">
            <v>0.20226749999999982</v>
          </cell>
          <cell r="H64">
            <v>40.182766601249988</v>
          </cell>
          <cell r="I64">
            <v>5660.0572366130964</v>
          </cell>
          <cell r="J64">
            <v>5700.240003214346</v>
          </cell>
        </row>
        <row r="65">
          <cell r="B65" t="str">
            <v>H500/4</v>
          </cell>
          <cell r="C65">
            <v>449.1</v>
          </cell>
          <cell r="D65">
            <v>36.405999999999999</v>
          </cell>
          <cell r="E65">
            <v>28.667142732431252</v>
          </cell>
          <cell r="F65">
            <v>0.2</v>
          </cell>
          <cell r="G65">
            <v>0.20226749999999982</v>
          </cell>
          <cell r="H65">
            <v>23.002198196249992</v>
          </cell>
          <cell r="I65">
            <v>3240.0396829481492</v>
          </cell>
          <cell r="J65">
            <v>3263.0418811443992</v>
          </cell>
        </row>
        <row r="66">
          <cell r="B66" t="str">
            <v>H500/6</v>
          </cell>
          <cell r="C66">
            <v>425.6</v>
          </cell>
          <cell r="D66">
            <v>51.9</v>
          </cell>
          <cell r="E66">
            <v>40.867568747271932</v>
          </cell>
          <cell r="F66">
            <v>0.2</v>
          </cell>
          <cell r="G66">
            <v>0.20226749999999982</v>
          </cell>
          <cell r="H66">
            <v>32.791685062499994</v>
          </cell>
          <cell r="I66">
            <v>4618.9655426305817</v>
          </cell>
          <cell r="J66">
            <v>4651.7572276930814</v>
          </cell>
        </row>
        <row r="67">
          <cell r="B67" t="str">
            <v>H500/10</v>
          </cell>
          <cell r="C67">
            <v>381.5</v>
          </cell>
          <cell r="D67">
            <v>78.795000000000002</v>
          </cell>
          <cell r="E67">
            <v>62.045473592317769</v>
          </cell>
          <cell r="F67">
            <v>0.2</v>
          </cell>
          <cell r="G67">
            <v>0.20226749999999982</v>
          </cell>
          <cell r="H67">
            <v>49.784601628124996</v>
          </cell>
          <cell r="I67">
            <v>7012.5508657336559</v>
          </cell>
          <cell r="J67">
            <v>7062.3354673617805</v>
          </cell>
        </row>
      </sheetData>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
      <sheetName val="CONTROL PANEL"/>
      <sheetName val="Data"/>
      <sheetName val="Ishane"/>
      <sheetName val="Ap"/>
      <sheetName val="Trial"/>
      <sheetName val="Survey"/>
      <sheetName val="Pratal"/>
      <sheetName val="Karapu"/>
      <sheetName val="OUTPUT"/>
      <sheetName val="Gaikhur-San"/>
      <sheetName val="Spcl Monitored"/>
      <sheetName val="Maintenance"/>
      <sheetName val="NMIP"/>
      <sheetName val="Luitel-San"/>
      <sheetName val="PPR Summary"/>
      <sheetName val="ADP Summary"/>
      <sheetName val="Rev ADP Summary"/>
      <sheetName val="Cover"/>
    </sheetNames>
    <sheetDataSet>
      <sheetData sheetId="0"/>
      <sheetData sheetId="1">
        <row r="20">
          <cell r="C20" t="str">
            <v>Select Budget Head or define new one</v>
          </cell>
        </row>
        <row r="21">
          <cell r="C21" t="str">
            <v>48—3÷4—804</v>
          </cell>
        </row>
        <row r="22">
          <cell r="C22" t="str">
            <v>48—3÷4—802</v>
          </cell>
        </row>
        <row r="23">
          <cell r="C23" t="str">
            <v>48—3÷4—727</v>
          </cell>
        </row>
        <row r="24">
          <cell r="C24" t="str">
            <v>48—3÷4—722</v>
          </cell>
        </row>
        <row r="25">
          <cell r="C25" t="str">
            <v>48—3÷4—720</v>
          </cell>
        </row>
        <row r="26">
          <cell r="C26" t="str">
            <v>48—3÷4—716</v>
          </cell>
        </row>
        <row r="27">
          <cell r="C27" t="str">
            <v>48—3÷4—712</v>
          </cell>
        </row>
        <row r="28">
          <cell r="C28" t="str">
            <v>48—3÷4—711</v>
          </cell>
        </row>
        <row r="29">
          <cell r="C29" t="str">
            <v>48—3÷4—710</v>
          </cell>
        </row>
        <row r="30">
          <cell r="C30" t="str">
            <v>48—3÷4—709</v>
          </cell>
        </row>
        <row r="31">
          <cell r="C31" t="str">
            <v>48—3÷4—708</v>
          </cell>
        </row>
        <row r="32">
          <cell r="C32" t="str">
            <v>48—3÷4—707</v>
          </cell>
        </row>
        <row r="33">
          <cell r="C33" t="str">
            <v>48—3÷4—706</v>
          </cell>
        </row>
        <row r="34">
          <cell r="C34" t="str">
            <v>48—3÷4—705</v>
          </cell>
        </row>
        <row r="35">
          <cell r="C35" t="str">
            <v>48—3÷4—682</v>
          </cell>
        </row>
        <row r="36">
          <cell r="C36" t="str">
            <v>48—3÷4—165</v>
          </cell>
        </row>
        <row r="51">
          <cell r="C51" t="str">
            <v>Design and Estimate Preparation/Updating</v>
          </cell>
        </row>
        <row r="52">
          <cell r="C52" t="str">
            <v>Survey Program</v>
          </cell>
        </row>
        <row r="53">
          <cell r="C53" t="str">
            <v>Land Acquisition</v>
          </cell>
        </row>
        <row r="54">
          <cell r="C54" t="str">
            <v>Project Appraisal</v>
          </cell>
        </row>
        <row r="55">
          <cell r="C55" t="str">
            <v>Pre-construction Trainings</v>
          </cell>
        </row>
        <row r="56">
          <cell r="C56" t="str">
            <v>District Data Verification Workshop</v>
          </cell>
        </row>
        <row r="57">
          <cell r="C57" t="str">
            <v>WatSan Data Updating</v>
          </cell>
        </row>
        <row r="58">
          <cell r="C58" t="str">
            <v>Entry of Updated Data</v>
          </cell>
        </row>
        <row r="59">
          <cell r="C59" t="str">
            <v>Keep this Row BLANK!</v>
          </cell>
        </row>
        <row r="60">
          <cell r="C60" t="str">
            <v>Hide this Row</v>
          </cell>
        </row>
        <row r="61">
          <cell r="C61" t="str">
            <v>Hide Unnecessary Rows</v>
          </cell>
        </row>
        <row r="62">
          <cell r="C62" t="str">
            <v>Unhide all Hidden Rows</v>
          </cell>
        </row>
        <row r="64">
          <cell r="C64" t="str">
            <v>Procurement of Pipes</v>
          </cell>
        </row>
        <row r="65">
          <cell r="C65" t="str">
            <v>Procurement of Fittings &amp; Tools</v>
          </cell>
        </row>
        <row r="66">
          <cell r="C66" t="str">
            <v>Transportation of Pipes &amp; Fittings</v>
          </cell>
        </row>
        <row r="67">
          <cell r="C67" t="str">
            <v>Intake/Collection Chamber</v>
          </cell>
        </row>
        <row r="68">
          <cell r="C68" t="str">
            <v>Deep Tubewell/Sumpwell</v>
          </cell>
        </row>
        <row r="69">
          <cell r="C69" t="str">
            <v>Procure &amp; Instal. of Electromechanical Equipments</v>
          </cell>
        </row>
        <row r="70">
          <cell r="C70" t="str">
            <v>Electrification</v>
          </cell>
        </row>
        <row r="71">
          <cell r="C71" t="str">
            <v>Operator/Pump House</v>
          </cell>
        </row>
        <row r="72">
          <cell r="C72" t="str">
            <v>Transmission Pipeline</v>
          </cell>
        </row>
        <row r="73">
          <cell r="C73" t="str">
            <v>Ground RT</v>
          </cell>
        </row>
        <row r="74">
          <cell r="C74" t="str">
            <v>OH Tank</v>
          </cell>
        </row>
        <row r="75">
          <cell r="C75" t="str">
            <v>Distribution Pipeline</v>
          </cell>
        </row>
        <row r="76">
          <cell r="C76" t="str">
            <v>Public Tapstand</v>
          </cell>
        </row>
        <row r="77">
          <cell r="C77" t="str">
            <v>Private Connection</v>
          </cell>
        </row>
        <row r="78">
          <cell r="C78" t="str">
            <v>Miscellaneous Construction</v>
          </cell>
        </row>
        <row r="79">
          <cell r="C79" t="str">
            <v>Compound wall &amp; Gate</v>
          </cell>
        </row>
        <row r="80">
          <cell r="C80" t="str">
            <v xml:space="preserve">Survey of Maintenance Projects </v>
          </cell>
        </row>
        <row r="81">
          <cell r="C81" t="str">
            <v>?</v>
          </cell>
        </row>
        <row r="82">
          <cell r="C82" t="str">
            <v>??</v>
          </cell>
        </row>
        <row r="83">
          <cell r="C83" t="str">
            <v>Grit Chamber</v>
          </cell>
        </row>
        <row r="84">
          <cell r="C84" t="str">
            <v>Sediment Tank</v>
          </cell>
        </row>
        <row r="85">
          <cell r="C85" t="str">
            <v>Roughing Filter</v>
          </cell>
        </row>
        <row r="86">
          <cell r="C86" t="str">
            <v>Slow Sand Filter</v>
          </cell>
        </row>
        <row r="87">
          <cell r="C87" t="str">
            <v>Pressure Filter Unit</v>
          </cell>
        </row>
        <row r="88">
          <cell r="C88" t="str">
            <v>Aeration Unit</v>
          </cell>
        </row>
        <row r="89">
          <cell r="C89" t="str">
            <v>Post Construction Training</v>
          </cell>
        </row>
        <row r="90">
          <cell r="C90" t="str">
            <v>Tools/Scheme Handover</v>
          </cell>
        </row>
        <row r="91">
          <cell r="C91" t="str">
            <v>Repair of WSP Structures</v>
          </cell>
        </row>
        <row r="92">
          <cell r="C92" t="str">
            <v>General Contingencies</v>
          </cell>
        </row>
        <row r="93">
          <cell r="C93" t="str">
            <v>Price Adjustment Contingencies</v>
          </cell>
        </row>
        <row r="94">
          <cell r="C94" t="str">
            <v>Physical Contingencies</v>
          </cell>
        </row>
        <row r="95">
          <cell r="C95" t="str">
            <v>Sanitation Awareness Program</v>
          </cell>
        </row>
        <row r="96">
          <cell r="C96" t="str">
            <v>Private HH Latrine</v>
          </cell>
        </row>
        <row r="97">
          <cell r="C97" t="str">
            <v>Institutional Latrine</v>
          </cell>
        </row>
        <row r="98">
          <cell r="C98" t="str">
            <v>Sewer Line Construction</v>
          </cell>
        </row>
        <row r="99">
          <cell r="C99" t="str">
            <v>Sewage Treatment Facilities</v>
          </cell>
        </row>
        <row r="100">
          <cell r="C100" t="str">
            <v>Heading-1: School Level Activities(SLTS)</v>
          </cell>
        </row>
        <row r="101">
          <cell r="C101" t="str">
            <v>Heading-2: VDC/Community Level Activities(CLTS/SLTS)</v>
          </cell>
        </row>
        <row r="102">
          <cell r="C102" t="str">
            <v>DWSSCC meeting</v>
          </cell>
        </row>
        <row r="103">
          <cell r="C103" t="str">
            <v>T/SMC Orientation</v>
          </cell>
        </row>
        <row r="104">
          <cell r="C104" t="str">
            <v>Child Club Orientation</v>
          </cell>
        </row>
        <row r="105">
          <cell r="C105" t="str">
            <v>Sani-Facilities Promotion Program</v>
          </cell>
        </row>
        <row r="106">
          <cell r="C106" t="str">
            <v>Different Officials Orientation</v>
          </cell>
        </row>
        <row r="107">
          <cell r="C107" t="str">
            <v>Facilitator/Social Mobilizer Orientation</v>
          </cell>
        </row>
        <row r="108">
          <cell r="C108" t="str">
            <v>Social Mapping/Sani Notice Board</v>
          </cell>
        </row>
        <row r="109">
          <cell r="C109" t="str">
            <v>Latrine Construction led by LNGO/CBO</v>
          </cell>
        </row>
        <row r="110">
          <cell r="C110" t="str">
            <v>Reward/Revolving Fund for Privet Toilet Construction</v>
          </cell>
        </row>
        <row r="111">
          <cell r="C111" t="str">
            <v>Monitoring by WSSDO</v>
          </cell>
        </row>
        <row r="112">
          <cell r="C112" t="str">
            <v>Monitoring by LNGO</v>
          </cell>
        </row>
        <row r="113">
          <cell r="C113" t="str">
            <v>Preparation of Profile and Report</v>
          </cell>
        </row>
        <row r="114">
          <cell r="C114" t="str">
            <v>District Level Program for Sanitation Week Celebration</v>
          </cell>
        </row>
        <row r="115">
          <cell r="C115" t="str">
            <v>ODF Declaration</v>
          </cell>
        </row>
        <row r="116">
          <cell r="C116" t="str">
            <v>?</v>
          </cell>
        </row>
        <row r="117">
          <cell r="C117" t="str">
            <v>??</v>
          </cell>
        </row>
        <row r="118">
          <cell r="C118" t="str">
            <v>???</v>
          </cell>
        </row>
        <row r="357">
          <cell r="C357" t="str">
            <v>Darchula</v>
          </cell>
        </row>
        <row r="358">
          <cell r="C358" t="str">
            <v>Baitadi</v>
          </cell>
        </row>
        <row r="359">
          <cell r="C359" t="str">
            <v>Dadeldhura</v>
          </cell>
        </row>
        <row r="360">
          <cell r="C360" t="str">
            <v>Kanchanpur</v>
          </cell>
        </row>
        <row r="361">
          <cell r="C361" t="str">
            <v>Kailali</v>
          </cell>
        </row>
        <row r="362">
          <cell r="C362" t="str">
            <v>Achham</v>
          </cell>
        </row>
        <row r="363">
          <cell r="C363" t="str">
            <v>Doti</v>
          </cell>
        </row>
        <row r="364">
          <cell r="C364" t="str">
            <v>Bajhang</v>
          </cell>
        </row>
        <row r="365">
          <cell r="C365" t="str">
            <v>Bajura</v>
          </cell>
        </row>
        <row r="366">
          <cell r="C366" t="str">
            <v>Humla</v>
          </cell>
        </row>
        <row r="367">
          <cell r="C367" t="str">
            <v>Mugu</v>
          </cell>
        </row>
        <row r="368">
          <cell r="C368" t="str">
            <v>Jumla</v>
          </cell>
        </row>
        <row r="369">
          <cell r="C369" t="str">
            <v>Kalikot</v>
          </cell>
        </row>
        <row r="370">
          <cell r="C370" t="str">
            <v>Dolpa</v>
          </cell>
        </row>
        <row r="371">
          <cell r="C371" t="str">
            <v>Jajarkot</v>
          </cell>
        </row>
        <row r="372">
          <cell r="C372" t="str">
            <v>Dailekh</v>
          </cell>
        </row>
        <row r="373">
          <cell r="C373" t="str">
            <v>Surkhet</v>
          </cell>
        </row>
        <row r="374">
          <cell r="C374" t="str">
            <v>Bardiya</v>
          </cell>
        </row>
        <row r="375">
          <cell r="C375" t="str">
            <v>Banke</v>
          </cell>
        </row>
        <row r="376">
          <cell r="C376" t="str">
            <v>Dang</v>
          </cell>
        </row>
        <row r="377">
          <cell r="C377" t="str">
            <v>Salyan</v>
          </cell>
        </row>
        <row r="378">
          <cell r="C378" t="str">
            <v>Rukum</v>
          </cell>
        </row>
        <row r="379">
          <cell r="C379" t="str">
            <v>Rolpa</v>
          </cell>
        </row>
        <row r="380">
          <cell r="C380" t="str">
            <v>Pyuthan</v>
          </cell>
        </row>
        <row r="381">
          <cell r="C381" t="str">
            <v>Kapilvastu</v>
          </cell>
        </row>
        <row r="382">
          <cell r="C382" t="str">
            <v>Rupandehi</v>
          </cell>
        </row>
        <row r="383">
          <cell r="C383" t="str">
            <v>Arghakhanchi</v>
          </cell>
        </row>
        <row r="384">
          <cell r="C384" t="str">
            <v>Palpa</v>
          </cell>
        </row>
        <row r="385">
          <cell r="C385" t="str">
            <v>Nawalparasi</v>
          </cell>
        </row>
        <row r="386">
          <cell r="C386" t="str">
            <v>Gulmi</v>
          </cell>
        </row>
        <row r="387">
          <cell r="C387" t="str">
            <v>Baglung</v>
          </cell>
        </row>
        <row r="388">
          <cell r="C388" t="str">
            <v>Myagdi</v>
          </cell>
        </row>
        <row r="389">
          <cell r="C389" t="str">
            <v>Mustang</v>
          </cell>
        </row>
        <row r="390">
          <cell r="C390" t="str">
            <v>Parvat</v>
          </cell>
        </row>
        <row r="391">
          <cell r="C391" t="str">
            <v>Manang</v>
          </cell>
        </row>
        <row r="392">
          <cell r="C392" t="str">
            <v>Kaski</v>
          </cell>
        </row>
        <row r="393">
          <cell r="C393" t="str">
            <v>Syangja</v>
          </cell>
        </row>
        <row r="394">
          <cell r="C394" t="str">
            <v>Tanahu</v>
          </cell>
        </row>
        <row r="395">
          <cell r="C395" t="str">
            <v>Lamjung</v>
          </cell>
        </row>
        <row r="396">
          <cell r="C396" t="str">
            <v>Gorkha</v>
          </cell>
        </row>
        <row r="397">
          <cell r="C397" t="str">
            <v>Chitwan</v>
          </cell>
        </row>
        <row r="398">
          <cell r="C398" t="str">
            <v>Makwanpur</v>
          </cell>
        </row>
        <row r="399">
          <cell r="C399" t="str">
            <v>Bara</v>
          </cell>
        </row>
        <row r="400">
          <cell r="C400" t="str">
            <v>Parsa</v>
          </cell>
        </row>
        <row r="401">
          <cell r="C401" t="str">
            <v>Rautahat</v>
          </cell>
        </row>
        <row r="402">
          <cell r="C402" t="str">
            <v>Dhading</v>
          </cell>
        </row>
        <row r="403">
          <cell r="C403" t="str">
            <v>Rasuwa</v>
          </cell>
        </row>
        <row r="404">
          <cell r="C404" t="str">
            <v>Nuwakot</v>
          </cell>
        </row>
        <row r="405">
          <cell r="C405" t="str">
            <v>Kathmandu</v>
          </cell>
        </row>
        <row r="406">
          <cell r="C406" t="str">
            <v>Lalitpur</v>
          </cell>
        </row>
        <row r="407">
          <cell r="C407" t="str">
            <v>Bhaktapur</v>
          </cell>
        </row>
        <row r="408">
          <cell r="C408" t="str">
            <v>Kavre</v>
          </cell>
        </row>
        <row r="409">
          <cell r="C409" t="str">
            <v>Sindhupalchok</v>
          </cell>
        </row>
        <row r="410">
          <cell r="C410" t="str">
            <v>Dolakha</v>
          </cell>
        </row>
        <row r="411">
          <cell r="C411" t="str">
            <v>Ramechhap</v>
          </cell>
        </row>
        <row r="412">
          <cell r="C412" t="str">
            <v>Sindhuli</v>
          </cell>
        </row>
        <row r="413">
          <cell r="C413" t="str">
            <v>Sarlahi</v>
          </cell>
        </row>
        <row r="414">
          <cell r="C414" t="str">
            <v>Mahottari</v>
          </cell>
        </row>
        <row r="415">
          <cell r="C415" t="str">
            <v>Dhanusha</v>
          </cell>
        </row>
        <row r="416">
          <cell r="C416" t="str">
            <v>Siraha</v>
          </cell>
        </row>
        <row r="417">
          <cell r="C417" t="str">
            <v>Saptari</v>
          </cell>
        </row>
        <row r="418">
          <cell r="C418" t="str">
            <v>Udaypur</v>
          </cell>
        </row>
        <row r="419">
          <cell r="C419" t="str">
            <v>Khotang</v>
          </cell>
        </row>
        <row r="420">
          <cell r="C420" t="str">
            <v>Okhaldhunga</v>
          </cell>
        </row>
        <row r="421">
          <cell r="C421" t="str">
            <v>Solukhumbu</v>
          </cell>
        </row>
        <row r="422">
          <cell r="C422" t="str">
            <v>Sankhuwasabha</v>
          </cell>
        </row>
        <row r="423">
          <cell r="C423" t="str">
            <v>Bhojpur</v>
          </cell>
        </row>
        <row r="424">
          <cell r="C424" t="str">
            <v>Terhathum</v>
          </cell>
        </row>
        <row r="425">
          <cell r="C425" t="str">
            <v>Dhankuta</v>
          </cell>
        </row>
        <row r="426">
          <cell r="C426" t="str">
            <v>Sunsari</v>
          </cell>
        </row>
        <row r="427">
          <cell r="C427" t="str">
            <v>Morang</v>
          </cell>
        </row>
        <row r="428">
          <cell r="C428" t="str">
            <v>Jhapa</v>
          </cell>
        </row>
        <row r="429">
          <cell r="C429" t="str">
            <v>Ilam</v>
          </cell>
        </row>
        <row r="430">
          <cell r="C430" t="str">
            <v>Panchthar</v>
          </cell>
        </row>
        <row r="431">
          <cell r="C431" t="str">
            <v>Taplejung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sheetName val="Dist Rate"/>
      <sheetName val="update Rate"/>
      <sheetName val="Update Descrip"/>
      <sheetName val="Table of Content 1"/>
      <sheetName val="Table of Content 2"/>
      <sheetName val="Sheet1"/>
      <sheetName val="Ta403"/>
      <sheetName val="Ta301"/>
      <sheetName val="Ta304"/>
    </sheetNames>
    <sheetDataSet>
      <sheetData sheetId="0" refreshError="1"/>
      <sheetData sheetId="1" refreshError="1"/>
      <sheetData sheetId="2" refreshError="1"/>
      <sheetData sheetId="3" refreshError="1">
        <row r="7">
          <cell r="F7">
            <v>275</v>
          </cell>
        </row>
        <row r="20">
          <cell r="F20">
            <v>275</v>
          </cell>
        </row>
        <row r="32">
          <cell r="F32">
            <v>275</v>
          </cell>
        </row>
        <row r="43">
          <cell r="F43">
            <v>275</v>
          </cell>
        </row>
        <row r="56">
          <cell r="F56">
            <v>275</v>
          </cell>
        </row>
        <row r="68">
          <cell r="F68">
            <v>275</v>
          </cell>
        </row>
        <row r="79">
          <cell r="F79">
            <v>275</v>
          </cell>
        </row>
        <row r="91">
          <cell r="F91">
            <v>275</v>
          </cell>
        </row>
        <row r="103">
          <cell r="F103">
            <v>275</v>
          </cell>
        </row>
        <row r="114">
          <cell r="F114">
            <v>275</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ubari"/>
      <sheetName val="MC2"/>
      <sheetName val="BPT"/>
      <sheetName val="Bansbari2"/>
      <sheetName val="Balaju"/>
      <sheetName val="Swayambhu"/>
      <sheetName val="Tinthana"/>
      <sheetName val="rates"/>
    </sheetNames>
    <sheetDataSet>
      <sheetData sheetId="0"/>
      <sheetData sheetId="1"/>
      <sheetData sheetId="2"/>
      <sheetData sheetId="3"/>
      <sheetData sheetId="4"/>
      <sheetData sheetId="5"/>
      <sheetData sheetId="6"/>
      <sheetData sheetId="7">
        <row r="83">
          <cell r="E83">
            <v>1300</v>
          </cell>
        </row>
      </sheetData>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of Transportaion"/>
      <sheetName val="T-RATE"/>
      <sheetName val="Manual Haul Rate"/>
      <sheetName val="M-RATE"/>
      <sheetName val="URG CIVIL"/>
      <sheetName val="MAT"/>
      <sheetName val="DI PIPE"/>
      <sheetName val=" DI fittings"/>
      <sheetName val="GI"/>
      <sheetName val="GI fittings"/>
      <sheetName val="HDPE"/>
      <sheetName val="District Rate"/>
      <sheetName val="Update Descrip"/>
    </sheetNames>
    <sheetDataSet>
      <sheetData sheetId="0"/>
      <sheetData sheetId="1" refreshError="1"/>
      <sheetData sheetId="2" refreshError="1"/>
      <sheetData sheetId="3">
        <row r="118">
          <cell r="K118">
            <v>27.946465</v>
          </cell>
        </row>
      </sheetData>
      <sheetData sheetId="4"/>
      <sheetData sheetId="5" refreshError="1"/>
      <sheetData sheetId="6" refreshError="1"/>
      <sheetData sheetId="7" refreshError="1"/>
      <sheetData sheetId="8" refreshError="1"/>
      <sheetData sheetId="9" refreshError="1"/>
      <sheetData sheetId="10" refreshError="1"/>
      <sheetData sheetId="11">
        <row r="17">
          <cell r="C17">
            <v>175</v>
          </cell>
        </row>
      </sheetData>
      <sheetData sheetId="1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uhabhi-1_Pipe -Final"/>
      <sheetName val="Duhabhi_2_Node"/>
      <sheetName val="Sheet1"/>
    </sheetNames>
    <sheetDataSet>
      <sheetData sheetId="0" refreshError="1"/>
      <sheetData sheetId="1" refreshError="1"/>
      <sheetData sheetId="2" refreshError="1">
        <row r="2">
          <cell r="A2">
            <v>26.9</v>
          </cell>
          <cell r="B2" t="str">
            <v>32mm HDPE 6 Kg/cm2</v>
          </cell>
        </row>
        <row r="3">
          <cell r="A3">
            <v>33.700000000000003</v>
          </cell>
          <cell r="B3" t="str">
            <v>40mm HDPE 6 Kg/cm2</v>
          </cell>
        </row>
        <row r="4">
          <cell r="A4">
            <v>42.2</v>
          </cell>
          <cell r="B4" t="str">
            <v>50mm HDPE 6 Kg/cm2</v>
          </cell>
        </row>
        <row r="5">
          <cell r="A5">
            <v>53.3</v>
          </cell>
          <cell r="B5" t="str">
            <v>63mm HDPE 6 Kg/cm2</v>
          </cell>
        </row>
        <row r="6">
          <cell r="A6">
            <v>63.6</v>
          </cell>
          <cell r="B6" t="str">
            <v>75mm HDPE 6 Kg/cm2</v>
          </cell>
        </row>
        <row r="7">
          <cell r="A7">
            <v>76.3</v>
          </cell>
          <cell r="B7" t="str">
            <v>90mm HDPE 6 Kg/cm2</v>
          </cell>
        </row>
        <row r="8">
          <cell r="A8">
            <v>93.4</v>
          </cell>
          <cell r="B8" t="str">
            <v>110mm HDPE 6 Kg/cm2</v>
          </cell>
        </row>
        <row r="9">
          <cell r="A9">
            <v>106.1</v>
          </cell>
          <cell r="B9" t="str">
            <v>125mm HDPE 6 Kg/cm2</v>
          </cell>
        </row>
        <row r="10">
          <cell r="A10">
            <v>119</v>
          </cell>
          <cell r="B10" t="str">
            <v>140mm HDPE 6 Kg/cm2</v>
          </cell>
        </row>
        <row r="11">
          <cell r="A11">
            <v>136</v>
          </cell>
          <cell r="B11" t="str">
            <v>160mm HDPE 6 Kg/cm2</v>
          </cell>
        </row>
        <row r="12">
          <cell r="A12">
            <v>152.9</v>
          </cell>
          <cell r="B12" t="str">
            <v>180mm HDPE 6 Kg/cm2</v>
          </cell>
        </row>
        <row r="13">
          <cell r="A13">
            <v>200</v>
          </cell>
          <cell r="B13" t="str">
            <v>200mm DI</v>
          </cell>
        </row>
        <row r="14">
          <cell r="A14">
            <v>250</v>
          </cell>
          <cell r="B14" t="str">
            <v>250mm DI</v>
          </cell>
        </row>
        <row r="15">
          <cell r="A15">
            <v>300</v>
          </cell>
          <cell r="B15" t="str">
            <v>300mm DI</v>
          </cell>
        </row>
      </sheetData>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RR-BC"/>
      <sheetName val="ERR-CAL"/>
      <sheetName val="SCREEN"/>
      <sheetName val="TOC"/>
      <sheetName val="DATA INPUT"/>
      <sheetName val="General Information"/>
      <sheetName val="Board-Approval"/>
      <sheetName val="TAC-sheet"/>
      <sheetName val="Board sheet"/>
      <sheetName val="Financial Proposal-1"/>
      <sheetName val="Financial Proposal-2"/>
      <sheetName val="SC-Proposal-A"/>
      <sheetName val="SC-Proposal-B"/>
      <sheetName val="Scheme Summary"/>
      <sheetName val="Hardware Cost Proposal-2"/>
      <sheetName val="Hardware Cost Proposal-1"/>
      <sheetName val="WS-Summary"/>
      <sheetName val="Cost-A&amp;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date Rate"/>
      <sheetName val="Update Descrip"/>
      <sheetName val="Table of Content"/>
      <sheetName val="Update Descrip (Final)"/>
    </sheetNames>
    <sheetDataSet>
      <sheetData sheetId="0" refreshError="1">
        <row r="6">
          <cell r="E6">
            <v>245</v>
          </cell>
        </row>
        <row r="93">
          <cell r="E93">
            <v>194.27</v>
          </cell>
        </row>
      </sheetData>
      <sheetData sheetId="1" refreshError="1"/>
      <sheetData sheetId="2" refreshError="1"/>
      <sheetData sheetId="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_ANL"/>
      <sheetName val="PD-CW-Sample"/>
      <sheetName val="update Rate"/>
    </sheetNames>
    <sheetDataSet>
      <sheetData sheetId="0" refreshError="1"/>
      <sheetData sheetId="1" refreshError="1"/>
      <sheetData sheetId="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C"/>
      <sheetName val="Cost Extract"/>
      <sheetName val="Summary of Cost"/>
      <sheetName val="C_Summary"/>
      <sheetName val="C_Summary1"/>
      <sheetName val="C_Summary2"/>
      <sheetName val="C_INT(Kerunga)"/>
      <sheetName val="C_Dist_Irr"/>
      <sheetName val="C_Trans"/>
      <sheetName val="C_Treat_bound"/>
      <sheetName val="C_Sedi36"/>
      <sheetName val="C_HRF36"/>
      <sheetName val="C_SSF36"/>
      <sheetName val="C_HRF5"/>
      <sheetName val="C_SSF5"/>
      <sheetName val="C_Distri"/>
      <sheetName val="C_R_400"/>
      <sheetName val="C_R_150"/>
      <sheetName val="C_VC"/>
      <sheetName val="C_CC"/>
      <sheetName val="C_guard (2)"/>
      <sheetName val="C_guard"/>
      <sheetName val="Sheet1"/>
      <sheetName val="C_SurDrain"/>
      <sheetName val="C_Pub_Toi (2)"/>
      <sheetName val="C_Pub_Toi"/>
      <sheetName val="C_Misc"/>
      <sheetName val="Q_Dist_Irr"/>
      <sheetName val="Q_INT(Kerunga)"/>
      <sheetName val="CQ_EW"/>
      <sheetName val="Q_Trans"/>
      <sheetName val="Q_Treat bound"/>
      <sheetName val="Q_Sedi"/>
      <sheetName val="Q_HRF36"/>
      <sheetName val="Q_SSF36"/>
      <sheetName val="Q_HRF5"/>
      <sheetName val="Q_SSF5"/>
      <sheetName val="Q_PipeDetail"/>
      <sheetName val="Q_Distri"/>
      <sheetName val="Q_R_400"/>
      <sheetName val="Q_R_150"/>
      <sheetName val="Q_VC"/>
      <sheetName val="Q_CC"/>
      <sheetName val="Q_Guard"/>
      <sheetName val="QC_Fittings"/>
      <sheetName val="Q_SurDrain"/>
      <sheetName val="Q_Pub_Toi"/>
      <sheetName val="Q Misc"/>
      <sheetName val="RateAnalysis"/>
      <sheetName val="F_Drain"/>
      <sheetName val="SumRate"/>
      <sheetName val="F_Piperate"/>
      <sheetName val="TruckAna"/>
      <sheetName val="Q_Summary"/>
      <sheetName val="C_SCross"/>
      <sheetName val="Q_SCross"/>
      <sheetName val="LabMatRate"/>
      <sheetName val="LabMatRate Pri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8">
          <cell r="C8" t="str">
            <v>SITE PREPARATION WORK</v>
          </cell>
        </row>
        <row r="9">
          <cell r="A9" t="str">
            <v>1.1.a</v>
          </cell>
          <cell r="B9" t="str">
            <v>1-1(a)</v>
          </cell>
          <cell r="C9" t="str">
            <v>Cutting of Trees including cutting of branches and hauling to 15 m distance (12-30 cm dia.)</v>
          </cell>
          <cell r="D9" t="str">
            <v>Cutting of Trees (12-30 cm dia.)</v>
          </cell>
          <cell r="E9" t="str">
            <v>No</v>
          </cell>
          <cell r="F9">
            <v>14.95</v>
          </cell>
          <cell r="G9">
            <v>0</v>
          </cell>
          <cell r="H9">
            <v>14.95</v>
          </cell>
          <cell r="I9">
            <v>0</v>
          </cell>
          <cell r="J9">
            <v>0</v>
          </cell>
        </row>
        <row r="10">
          <cell r="A10" t="str">
            <v>1.1.b</v>
          </cell>
          <cell r="B10" t="str">
            <v>1-1(b)</v>
          </cell>
          <cell r="C10" t="str">
            <v>Cutting of Trees including cutting of branches and hauling to 15 m distance (21-60 cm dia.)</v>
          </cell>
          <cell r="D10" t="str">
            <v>Cutting of Trees (21-60 cm dia.)</v>
          </cell>
          <cell r="E10" t="str">
            <v>No</v>
          </cell>
          <cell r="F10">
            <v>44.85</v>
          </cell>
          <cell r="G10">
            <v>0</v>
          </cell>
          <cell r="H10">
            <v>44.849999999999994</v>
          </cell>
          <cell r="I10">
            <v>0</v>
          </cell>
          <cell r="J10">
            <v>0</v>
          </cell>
        </row>
        <row r="11">
          <cell r="A11" t="str">
            <v>1.1.c</v>
          </cell>
          <cell r="B11" t="str">
            <v>1-1(c)</v>
          </cell>
          <cell r="C11" t="str">
            <v>Cutting of Trees including cutting of branches and hauling to 15 m distance (61-90 cm dia.)</v>
          </cell>
          <cell r="D11" t="str">
            <v>Cutting of Trees (61-90 cm dia.)</v>
          </cell>
          <cell r="E11" t="str">
            <v>No</v>
          </cell>
          <cell r="F11">
            <v>112.7</v>
          </cell>
          <cell r="G11">
            <v>0</v>
          </cell>
          <cell r="H11">
            <v>112.69999999999999</v>
          </cell>
          <cell r="I11">
            <v>0</v>
          </cell>
          <cell r="J11">
            <v>0</v>
          </cell>
        </row>
        <row r="12">
          <cell r="A12" t="str">
            <v>1.1.d</v>
          </cell>
          <cell r="B12" t="str">
            <v>1-1(d)</v>
          </cell>
          <cell r="C12" t="str">
            <v>Cutting of Trees including cutting of branches and hauling to 15 m distance (91-120 cm dia.)</v>
          </cell>
          <cell r="D12" t="str">
            <v>Cutting of Trees (91-120 cm dia.)</v>
          </cell>
          <cell r="E12" t="str">
            <v>No</v>
          </cell>
          <cell r="F12">
            <v>112.7</v>
          </cell>
          <cell r="G12">
            <v>0</v>
          </cell>
          <cell r="H12">
            <v>112.69999999999999</v>
          </cell>
          <cell r="I12">
            <v>0</v>
          </cell>
          <cell r="J12">
            <v>0</v>
          </cell>
        </row>
        <row r="13">
          <cell r="A13" t="str">
            <v>1.1.e</v>
          </cell>
          <cell r="B13" t="str">
            <v>1-1(e)</v>
          </cell>
          <cell r="C13" t="str">
            <v>Cutting of Trees including cutting of branches and hauling to 15 m distance (121-180 cm dia.)</v>
          </cell>
          <cell r="D13" t="str">
            <v>Cutting of Trees (121-180 cm dia.)</v>
          </cell>
          <cell r="E13" t="str">
            <v>No</v>
          </cell>
          <cell r="F13">
            <v>460</v>
          </cell>
          <cell r="G13">
            <v>0</v>
          </cell>
          <cell r="H13">
            <v>459.99999999999994</v>
          </cell>
          <cell r="I13">
            <v>0</v>
          </cell>
          <cell r="J13">
            <v>0</v>
          </cell>
        </row>
        <row r="14">
          <cell r="A14" t="str">
            <v>1.1.f</v>
          </cell>
          <cell r="B14" t="str">
            <v>1-1(f)</v>
          </cell>
          <cell r="C14" t="str">
            <v>Cutting of Trees including cutting of branches and hauling to 15 m distance (181-240 cm dia.)</v>
          </cell>
          <cell r="D14" t="str">
            <v>Cutting of Trees (181-240 cm dia.)</v>
          </cell>
          <cell r="E14" t="str">
            <v>No</v>
          </cell>
          <cell r="F14">
            <v>460</v>
          </cell>
          <cell r="G14">
            <v>0</v>
          </cell>
          <cell r="H14">
            <v>459.99999999999994</v>
          </cell>
          <cell r="I14">
            <v>0</v>
          </cell>
          <cell r="J14">
            <v>0</v>
          </cell>
        </row>
        <row r="15">
          <cell r="A15" t="str">
            <v>1.1.g</v>
          </cell>
          <cell r="B15" t="str">
            <v>1-1(g)</v>
          </cell>
          <cell r="C15" t="str">
            <v>Cutting of Trees including cutting of branches and hauling to 15 m distance (241-300 cm dia.)</v>
          </cell>
          <cell r="D15" t="str">
            <v>Cutting of Trees (241-300 cm dia.)</v>
          </cell>
          <cell r="E15" t="str">
            <v>No</v>
          </cell>
          <cell r="F15">
            <v>1196</v>
          </cell>
          <cell r="G15">
            <v>0</v>
          </cell>
          <cell r="H15">
            <v>1196</v>
          </cell>
          <cell r="I15">
            <v>0</v>
          </cell>
          <cell r="J15">
            <v>0</v>
          </cell>
        </row>
        <row r="16">
          <cell r="A16" t="str">
            <v>1.1.h</v>
          </cell>
          <cell r="B16" t="str">
            <v>1-1(h)</v>
          </cell>
          <cell r="C16" t="str">
            <v>Cutting of Trees including cutting of branches and hauling to 15 m distance (301- cm dia.)</v>
          </cell>
          <cell r="D16" t="str">
            <v>Cutting of Trees (301- cm dia.)</v>
          </cell>
          <cell r="E16" t="str">
            <v>No</v>
          </cell>
          <cell r="F16">
            <v>4792.05</v>
          </cell>
          <cell r="G16">
            <v>0</v>
          </cell>
          <cell r="H16">
            <v>4792.0499999999993</v>
          </cell>
          <cell r="I16">
            <v>0</v>
          </cell>
          <cell r="J16">
            <v>0</v>
          </cell>
        </row>
        <row r="17">
          <cell r="A17" t="str">
            <v>1.2.a</v>
          </cell>
          <cell r="B17" t="str">
            <v>1-2(a)</v>
          </cell>
          <cell r="C17" t="str">
            <v>Removal of Tree roots and hauling to 15 m distance (12-30 cm dia.)</v>
          </cell>
          <cell r="D17" t="str">
            <v>Removal of Tree roots (12-30 cm dia.)</v>
          </cell>
          <cell r="E17" t="str">
            <v>No</v>
          </cell>
          <cell r="F17">
            <v>46</v>
          </cell>
          <cell r="G17">
            <v>0</v>
          </cell>
          <cell r="H17">
            <v>46</v>
          </cell>
          <cell r="I17">
            <v>0</v>
          </cell>
          <cell r="J17">
            <v>0</v>
          </cell>
        </row>
        <row r="18">
          <cell r="A18" t="str">
            <v>1.2.b</v>
          </cell>
          <cell r="B18" t="str">
            <v>1-2(b)</v>
          </cell>
          <cell r="C18" t="str">
            <v>Removal of Tree roots and hauling to 15 m distance (21-60 cm dia.)</v>
          </cell>
          <cell r="D18" t="str">
            <v>Removal of Tree roots (21-60 cm dia.)</v>
          </cell>
          <cell r="E18" t="str">
            <v>No</v>
          </cell>
          <cell r="F18">
            <v>60.95</v>
          </cell>
          <cell r="G18">
            <v>0</v>
          </cell>
          <cell r="H18">
            <v>60.949999999999996</v>
          </cell>
          <cell r="I18">
            <v>0</v>
          </cell>
          <cell r="J18">
            <v>0</v>
          </cell>
        </row>
        <row r="19">
          <cell r="A19" t="str">
            <v>1.2.c</v>
          </cell>
          <cell r="B19" t="str">
            <v>1-2(c)</v>
          </cell>
          <cell r="C19" t="str">
            <v>Removal of Tree roots and hauling to 15 m distance (61-90 cm dia.)</v>
          </cell>
          <cell r="D19" t="str">
            <v>Removal of Tree roots (61-90 cm dia.)</v>
          </cell>
          <cell r="E19" t="str">
            <v>No</v>
          </cell>
          <cell r="F19">
            <v>289.8</v>
          </cell>
          <cell r="G19">
            <v>0</v>
          </cell>
          <cell r="H19">
            <v>289.79999999999995</v>
          </cell>
          <cell r="I19">
            <v>0</v>
          </cell>
          <cell r="J19">
            <v>0</v>
          </cell>
        </row>
        <row r="20">
          <cell r="A20" t="str">
            <v>1.2.d</v>
          </cell>
          <cell r="B20" t="str">
            <v>1-2(d)</v>
          </cell>
          <cell r="C20" t="str">
            <v>Removal of Tree roots and hauling to 15 m distance (91-120 cm dia.)</v>
          </cell>
          <cell r="D20" t="str">
            <v>Removal of Tree roots (91-120 cm dia.)</v>
          </cell>
          <cell r="E20" t="str">
            <v>No</v>
          </cell>
          <cell r="F20">
            <v>289.8</v>
          </cell>
          <cell r="G20">
            <v>0</v>
          </cell>
          <cell r="H20">
            <v>289.79999999999995</v>
          </cell>
          <cell r="I20">
            <v>0</v>
          </cell>
          <cell r="J20">
            <v>0</v>
          </cell>
        </row>
        <row r="21">
          <cell r="A21" t="str">
            <v>1.2.e</v>
          </cell>
          <cell r="B21" t="str">
            <v>1-2(e)</v>
          </cell>
          <cell r="C21" t="str">
            <v>Removal of Tree roots and hauling to 15 m distance (121-180 cm dia.)</v>
          </cell>
          <cell r="D21" t="str">
            <v>Removal of Tree roots (121-180 cm dia.)</v>
          </cell>
          <cell r="E21" t="str">
            <v>No</v>
          </cell>
          <cell r="F21">
            <v>1380</v>
          </cell>
          <cell r="G21">
            <v>0</v>
          </cell>
          <cell r="H21">
            <v>1380</v>
          </cell>
          <cell r="I21">
            <v>0</v>
          </cell>
          <cell r="J21">
            <v>0</v>
          </cell>
        </row>
        <row r="22">
          <cell r="A22" t="str">
            <v>1.2.f</v>
          </cell>
          <cell r="B22" t="str">
            <v>1-2(f)</v>
          </cell>
          <cell r="C22" t="str">
            <v>Removal of Tree roots and hauling to 15 m distance (181-240 cm dia.)</v>
          </cell>
          <cell r="D22" t="str">
            <v>Removal of Tree roots (181-240 cm dia.)</v>
          </cell>
          <cell r="E22" t="str">
            <v>No</v>
          </cell>
          <cell r="F22">
            <v>1380</v>
          </cell>
          <cell r="G22">
            <v>0</v>
          </cell>
          <cell r="H22">
            <v>1380</v>
          </cell>
          <cell r="I22">
            <v>0</v>
          </cell>
          <cell r="J22">
            <v>0</v>
          </cell>
        </row>
        <row r="23">
          <cell r="A23" t="str">
            <v>1.2.g</v>
          </cell>
          <cell r="B23" t="str">
            <v>1-2(g)</v>
          </cell>
          <cell r="C23" t="str">
            <v>Removal of Tree roots and hauling to 15 m distance (241-300 cm dia.)</v>
          </cell>
          <cell r="D23" t="str">
            <v>Removal of Tree roots (241-300 cm dia.)</v>
          </cell>
          <cell r="E23" t="str">
            <v>No</v>
          </cell>
          <cell r="F23">
            <v>3404</v>
          </cell>
          <cell r="G23">
            <v>0</v>
          </cell>
          <cell r="H23">
            <v>3403.9999999999995</v>
          </cell>
          <cell r="I23">
            <v>0</v>
          </cell>
          <cell r="J23">
            <v>0</v>
          </cell>
        </row>
        <row r="24">
          <cell r="A24" t="str">
            <v>1.3</v>
          </cell>
          <cell r="B24" t="str">
            <v>1-3</v>
          </cell>
          <cell r="C24" t="str">
            <v>Cutting thick vegetation, grubbing their roots and disposal 25m far from the construction site [Vegetation circumference &lt;=30 cm and density &gt;15Nos/100 sqm)]</v>
          </cell>
          <cell r="D24" t="str">
            <v>Site Clearance in thick vegetation area</v>
          </cell>
          <cell r="E24" t="str">
            <v>sqm</v>
          </cell>
          <cell r="F24">
            <v>4.5999999999999996</v>
          </cell>
          <cell r="G24">
            <v>0</v>
          </cell>
          <cell r="H24">
            <v>4.5999999999999996</v>
          </cell>
          <cell r="I24">
            <v>0</v>
          </cell>
          <cell r="J24">
            <v>0</v>
          </cell>
        </row>
        <row r="25">
          <cell r="A25" t="str">
            <v>1.4</v>
          </cell>
          <cell r="B25" t="str">
            <v>1-4</v>
          </cell>
          <cell r="C25" t="str">
            <v>Cutting thin vegetation, grubbing their roots and disposal 25m far from the construction site [Vegetation dia &lt;=30 cm and density &gt;15Nos/100 sqm)]</v>
          </cell>
          <cell r="D25" t="str">
            <v>Site Clearance in thin vegetation area</v>
          </cell>
          <cell r="E25" t="str">
            <v>sqm</v>
          </cell>
          <cell r="F25">
            <v>3.45</v>
          </cell>
          <cell r="G25">
            <v>0</v>
          </cell>
          <cell r="H25">
            <v>3.4499999999999997</v>
          </cell>
          <cell r="I25">
            <v>0</v>
          </cell>
          <cell r="J25">
            <v>0</v>
          </cell>
        </row>
        <row r="26">
          <cell r="A26" t="str">
            <v>1.8</v>
          </cell>
          <cell r="B26" t="str">
            <v>1-8</v>
          </cell>
          <cell r="C26" t="str">
            <v>Excavation and removal of top soil and hualing outside the construction area</v>
          </cell>
          <cell r="D26" t="str">
            <v xml:space="preserve">Top soil removal </v>
          </cell>
          <cell r="E26" t="str">
            <v>sqm</v>
          </cell>
          <cell r="F26">
            <v>18.399999999999999</v>
          </cell>
          <cell r="G26">
            <v>0</v>
          </cell>
          <cell r="H26">
            <v>18.399999999999999</v>
          </cell>
          <cell r="I26">
            <v>0</v>
          </cell>
          <cell r="J26">
            <v>0</v>
          </cell>
        </row>
        <row r="27">
          <cell r="A27" t="str">
            <v>1.9</v>
          </cell>
          <cell r="B27" t="str">
            <v>1-9+1-10</v>
          </cell>
          <cell r="C27" t="str">
            <v>Spreading dressing and  light compaction of top soil, including hauling from outside the construction area</v>
          </cell>
          <cell r="D27" t="str">
            <v xml:space="preserve">Top soil spreading </v>
          </cell>
          <cell r="E27" t="str">
            <v>sqm</v>
          </cell>
          <cell r="F27">
            <v>4.5999999999999996</v>
          </cell>
          <cell r="G27">
            <v>0</v>
          </cell>
          <cell r="H27">
            <v>4.5999999999999996</v>
          </cell>
          <cell r="I27">
            <v>0</v>
          </cell>
          <cell r="J27">
            <v>0</v>
          </cell>
        </row>
        <row r="29">
          <cell r="C29" t="str">
            <v>EARTH WORK IN EXCAVATION AND FILLING</v>
          </cell>
        </row>
        <row r="30">
          <cell r="A30">
            <v>2.1</v>
          </cell>
          <cell r="B30" t="str">
            <v>2-1</v>
          </cell>
          <cell r="C30" t="str">
            <v xml:space="preserve">Earthwork in excavation [Soft clay &amp; silty soils] including disposal up to 10 m lead and 1.5 m lift </v>
          </cell>
          <cell r="D30" t="str">
            <v>E/W excavation in soft clay and silty soil</v>
          </cell>
          <cell r="E30" t="str">
            <v>cum</v>
          </cell>
          <cell r="F30">
            <v>82.914999999999992</v>
          </cell>
          <cell r="G30">
            <v>0</v>
          </cell>
          <cell r="H30">
            <v>80.5</v>
          </cell>
          <cell r="I30">
            <v>0</v>
          </cell>
          <cell r="J30">
            <v>2.415</v>
          </cell>
        </row>
        <row r="31">
          <cell r="A31">
            <v>2.2000000000000002</v>
          </cell>
          <cell r="B31" t="str">
            <v>2-2</v>
          </cell>
          <cell r="C31" t="str">
            <v xml:space="preserve">Earthwork in excavation [Hard clay &amp; soil mixed with soft moorum stones (up to 30 cm size)] including disposal up to 10 m lead and 1.5 m lift </v>
          </cell>
          <cell r="D31" t="str">
            <v>E/W excavation in hard clay</v>
          </cell>
          <cell r="E31" t="str">
            <v>cum</v>
          </cell>
          <cell r="F31">
            <v>94.76</v>
          </cell>
          <cell r="G31">
            <v>0</v>
          </cell>
          <cell r="H31">
            <v>92</v>
          </cell>
          <cell r="I31">
            <v>0</v>
          </cell>
          <cell r="J31">
            <v>2.76</v>
          </cell>
        </row>
        <row r="32">
          <cell r="A32">
            <v>2.2999999999999998</v>
          </cell>
          <cell r="B32" t="str">
            <v>2-3</v>
          </cell>
          <cell r="C32" t="str">
            <v>Removal of stones and disposal ( up to 10 m lead &amp; 1 m lift )</v>
          </cell>
          <cell r="D32" t="str">
            <v>Removal of stone</v>
          </cell>
          <cell r="E32" t="str">
            <v>cum</v>
          </cell>
          <cell r="F32">
            <v>118.45</v>
          </cell>
          <cell r="G32">
            <v>0</v>
          </cell>
          <cell r="H32">
            <v>114.99999999999999</v>
          </cell>
          <cell r="I32">
            <v>0</v>
          </cell>
          <cell r="J32">
            <v>3.4499999999999997</v>
          </cell>
        </row>
        <row r="33">
          <cell r="A33">
            <v>2.4</v>
          </cell>
          <cell r="B33" t="str">
            <v>2-4</v>
          </cell>
          <cell r="C33" t="str">
            <v xml:space="preserve">Earthwork in excavation [Medium rocks without blasting] including disposal up to 10 m lead and 1.5 m lift </v>
          </cell>
          <cell r="D33" t="str">
            <v>E/W excavation in med. Rock w/o blasting</v>
          </cell>
          <cell r="E33" t="str">
            <v>cum</v>
          </cell>
          <cell r="F33">
            <v>355.35</v>
          </cell>
          <cell r="G33">
            <v>0</v>
          </cell>
          <cell r="H33">
            <v>345</v>
          </cell>
          <cell r="I33">
            <v>0</v>
          </cell>
          <cell r="J33">
            <v>10.35</v>
          </cell>
        </row>
        <row r="34">
          <cell r="A34">
            <v>2.5</v>
          </cell>
          <cell r="B34" t="str">
            <v>2-5</v>
          </cell>
          <cell r="C34" t="str">
            <v xml:space="preserve">Earthwork in excavation [Medium rocks with drilling and blasting] including disposal up to 10 m lead and 1.5 m lift </v>
          </cell>
          <cell r="D34" t="str">
            <v>E/W excavation in med. Rock with blasting</v>
          </cell>
          <cell r="E34" t="str">
            <v>cum</v>
          </cell>
          <cell r="F34" t="e">
            <v>#N/A</v>
          </cell>
          <cell r="G34" t="e">
            <v>#N/A</v>
          </cell>
          <cell r="H34">
            <v>229.99999999999997</v>
          </cell>
          <cell r="I34">
            <v>0</v>
          </cell>
          <cell r="J34" t="e">
            <v>#N/A</v>
          </cell>
        </row>
        <row r="35">
          <cell r="A35" t="str">
            <v>2.6.a</v>
          </cell>
          <cell r="B35" t="str">
            <v>2-6(a)</v>
          </cell>
          <cell r="C35" t="str">
            <v>Earthwork in excavation [Hard rocks without blasting] including disposal up to 10 m lead and 1.5 m lift (without chiseling)</v>
          </cell>
          <cell r="D35" t="str">
            <v>E/W excavation in hard Rock w/o blasting and w/o chiseling</v>
          </cell>
          <cell r="E35" t="str">
            <v>cum</v>
          </cell>
          <cell r="F35">
            <v>592.25</v>
          </cell>
          <cell r="G35">
            <v>0</v>
          </cell>
          <cell r="H35">
            <v>575</v>
          </cell>
          <cell r="I35">
            <v>0</v>
          </cell>
          <cell r="J35">
            <v>17.25</v>
          </cell>
        </row>
        <row r="36">
          <cell r="A36" t="str">
            <v>2.6.b</v>
          </cell>
          <cell r="B36" t="str">
            <v>2-6(b)</v>
          </cell>
          <cell r="C36" t="str">
            <v>Earthwork in excavation [Hard rocks without blasting] including disposal up to 10 m lead and 1.5 m lift (with chiseling)</v>
          </cell>
          <cell r="D36" t="str">
            <v>E/W excavation in hard Rock w/o blasting and with chiseling</v>
          </cell>
          <cell r="E36" t="str">
            <v>cum</v>
          </cell>
          <cell r="F36">
            <v>2866.49</v>
          </cell>
          <cell r="G36">
            <v>0</v>
          </cell>
          <cell r="H36">
            <v>2783</v>
          </cell>
          <cell r="I36">
            <v>0</v>
          </cell>
          <cell r="J36">
            <v>83.489999999999981</v>
          </cell>
        </row>
        <row r="37">
          <cell r="A37">
            <v>2.7</v>
          </cell>
          <cell r="B37" t="str">
            <v>2-7</v>
          </cell>
          <cell r="C37" t="str">
            <v>Earthwork in excavation [Hard rocks with drilling and blasting] including disposal up to 10 m lead and 1.5 m lift</v>
          </cell>
          <cell r="D37" t="str">
            <v>E/W excavation in hard Rock with blasting</v>
          </cell>
          <cell r="E37" t="str">
            <v>cum</v>
          </cell>
          <cell r="F37" t="e">
            <v>#N/A</v>
          </cell>
          <cell r="G37" t="e">
            <v>#N/A</v>
          </cell>
          <cell r="H37">
            <v>114.99999999999999</v>
          </cell>
          <cell r="I37">
            <v>0</v>
          </cell>
          <cell r="J37" t="e">
            <v>#N/A</v>
          </cell>
        </row>
        <row r="38">
          <cell r="A38">
            <v>2.8</v>
          </cell>
          <cell r="B38" t="str">
            <v>2-8</v>
          </cell>
          <cell r="C38" t="str">
            <v>Breaking of boulders by drilling &amp; blasting, disposal up to 10m lead &amp; 1.5m lift )</v>
          </cell>
          <cell r="D38" t="str">
            <v>Breaking boulder by drilling and blasting</v>
          </cell>
          <cell r="E38" t="str">
            <v>cum</v>
          </cell>
          <cell r="F38" t="e">
            <v>#N/A</v>
          </cell>
          <cell r="G38" t="e">
            <v>#N/A</v>
          </cell>
          <cell r="H38">
            <v>385.24999999999994</v>
          </cell>
          <cell r="I38">
            <v>0</v>
          </cell>
          <cell r="J38" t="e">
            <v>#N/A</v>
          </cell>
        </row>
        <row r="39">
          <cell r="A39">
            <v>2.9</v>
          </cell>
          <cell r="B39" t="str">
            <v>2-9</v>
          </cell>
          <cell r="C39" t="str">
            <v>Excavation for pit on soft soils, disposal ( up to 10m lead &amp; 1.5m lift )</v>
          </cell>
          <cell r="D39" t="str">
            <v>E/W Excavation of soft soil</v>
          </cell>
          <cell r="E39" t="str">
            <v>cum</v>
          </cell>
          <cell r="F39">
            <v>118.45</v>
          </cell>
          <cell r="G39">
            <v>0</v>
          </cell>
          <cell r="H39">
            <v>114.99999999999999</v>
          </cell>
          <cell r="I39">
            <v>0</v>
          </cell>
          <cell r="J39">
            <v>3.4499999999999997</v>
          </cell>
        </row>
        <row r="40">
          <cell r="A40" t="str">
            <v>2.10</v>
          </cell>
          <cell r="B40" t="str">
            <v>2-10</v>
          </cell>
          <cell r="C40" t="str">
            <v>Excavation for pit in fractured and soft rocks, disposal ( up to 10m lead and 1.5m lift )</v>
          </cell>
          <cell r="D40" t="str">
            <v>E/W Excavation of fractured and soft rock</v>
          </cell>
          <cell r="E40" t="str">
            <v>cum</v>
          </cell>
          <cell r="F40">
            <v>296.125</v>
          </cell>
          <cell r="G40">
            <v>0</v>
          </cell>
          <cell r="H40">
            <v>287.5</v>
          </cell>
          <cell r="I40">
            <v>0</v>
          </cell>
          <cell r="J40">
            <v>8.625</v>
          </cell>
        </row>
        <row r="41">
          <cell r="A41" t="str">
            <v>2.11</v>
          </cell>
          <cell r="B41" t="str">
            <v>2-11</v>
          </cell>
          <cell r="C41" t="str">
            <v>Excavation for pit in medium rocks using blasting, disposal ( up to 10m lead and 1.5m lift )</v>
          </cell>
          <cell r="D41" t="str">
            <v>E/W Excavation of med. Rock with blasting</v>
          </cell>
          <cell r="E41" t="str">
            <v>cum</v>
          </cell>
          <cell r="F41" t="e">
            <v>#N/A</v>
          </cell>
          <cell r="G41" t="e">
            <v>#N/A</v>
          </cell>
          <cell r="H41">
            <v>345</v>
          </cell>
          <cell r="I41">
            <v>0</v>
          </cell>
          <cell r="J41" t="e">
            <v>#N/A</v>
          </cell>
        </row>
        <row r="42">
          <cell r="A42">
            <v>2.12</v>
          </cell>
          <cell r="B42" t="str">
            <v>2-12</v>
          </cell>
          <cell r="C42" t="str">
            <v>Excavation for ditch in hard soil with disposal (up to 10m lead and 1.5 m lift)</v>
          </cell>
          <cell r="D42" t="str">
            <v>E/W Excavation for ditch in hard soil</v>
          </cell>
          <cell r="E42" t="str">
            <v>cum</v>
          </cell>
          <cell r="F42">
            <v>148.0625</v>
          </cell>
          <cell r="G42">
            <v>0</v>
          </cell>
          <cell r="H42">
            <v>143.75</v>
          </cell>
          <cell r="I42">
            <v>0</v>
          </cell>
          <cell r="J42">
            <v>4.3125</v>
          </cell>
        </row>
        <row r="43">
          <cell r="A43">
            <v>2.13</v>
          </cell>
          <cell r="B43" t="str">
            <v>2-13</v>
          </cell>
          <cell r="C43" t="str">
            <v xml:space="preserve">Excavation for trench in hard rocks with drilling &amp; blasting with disposal (up to 10m lead and 1.5 m lift) </v>
          </cell>
          <cell r="D43" t="str">
            <v>E/W Excavation for ditch in hard rock with blasting</v>
          </cell>
          <cell r="E43" t="str">
            <v>cum</v>
          </cell>
          <cell r="F43" t="e">
            <v>#N/A</v>
          </cell>
          <cell r="G43" t="e">
            <v>#N/A</v>
          </cell>
          <cell r="H43">
            <v>517.5</v>
          </cell>
          <cell r="I43">
            <v>0</v>
          </cell>
          <cell r="J43" t="e">
            <v>#N/A</v>
          </cell>
        </row>
        <row r="44">
          <cell r="A44">
            <v>2.14</v>
          </cell>
          <cell r="B44" t="str">
            <v>2-14</v>
          </cell>
          <cell r="C44" t="str">
            <v>Excavation for foundation, drain, pipelines etc. in boulder mixed soils with disposal (up to 10m lead and 1.5 m lift)</v>
          </cell>
          <cell r="D44" t="str">
            <v>E/W Excavation for foundation, drain, pipelines etc. in BM Soil</v>
          </cell>
          <cell r="E44" t="str">
            <v>cum</v>
          </cell>
          <cell r="F44">
            <v>188.33550000000002</v>
          </cell>
          <cell r="G44">
            <v>0</v>
          </cell>
          <cell r="H44">
            <v>182.85</v>
          </cell>
          <cell r="I44">
            <v>0</v>
          </cell>
          <cell r="J44">
            <v>5.4854999999999992</v>
          </cell>
        </row>
        <row r="45">
          <cell r="A45" t="str">
            <v>2.15.a</v>
          </cell>
          <cell r="B45" t="str">
            <v>2-15(a)</v>
          </cell>
          <cell r="C45" t="str">
            <v xml:space="preserve">Excavation for foundation, drain, pipelines etc. in soft moorum rocks with disposal (up to 10m lead and 1.5 m lift) </v>
          </cell>
          <cell r="D45" t="str">
            <v>E/W Excavation for foundation, drain, pipelines etc. in soft rock</v>
          </cell>
          <cell r="E45" t="str">
            <v>cum</v>
          </cell>
          <cell r="F45">
            <v>355.35</v>
          </cell>
          <cell r="G45">
            <v>0</v>
          </cell>
          <cell r="H45">
            <v>345</v>
          </cell>
          <cell r="I45">
            <v>0</v>
          </cell>
          <cell r="J45">
            <v>10.35</v>
          </cell>
        </row>
        <row r="46">
          <cell r="A46" t="str">
            <v>2.15.b</v>
          </cell>
          <cell r="B46" t="str">
            <v>2-15(b)</v>
          </cell>
          <cell r="C46" t="str">
            <v xml:space="preserve">Excavation for foundation, drain, pipelines etc. in hard rock without blasting with disposal (up to 10m lead and 1.5 m lift) </v>
          </cell>
          <cell r="D46" t="str">
            <v>E/W Excavation for foundation, drain, pipelines etc. in hard rock w/o blasting</v>
          </cell>
          <cell r="E46" t="str">
            <v>cum</v>
          </cell>
          <cell r="F46">
            <v>533.02499999999998</v>
          </cell>
          <cell r="G46">
            <v>0</v>
          </cell>
          <cell r="H46">
            <v>517.5</v>
          </cell>
          <cell r="I46">
            <v>0</v>
          </cell>
          <cell r="J46">
            <v>15.524999999999999</v>
          </cell>
        </row>
        <row r="47">
          <cell r="A47" t="str">
            <v>2.17.a</v>
          </cell>
          <cell r="B47" t="str">
            <v>2-17(a)</v>
          </cell>
          <cell r="C47" t="str">
            <v xml:space="preserve">Excavation for box cutting in soft soil including disposal up to 10m lead &amp; 1.5m lift. </v>
          </cell>
          <cell r="D47" t="str">
            <v>E/W Excavation for box cutting in soft soil</v>
          </cell>
          <cell r="E47" t="str">
            <v>cum</v>
          </cell>
          <cell r="F47">
            <v>92.391000000000005</v>
          </cell>
          <cell r="G47">
            <v>0</v>
          </cell>
          <cell r="H47">
            <v>89.699999999999989</v>
          </cell>
          <cell r="I47">
            <v>0</v>
          </cell>
          <cell r="J47">
            <v>2.6909999999999998</v>
          </cell>
        </row>
        <row r="48">
          <cell r="A48" t="str">
            <v>2.17.b</v>
          </cell>
          <cell r="B48" t="str">
            <v>2-17(b)</v>
          </cell>
          <cell r="C48" t="str">
            <v xml:space="preserve">Excavation for box cutting in hard soil including disposal up to 10m lead &amp; 1.5m lift. </v>
          </cell>
          <cell r="D48" t="str">
            <v>E/W Excavation for box cutting in hard soil</v>
          </cell>
          <cell r="E48" t="str">
            <v>cum</v>
          </cell>
          <cell r="F48">
            <v>111.34299999999999</v>
          </cell>
          <cell r="G48">
            <v>0</v>
          </cell>
          <cell r="H48">
            <v>108.1</v>
          </cell>
          <cell r="I48">
            <v>0</v>
          </cell>
          <cell r="J48">
            <v>3.2429999999999994</v>
          </cell>
        </row>
        <row r="49">
          <cell r="A49" t="str">
            <v>2.18</v>
          </cell>
          <cell r="B49" t="str">
            <v>2-18</v>
          </cell>
          <cell r="C49" t="str">
            <v>Dry foundation box cutting in soft moorum rocks, disposal ( up to 10m lead and 1.5m lift)</v>
          </cell>
          <cell r="D49" t="str">
            <v>E/W Excavation for box cutting in soft rock</v>
          </cell>
          <cell r="E49" t="str">
            <v>cum</v>
          </cell>
          <cell r="F49">
            <v>236.9</v>
          </cell>
          <cell r="G49">
            <v>0</v>
          </cell>
          <cell r="H49">
            <v>229.99999999999997</v>
          </cell>
          <cell r="I49">
            <v>0</v>
          </cell>
          <cell r="J49">
            <v>6.8999999999999995</v>
          </cell>
        </row>
        <row r="50">
          <cell r="A50" t="str">
            <v>2.19</v>
          </cell>
          <cell r="B50" t="str">
            <v>2-19</v>
          </cell>
          <cell r="C50" t="str">
            <v>Box cutting in medium rocks including disposal up to 10m lead and 1.5m lift</v>
          </cell>
          <cell r="D50" t="str">
            <v>E/W Excavation for box cutting in med. rock</v>
          </cell>
          <cell r="E50" t="str">
            <v>cum</v>
          </cell>
          <cell r="F50">
            <v>296.125</v>
          </cell>
          <cell r="G50">
            <v>0</v>
          </cell>
          <cell r="H50">
            <v>287.5</v>
          </cell>
          <cell r="I50">
            <v>0</v>
          </cell>
          <cell r="J50">
            <v>8.625</v>
          </cell>
        </row>
        <row r="51">
          <cell r="A51" t="str">
            <v>2.20</v>
          </cell>
          <cell r="B51" t="str">
            <v>2-20</v>
          </cell>
          <cell r="C51" t="str">
            <v>Dry foundation excavation in hard gravel mixed soils ( dia of  gravel  &gt; 10cm ) with disposal up to 10m lead and 1.5m lift</v>
          </cell>
          <cell r="D51" t="str">
            <v>Foundation excavation for foundation in hard gravel (&gt;10cm) mixed soil</v>
          </cell>
          <cell r="E51" t="str">
            <v>cum</v>
          </cell>
          <cell r="F51">
            <v>200.18049999999999</v>
          </cell>
          <cell r="G51">
            <v>0</v>
          </cell>
          <cell r="H51">
            <v>194.35</v>
          </cell>
          <cell r="I51">
            <v>0</v>
          </cell>
          <cell r="J51">
            <v>5.8304999999999989</v>
          </cell>
        </row>
        <row r="52">
          <cell r="A52" t="str">
            <v>2.21</v>
          </cell>
          <cell r="B52" t="str">
            <v>2-21</v>
          </cell>
          <cell r="C52" t="str">
            <v>Dry foundation excavation in hard gravel mixed soils ( dia of  gravel  &lt; 10cm ) with disposal up to 10m lead and 1.5m lift</v>
          </cell>
          <cell r="D52" t="str">
            <v>Foundation excavation for foundation in hard gravel (&lt;10cm) mixed soil</v>
          </cell>
          <cell r="E52" t="str">
            <v>cum</v>
          </cell>
          <cell r="F52">
            <v>161.09200000000001</v>
          </cell>
          <cell r="G52">
            <v>0</v>
          </cell>
          <cell r="H52">
            <v>156.39999999999998</v>
          </cell>
          <cell r="I52">
            <v>0</v>
          </cell>
          <cell r="J52">
            <v>4.6919999999999993</v>
          </cell>
        </row>
        <row r="53">
          <cell r="A53" t="str">
            <v>2.22</v>
          </cell>
          <cell r="B53" t="str">
            <v>2-22</v>
          </cell>
          <cell r="C53" t="str">
            <v>Foundation excavation under shallow water depth in hard gravel mixed soil ( dia of gravel &gt;10cm ) with disposal up to 10m lead and 1.5m lift</v>
          </cell>
          <cell r="D53" t="str">
            <v>Foundation excavation under shallow water for foundation in hard gravel (&gt;10cm) mixed soil</v>
          </cell>
          <cell r="E53" t="str">
            <v>cum</v>
          </cell>
          <cell r="F53">
            <v>296.125</v>
          </cell>
          <cell r="G53">
            <v>0</v>
          </cell>
          <cell r="H53">
            <v>287.5</v>
          </cell>
          <cell r="I53">
            <v>0</v>
          </cell>
          <cell r="J53">
            <v>8.625</v>
          </cell>
        </row>
        <row r="54">
          <cell r="A54" t="str">
            <v>2.23</v>
          </cell>
          <cell r="B54" t="str">
            <v>2-23</v>
          </cell>
          <cell r="C54" t="str">
            <v>Foundation excavation under shallow water depth in hard gravel mixed soil ( dia of gravel &lt;10cm ) with disposal up to 10m lead and 1.5m lift</v>
          </cell>
          <cell r="D54" t="str">
            <v>Foundation excavation under shallow water for foundation in hard gravel (&lt;10cm) mixed soil</v>
          </cell>
          <cell r="E54" t="str">
            <v>cum</v>
          </cell>
          <cell r="F54">
            <v>272.43499999999995</v>
          </cell>
          <cell r="G54">
            <v>0</v>
          </cell>
          <cell r="H54">
            <v>264.49999999999994</v>
          </cell>
          <cell r="I54">
            <v>0</v>
          </cell>
          <cell r="J54">
            <v>7.9349999999999978</v>
          </cell>
        </row>
        <row r="55">
          <cell r="A55" t="str">
            <v>2.24(a)</v>
          </cell>
          <cell r="B55" t="str">
            <v>2-24(a)</v>
          </cell>
          <cell r="C55" t="str">
            <v>Foundation excavation under water in boulder and gravel mixed soil including disposal up to 10m lead (1m deep excavation &amp; 4m lift)</v>
          </cell>
          <cell r="D55" t="str">
            <v>Foundation excavation under 1m deep water for foundation in GBM Soil</v>
          </cell>
          <cell r="E55" t="str">
            <v>cum</v>
          </cell>
          <cell r="F55">
            <v>415.75949999999995</v>
          </cell>
          <cell r="G55">
            <v>0</v>
          </cell>
          <cell r="H55">
            <v>403.65</v>
          </cell>
          <cell r="I55">
            <v>0</v>
          </cell>
          <cell r="J55">
            <v>12.109499999999999</v>
          </cell>
        </row>
        <row r="56">
          <cell r="A56" t="str">
            <v>2.24(a)</v>
          </cell>
          <cell r="B56" t="str">
            <v>2-24(b)</v>
          </cell>
          <cell r="C56" t="str">
            <v>Foundation excavation under water in boulder and gravel mixed soil including disposal up to 10m lead (2m deep excavation &amp; 4m lift)</v>
          </cell>
          <cell r="D56" t="str">
            <v>Foundation excavation under 2m deep water for foundation in GBM Soil</v>
          </cell>
          <cell r="E56" t="str">
            <v>cum</v>
          </cell>
          <cell r="F56">
            <v>415.75949999999995</v>
          </cell>
          <cell r="G56">
            <v>0</v>
          </cell>
          <cell r="H56">
            <v>403.65</v>
          </cell>
          <cell r="I56">
            <v>0</v>
          </cell>
          <cell r="J56">
            <v>12.109499999999999</v>
          </cell>
        </row>
        <row r="57">
          <cell r="A57" t="str">
            <v>2.24(c)</v>
          </cell>
          <cell r="B57" t="str">
            <v>2-24(c)</v>
          </cell>
          <cell r="C57" t="str">
            <v>Foundation excavation under water in boulder and gravel mixed soil including disposal up to 10m lead (3m deep excavation &amp; 4m lift)</v>
          </cell>
          <cell r="D57" t="str">
            <v>Foundation excavation under 3m deep water for foundation in GBM Soil</v>
          </cell>
          <cell r="E57" t="str">
            <v>cum</v>
          </cell>
          <cell r="F57">
            <v>438.26500000000004</v>
          </cell>
          <cell r="G57">
            <v>0</v>
          </cell>
          <cell r="H57">
            <v>425.49999999999994</v>
          </cell>
          <cell r="I57">
            <v>0</v>
          </cell>
          <cell r="J57">
            <v>12.764999999999999</v>
          </cell>
        </row>
        <row r="58">
          <cell r="A58" t="str">
            <v>2.24(d)</v>
          </cell>
          <cell r="B58" t="str">
            <v>2-24(d)</v>
          </cell>
          <cell r="C58" t="str">
            <v>Foundation excavation under water in boulder and gravel mixed soil including disposal up to 10m lead (4m deep excavation &amp; 4m lift)</v>
          </cell>
          <cell r="D58" t="str">
            <v>Foundation excavation under 4m deep water for foundation in GBM Soil</v>
          </cell>
          <cell r="E58" t="str">
            <v>cum</v>
          </cell>
          <cell r="F58">
            <v>450.10999999999996</v>
          </cell>
          <cell r="G58">
            <v>0</v>
          </cell>
          <cell r="H58">
            <v>436.99999999999994</v>
          </cell>
          <cell r="I58">
            <v>0</v>
          </cell>
          <cell r="J58">
            <v>13.11</v>
          </cell>
        </row>
        <row r="59">
          <cell r="A59" t="str">
            <v>2.24(e)</v>
          </cell>
          <cell r="B59" t="str">
            <v>2-24(e)</v>
          </cell>
          <cell r="C59" t="str">
            <v>Foundation excavation under water in boulder and gravel mixed soil including disposal up to 10m lead (5m deep excavation &amp; 7.5m lift)</v>
          </cell>
          <cell r="D59" t="str">
            <v>Foundation excavation under 5m deep water for foundation in GBM Soil</v>
          </cell>
          <cell r="E59" t="str">
            <v>cum</v>
          </cell>
          <cell r="F59">
            <v>497.49</v>
          </cell>
          <cell r="G59">
            <v>0</v>
          </cell>
          <cell r="H59">
            <v>482.99999999999994</v>
          </cell>
          <cell r="I59">
            <v>0</v>
          </cell>
          <cell r="J59">
            <v>14.489999999999998</v>
          </cell>
        </row>
        <row r="60">
          <cell r="A60" t="str">
            <v>2.24(f)</v>
          </cell>
          <cell r="B60" t="str">
            <v>2-24(f)</v>
          </cell>
          <cell r="C60" t="str">
            <v>Foundation excavation under water in boulder and gravel mixed soil including disposal up to 10m lead (6m deep excavation &amp; 7.5m lift)</v>
          </cell>
          <cell r="D60" t="str">
            <v>Foundation excavation under 6m deep water for foundation in GBM Soil</v>
          </cell>
          <cell r="E60" t="str">
            <v>cum</v>
          </cell>
          <cell r="F60">
            <v>509.33499999999998</v>
          </cell>
          <cell r="G60">
            <v>0</v>
          </cell>
          <cell r="H60">
            <v>494.49999999999994</v>
          </cell>
          <cell r="I60">
            <v>0</v>
          </cell>
          <cell r="J60">
            <v>14.834999999999999</v>
          </cell>
        </row>
        <row r="61">
          <cell r="A61" t="str">
            <v>2.25.a</v>
          </cell>
          <cell r="B61" t="str">
            <v>2-25(a)</v>
          </cell>
          <cell r="C61" t="str">
            <v>Filling with ordinary soils in 15cm thick layers and hand compaction with sprinkling water (haulage distance 10m)</v>
          </cell>
          <cell r="D61" t="str">
            <v>Filling with ordinary soils with compaction and sprinkling of water</v>
          </cell>
          <cell r="E61" t="str">
            <v>cum</v>
          </cell>
          <cell r="F61">
            <v>59.225000000000001</v>
          </cell>
          <cell r="G61">
            <v>0</v>
          </cell>
          <cell r="H61">
            <v>57.499999999999993</v>
          </cell>
          <cell r="I61">
            <v>0</v>
          </cell>
          <cell r="J61">
            <v>1.7249999999999999</v>
          </cell>
        </row>
        <row r="62">
          <cell r="A62" t="str">
            <v>2.25.b</v>
          </cell>
          <cell r="B62" t="str">
            <v>2-25(b)</v>
          </cell>
          <cell r="C62" t="str">
            <v xml:space="preserve">Filling with ordinary soils in 15cm thick layers and hand compaction without sprinkling water (haulage distance 10m ) </v>
          </cell>
          <cell r="D62" t="str">
            <v xml:space="preserve">Filling with ordinary soils with compaction </v>
          </cell>
          <cell r="E62" t="str">
            <v>cum</v>
          </cell>
          <cell r="F62">
            <v>29.612500000000001</v>
          </cell>
          <cell r="G62">
            <v>0</v>
          </cell>
          <cell r="H62">
            <v>28.749999999999996</v>
          </cell>
          <cell r="I62">
            <v>0</v>
          </cell>
          <cell r="J62">
            <v>0.86249999999999993</v>
          </cell>
        </row>
        <row r="63">
          <cell r="A63" t="str">
            <v>2.26</v>
          </cell>
          <cell r="B63" t="str">
            <v>2-26</v>
          </cell>
          <cell r="C63" t="str">
            <v>Filling of stones in 40cm thick layers, sprinkling water and hand compaction ( haulage distance 10m )</v>
          </cell>
          <cell r="D63" t="str">
            <v>Stone filling</v>
          </cell>
          <cell r="E63" t="str">
            <v>cum</v>
          </cell>
          <cell r="F63">
            <v>118.45</v>
          </cell>
          <cell r="G63">
            <v>0</v>
          </cell>
          <cell r="H63">
            <v>114.99999999999999</v>
          </cell>
          <cell r="I63">
            <v>0</v>
          </cell>
          <cell r="J63">
            <v>3.4499999999999997</v>
          </cell>
        </row>
        <row r="64">
          <cell r="A64" t="str">
            <v>2.29</v>
          </cell>
          <cell r="B64" t="str">
            <v>2-29</v>
          </cell>
          <cell r="C64" t="str">
            <v>Foundation excavation in ordinary soils under shallow water depth ( 10m lead &amp; 1.5m lift )</v>
          </cell>
          <cell r="D64" t="str">
            <v>Foundation excavation under shallow water for foundation in ordinary soil</v>
          </cell>
          <cell r="E64" t="str">
            <v>cum</v>
          </cell>
          <cell r="F64">
            <v>266.51249999999999</v>
          </cell>
          <cell r="G64">
            <v>0</v>
          </cell>
          <cell r="H64">
            <v>258.75</v>
          </cell>
          <cell r="I64">
            <v>0</v>
          </cell>
          <cell r="J64">
            <v>7.7624999999999993</v>
          </cell>
        </row>
        <row r="65">
          <cell r="A65" t="str">
            <v>2.30</v>
          </cell>
          <cell r="B65" t="str">
            <v>2-30</v>
          </cell>
          <cell r="C65" t="str">
            <v>Foundation excavation in soft rocks under shallow water depth ( 10m lead &amp; 1.5m lift )</v>
          </cell>
          <cell r="D65" t="str">
            <v>Foundation excavation under shallow water for foundation in soft rock</v>
          </cell>
          <cell r="E65" t="str">
            <v>cum</v>
          </cell>
          <cell r="F65">
            <v>394.43850000000003</v>
          </cell>
          <cell r="G65">
            <v>0</v>
          </cell>
          <cell r="H65">
            <v>382.95</v>
          </cell>
          <cell r="I65">
            <v>0</v>
          </cell>
          <cell r="J65">
            <v>11.4885</v>
          </cell>
        </row>
        <row r="66">
          <cell r="A66" t="str">
            <v>2.31</v>
          </cell>
          <cell r="B66" t="str">
            <v>2-31</v>
          </cell>
          <cell r="C66" t="str">
            <v>Excavation of foundation in hard rocks under shallow water depth using drilling &amp; blasting, disposal ( up to 10m lead &amp; 1.5m lift )</v>
          </cell>
          <cell r="D66" t="str">
            <v>Foundation excavation under shallow water for foundation in hard rock with blasting</v>
          </cell>
          <cell r="E66" t="str">
            <v>cum</v>
          </cell>
          <cell r="F66" t="e">
            <v>#N/A</v>
          </cell>
          <cell r="G66">
            <v>9.7749999999999986</v>
          </cell>
          <cell r="H66">
            <v>839.49999999999989</v>
          </cell>
          <cell r="I66">
            <v>0</v>
          </cell>
          <cell r="J66" t="e">
            <v>#N/A</v>
          </cell>
        </row>
        <row r="67">
          <cell r="A67" t="str">
            <v>2.39.a</v>
          </cell>
          <cell r="B67" t="str">
            <v>2-39(a)</v>
          </cell>
          <cell r="C67" t="str">
            <v>Filling soft soils in pipeline trenches in 20cm thick layers including hand compaction &amp; water sprinkling</v>
          </cell>
          <cell r="D67" t="str">
            <v>Filling soft soil in pipeline trench with compaction and sprinkling of water</v>
          </cell>
          <cell r="E67" t="str">
            <v>cum</v>
          </cell>
          <cell r="F67">
            <v>59.225000000000001</v>
          </cell>
          <cell r="G67">
            <v>0</v>
          </cell>
          <cell r="H67">
            <v>57.499999999999993</v>
          </cell>
          <cell r="I67">
            <v>0</v>
          </cell>
          <cell r="J67">
            <v>1.7249999999999999</v>
          </cell>
        </row>
        <row r="68">
          <cell r="A68" t="str">
            <v>2.39.b</v>
          </cell>
          <cell r="B68" t="str">
            <v>2-39(b)</v>
          </cell>
          <cell r="C68" t="str">
            <v>Filling medium soil in pipeline trenches in 20cm thick layers including hand compaction &amp; water sprinkling</v>
          </cell>
          <cell r="D68" t="str">
            <v>Filling med. soil in pipeline trench with compaction and sprinkling of water</v>
          </cell>
          <cell r="E68" t="str">
            <v>cum</v>
          </cell>
          <cell r="F68">
            <v>65.147500000000008</v>
          </cell>
          <cell r="G68">
            <v>0</v>
          </cell>
          <cell r="H68">
            <v>63.25</v>
          </cell>
          <cell r="I68">
            <v>0</v>
          </cell>
          <cell r="J68">
            <v>1.8975</v>
          </cell>
        </row>
        <row r="69">
          <cell r="A69" t="str">
            <v>2.39.c</v>
          </cell>
          <cell r="B69" t="str">
            <v>2-39(c)</v>
          </cell>
          <cell r="C69" t="str">
            <v>Filling hard soils in pipeline trenches in 20cm thick layers including hand compaction &amp; water sprinkling</v>
          </cell>
          <cell r="D69" t="str">
            <v>Filling hard soil in pipeline trench with compaction and sprinkling of water</v>
          </cell>
          <cell r="E69" t="str">
            <v>cum</v>
          </cell>
          <cell r="F69">
            <v>74.623500000000007</v>
          </cell>
          <cell r="G69">
            <v>0</v>
          </cell>
          <cell r="H69">
            <v>72.449999999999989</v>
          </cell>
          <cell r="I69">
            <v>0</v>
          </cell>
          <cell r="J69">
            <v>2.1734999999999998</v>
          </cell>
        </row>
        <row r="70">
          <cell r="A70" t="str">
            <v>2.39.d</v>
          </cell>
          <cell r="B70" t="str">
            <v>2-39(d)</v>
          </cell>
          <cell r="C70" t="str">
            <v>Filling gravel boulder mixed soil in pipeline trenches in 20cm thick layers including hand compaction &amp; water sprinkling</v>
          </cell>
          <cell r="D70" t="str">
            <v>Filling GBM soil in pipeline trench with compaction and sprinkling of water</v>
          </cell>
          <cell r="E70" t="str">
            <v>cum</v>
          </cell>
          <cell r="F70">
            <v>71.069999999999993</v>
          </cell>
          <cell r="G70">
            <v>0</v>
          </cell>
          <cell r="H70">
            <v>69</v>
          </cell>
          <cell r="I70">
            <v>0</v>
          </cell>
          <cell r="J70">
            <v>2.0699999999999998</v>
          </cell>
        </row>
        <row r="71">
          <cell r="A71" t="str">
            <v>2.39.e</v>
          </cell>
          <cell r="B71" t="str">
            <v>2-39(e)</v>
          </cell>
          <cell r="C71" t="str">
            <v>Filling medium rocks in pipeline trenches in 20cm thick layers including hand compaction &amp; water sprinkling</v>
          </cell>
          <cell r="D71" t="str">
            <v>Filling medi. rock in pipeline trench with compaction and sprinkling of water</v>
          </cell>
          <cell r="E71" t="str">
            <v>cum</v>
          </cell>
          <cell r="F71">
            <v>130.29500000000002</v>
          </cell>
          <cell r="G71">
            <v>0</v>
          </cell>
          <cell r="H71">
            <v>126.5</v>
          </cell>
          <cell r="I71">
            <v>0</v>
          </cell>
          <cell r="J71">
            <v>3.7949999999999999</v>
          </cell>
        </row>
        <row r="72">
          <cell r="A72" t="str">
            <v>2.39.f</v>
          </cell>
          <cell r="B72" t="str">
            <v>2-39(f)</v>
          </cell>
          <cell r="C72" t="str">
            <v>Filling hard rocks in trenches</v>
          </cell>
          <cell r="D72" t="str">
            <v>Filling hard rocks in trenches</v>
          </cell>
          <cell r="E72" t="str">
            <v>cum</v>
          </cell>
          <cell r="F72">
            <v>762.79499999999996</v>
          </cell>
          <cell r="G72">
            <v>0</v>
          </cell>
          <cell r="H72">
            <v>126.5</v>
          </cell>
          <cell r="I72">
            <v>632.5</v>
          </cell>
          <cell r="J72">
            <v>3.7949999999999999</v>
          </cell>
        </row>
        <row r="73">
          <cell r="A73" t="str">
            <v>2.42</v>
          </cell>
          <cell r="B73" t="str">
            <v>2-42</v>
          </cell>
          <cell r="C73" t="str">
            <v>Sand filling works including water sprinkling &amp; hand compaction (excluding sand)</v>
          </cell>
          <cell r="D73" t="str">
            <v>Sand filling in pipeline trench with compaction and sprinkling of water</v>
          </cell>
          <cell r="E73" t="str">
            <v>cum</v>
          </cell>
          <cell r="F73">
            <v>500.36500000000001</v>
          </cell>
          <cell r="G73">
            <v>0</v>
          </cell>
          <cell r="H73">
            <v>80.5</v>
          </cell>
          <cell r="I73">
            <v>417.45000000000005</v>
          </cell>
          <cell r="J73">
            <v>2.415</v>
          </cell>
        </row>
        <row r="75">
          <cell r="C75" t="str">
            <v>BRICK MASONRY WORKS</v>
          </cell>
        </row>
        <row r="76">
          <cell r="A76" t="str">
            <v>5.1.a.1</v>
          </cell>
          <cell r="B76" t="str">
            <v>5-1(a)1</v>
          </cell>
          <cell r="C76" t="str">
            <v>Machine made brick masonry works in 1:3 cement sand mortar along with supplying bricks, making cement mortar &amp; construction of brick walls including haulage distance up to 30m</v>
          </cell>
          <cell r="D76" t="str">
            <v xml:space="preserve">Machine made brick masonry works in 1:3 cement sand mortar </v>
          </cell>
          <cell r="E76" t="str">
            <v>cum</v>
          </cell>
          <cell r="F76" t="e">
            <v>#N/A</v>
          </cell>
          <cell r="G76">
            <v>293.25</v>
          </cell>
          <cell r="H76">
            <v>253</v>
          </cell>
          <cell r="I76" t="e">
            <v>#N/A</v>
          </cell>
          <cell r="J76">
            <v>941.84999999999991</v>
          </cell>
        </row>
        <row r="77">
          <cell r="A77" t="str">
            <v>5.1.a.2</v>
          </cell>
          <cell r="B77" t="str">
            <v>5-1(a)2</v>
          </cell>
          <cell r="C77" t="str">
            <v>Machine made brick masonry works in 1:4 cement sand mortar along with supplying bricks, making cement mortar &amp; construction of brick walls including haulage distance up to 30m</v>
          </cell>
          <cell r="D77" t="str">
            <v xml:space="preserve">Machine made brick masonry works in 1:4 cement sand mortar </v>
          </cell>
          <cell r="E77" t="str">
            <v>cum</v>
          </cell>
          <cell r="F77" t="e">
            <v>#N/A</v>
          </cell>
          <cell r="G77">
            <v>293.25</v>
          </cell>
          <cell r="H77">
            <v>253</v>
          </cell>
          <cell r="I77" t="e">
            <v>#N/A</v>
          </cell>
          <cell r="J77">
            <v>724.5</v>
          </cell>
        </row>
        <row r="78">
          <cell r="A78" t="str">
            <v>5.1.a.3</v>
          </cell>
          <cell r="B78" t="str">
            <v>5-1(a)3</v>
          </cell>
          <cell r="C78" t="str">
            <v>Machine made brick masonry works in 1:6 cement sand mortar along with supplying bricks, making cement mortar &amp; construction of brick walls including haulage distance up to 30m</v>
          </cell>
          <cell r="D78" t="str">
            <v xml:space="preserve">Machine made brick masonry works in 1:6 cement sand mortar </v>
          </cell>
          <cell r="E78" t="str">
            <v>cum</v>
          </cell>
          <cell r="F78" t="e">
            <v>#N/A</v>
          </cell>
          <cell r="G78">
            <v>293.25</v>
          </cell>
          <cell r="H78">
            <v>253</v>
          </cell>
          <cell r="I78" t="e">
            <v>#N/A</v>
          </cell>
          <cell r="J78">
            <v>652.04999999999995</v>
          </cell>
        </row>
        <row r="79">
          <cell r="A79" t="str">
            <v>5.1.b.1</v>
          </cell>
          <cell r="B79" t="str">
            <v>5-1(b)1</v>
          </cell>
          <cell r="C79" t="str">
            <v>Local first class brick masonry works in 1:3 cement sand mortar along with supplying bricks, making cement mortar &amp; construction of brick walls including haulage distance up to 30m</v>
          </cell>
          <cell r="D79" t="str">
            <v xml:space="preserve">Local first class brick masonry works in 1:3 cement sand mortar </v>
          </cell>
          <cell r="E79" t="str">
            <v>cum</v>
          </cell>
          <cell r="F79">
            <v>3458.165</v>
          </cell>
          <cell r="G79">
            <v>293.25</v>
          </cell>
          <cell r="H79">
            <v>253</v>
          </cell>
          <cell r="I79">
            <v>1970.0649999999998</v>
          </cell>
          <cell r="J79">
            <v>941.84999999999991</v>
          </cell>
        </row>
        <row r="80">
          <cell r="A80" t="str">
            <v>5.1.b.2</v>
          </cell>
          <cell r="B80" t="str">
            <v>5-1(b)2</v>
          </cell>
          <cell r="C80" t="str">
            <v>Local first class brick masonry works in 1:4 cement sand mortar along with supplying bricks, making cement mortar &amp; construction of brick walls including haulage distance up to 30m</v>
          </cell>
          <cell r="D80" t="str">
            <v xml:space="preserve">Local first class brick masonry works in 1:4 cement sand mortar </v>
          </cell>
          <cell r="E80" t="str">
            <v>cum</v>
          </cell>
          <cell r="F80">
            <v>3244.61</v>
          </cell>
          <cell r="G80">
            <v>293.25</v>
          </cell>
          <cell r="H80">
            <v>253</v>
          </cell>
          <cell r="I80">
            <v>1973.86</v>
          </cell>
          <cell r="J80">
            <v>724.5</v>
          </cell>
        </row>
        <row r="81">
          <cell r="A81" t="str">
            <v>5.1.b.3</v>
          </cell>
          <cell r="B81" t="str">
            <v>5-1(b)3</v>
          </cell>
          <cell r="C81" t="str">
            <v>Local first class brick masonry works in 1:6 cement sand mortar along with supplying bricks, making cement mortar &amp; construction of brick walls including haulage distance up to 30m</v>
          </cell>
          <cell r="D81" t="str">
            <v xml:space="preserve">Local first class brick masonry works in 1:6 cement sand mortar </v>
          </cell>
          <cell r="E81" t="str">
            <v>cum</v>
          </cell>
          <cell r="F81">
            <v>3034.85</v>
          </cell>
          <cell r="G81">
            <v>293.25</v>
          </cell>
          <cell r="H81">
            <v>253</v>
          </cell>
          <cell r="I81">
            <v>1981.4499999999998</v>
          </cell>
          <cell r="J81">
            <v>507.15000000000003</v>
          </cell>
        </row>
        <row r="82">
          <cell r="A82" t="str">
            <v>5.1.b.4</v>
          </cell>
          <cell r="B82" t="str">
            <v>5-1(b)4</v>
          </cell>
          <cell r="C82" t="str">
            <v>Local first class brick masonry works in 1:1:2 lime surkhi sand mortar along with supplying bricks, making cement mortar &amp; construction of brick walls including haulage distance up to 30m</v>
          </cell>
          <cell r="D82" t="str">
            <v>Local first class brick masonry works in 1:1:2 lime surkhi sand mortar</v>
          </cell>
          <cell r="E82" t="str">
            <v>cum</v>
          </cell>
          <cell r="F82">
            <v>4079.7169999999996</v>
          </cell>
          <cell r="G82">
            <v>293.25</v>
          </cell>
          <cell r="H82">
            <v>253</v>
          </cell>
          <cell r="I82">
            <v>3533.4669999999996</v>
          </cell>
          <cell r="J82">
            <v>0</v>
          </cell>
        </row>
        <row r="83">
          <cell r="A83" t="str">
            <v>5.1.b.5</v>
          </cell>
          <cell r="B83" t="str">
            <v>5-1(b)5</v>
          </cell>
          <cell r="C83" t="str">
            <v>Local first class brick masonry works in 1:2 lime surkhi mortar along with supplying bricks, making cement mortar &amp; construction of brick walls including haulage distance up to 30m</v>
          </cell>
          <cell r="D83" t="str">
            <v xml:space="preserve">Local first class brick masonry works in 1:2 lime surkhi mortar </v>
          </cell>
          <cell r="E83" t="str">
            <v>cum</v>
          </cell>
          <cell r="F83">
            <v>4029.3240000000001</v>
          </cell>
          <cell r="G83">
            <v>293.25</v>
          </cell>
          <cell r="H83">
            <v>253</v>
          </cell>
          <cell r="I83">
            <v>3483.0740000000001</v>
          </cell>
          <cell r="J83">
            <v>0</v>
          </cell>
        </row>
        <row r="84">
          <cell r="A84" t="str">
            <v>5.1.b.6</v>
          </cell>
          <cell r="B84" t="str">
            <v>5-1(b)6</v>
          </cell>
          <cell r="C84" t="str">
            <v>Local first class brick masonry works in mud mortar along with supplying bricks, making cement mortar &amp; construction of brick walls including haulage distance up to 30m</v>
          </cell>
          <cell r="D84" t="str">
            <v xml:space="preserve">Local first class brick masonry works in mud mortar </v>
          </cell>
          <cell r="E84" t="str">
            <v>cum</v>
          </cell>
          <cell r="F84">
            <v>2331.0500000000002</v>
          </cell>
          <cell r="G84">
            <v>195.49999999999997</v>
          </cell>
          <cell r="H84">
            <v>195.49999999999997</v>
          </cell>
          <cell r="I84">
            <v>1940.05</v>
          </cell>
          <cell r="J84">
            <v>0</v>
          </cell>
        </row>
        <row r="86">
          <cell r="C86" t="str">
            <v>RUBBLE MASONRY WORKS</v>
          </cell>
        </row>
        <row r="87">
          <cell r="A87" t="str">
            <v>6.1.a</v>
          </cell>
          <cell r="B87" t="str">
            <v>6-1(a)</v>
          </cell>
          <cell r="C87" t="str">
            <v>Rubble masonry works in 1:3 cement mortar including supply of hard stone blocks, preparing cement mortar and construction of wall up to 5m high ( haulage distance up to 10m )</v>
          </cell>
          <cell r="D87" t="str">
            <v>Rubble masonry works in 1:3 cement mortar</v>
          </cell>
          <cell r="E87" t="str">
            <v>cum</v>
          </cell>
          <cell r="F87">
            <v>3065.67</v>
          </cell>
          <cell r="G87">
            <v>293.25</v>
          </cell>
          <cell r="H87">
            <v>575</v>
          </cell>
          <cell r="I87">
            <v>791.89</v>
          </cell>
          <cell r="J87">
            <v>1405.53</v>
          </cell>
        </row>
        <row r="88">
          <cell r="A88" t="str">
            <v>6.1.b</v>
          </cell>
          <cell r="B88" t="str">
            <v>6-1(b)</v>
          </cell>
          <cell r="C88" t="str">
            <v>Rubble masonry works in 1:4 cement mortar including supply of hard stone blocks, preparing cement mortar and construction of wall up to 5m high ( haulage distance up to 10m )</v>
          </cell>
          <cell r="D88" t="str">
            <v>Rubble masonry works in 1:4 cement mortar</v>
          </cell>
          <cell r="E88" t="str">
            <v>cum</v>
          </cell>
          <cell r="F88">
            <v>2823.4799999999996</v>
          </cell>
          <cell r="G88">
            <v>293.25</v>
          </cell>
          <cell r="H88">
            <v>575</v>
          </cell>
          <cell r="I88">
            <v>803.27499999999998</v>
          </cell>
          <cell r="J88">
            <v>1151.9549999999999</v>
          </cell>
        </row>
        <row r="89">
          <cell r="A89" t="str">
            <v>6.1.c</v>
          </cell>
          <cell r="B89" t="str">
            <v>6-1(c)</v>
          </cell>
          <cell r="C89" t="str">
            <v>Rubble masonry works in 1:6 cement mortar including supply of hard stone blocks, preparing cement mortar and construction of wall up to 5m high ( haulage distance up to 10m )</v>
          </cell>
          <cell r="D89" t="str">
            <v>Rubble masonry works in 1:6 cement mortar</v>
          </cell>
          <cell r="E89" t="str">
            <v>cum</v>
          </cell>
          <cell r="F89">
            <v>2428.1099999999997</v>
          </cell>
          <cell r="G89">
            <v>293.25</v>
          </cell>
          <cell r="H89">
            <v>575</v>
          </cell>
          <cell r="I89">
            <v>791.89</v>
          </cell>
          <cell r="J89">
            <v>767.96999999999991</v>
          </cell>
        </row>
        <row r="90">
          <cell r="A90" t="str">
            <v>6.2.a</v>
          </cell>
          <cell r="B90" t="str">
            <v>6-2(a)</v>
          </cell>
          <cell r="C90" t="str">
            <v>Dry rubble masonry works including supply of hard stone blocks, preparing cement mortar and construction of wall up to 5m high ( haulage distance up to 10m)</v>
          </cell>
          <cell r="D90" t="str">
            <v>Dry rubble masonry works</v>
          </cell>
          <cell r="E90" t="str">
            <v>cum</v>
          </cell>
          <cell r="F90">
            <v>1058</v>
          </cell>
          <cell r="G90">
            <v>195.49999999999997</v>
          </cell>
          <cell r="H90">
            <v>229.99999999999997</v>
          </cell>
          <cell r="I90">
            <v>632.5</v>
          </cell>
          <cell r="J90">
            <v>0</v>
          </cell>
        </row>
        <row r="91">
          <cell r="A91" t="str">
            <v>6.2.b</v>
          </cell>
          <cell r="B91" t="str">
            <v>6-2(b)</v>
          </cell>
          <cell r="C91" t="str">
            <v>Rubble masonry works in mud mortar including supply of hard stone blocks, preparing cement mortar and construction of wall up to 5m high ( haulage distance up to 10m)</v>
          </cell>
          <cell r="D91" t="str">
            <v>Rubble masonry works in mud mortar</v>
          </cell>
          <cell r="E91" t="str">
            <v>cum</v>
          </cell>
          <cell r="F91">
            <v>1159.2</v>
          </cell>
          <cell r="G91">
            <v>195.49999999999997</v>
          </cell>
          <cell r="H91">
            <v>258.75</v>
          </cell>
          <cell r="I91">
            <v>704.94999999999993</v>
          </cell>
          <cell r="J91">
            <v>0</v>
          </cell>
        </row>
        <row r="92">
          <cell r="A92">
            <v>6.5</v>
          </cell>
          <cell r="B92" t="str">
            <v>6-5</v>
          </cell>
          <cell r="C92" t="str">
            <v>Filling by stones in the foundation and leveling including haulage distance up to 30m</v>
          </cell>
          <cell r="D92" t="str">
            <v>Stone filling in foundation</v>
          </cell>
          <cell r="E92" t="str">
            <v>cum</v>
          </cell>
          <cell r="F92">
            <v>862.5</v>
          </cell>
          <cell r="G92">
            <v>0</v>
          </cell>
          <cell r="H92">
            <v>172.5</v>
          </cell>
          <cell r="I92">
            <v>690</v>
          </cell>
          <cell r="J92">
            <v>0</v>
          </cell>
        </row>
        <row r="93">
          <cell r="A93" t="str">
            <v>6.6.a</v>
          </cell>
          <cell r="B93" t="str">
            <v>6-6(a)</v>
          </cell>
          <cell r="C93" t="str">
            <v>Stone masonry works inside ditch in 1:3 cement mortar including preparation of mortar hauling stones &amp; mortar up to 30m distance and construction of ditch</v>
          </cell>
          <cell r="D93" t="str">
            <v>Stone masonry works inside ditch in in 1:3 cement mortar</v>
          </cell>
          <cell r="E93" t="str">
            <v>cum</v>
          </cell>
          <cell r="F93">
            <v>2800.1695000000004</v>
          </cell>
          <cell r="G93">
            <v>279.565</v>
          </cell>
          <cell r="H93">
            <v>657.8</v>
          </cell>
          <cell r="I93">
            <v>754.31950000000006</v>
          </cell>
          <cell r="J93">
            <v>1108.4849999999999</v>
          </cell>
        </row>
        <row r="94">
          <cell r="A94" t="str">
            <v>6.6.b</v>
          </cell>
          <cell r="B94" t="str">
            <v>6-6(b)</v>
          </cell>
          <cell r="C94" t="str">
            <v>Stone masonry works inside ditch in 1:6 cement mortar including preparation of mortar hauling stones &amp; mortar up to 30m distance and construction of ditch</v>
          </cell>
          <cell r="D94" t="str">
            <v>Stone masonry works inside ditch in in 1:6 cement mortar</v>
          </cell>
          <cell r="E94" t="str">
            <v>cum</v>
          </cell>
          <cell r="F94">
            <v>2229.3669999999997</v>
          </cell>
          <cell r="G94">
            <v>279.565</v>
          </cell>
          <cell r="H94">
            <v>657.8</v>
          </cell>
          <cell r="I94">
            <v>748.62699999999995</v>
          </cell>
          <cell r="J94">
            <v>543.375</v>
          </cell>
        </row>
        <row r="96">
          <cell r="C96" t="str">
            <v>CEMENT CONCRETE WORKS</v>
          </cell>
        </row>
        <row r="97">
          <cell r="A97" t="str">
            <v>7.1.a</v>
          </cell>
          <cell r="B97" t="str">
            <v>7-1(a)</v>
          </cell>
          <cell r="C97" t="str">
            <v>Plum concreting in M10 cement sand aggregate boulder mix for foundation, vertical faces, walls &amp; abutments including supply of material &amp; haulage distance up to 30m</v>
          </cell>
          <cell r="D97" t="str">
            <v xml:space="preserve">Plum concrete in M10 </v>
          </cell>
          <cell r="E97" t="str">
            <v>cum</v>
          </cell>
          <cell r="F97">
            <v>3315.45</v>
          </cell>
          <cell r="G97">
            <v>58.65</v>
          </cell>
          <cell r="H97">
            <v>459.99999999999994</v>
          </cell>
          <cell r="I97">
            <v>794.76499999999999</v>
          </cell>
          <cell r="J97">
            <v>2002.0349999999999</v>
          </cell>
        </row>
        <row r="98">
          <cell r="A98" t="str">
            <v>7.1.b</v>
          </cell>
          <cell r="B98" t="str">
            <v>7-1(b)</v>
          </cell>
          <cell r="C98" t="str">
            <v>Plum concreting in M15 cement sand aggregate boulder mix for foundation, vertical faces, walls &amp; abutments including supply of material &amp; haulage distance up to 30m</v>
          </cell>
          <cell r="D98" t="str">
            <v xml:space="preserve">Plum concreting in M15 </v>
          </cell>
          <cell r="E98" t="str">
            <v>cum</v>
          </cell>
          <cell r="F98">
            <v>3998.2624999999998</v>
          </cell>
          <cell r="G98">
            <v>58.65</v>
          </cell>
          <cell r="H98">
            <v>459.99999999999994</v>
          </cell>
          <cell r="I98">
            <v>753.07749999999987</v>
          </cell>
          <cell r="J98">
            <v>2726.5349999999999</v>
          </cell>
        </row>
        <row r="99">
          <cell r="A99" t="str">
            <v>7.2.a</v>
          </cell>
          <cell r="B99" t="str">
            <v>7-2(a)</v>
          </cell>
          <cell r="C99" t="str">
            <v>Concreting of foundations, vertical faces, walls in 1:5:10 cement sand aggregate mix including supply of materials and haulage distance up to 30m</v>
          </cell>
          <cell r="D99" t="str">
            <v xml:space="preserve">P.C.C. for  foundation &amp; walls in 1:5:10 </v>
          </cell>
          <cell r="E99" t="str">
            <v>cum</v>
          </cell>
          <cell r="F99">
            <v>2900.3</v>
          </cell>
          <cell r="G99">
            <v>195.49999999999997</v>
          </cell>
          <cell r="H99">
            <v>459.99999999999994</v>
          </cell>
          <cell r="I99">
            <v>901.02499999999998</v>
          </cell>
          <cell r="J99">
            <v>1343.7749999999999</v>
          </cell>
        </row>
        <row r="100">
          <cell r="A100" t="str">
            <v>7.2.b</v>
          </cell>
          <cell r="B100" t="str">
            <v>7-2(b)</v>
          </cell>
          <cell r="C100" t="str">
            <v>Concreting of foundations, vertical faces, walls in 1:4:8 cement sand aggregate mix including supply of materials and haulage distance up to 30m</v>
          </cell>
          <cell r="D100" t="str">
            <v xml:space="preserve">P.C.C. for  foundation &amp; walls in 1:4:8 </v>
          </cell>
          <cell r="E100" t="str">
            <v>cum</v>
          </cell>
          <cell r="F100">
            <v>3190.1</v>
          </cell>
          <cell r="G100">
            <v>195.49999999999997</v>
          </cell>
          <cell r="H100">
            <v>459.99999999999994</v>
          </cell>
          <cell r="I100">
            <v>901.02499999999998</v>
          </cell>
          <cell r="J100">
            <v>1633.5749999999998</v>
          </cell>
        </row>
        <row r="101">
          <cell r="A101" t="str">
            <v>7.2.c</v>
          </cell>
          <cell r="B101" t="str">
            <v>7-2(c)</v>
          </cell>
          <cell r="C101" t="str">
            <v>Concreting of foundations, vertical faces, walls in M10 cement sand aggregate mix including supply of materials and haulage distance up to 30m</v>
          </cell>
          <cell r="D101" t="str">
            <v xml:space="preserve">P.C.C. for  foundation &amp; walls in M10 </v>
          </cell>
          <cell r="E101" t="str">
            <v>cum</v>
          </cell>
          <cell r="F101">
            <v>3552.35</v>
          </cell>
          <cell r="G101">
            <v>195.49999999999997</v>
          </cell>
          <cell r="H101">
            <v>459.99999999999994</v>
          </cell>
          <cell r="I101">
            <v>901.02499999999998</v>
          </cell>
          <cell r="J101">
            <v>1995.8249999999998</v>
          </cell>
        </row>
        <row r="102">
          <cell r="A102" t="str">
            <v>7.2.d</v>
          </cell>
          <cell r="B102" t="str">
            <v>7-2(d)</v>
          </cell>
          <cell r="C102" t="str">
            <v>Concreting of foundations, vertical faces, walls in M15 cement sand aggregate mix including supply of materials and haulage distance up to 30m</v>
          </cell>
          <cell r="D102" t="str">
            <v xml:space="preserve">P.C.C. for  foundation &amp; walls in M15 </v>
          </cell>
          <cell r="E102" t="str">
            <v>cum</v>
          </cell>
          <cell r="F102">
            <v>4184.5625</v>
          </cell>
          <cell r="G102">
            <v>195.49999999999997</v>
          </cell>
          <cell r="H102">
            <v>459.99999999999994</v>
          </cell>
          <cell r="I102">
            <v>802.52749999999992</v>
          </cell>
          <cell r="J102">
            <v>2726.5349999999999</v>
          </cell>
        </row>
        <row r="103">
          <cell r="A103" t="str">
            <v>7.4.a</v>
          </cell>
          <cell r="B103" t="str">
            <v>7-4(a)</v>
          </cell>
          <cell r="C103" t="str">
            <v>Reinforced concreting works for super structures, deck slabs, beams in M15 cement sand aggregate mix  with supply of materials (excluding rebar) &amp; haulage dist. Up to 30m.</v>
          </cell>
          <cell r="D103" t="str">
            <v xml:space="preserve">P.C.C. for R.C.C. for super structures in M15 </v>
          </cell>
          <cell r="E103" t="str">
            <v>cum</v>
          </cell>
          <cell r="F103">
            <v>4490.4624999999996</v>
          </cell>
          <cell r="G103">
            <v>156.39999999999998</v>
          </cell>
          <cell r="H103">
            <v>804.99999999999989</v>
          </cell>
          <cell r="I103">
            <v>802.52749999999992</v>
          </cell>
          <cell r="J103">
            <v>2726.5349999999999</v>
          </cell>
        </row>
        <row r="104">
          <cell r="A104" t="str">
            <v>7.4.b</v>
          </cell>
          <cell r="B104" t="str">
            <v>7-4(b)</v>
          </cell>
          <cell r="C104" t="str">
            <v>Reinforced concreting works for super structures, deck slabs, beams in M20 cement sand aggregate mix  with supply of materials (excluding rebar) &amp; haulage dist. Up to 30m.</v>
          </cell>
          <cell r="D104" t="str">
            <v xml:space="preserve">P.C.C. for R.C.C. for super structures in M20 </v>
          </cell>
          <cell r="E104" t="str">
            <v>cum</v>
          </cell>
          <cell r="F104">
            <v>4987.7224999999999</v>
          </cell>
          <cell r="G104">
            <v>156.39999999999998</v>
          </cell>
          <cell r="H104">
            <v>804.99999999999989</v>
          </cell>
          <cell r="I104">
            <v>726.39749999999992</v>
          </cell>
          <cell r="J104">
            <v>3299.9249999999997</v>
          </cell>
        </row>
        <row r="105">
          <cell r="A105" t="str">
            <v>7.4.c</v>
          </cell>
          <cell r="B105" t="str">
            <v>7-4(c)</v>
          </cell>
          <cell r="C105" t="str">
            <v>Reinforced concreting works for super structures, deck slabs, beams in 1:1:2 cement sand aggregate mix  with supply of materials (excluding rebar) &amp; haulage dist. Up to 30m.</v>
          </cell>
          <cell r="D105" t="str">
            <v>P.C.C. for R.C.C. for super structures in M25</v>
          </cell>
          <cell r="E105" t="str">
            <v>cum</v>
          </cell>
          <cell r="F105">
            <v>6537.9224999999997</v>
          </cell>
          <cell r="G105">
            <v>156.39999999999998</v>
          </cell>
          <cell r="H105">
            <v>804.99999999999989</v>
          </cell>
          <cell r="I105">
            <v>755.14749999999992</v>
          </cell>
          <cell r="J105">
            <v>4821.375</v>
          </cell>
        </row>
        <row r="106">
          <cell r="A106" t="str">
            <v>7.5</v>
          </cell>
          <cell r="B106" t="str">
            <v>7-5</v>
          </cell>
          <cell r="C106" t="str">
            <v>Cutting , bending , placing and binding of reinforcement steel bars for R.C.C. works including haulage distance of 30m</v>
          </cell>
          <cell r="D106" t="str">
            <v>Reinforcement work for R.C.C. work</v>
          </cell>
          <cell r="E106" t="str">
            <v>mt</v>
          </cell>
          <cell r="F106">
            <v>50542.5</v>
          </cell>
          <cell r="G106">
            <v>2346</v>
          </cell>
          <cell r="H106">
            <v>1380</v>
          </cell>
          <cell r="I106">
            <v>0</v>
          </cell>
          <cell r="J106">
            <v>46816.5</v>
          </cell>
        </row>
        <row r="108">
          <cell r="C108" t="str">
            <v>FORM WORKS</v>
          </cell>
        </row>
        <row r="109">
          <cell r="A109" t="str">
            <v>8.1.a</v>
          </cell>
          <cell r="B109" t="str">
            <v>8-1(a)</v>
          </cell>
          <cell r="C109" t="str">
            <v>Making wooden forms including selection of material, measuring, cutting , fixing, nailing as per specified drawings and hauling up to 30m and placing in position. [Simple standard forms, each form&lt; 1sqm]</v>
          </cell>
          <cell r="D109" t="str">
            <v>Simple standard formwork of size &lt;1 sqm excluding materials</v>
          </cell>
          <cell r="E109" t="str">
            <v>sqm</v>
          </cell>
          <cell r="F109">
            <v>81.696000000000012</v>
          </cell>
          <cell r="G109">
            <v>43.400999999999996</v>
          </cell>
          <cell r="H109">
            <v>38.295000000000002</v>
          </cell>
          <cell r="I109">
            <v>0</v>
          </cell>
          <cell r="J109">
            <v>0</v>
          </cell>
        </row>
        <row r="110">
          <cell r="A110" t="str">
            <v>8.1.b</v>
          </cell>
          <cell r="B110" t="str">
            <v>8-1(b)</v>
          </cell>
          <cell r="C110" t="str">
            <v>Making wooden forms including selection of material, measuring, cutting , fixing, nailing as per specified drawings and hauling up to 30m and placing in position. [Simple standard forms, each form&lt; 2sqm]</v>
          </cell>
          <cell r="D110" t="str">
            <v>Simple standard formwork of size &lt;2 sqm excluding materials</v>
          </cell>
          <cell r="E110" t="str">
            <v>sqm</v>
          </cell>
          <cell r="F110">
            <v>66.828800000000015</v>
          </cell>
          <cell r="G110">
            <v>35.502800000000001</v>
          </cell>
          <cell r="H110">
            <v>31.326000000000001</v>
          </cell>
          <cell r="I110">
            <v>0</v>
          </cell>
          <cell r="J110">
            <v>0</v>
          </cell>
        </row>
        <row r="111">
          <cell r="A111" t="str">
            <v>8.1.c</v>
          </cell>
          <cell r="B111" t="str">
            <v>8-1(c)</v>
          </cell>
          <cell r="C111" t="str">
            <v>Making wooden forms including selection of material, measuring, cutting , fixing, nailing as per specified drawings and hauling up to 30m and placing in position. [Standard forms, each form&lt; 1sqm]</v>
          </cell>
          <cell r="D111" t="str">
            <v>Standard formwork of size &lt;1 sqm excluding materials</v>
          </cell>
          <cell r="E111" t="str">
            <v>sqm</v>
          </cell>
          <cell r="F111">
            <v>58.279699999999998</v>
          </cell>
          <cell r="G111">
            <v>30.967199999999998</v>
          </cell>
          <cell r="H111">
            <v>27.312499999999996</v>
          </cell>
          <cell r="I111">
            <v>0</v>
          </cell>
          <cell r="J111">
            <v>0</v>
          </cell>
        </row>
        <row r="112">
          <cell r="A112" t="str">
            <v>8.1.d</v>
          </cell>
          <cell r="B112" t="str">
            <v>8-1(d)</v>
          </cell>
          <cell r="C112" t="str">
            <v>Making wooden forms including selection of material, measuring, cutting , fixing, nailing as per specified drawings and hauling up to 30m and placing in position. [Standard forms, each form&gt; 1sqm]</v>
          </cell>
          <cell r="D112" t="str">
            <v>Standard formwork of size &gt;1 sqm excluding materials</v>
          </cell>
          <cell r="E112" t="str">
            <v>sqm</v>
          </cell>
          <cell r="F112">
            <v>46.662399999999998</v>
          </cell>
          <cell r="G112">
            <v>24.789400000000001</v>
          </cell>
          <cell r="H112">
            <v>21.872999999999998</v>
          </cell>
          <cell r="I112">
            <v>0</v>
          </cell>
          <cell r="J112">
            <v>0</v>
          </cell>
        </row>
        <row r="113">
          <cell r="A113" t="str">
            <v>8.2.a</v>
          </cell>
          <cell r="B113" t="str">
            <v>8-2(a)</v>
          </cell>
          <cell r="C113" t="str">
            <v>Making wooden forms for beam, column and slab including supply &amp; selection of material, fixing, nailing, placing separators, dismantling forms and hauling up to 30m distance</v>
          </cell>
          <cell r="D113" t="str">
            <v>Formwork for flooring and slab including materials</v>
          </cell>
          <cell r="E113" t="str">
            <v>sqm</v>
          </cell>
          <cell r="F113">
            <v>180.82600000000002</v>
          </cell>
          <cell r="G113">
            <v>33.625999999999998</v>
          </cell>
          <cell r="H113">
            <v>29.554999999999996</v>
          </cell>
          <cell r="I113">
            <v>105.85749999999999</v>
          </cell>
          <cell r="J113">
            <v>11.7875</v>
          </cell>
        </row>
        <row r="114">
          <cell r="A114" t="str">
            <v>8.2.b</v>
          </cell>
          <cell r="B114" t="str">
            <v>8-2(b)</v>
          </cell>
          <cell r="C114" t="str">
            <v>Making wooden forms for vertical surface, wall etc. (4m high &amp; up to 0.5 m wide) including supply &amp; selection of material, fixing, nailing, placing separators, dismantling forms and hauling up to 30m distance</v>
          </cell>
          <cell r="D114" t="str">
            <v>Formwork for wall (4 m height and 0.5 m wide) including materials</v>
          </cell>
          <cell r="E114" t="str">
            <v>sqm</v>
          </cell>
          <cell r="F114">
            <v>169.947</v>
          </cell>
          <cell r="G114">
            <v>28.151999999999994</v>
          </cell>
          <cell r="H114">
            <v>24.150000000000002</v>
          </cell>
          <cell r="I114">
            <v>105.85749999999999</v>
          </cell>
          <cell r="J114">
            <v>11.7875</v>
          </cell>
        </row>
        <row r="115">
          <cell r="A115" t="str">
            <v>8.2.c</v>
          </cell>
          <cell r="B115" t="str">
            <v>8-2(c)</v>
          </cell>
          <cell r="C115" t="str">
            <v>Making wooden forms for vertical surface, wall etc. (4.5m high &amp; up to 0.5 m wide) including supply &amp; selection of material, fixing, nailing, placing separators, dismantling forms and hauling up to 30m distance</v>
          </cell>
          <cell r="D115" t="str">
            <v>Formwork for wall (4.5 m height and 0.5 m wide) including materials</v>
          </cell>
          <cell r="E115" t="str">
            <v>sqm</v>
          </cell>
          <cell r="F115">
            <v>250.62870000000001</v>
          </cell>
          <cell r="G115">
            <v>62.3645</v>
          </cell>
          <cell r="H115">
            <v>35.65</v>
          </cell>
          <cell r="I115">
            <v>137.85625000000002</v>
          </cell>
          <cell r="J115">
            <v>14.757949999999999</v>
          </cell>
        </row>
        <row r="116">
          <cell r="A116" t="str">
            <v>8.2.d</v>
          </cell>
          <cell r="B116" t="str">
            <v>8-2(d)</v>
          </cell>
          <cell r="C116" t="str">
            <v>Making wooden forms for vertical surface, wall etc. (5-10m high &amp; up to 0.5 m wide) including supply &amp; selection of material, fixing, nailing, placing separators, dismantling forms and hauling up to 30m distance</v>
          </cell>
          <cell r="D116" t="str">
            <v>Formwork for wall (5 to 10 m height and 0.5 m wide) including materials</v>
          </cell>
          <cell r="E116" t="str">
            <v>sqm</v>
          </cell>
          <cell r="F116">
            <v>517.83695</v>
          </cell>
          <cell r="G116">
            <v>101.4645</v>
          </cell>
          <cell r="H116">
            <v>86.25</v>
          </cell>
          <cell r="I116">
            <v>297.44749999999993</v>
          </cell>
          <cell r="J116">
            <v>32.674949999999995</v>
          </cell>
        </row>
        <row r="117">
          <cell r="A117" t="str">
            <v>8.2.e</v>
          </cell>
          <cell r="B117" t="str">
            <v>8-2(e)</v>
          </cell>
          <cell r="C117" t="str">
            <v>Making wooden forms for vertical surface, wall etc. (5m high &amp; up to 0.5-1.0 m wide) including supply &amp; selection of material, fixing, nailing, placing separators, dismantling forms and hauling up to 30m distance</v>
          </cell>
          <cell r="D117" t="str">
            <v>Formwork for wall (5 m height and 0.5 to 1 m wide) including materials</v>
          </cell>
          <cell r="E117" t="str">
            <v>sqm</v>
          </cell>
          <cell r="F117">
            <v>142.7955</v>
          </cell>
          <cell r="G117">
            <v>42.228000000000002</v>
          </cell>
          <cell r="H117">
            <v>37.26</v>
          </cell>
          <cell r="I117">
            <v>51.52</v>
          </cell>
          <cell r="J117">
            <v>11.7875</v>
          </cell>
        </row>
        <row r="118">
          <cell r="A118" t="str">
            <v>8.2.f</v>
          </cell>
          <cell r="B118" t="str">
            <v>8-2(f)</v>
          </cell>
          <cell r="C118" t="str">
            <v>Making wooden forms for vertical surface, wall etc. (5-10m high &amp; up to 0.5-1.0 m wide) including supply &amp; selection of material, fixing, nailing, placing separators, dismantling forms and hauling up to 30m distance</v>
          </cell>
          <cell r="D118" t="str">
            <v>Formwork for wall (5 m height and 0.5 to 1 m wide) including materials</v>
          </cell>
          <cell r="E118" t="str">
            <v>sqm</v>
          </cell>
          <cell r="F118">
            <v>489.32499999999993</v>
          </cell>
          <cell r="G118">
            <v>100.87799999999999</v>
          </cell>
          <cell r="H118">
            <v>87.86</v>
          </cell>
          <cell r="I118">
            <v>270.88249999999994</v>
          </cell>
          <cell r="J118">
            <v>29.704499999999999</v>
          </cell>
        </row>
        <row r="120">
          <cell r="C120" t="str">
            <v>WOOD WORKS</v>
          </cell>
        </row>
        <row r="121">
          <cell r="A121">
            <v>10.1</v>
          </cell>
          <cell r="B121" t="str">
            <v>10-1</v>
          </cell>
          <cell r="C121" t="str">
            <v>Fabrication and installation of Salwood frame for door and windows</v>
          </cell>
          <cell r="D121" t="str">
            <v>Salwood frame work for door and windows</v>
          </cell>
          <cell r="E121" t="str">
            <v>cum</v>
          </cell>
          <cell r="F121">
            <v>54763.46</v>
          </cell>
          <cell r="G121">
            <v>6646.9999999999991</v>
          </cell>
          <cell r="H121">
            <v>390.99999999999994</v>
          </cell>
          <cell r="I121">
            <v>46805</v>
          </cell>
          <cell r="J121">
            <v>920.45999999999992</v>
          </cell>
        </row>
        <row r="122">
          <cell r="A122">
            <v>10.199999999999999</v>
          </cell>
          <cell r="B122" t="str">
            <v>10-2</v>
          </cell>
          <cell r="C122" t="str">
            <v>Fabrication and installation of panel shutter in 38 x 75 mm salwood frame (based on shutter size 1.07 x 1.982 = 2.12 sqm)</v>
          </cell>
          <cell r="D122" t="str">
            <v>Panel shutter work in 38 x 75 mm salwood frame</v>
          </cell>
          <cell r="E122" t="str">
            <v>sqm</v>
          </cell>
          <cell r="F122">
            <v>3071.584905660377</v>
          </cell>
          <cell r="G122">
            <v>922.16981132075455</v>
          </cell>
          <cell r="H122">
            <v>54.245283018867916</v>
          </cell>
          <cell r="I122">
            <v>1685.943396226415</v>
          </cell>
          <cell r="J122">
            <v>409.22641509433959</v>
          </cell>
        </row>
        <row r="123">
          <cell r="A123">
            <v>10.3</v>
          </cell>
          <cell r="B123" t="str">
            <v>10-3</v>
          </cell>
          <cell r="C123" t="str">
            <v>Fabrication and installation of glazed shutter with 4mm float glass in 38 x 75 mm salwood frame (based on shutter size 1.829 x 1.22 = 2.23sqm)</v>
          </cell>
          <cell r="D123" t="str">
            <v xml:space="preserve">Glazed shutter work with 4mm float glass in 38 x 75 mm salwood frame </v>
          </cell>
          <cell r="E123" t="str">
            <v>sqm</v>
          </cell>
          <cell r="F123">
            <v>2113.6938116591928</v>
          </cell>
          <cell r="G123">
            <v>789.01345291479811</v>
          </cell>
          <cell r="H123">
            <v>46.412556053811656</v>
          </cell>
          <cell r="I123">
            <v>934.95515695067252</v>
          </cell>
          <cell r="J123">
            <v>343.31264573991029</v>
          </cell>
        </row>
        <row r="124">
          <cell r="A124">
            <v>10.7</v>
          </cell>
          <cell r="B124" t="str">
            <v>10-7</v>
          </cell>
          <cell r="C124" t="str">
            <v>Fabrication and installation of Flush shutter with 4mm thick commercial plywood in both side in 38 x 75 mm salwood frame (based on shutter size 1.092 x 2.058 = 2.25sqm)</v>
          </cell>
          <cell r="D124" t="str">
            <v xml:space="preserve">Flush shutter work with 4mm plywood in both side in 38 x 75 mm salwood frame </v>
          </cell>
          <cell r="E124" t="str">
            <v>sqm</v>
          </cell>
          <cell r="F124">
            <v>1776.9288888888889</v>
          </cell>
          <cell r="G124">
            <v>608.22222222222217</v>
          </cell>
          <cell r="H124">
            <v>35.777777777777779</v>
          </cell>
          <cell r="I124">
            <v>891.99111111111097</v>
          </cell>
          <cell r="J124">
            <v>240.93777777777774</v>
          </cell>
        </row>
        <row r="125">
          <cell r="A125">
            <v>10.8</v>
          </cell>
          <cell r="B125" t="str">
            <v>10-8</v>
          </cell>
          <cell r="C125" t="str">
            <v>Fabrication and installation of Flush shutter with 3mm thick teakply on bothside in 38 x 75 mm salwood frame (based on shutter size 1.092 x 2.058 = 2.25sqm)</v>
          </cell>
          <cell r="D125" t="str">
            <v>Flush shutter with 3mm teakply on bothside in 38 x 75 mm salwood frame</v>
          </cell>
          <cell r="E125" t="str">
            <v>sqm</v>
          </cell>
          <cell r="F125">
            <v>1864.8655555555556</v>
          </cell>
          <cell r="G125">
            <v>608.22222222222217</v>
          </cell>
          <cell r="H125">
            <v>35.777777777777779</v>
          </cell>
          <cell r="I125">
            <v>654.32444444444445</v>
          </cell>
          <cell r="J125">
            <v>566.54111111111115</v>
          </cell>
        </row>
        <row r="126">
          <cell r="A126">
            <v>10.9</v>
          </cell>
          <cell r="B126" t="str">
            <v>10-9</v>
          </cell>
          <cell r="C126" t="str">
            <v>Fabrication and installation of Flush shutter with 18 gauge Aluminium sheet on bothside in 38 x 75 mm salwood frame (based on shutter size 1.092 x 2.058 = 2.25sqm)</v>
          </cell>
          <cell r="D126" t="str">
            <v>Flush shutter work with 18 gauge Aluminium sheet on bothside in 38 x 75 mm salwood frame</v>
          </cell>
          <cell r="E126" t="str">
            <v>sqm</v>
          </cell>
          <cell r="F126">
            <v>3346.2894222222221</v>
          </cell>
          <cell r="G126">
            <v>608.22222222222217</v>
          </cell>
          <cell r="H126">
            <v>35.777777777777779</v>
          </cell>
          <cell r="I126">
            <v>654.32444444444445</v>
          </cell>
          <cell r="J126">
            <v>2047.9649777777781</v>
          </cell>
        </row>
        <row r="127">
          <cell r="A127" t="str">
            <v>10.9.1</v>
          </cell>
          <cell r="B127" t="str">
            <v>10-9</v>
          </cell>
          <cell r="C127" t="str">
            <v>Fabrication and installation of Flush door with 18 gauge Aluminium sheet on oneside and 3mm plywood on otherside in 38 x 75 mm salwood frame (based on shutter size 1.092 x 2.058 = 2.25sqm)</v>
          </cell>
          <cell r="D127" t="str">
            <v>Flush door work with 18 gauge Aluminium sheet on oneside and 3mm plywood on otherside in 38 x 75 mm salwood frame</v>
          </cell>
          <cell r="E127" t="str">
            <v>sqm</v>
          </cell>
          <cell r="F127">
            <v>2585.8869333333332</v>
          </cell>
          <cell r="G127">
            <v>608.22222222222217</v>
          </cell>
          <cell r="H127">
            <v>35.777777777777779</v>
          </cell>
          <cell r="I127">
            <v>654.32444444444445</v>
          </cell>
          <cell r="J127">
            <v>1287.5624888888892</v>
          </cell>
        </row>
        <row r="128">
          <cell r="A128" t="str">
            <v>10.10</v>
          </cell>
          <cell r="B128" t="str">
            <v>10-10</v>
          </cell>
          <cell r="C128" t="str">
            <v>Fabrication and installation of shutter with 24 gauge G.I. mosquito net in 38 x 75 mm salwood frame (based on shutter size 1.092 x 2.058 = 2.25sqm)</v>
          </cell>
          <cell r="D128" t="str">
            <v>Meshed shutter work with 24 gauge G.I. mosquito net in 38 x 75 mm salwood frame</v>
          </cell>
          <cell r="E128" t="str">
            <v>sqm</v>
          </cell>
          <cell r="F128">
            <v>1323.2666666666667</v>
          </cell>
          <cell r="G128">
            <v>434.4444444444444</v>
          </cell>
          <cell r="H128">
            <v>25.555555555555554</v>
          </cell>
          <cell r="I128">
            <v>491.68888888888887</v>
          </cell>
          <cell r="J128">
            <v>371.57777777777778</v>
          </cell>
        </row>
        <row r="129">
          <cell r="A129" t="str">
            <v>10.11.a</v>
          </cell>
          <cell r="B129" t="str">
            <v>10-11</v>
          </cell>
          <cell r="C129" t="str">
            <v>Installation of 3mm Float glass in timber frame with Salwood bead</v>
          </cell>
          <cell r="D129" t="str">
            <v>Installation of 3mm Float glass in Salwood frame with Salwood bead for closed window</v>
          </cell>
          <cell r="E129" t="str">
            <v>sqm</v>
          </cell>
          <cell r="F129">
            <v>484.019475</v>
          </cell>
          <cell r="G129">
            <v>11.729999999999999</v>
          </cell>
          <cell r="H129">
            <v>0.69</v>
          </cell>
          <cell r="I129">
            <v>62.084474999999998</v>
          </cell>
          <cell r="J129">
            <v>409.51499999999999</v>
          </cell>
        </row>
        <row r="130">
          <cell r="A130" t="str">
            <v>10.11.b</v>
          </cell>
          <cell r="B130" t="str">
            <v>10-11</v>
          </cell>
          <cell r="C130" t="str">
            <v>Installation of 4mm Float glass in timber frame with Salwood bead</v>
          </cell>
          <cell r="D130" t="str">
            <v>Installation of 4mm Float glass in Salwood frame with Salwood bead for closed window</v>
          </cell>
          <cell r="E130" t="str">
            <v>sqm</v>
          </cell>
          <cell r="F130">
            <v>484.019475</v>
          </cell>
          <cell r="G130">
            <v>11.729999999999999</v>
          </cell>
          <cell r="H130">
            <v>0.69</v>
          </cell>
          <cell r="I130">
            <v>62.084474999999998</v>
          </cell>
          <cell r="J130">
            <v>409.51499999999999</v>
          </cell>
        </row>
        <row r="131">
          <cell r="A131" t="str">
            <v>10.11.c</v>
          </cell>
          <cell r="B131" t="str">
            <v>10-11</v>
          </cell>
          <cell r="C131" t="str">
            <v>Installation of 5mm Float glass in timber frame with Salwood bead</v>
          </cell>
          <cell r="D131" t="str">
            <v>Installation of 5mm Float glass in Salwood frame with Salwood bead for closed window</v>
          </cell>
          <cell r="E131" t="str">
            <v>sqm</v>
          </cell>
          <cell r="F131">
            <v>564.97947499999998</v>
          </cell>
          <cell r="G131">
            <v>11.729999999999999</v>
          </cell>
          <cell r="H131">
            <v>0.69</v>
          </cell>
          <cell r="I131">
            <v>62.084474999999998</v>
          </cell>
          <cell r="J131">
            <v>490.47499999999997</v>
          </cell>
        </row>
        <row r="132">
          <cell r="A132" t="str">
            <v>10.11.d</v>
          </cell>
          <cell r="B132" t="str">
            <v>10-11</v>
          </cell>
          <cell r="C132" t="str">
            <v>Installation of 6mm Float glass in timber frame with Salwood bead</v>
          </cell>
          <cell r="D132" t="str">
            <v>Installation of 6mm Float glass in Salwood frame with Salwood bead for closed window</v>
          </cell>
          <cell r="E132" t="str">
            <v>sqm</v>
          </cell>
          <cell r="F132">
            <v>645.93947500000002</v>
          </cell>
          <cell r="G132">
            <v>11.729999999999999</v>
          </cell>
          <cell r="H132">
            <v>0.69</v>
          </cell>
          <cell r="I132">
            <v>62.084474999999998</v>
          </cell>
          <cell r="J132">
            <v>571.43499999999995</v>
          </cell>
        </row>
        <row r="134">
          <cell r="C134" t="str">
            <v>FLOORING WORKS</v>
          </cell>
        </row>
        <row r="135">
          <cell r="A135" t="str">
            <v>11.1.a</v>
          </cell>
          <cell r="B135" t="str">
            <v>11-1(a)</v>
          </cell>
          <cell r="C135" t="str">
            <v>25 mm thick plain cement concrete work in M15 concrete mix in flooring work including materials, required form work, curing all complete works</v>
          </cell>
          <cell r="D135" t="str">
            <v>25 mm PCC in M15 concrete mix in flooring work</v>
          </cell>
          <cell r="E135" t="str">
            <v>sqm</v>
          </cell>
          <cell r="F135">
            <v>124.38399999999999</v>
          </cell>
          <cell r="G135">
            <v>21.505000000000003</v>
          </cell>
          <cell r="H135">
            <v>17.25</v>
          </cell>
          <cell r="I135">
            <v>20.423999999999999</v>
          </cell>
          <cell r="J135">
            <v>65.204999999999998</v>
          </cell>
        </row>
        <row r="136">
          <cell r="A136" t="str">
            <v>11.1.b</v>
          </cell>
          <cell r="B136" t="str">
            <v>11-1(b)</v>
          </cell>
          <cell r="C136" t="str">
            <v>38 mm thick plain cement concrete work in M15 concrete mix in flooring work including materials, required form work, curing all complete works</v>
          </cell>
          <cell r="D136" t="str">
            <v>38 mm PCC in M15 concrete mix in flooring work</v>
          </cell>
          <cell r="E136" t="str">
            <v>sqm</v>
          </cell>
          <cell r="F136">
            <v>173.29350000000002</v>
          </cell>
          <cell r="G136">
            <v>24.437499999999996</v>
          </cell>
          <cell r="H136">
            <v>22.999999999999996</v>
          </cell>
          <cell r="I136">
            <v>31.670999999999992</v>
          </cell>
          <cell r="J136">
            <v>94.184999999999988</v>
          </cell>
        </row>
        <row r="137">
          <cell r="A137" t="str">
            <v>11.1.c</v>
          </cell>
          <cell r="B137" t="str">
            <v>11-1(c)</v>
          </cell>
          <cell r="C137" t="str">
            <v>50 mm thick plain cement concrete work in M15 concrete mix in flooring work including materials, required form work, curing all complete works</v>
          </cell>
          <cell r="D137" t="str">
            <v>50 mm PCC in M15 concrete mix in flooring work</v>
          </cell>
          <cell r="E137" t="str">
            <v>sqm</v>
          </cell>
          <cell r="F137">
            <v>222.11100000000002</v>
          </cell>
          <cell r="G137">
            <v>24.437499999999996</v>
          </cell>
          <cell r="H137">
            <v>28.75</v>
          </cell>
          <cell r="I137">
            <v>45.758499999999991</v>
          </cell>
          <cell r="J137">
            <v>123.16499999999999</v>
          </cell>
        </row>
        <row r="138">
          <cell r="A138" t="str">
            <v>11.1.d</v>
          </cell>
          <cell r="B138" t="str">
            <v>11-1(d)</v>
          </cell>
          <cell r="C138" t="str">
            <v>75 mm thick plain cement concrete work in M15 concrete mix in flooring work including materials, required form work, curing all complete works</v>
          </cell>
          <cell r="D138" t="str">
            <v>75 mm PCC in M15 concrete mix in flooring work</v>
          </cell>
          <cell r="E138" t="str">
            <v>sqm</v>
          </cell>
          <cell r="F138">
            <v>314.95049999999998</v>
          </cell>
          <cell r="G138">
            <v>24.437499999999996</v>
          </cell>
          <cell r="H138">
            <v>34.5</v>
          </cell>
          <cell r="I138">
            <v>67.643000000000001</v>
          </cell>
          <cell r="J138">
            <v>188.36999999999998</v>
          </cell>
        </row>
        <row r="139">
          <cell r="A139">
            <v>11.4</v>
          </cell>
          <cell r="B139" t="str">
            <v>11-4</v>
          </cell>
          <cell r="C139" t="str">
            <v>20mm thick mosaic flooring with 12.5 thick cement plaster (1:2) base course and 6.5 mm thick marble chips white cement (1:1) surface course including rubbing and polishing</v>
          </cell>
          <cell r="D139" t="str">
            <v>20mm mosaic flooring with white cement in (1:1) over 12.5 thick cement plaster (1:2)</v>
          </cell>
          <cell r="E139" t="str">
            <v>sqm</v>
          </cell>
          <cell r="F139">
            <v>674.95593000000008</v>
          </cell>
          <cell r="G139">
            <v>68.424999999999997</v>
          </cell>
          <cell r="H139">
            <v>414</v>
          </cell>
          <cell r="I139">
            <v>4.6298999999999992</v>
          </cell>
          <cell r="J139">
            <v>187.90102999999999</v>
          </cell>
        </row>
        <row r="140">
          <cell r="A140" t="str">
            <v>11.6.1</v>
          </cell>
          <cell r="B140" t="str">
            <v>11-6</v>
          </cell>
          <cell r="C140" t="str">
            <v>20 mm thick marble flooring on 20mm thick 1:2 cement sand mortar including rubbing and polishing</v>
          </cell>
          <cell r="D140" t="str">
            <v>20 mm marble flooring on 20mm thick 1:2 mortar</v>
          </cell>
          <cell r="E140" t="str">
            <v>sqm</v>
          </cell>
          <cell r="F140">
            <v>312.12954999999999</v>
          </cell>
          <cell r="G140">
            <v>39.099999999999994</v>
          </cell>
          <cell r="H140">
            <v>69</v>
          </cell>
          <cell r="I140">
            <v>5.6924999999999999</v>
          </cell>
          <cell r="J140">
            <v>198.33705</v>
          </cell>
        </row>
        <row r="141">
          <cell r="A141" t="str">
            <v>11.6.2</v>
          </cell>
          <cell r="B141" t="str">
            <v>11-6</v>
          </cell>
          <cell r="C141" t="str">
            <v>25 mm thick Kota stone flooring on 20mm thick 1:4 cement sand mortar including rubbing and polishing</v>
          </cell>
          <cell r="D141" t="str">
            <v>25 mm Kota stone flooring on 20mm thick 1:4 mortar</v>
          </cell>
          <cell r="E141" t="str">
            <v>sqm</v>
          </cell>
          <cell r="F141">
            <v>1131.12735</v>
          </cell>
          <cell r="G141">
            <v>39.099999999999994</v>
          </cell>
          <cell r="H141">
            <v>144.9</v>
          </cell>
          <cell r="I141">
            <v>8.3489999999999984</v>
          </cell>
          <cell r="J141">
            <v>938.77834999999993</v>
          </cell>
        </row>
        <row r="142">
          <cell r="A142">
            <v>11.7</v>
          </cell>
          <cell r="B142" t="str">
            <v>11-7</v>
          </cell>
          <cell r="C142" t="str">
            <v>Porcelain glazed tiles overlay in 1:4 cement sand mortar</v>
          </cell>
          <cell r="D142" t="str">
            <v>Porcelain glazed tiles overlay in 1:4 cement sand mortar</v>
          </cell>
          <cell r="E142" t="str">
            <v>sqm</v>
          </cell>
          <cell r="F142">
            <v>1180.42992</v>
          </cell>
          <cell r="G142">
            <v>254.15</v>
          </cell>
          <cell r="H142">
            <v>51.75</v>
          </cell>
          <cell r="I142">
            <v>5.7683999999999989</v>
          </cell>
          <cell r="J142">
            <v>868.76152000000002</v>
          </cell>
        </row>
        <row r="143">
          <cell r="A143" t="str">
            <v>11.7.1</v>
          </cell>
          <cell r="B143" t="str">
            <v>11-7</v>
          </cell>
          <cell r="C143" t="str">
            <v>Porcelain non-glazed tiles overlay in 1:4 cement sand mortar</v>
          </cell>
          <cell r="D143" t="str">
            <v>Porcelain non-glazed tiles overlay in 1:4 cement sand mortar</v>
          </cell>
          <cell r="E143" t="str">
            <v>sqm</v>
          </cell>
          <cell r="F143">
            <v>1180.42992</v>
          </cell>
          <cell r="G143">
            <v>254.15</v>
          </cell>
          <cell r="H143">
            <v>51.75</v>
          </cell>
          <cell r="I143">
            <v>5.7683999999999989</v>
          </cell>
          <cell r="J143">
            <v>868.76152000000002</v>
          </cell>
        </row>
        <row r="144">
          <cell r="A144" t="str">
            <v>11.15.a</v>
          </cell>
          <cell r="B144" t="str">
            <v>11-15(a)</v>
          </cell>
          <cell r="C144" t="str">
            <v xml:space="preserve">Brick soling on flat with sand </v>
          </cell>
          <cell r="D144" t="str">
            <v xml:space="preserve">Brick soling on flat with sand </v>
          </cell>
          <cell r="E144" t="str">
            <v>sqm</v>
          </cell>
          <cell r="F144">
            <v>188.2895</v>
          </cell>
          <cell r="G144">
            <v>9.7749999999999986</v>
          </cell>
          <cell r="H144">
            <v>11.499999999999998</v>
          </cell>
          <cell r="I144">
            <v>167.01449999999997</v>
          </cell>
          <cell r="J144">
            <v>0</v>
          </cell>
        </row>
        <row r="145">
          <cell r="A145" t="str">
            <v>11.15.b</v>
          </cell>
          <cell r="B145" t="str">
            <v>11-15(b)</v>
          </cell>
          <cell r="C145" t="str">
            <v xml:space="preserve">Brick soling on edge with sand </v>
          </cell>
          <cell r="D145" t="str">
            <v xml:space="preserve">Brick soling on edge with sand </v>
          </cell>
          <cell r="E145" t="str">
            <v>sqm</v>
          </cell>
          <cell r="F145">
            <v>333.99450000000002</v>
          </cell>
          <cell r="G145">
            <v>19.549999999999997</v>
          </cell>
          <cell r="H145">
            <v>37.374999999999993</v>
          </cell>
          <cell r="I145">
            <v>277.06950000000001</v>
          </cell>
          <cell r="J145">
            <v>0</v>
          </cell>
        </row>
        <row r="146">
          <cell r="A146">
            <v>11.16</v>
          </cell>
          <cell r="B146" t="str">
            <v>11-16</v>
          </cell>
          <cell r="C146" t="str">
            <v xml:space="preserve">Stone soling with sand </v>
          </cell>
          <cell r="D146" t="str">
            <v xml:space="preserve">Stone soling with sand </v>
          </cell>
          <cell r="E146" t="str">
            <v>cum</v>
          </cell>
          <cell r="F146">
            <v>1499.9449999999999</v>
          </cell>
          <cell r="G146">
            <v>195.49999999999997</v>
          </cell>
          <cell r="H146">
            <v>402.49999999999994</v>
          </cell>
          <cell r="I146">
            <v>901.94499999999982</v>
          </cell>
          <cell r="J146">
            <v>0</v>
          </cell>
        </row>
        <row r="147">
          <cell r="A147" t="str">
            <v>11.19.a</v>
          </cell>
          <cell r="B147" t="str">
            <v>11-19(a)</v>
          </cell>
          <cell r="C147" t="str">
            <v>Sand filling and compaction work with sprinkling of water</v>
          </cell>
          <cell r="D147" t="str">
            <v>Sand filling with compaction and sprinkling of water</v>
          </cell>
          <cell r="E147" t="str">
            <v>cum</v>
          </cell>
          <cell r="F147">
            <v>544.52499999999998</v>
          </cell>
          <cell r="G147">
            <v>127.075</v>
          </cell>
          <cell r="H147">
            <v>0</v>
          </cell>
          <cell r="I147">
            <v>417.45</v>
          </cell>
          <cell r="J147">
            <v>0</v>
          </cell>
        </row>
        <row r="148">
          <cell r="A148" t="str">
            <v>11.19.b</v>
          </cell>
          <cell r="B148" t="str">
            <v>11-19(b)</v>
          </cell>
          <cell r="C148" t="str">
            <v>Brick bats filling and compaction work with sprinkling of water</v>
          </cell>
          <cell r="D148" t="str">
            <v>Brick bats filling with compaction and sprinkling of water</v>
          </cell>
          <cell r="E148" t="str">
            <v>cum</v>
          </cell>
          <cell r="F148">
            <v>791.2</v>
          </cell>
          <cell r="G148">
            <v>127.075</v>
          </cell>
          <cell r="H148">
            <v>0</v>
          </cell>
          <cell r="I148">
            <v>664.12499999999989</v>
          </cell>
          <cell r="J148">
            <v>0</v>
          </cell>
        </row>
        <row r="150">
          <cell r="C150" t="str">
            <v>PLASTERING WORKS</v>
          </cell>
        </row>
        <row r="151">
          <cell r="A151" t="str">
            <v>12.1.a</v>
          </cell>
          <cell r="B151" t="str">
            <v>12-1(a)</v>
          </cell>
          <cell r="C151" t="str">
            <v>12.5 mm thick cement sand plastering works in 1:2 ration in walls and floor</v>
          </cell>
          <cell r="D151" t="str">
            <v>12.5 mm plastering works in 1:2 cement sand mortar</v>
          </cell>
          <cell r="E151" t="str">
            <v>sqm</v>
          </cell>
          <cell r="F151">
            <v>111.6949</v>
          </cell>
          <cell r="G151">
            <v>23.46</v>
          </cell>
          <cell r="H151">
            <v>18.399999999999999</v>
          </cell>
          <cell r="I151">
            <v>4.6298999999999992</v>
          </cell>
          <cell r="J151">
            <v>65.204999999999984</v>
          </cell>
        </row>
        <row r="152">
          <cell r="A152" t="str">
            <v>12.1.b</v>
          </cell>
          <cell r="B152" t="str">
            <v>12-1(b)</v>
          </cell>
          <cell r="C152" t="str">
            <v>12.5 mm thick cement sand plastering works in 1:3 ration in walls and floor</v>
          </cell>
          <cell r="D152" t="str">
            <v>12.5 mm plastering works in 1:3 cement sand mortar</v>
          </cell>
          <cell r="E152" t="str">
            <v>sqm</v>
          </cell>
          <cell r="F152">
            <v>91.998850000000004</v>
          </cell>
          <cell r="G152">
            <v>23.46</v>
          </cell>
          <cell r="H152">
            <v>18.399999999999999</v>
          </cell>
          <cell r="I152">
            <v>4.8575999999999997</v>
          </cell>
          <cell r="J152">
            <v>45.28125</v>
          </cell>
        </row>
        <row r="153">
          <cell r="A153" t="str">
            <v>12.1.c</v>
          </cell>
          <cell r="B153" t="str">
            <v>12-1(c)</v>
          </cell>
          <cell r="C153" t="str">
            <v>12.5 mm thick cement sand plastering works in 1:4 ration in walls and floor</v>
          </cell>
          <cell r="D153" t="str">
            <v>12.5 mm plastering works in 1:4 cement sand mortar</v>
          </cell>
          <cell r="E153" t="str">
            <v>sqm</v>
          </cell>
          <cell r="F153">
            <v>86.378799999999998</v>
          </cell>
          <cell r="G153">
            <v>23.46</v>
          </cell>
          <cell r="H153">
            <v>18.399999999999999</v>
          </cell>
          <cell r="I153">
            <v>5.5406999999999993</v>
          </cell>
          <cell r="J153">
            <v>38.978099999999998</v>
          </cell>
        </row>
        <row r="154">
          <cell r="A154" t="str">
            <v>12.1.d</v>
          </cell>
          <cell r="B154" t="str">
            <v>12-1(d)</v>
          </cell>
          <cell r="C154" t="str">
            <v>12.5 mm thick cement sand plastering works in 1:6 ration in walls and floor</v>
          </cell>
          <cell r="D154" t="str">
            <v>12.5 mm plastering works in 1:6 cement sand mortar</v>
          </cell>
          <cell r="E154" t="str">
            <v>sqm</v>
          </cell>
          <cell r="F154">
            <v>75.494050000000001</v>
          </cell>
          <cell r="G154">
            <v>23.46</v>
          </cell>
          <cell r="H154">
            <v>18.399999999999999</v>
          </cell>
          <cell r="I154">
            <v>5.9581499999999998</v>
          </cell>
          <cell r="J154">
            <v>27.675899999999999</v>
          </cell>
        </row>
        <row r="155">
          <cell r="A155" t="str">
            <v>12.4.a</v>
          </cell>
          <cell r="B155" t="str">
            <v>12-4(a)</v>
          </cell>
          <cell r="C155" t="str">
            <v>20 mm thick cement sand plastering works in 1:3 ration in walls and floor</v>
          </cell>
          <cell r="D155" t="str">
            <v>20 mm plastering works in 1:3 cement sand mortar</v>
          </cell>
          <cell r="E155" t="str">
            <v>sqm</v>
          </cell>
          <cell r="F155">
            <v>126.17225000000001</v>
          </cell>
          <cell r="G155">
            <v>27.37</v>
          </cell>
          <cell r="H155">
            <v>21.85</v>
          </cell>
          <cell r="I155">
            <v>7.4002499999999998</v>
          </cell>
          <cell r="J155">
            <v>69.551999999999992</v>
          </cell>
        </row>
        <row r="156">
          <cell r="A156" t="str">
            <v>12.4.b</v>
          </cell>
          <cell r="B156" t="str">
            <v>12-4(b)</v>
          </cell>
          <cell r="C156" t="str">
            <v>20 mm thick cement sand plastering works in 1:4 ration in walls and floor</v>
          </cell>
          <cell r="D156" t="str">
            <v>20 mm plastering works in 1:4 cement sand mortar</v>
          </cell>
          <cell r="E156" t="str">
            <v>sqm</v>
          </cell>
          <cell r="F156">
            <v>116.2535</v>
          </cell>
          <cell r="G156">
            <v>27.37</v>
          </cell>
          <cell r="H156">
            <v>21.85</v>
          </cell>
          <cell r="I156">
            <v>8.3490000000000002</v>
          </cell>
          <cell r="J156">
            <v>58.6845</v>
          </cell>
        </row>
        <row r="157">
          <cell r="A157" t="str">
            <v>12.4.c</v>
          </cell>
          <cell r="B157" t="str">
            <v>12-4(c)</v>
          </cell>
          <cell r="C157" t="str">
            <v>20 mm thick cement sand plastering works in 1:6 ration in walls and floor</v>
          </cell>
          <cell r="D157" t="str">
            <v>20 mm plastering works in 1:6 cement sand mortar</v>
          </cell>
          <cell r="E157" t="str">
            <v>sqm</v>
          </cell>
          <cell r="F157">
            <v>99.434750000000008</v>
          </cell>
          <cell r="G157">
            <v>27.37</v>
          </cell>
          <cell r="H157">
            <v>21.85</v>
          </cell>
          <cell r="I157">
            <v>8.9182499999999987</v>
          </cell>
          <cell r="J157">
            <v>41.296499999999988</v>
          </cell>
        </row>
        <row r="160">
          <cell r="C160" t="str">
            <v>PAINTING WORKS</v>
          </cell>
        </row>
        <row r="161">
          <cell r="A161" t="str">
            <v>13.3.a</v>
          </cell>
          <cell r="B161" t="str">
            <v>13-3(a)</v>
          </cell>
          <cell r="C161" t="str">
            <v>Laying base course for distemper paint</v>
          </cell>
          <cell r="D161" t="str">
            <v>Laying base course for distemper paint</v>
          </cell>
          <cell r="E161" t="str">
            <v>sqm</v>
          </cell>
          <cell r="F161">
            <v>17.71</v>
          </cell>
          <cell r="G161">
            <v>3.9099999999999993</v>
          </cell>
          <cell r="H161">
            <v>2.2999999999999998</v>
          </cell>
          <cell r="I161">
            <v>0</v>
          </cell>
          <cell r="J161">
            <v>11.5</v>
          </cell>
        </row>
        <row r="162">
          <cell r="A162" t="str">
            <v>13.3.b</v>
          </cell>
          <cell r="B162" t="str">
            <v>13-3(a)+(b)</v>
          </cell>
          <cell r="C162" t="str">
            <v>Laying base course and one coat of distemper paint</v>
          </cell>
          <cell r="D162" t="str">
            <v>Laying base course and one coat of distemper paint</v>
          </cell>
          <cell r="E162" t="str">
            <v>sqm</v>
          </cell>
          <cell r="F162">
            <v>33.263750000000002</v>
          </cell>
          <cell r="G162">
            <v>7.8199999999999985</v>
          </cell>
          <cell r="H162">
            <v>4.5999999999999996</v>
          </cell>
          <cell r="I162">
            <v>0</v>
          </cell>
          <cell r="J162">
            <v>20.84375</v>
          </cell>
        </row>
        <row r="163">
          <cell r="A163" t="str">
            <v>13.3.c</v>
          </cell>
          <cell r="B163" t="str">
            <v>13-3(a)+(b)+©</v>
          </cell>
          <cell r="C163" t="str">
            <v>Laying base course and two coats of distemper paint</v>
          </cell>
          <cell r="D163" t="str">
            <v>Laying base course and two coats of distemper paint</v>
          </cell>
          <cell r="E163" t="str">
            <v>sqm</v>
          </cell>
          <cell r="F163">
            <v>33.263750000000002</v>
          </cell>
          <cell r="G163">
            <v>7.8199999999999985</v>
          </cell>
          <cell r="H163">
            <v>4.5999999999999996</v>
          </cell>
          <cell r="I163">
            <v>0</v>
          </cell>
          <cell r="J163">
            <v>20.84375</v>
          </cell>
        </row>
        <row r="164">
          <cell r="A164" t="str">
            <v>13.4.a</v>
          </cell>
          <cell r="B164" t="str">
            <v>13-4(a)</v>
          </cell>
          <cell r="C164" t="str">
            <v>Laying one coat of water proof cement paint</v>
          </cell>
          <cell r="D164" t="str">
            <v>Laying one coat of water proof cement paint</v>
          </cell>
          <cell r="E164" t="str">
            <v>sqm</v>
          </cell>
          <cell r="F164">
            <v>22.528499999999998</v>
          </cell>
          <cell r="G164">
            <v>3.3234999999999997</v>
          </cell>
          <cell r="H164">
            <v>1.9549999999999996</v>
          </cell>
          <cell r="I164">
            <v>0</v>
          </cell>
          <cell r="J164">
            <v>17.249999999999996</v>
          </cell>
        </row>
        <row r="165">
          <cell r="A165" t="str">
            <v>13.4.b</v>
          </cell>
          <cell r="B165" t="str">
            <v>13-4(b)</v>
          </cell>
          <cell r="C165" t="str">
            <v>Laying two coat of water proof cement paint</v>
          </cell>
          <cell r="D165" t="str">
            <v>Laying two coat of water proof cement paint</v>
          </cell>
          <cell r="E165" t="str">
            <v>sqm</v>
          </cell>
          <cell r="F165">
            <v>43.412500000000001</v>
          </cell>
          <cell r="G165">
            <v>9.7749999999999986</v>
          </cell>
          <cell r="H165">
            <v>5.75</v>
          </cell>
          <cell r="I165">
            <v>0</v>
          </cell>
          <cell r="J165">
            <v>27.887499999999999</v>
          </cell>
        </row>
        <row r="166">
          <cell r="A166" t="str">
            <v>13.5.a</v>
          </cell>
          <cell r="B166" t="str">
            <v>13-5(a)</v>
          </cell>
          <cell r="C166" t="str">
            <v>Laying primer course for enamel paint</v>
          </cell>
          <cell r="D166" t="str">
            <v>Laying primer course for enamel paint</v>
          </cell>
          <cell r="E166" t="str">
            <v>sqm</v>
          </cell>
          <cell r="F166">
            <v>25.150500000000001</v>
          </cell>
          <cell r="G166">
            <v>5.8650000000000002</v>
          </cell>
          <cell r="H166">
            <v>3.45</v>
          </cell>
          <cell r="I166">
            <v>0</v>
          </cell>
          <cell r="J166">
            <v>15.8355</v>
          </cell>
        </row>
        <row r="167">
          <cell r="A167" t="str">
            <v>13.5.b</v>
          </cell>
          <cell r="B167" t="str">
            <v>13-5(a)+(b)</v>
          </cell>
          <cell r="C167" t="str">
            <v>Laying primer course and one coat of readymade Ist grade enamel paint</v>
          </cell>
          <cell r="D167" t="str">
            <v>Laying primer course and one coat of enamel paint</v>
          </cell>
          <cell r="E167" t="str">
            <v>sqm</v>
          </cell>
          <cell r="F167">
            <v>59.478000000000002</v>
          </cell>
          <cell r="G167">
            <v>15.639999999999997</v>
          </cell>
          <cell r="H167">
            <v>5.75</v>
          </cell>
          <cell r="I167">
            <v>0</v>
          </cell>
          <cell r="J167">
            <v>38.087999999999994</v>
          </cell>
        </row>
        <row r="168">
          <cell r="A168" t="str">
            <v>13.5.c</v>
          </cell>
          <cell r="B168" t="str">
            <v>13-5(a)+(b)+©</v>
          </cell>
          <cell r="C168" t="str">
            <v>Laying primer course and two coats of readymade Ist grade enamel paint</v>
          </cell>
          <cell r="D168" t="str">
            <v>Laying primer course and two coats of enamel paint</v>
          </cell>
          <cell r="E168" t="str">
            <v>sqm</v>
          </cell>
          <cell r="F168">
            <v>88.055499999999995</v>
          </cell>
          <cell r="G168">
            <v>23.46</v>
          </cell>
          <cell r="H168">
            <v>9.1999999999999993</v>
          </cell>
          <cell r="I168">
            <v>0</v>
          </cell>
          <cell r="J168">
            <v>55.395499999999991</v>
          </cell>
        </row>
        <row r="169">
          <cell r="A169" t="str">
            <v>13.5.a.1</v>
          </cell>
          <cell r="B169" t="str">
            <v>13-5(a)</v>
          </cell>
          <cell r="C169" t="str">
            <v>Laying cement primer for plastic emulsion</v>
          </cell>
          <cell r="D169" t="str">
            <v>Laying cement primer for plastic emulsion</v>
          </cell>
          <cell r="E169" t="str">
            <v>sqm</v>
          </cell>
          <cell r="F169">
            <v>25.150500000000001</v>
          </cell>
          <cell r="G169">
            <v>5.8650000000000002</v>
          </cell>
          <cell r="H169">
            <v>3.45</v>
          </cell>
          <cell r="I169">
            <v>0</v>
          </cell>
          <cell r="J169">
            <v>15.8355</v>
          </cell>
        </row>
        <row r="170">
          <cell r="A170" t="str">
            <v>13.5.b</v>
          </cell>
          <cell r="B170" t="str">
            <v>13-5(a)+(b)</v>
          </cell>
          <cell r="C170" t="str">
            <v>Laying cement primer and one coat of readymade Ist grade plastic emulsion</v>
          </cell>
          <cell r="D170" t="str">
            <v>Laying cement primer and one coat of plastic emulsion</v>
          </cell>
          <cell r="E170" t="str">
            <v>sqm</v>
          </cell>
          <cell r="F170">
            <v>59.478000000000002</v>
          </cell>
          <cell r="G170">
            <v>15.639999999999997</v>
          </cell>
          <cell r="H170">
            <v>5.75</v>
          </cell>
          <cell r="I170">
            <v>0</v>
          </cell>
          <cell r="J170">
            <v>38.087999999999994</v>
          </cell>
        </row>
        <row r="171">
          <cell r="A171" t="str">
            <v>13.5.c.1</v>
          </cell>
          <cell r="B171" t="str">
            <v>13-5(a)+(b)+©</v>
          </cell>
          <cell r="C171" t="str">
            <v>Laying cement primer and two coats of readymade Ist grade plastic emulsion</v>
          </cell>
          <cell r="D171" t="str">
            <v>Laying cement primer and two coats of plastic emulsion</v>
          </cell>
          <cell r="E171" t="str">
            <v>sqm</v>
          </cell>
          <cell r="F171">
            <v>99.095499999999987</v>
          </cell>
          <cell r="G171">
            <v>23.46</v>
          </cell>
          <cell r="H171">
            <v>9.1999999999999993</v>
          </cell>
          <cell r="I171">
            <v>0</v>
          </cell>
          <cell r="J171">
            <v>66.43549999999999</v>
          </cell>
        </row>
        <row r="172">
          <cell r="A172" t="str">
            <v>13.8.a</v>
          </cell>
          <cell r="B172" t="str">
            <v>13-8(a)</v>
          </cell>
          <cell r="C172" t="str">
            <v>Laying one coat of boiled linseed oil</v>
          </cell>
          <cell r="D172" t="str">
            <v>Laying one coat of boiled linseed oil</v>
          </cell>
          <cell r="E172" t="str">
            <v>sqm</v>
          </cell>
          <cell r="F172">
            <v>11.04</v>
          </cell>
          <cell r="G172">
            <v>3.9099999999999993</v>
          </cell>
          <cell r="H172">
            <v>2.2999999999999998</v>
          </cell>
          <cell r="I172">
            <v>0</v>
          </cell>
          <cell r="J172">
            <v>4.8299999999999992</v>
          </cell>
        </row>
        <row r="173">
          <cell r="A173" t="str">
            <v>13.8.b</v>
          </cell>
          <cell r="B173" t="str">
            <v>13-8(a)+(b)</v>
          </cell>
          <cell r="C173" t="str">
            <v>Laying two coats of boiled linseed oil</v>
          </cell>
          <cell r="D173" t="str">
            <v>Laying two coats of boiled linseed oil</v>
          </cell>
          <cell r="E173" t="str">
            <v>sqm</v>
          </cell>
          <cell r="F173">
            <v>21.274999999999999</v>
          </cell>
          <cell r="G173">
            <v>7.8199999999999985</v>
          </cell>
          <cell r="H173">
            <v>4.5999999999999996</v>
          </cell>
          <cell r="I173">
            <v>0</v>
          </cell>
          <cell r="J173">
            <v>8.8549999999999986</v>
          </cell>
        </row>
        <row r="174">
          <cell r="A174" t="str">
            <v>13.9.a</v>
          </cell>
          <cell r="B174" t="str">
            <v>13-9(a)</v>
          </cell>
          <cell r="C174" t="str">
            <v>Laying one coat of varnish</v>
          </cell>
          <cell r="D174" t="str">
            <v>Laying one coat of varnish</v>
          </cell>
          <cell r="E174" t="str">
            <v>sqm</v>
          </cell>
          <cell r="F174">
            <v>10.925000000000001</v>
          </cell>
          <cell r="G174">
            <v>5.8650000000000002</v>
          </cell>
          <cell r="H174">
            <v>2.2999999999999998</v>
          </cell>
          <cell r="I174">
            <v>0</v>
          </cell>
          <cell r="J174">
            <v>2.76</v>
          </cell>
        </row>
        <row r="175">
          <cell r="A175" t="str">
            <v>13.9.b</v>
          </cell>
          <cell r="B175" t="str">
            <v>13-9(a)+(b)</v>
          </cell>
          <cell r="C175" t="str">
            <v>Laying two coats of varnish</v>
          </cell>
          <cell r="D175" t="str">
            <v>Laying two coats of varnish</v>
          </cell>
          <cell r="E175" t="str">
            <v>sqm</v>
          </cell>
          <cell r="F175">
            <v>21.39</v>
          </cell>
          <cell r="G175">
            <v>11.73</v>
          </cell>
          <cell r="H175">
            <v>4.5999999999999996</v>
          </cell>
          <cell r="I175">
            <v>0</v>
          </cell>
          <cell r="J175">
            <v>5.0599999999999996</v>
          </cell>
        </row>
        <row r="176">
          <cell r="A176" t="str">
            <v>13.10.a</v>
          </cell>
          <cell r="B176" t="str">
            <v>13-10(a)</v>
          </cell>
          <cell r="C176" t="str">
            <v>Laying one coat of bitumen paint</v>
          </cell>
          <cell r="D176" t="str">
            <v>Laying one coat of bitumen paint</v>
          </cell>
          <cell r="E176" t="str">
            <v>sqm</v>
          </cell>
          <cell r="F176">
            <v>15.352499999999999</v>
          </cell>
          <cell r="G176">
            <v>2.9325000000000001</v>
          </cell>
          <cell r="H176">
            <v>1.1499999999999999</v>
          </cell>
          <cell r="I176">
            <v>0</v>
          </cell>
          <cell r="J176">
            <v>11.27</v>
          </cell>
        </row>
        <row r="177">
          <cell r="A177" t="str">
            <v>13.10.b</v>
          </cell>
          <cell r="B177" t="str">
            <v>13-10(a)+(b)</v>
          </cell>
          <cell r="C177" t="str">
            <v>Laying two coats of bitumen paint</v>
          </cell>
          <cell r="D177" t="str">
            <v>Laying two coats of bitumen paint</v>
          </cell>
          <cell r="E177" t="str">
            <v>sqm</v>
          </cell>
          <cell r="F177">
            <v>26.5075</v>
          </cell>
          <cell r="G177">
            <v>4.8874999999999993</v>
          </cell>
          <cell r="H177">
            <v>2.2999999999999998</v>
          </cell>
          <cell r="I177">
            <v>0</v>
          </cell>
          <cell r="J177">
            <v>19.319999999999997</v>
          </cell>
        </row>
        <row r="178">
          <cell r="A178" t="str">
            <v>13.11.a</v>
          </cell>
          <cell r="B178" t="str">
            <v>13-11(a)</v>
          </cell>
          <cell r="C178" t="str">
            <v>Laying three coats pf Chapra polish</v>
          </cell>
          <cell r="D178" t="str">
            <v>Laying three coats pf Chapra polish</v>
          </cell>
          <cell r="E178" t="str">
            <v>sqm</v>
          </cell>
          <cell r="F178">
            <v>15.1225</v>
          </cell>
          <cell r="G178">
            <v>2.9325000000000001</v>
          </cell>
          <cell r="H178">
            <v>1.1499999999999999</v>
          </cell>
          <cell r="I178">
            <v>0</v>
          </cell>
          <cell r="J178">
            <v>5.8650000000000002</v>
          </cell>
        </row>
        <row r="179">
          <cell r="A179" t="str">
            <v>13.12.a</v>
          </cell>
          <cell r="B179" t="str">
            <v>13-12(a)</v>
          </cell>
          <cell r="C179" t="str">
            <v>Laying one coat of cement paint over plastered surface</v>
          </cell>
          <cell r="D179" t="str">
            <v xml:space="preserve">Laying one coat of cement paint </v>
          </cell>
          <cell r="E179" t="str">
            <v>sqm</v>
          </cell>
          <cell r="F179">
            <v>28.1175</v>
          </cell>
          <cell r="G179">
            <v>6.8425000000000002</v>
          </cell>
          <cell r="H179">
            <v>4.0249999999999995</v>
          </cell>
          <cell r="I179">
            <v>0</v>
          </cell>
          <cell r="J179">
            <v>17.249999999999996</v>
          </cell>
        </row>
        <row r="180">
          <cell r="A180" t="str">
            <v>13.12.b</v>
          </cell>
          <cell r="B180" t="str">
            <v>13-12(a)+(b)</v>
          </cell>
          <cell r="C180" t="str">
            <v>Laying two coats of cement paint over plastered surface</v>
          </cell>
          <cell r="D180" t="str">
            <v xml:space="preserve">Laying two coats of cement paint </v>
          </cell>
          <cell r="E180" t="str">
            <v>sqm</v>
          </cell>
          <cell r="F180">
            <v>48.932499999999997</v>
          </cell>
          <cell r="G180">
            <v>12.7075</v>
          </cell>
          <cell r="H180">
            <v>7.4749999999999988</v>
          </cell>
          <cell r="I180">
            <v>0</v>
          </cell>
          <cell r="J180">
            <v>28.75</v>
          </cell>
        </row>
        <row r="181">
          <cell r="C181" t="str">
            <v>CEMENT POINTING WORKS</v>
          </cell>
        </row>
        <row r="182">
          <cell r="A182" t="str">
            <v>14.2.a</v>
          </cell>
          <cell r="B182" t="str">
            <v>14-2(a)</v>
          </cell>
          <cell r="C182" t="str">
            <v>Cement Pointing works in 1:1 cement sand mortar for rubble masonry work</v>
          </cell>
          <cell r="D182" t="str">
            <v>Cement Pointing in rubble masonry work in  1:1 mortar</v>
          </cell>
          <cell r="E182" t="str">
            <v>sqm</v>
          </cell>
          <cell r="F182">
            <v>81.621250000000003</v>
          </cell>
          <cell r="G182">
            <v>19.549999999999997</v>
          </cell>
          <cell r="H182">
            <v>16.099999999999998</v>
          </cell>
          <cell r="I182">
            <v>1.63185</v>
          </cell>
          <cell r="J182">
            <v>44.339399999999998</v>
          </cell>
        </row>
        <row r="183">
          <cell r="A183" t="str">
            <v>14.2.b</v>
          </cell>
          <cell r="B183" t="str">
            <v>14-2(b)</v>
          </cell>
          <cell r="C183" t="str">
            <v>Cement Pointing works in 1:2 cement sand mortar for rubble masonry work</v>
          </cell>
          <cell r="D183" t="str">
            <v>Cement Pointing in rubble masonry work in  1:2 mortar</v>
          </cell>
          <cell r="E183" t="str">
            <v>sqm</v>
          </cell>
          <cell r="F183">
            <v>67.372749999999996</v>
          </cell>
          <cell r="G183">
            <v>19.549999999999997</v>
          </cell>
          <cell r="H183">
            <v>16.099999999999998</v>
          </cell>
          <cell r="I183">
            <v>2.1631499999999999</v>
          </cell>
          <cell r="J183">
            <v>29.559599999999993</v>
          </cell>
        </row>
        <row r="184">
          <cell r="A184" t="str">
            <v>14.2.c</v>
          </cell>
          <cell r="B184" t="str">
            <v>14-2(c)</v>
          </cell>
          <cell r="C184" t="str">
            <v>Cement Pointing works in 1:3 cement sand mortar for rubble masonry work</v>
          </cell>
          <cell r="D184" t="str">
            <v>Cement Pointing in rubble masonry work in  1:3 mortar</v>
          </cell>
          <cell r="E184" t="str">
            <v>sqm</v>
          </cell>
          <cell r="F184">
            <v>60.210549999999991</v>
          </cell>
          <cell r="G184">
            <v>19.549999999999997</v>
          </cell>
          <cell r="H184">
            <v>16.099999999999998</v>
          </cell>
          <cell r="I184">
            <v>2.3908499999999999</v>
          </cell>
          <cell r="J184">
            <v>22.169699999999999</v>
          </cell>
        </row>
        <row r="185">
          <cell r="A185" t="str">
            <v>14.6</v>
          </cell>
          <cell r="B185" t="str">
            <v>14-6</v>
          </cell>
          <cell r="C185" t="str">
            <v>Cement punning works in 1:1 cement sand mortar</v>
          </cell>
          <cell r="D185" t="str">
            <v>Cement punning works in 1:1 cement sand mortar</v>
          </cell>
          <cell r="E185" t="str">
            <v>sqm</v>
          </cell>
          <cell r="F185">
            <v>56.266049999999993</v>
          </cell>
          <cell r="G185">
            <v>19.549999999999997</v>
          </cell>
          <cell r="H185">
            <v>11.5</v>
          </cell>
          <cell r="I185">
            <v>0.87285000000000001</v>
          </cell>
          <cell r="J185">
            <v>24.343200000000003</v>
          </cell>
        </row>
        <row r="186">
          <cell r="C186" t="str">
            <v>GABION WORKS</v>
          </cell>
        </row>
        <row r="187">
          <cell r="A187" t="str">
            <v>16.1.a</v>
          </cell>
          <cell r="B187" t="str">
            <v>16-1(a)</v>
          </cell>
          <cell r="C187" t="str">
            <v>2mx1mx1m size Gabion box fabrication including cutting of wires, mesh wire 9 SWG, Selwage wire 6 SWG (mesh size 80x100 hexagonal)</v>
          </cell>
          <cell r="D187" t="str">
            <v>2mx1mx1m size Gabion box fabrication, 9 and 6 SWG ( 80x100 hex)</v>
          </cell>
          <cell r="E187" t="str">
            <v>cum</v>
          </cell>
          <cell r="F187">
            <v>1273.9124999999999</v>
          </cell>
          <cell r="G187">
            <v>48.874999999999993</v>
          </cell>
          <cell r="H187">
            <v>11.5</v>
          </cell>
          <cell r="I187">
            <v>0</v>
          </cell>
          <cell r="J187">
            <v>1213.5374999999999</v>
          </cell>
        </row>
        <row r="188">
          <cell r="A188" t="str">
            <v>16.1.b</v>
          </cell>
          <cell r="B188" t="str">
            <v>16-1(b)</v>
          </cell>
          <cell r="C188" t="str">
            <v>3mx1mx1m size Gabion box fabrication including cutting of wires, mesh wire 9 SWG, Selwage wire 6 SWG (mesh size 80x100 hexagonal)</v>
          </cell>
          <cell r="D188" t="str">
            <v>3mx1mx1m size Gabion box fabrication, 9 and 6 SWG ( 80x100 hex)</v>
          </cell>
          <cell r="E188" t="str">
            <v>cum</v>
          </cell>
          <cell r="F188">
            <v>1220.3224999999998</v>
          </cell>
          <cell r="G188">
            <v>45.61666666666666</v>
          </cell>
          <cell r="H188">
            <v>10.733333333333333</v>
          </cell>
          <cell r="I188">
            <v>0</v>
          </cell>
          <cell r="J188">
            <v>1163.9724999999999</v>
          </cell>
        </row>
        <row r="189">
          <cell r="A189" t="str">
            <v>16.1.c</v>
          </cell>
          <cell r="B189" t="str">
            <v>16-1(c)</v>
          </cell>
          <cell r="C189" t="str">
            <v>2mx1mx0.5m size Gabion box fabrication including cutting of wires, mesh wire 9 SWG, Selwage wire 6 SWG (mesh size 80x100 hexagonal)</v>
          </cell>
          <cell r="D189" t="str">
            <v>2mx1mx0.5m size Gabion box fabrication, 9 and 6 SWG ( 80x100 hex)</v>
          </cell>
          <cell r="E189" t="str">
            <v>cum</v>
          </cell>
          <cell r="F189">
            <v>1767.1475</v>
          </cell>
          <cell r="G189">
            <v>68.424999999999983</v>
          </cell>
          <cell r="H189">
            <v>16.100000000000001</v>
          </cell>
          <cell r="I189">
            <v>0</v>
          </cell>
          <cell r="J189">
            <v>1682.6224999999999</v>
          </cell>
        </row>
        <row r="190">
          <cell r="A190" t="str">
            <v>16.1.d</v>
          </cell>
          <cell r="B190" t="str">
            <v>16-1(d)</v>
          </cell>
          <cell r="C190" t="str">
            <v>3mx1mx0.5m size Gabion box fabrication including cutting of wires, mesh wire 9 SWG, Selwage wire 6 SWG (mesh size 80x100 hexagonal)</v>
          </cell>
          <cell r="D190" t="str">
            <v>3mx1mx0.5m size Gabion box fabrication, 9 and 6 SWG ( 80x100 hex)</v>
          </cell>
          <cell r="E190" t="str">
            <v>cum</v>
          </cell>
          <cell r="F190">
            <v>1704.7600000000002</v>
          </cell>
          <cell r="G190">
            <v>65.166666666666657</v>
          </cell>
          <cell r="H190">
            <v>15.333333333333332</v>
          </cell>
          <cell r="I190">
            <v>0</v>
          </cell>
          <cell r="J190">
            <v>1624.26</v>
          </cell>
        </row>
        <row r="191">
          <cell r="A191" t="str">
            <v>16.1.e</v>
          </cell>
          <cell r="B191" t="str">
            <v>16-1(e)</v>
          </cell>
          <cell r="C191" t="str">
            <v>2mx1mx0.3m size Gabion box fabrication including cutting of wires, mesh wire 9 SWG, Selwage wire 6 SWG (mesh size 80x100 hexagonal)</v>
          </cell>
          <cell r="D191" t="str">
            <v>2mx1mx0.3m size Gabion box fabrication, 9 and 6 SWG ( 80x100 hex)</v>
          </cell>
          <cell r="E191" t="str">
            <v>cum</v>
          </cell>
          <cell r="F191">
            <v>2418.354166666667</v>
          </cell>
          <cell r="G191">
            <v>94.49166666666666</v>
          </cell>
          <cell r="H191">
            <v>23</v>
          </cell>
          <cell r="I191">
            <v>0</v>
          </cell>
          <cell r="J191">
            <v>2300.8624999999997</v>
          </cell>
        </row>
        <row r="192">
          <cell r="A192" t="str">
            <v>16.1.f</v>
          </cell>
          <cell r="B192" t="str">
            <v>16-1(f)</v>
          </cell>
          <cell r="C192" t="str">
            <v>3mx1mx0.3m size Gabion box fabrication including cutting of wires, mesh wire 9 SWG, Selwage wire 6 SWG (mesh size 80x100 hexagonal)</v>
          </cell>
          <cell r="D192" t="str">
            <v>3mx1mx0.3m size Gabion box fabrication, 9 and 6 SWG ( 80x100 hex)</v>
          </cell>
          <cell r="E192" t="str">
            <v>cum</v>
          </cell>
          <cell r="F192">
            <v>2352.3249999999998</v>
          </cell>
          <cell r="G192">
            <v>91.23333333333332</v>
          </cell>
          <cell r="H192">
            <v>21.722222222222221</v>
          </cell>
          <cell r="I192">
            <v>0</v>
          </cell>
          <cell r="J192">
            <v>2239.3694444444445</v>
          </cell>
        </row>
        <row r="193">
          <cell r="A193" t="str">
            <v>16.2.a</v>
          </cell>
          <cell r="B193" t="str">
            <v>16-2(a)</v>
          </cell>
          <cell r="C193" t="str">
            <v>2mx1mx1m size Gabion box fabrication including cutting of wires, mesh wire 10 SWG, Selwage wire 7 SWG (mesh size 80x100 hexagonal)</v>
          </cell>
          <cell r="D193" t="str">
            <v>2mx1mx1m size Gabion box fabrication, 10 and 7 SWG ( 80x100 hex)</v>
          </cell>
          <cell r="E193" t="str">
            <v>cum</v>
          </cell>
          <cell r="F193">
            <v>995.95749999999998</v>
          </cell>
          <cell r="G193">
            <v>48.874999999999993</v>
          </cell>
          <cell r="H193">
            <v>11.5</v>
          </cell>
          <cell r="I193">
            <v>0</v>
          </cell>
          <cell r="J193">
            <v>935.58249999999987</v>
          </cell>
        </row>
        <row r="194">
          <cell r="A194" t="str">
            <v>16.2.b</v>
          </cell>
          <cell r="B194" t="str">
            <v>16-2(b)</v>
          </cell>
          <cell r="C194" t="str">
            <v>3mx1mx1m size Gabion box fabrication including cutting of wires, mesh wire 10 SWG, Selwage wire 7 SWG (mesh size 80x100 hexagonal)</v>
          </cell>
          <cell r="D194" t="str">
            <v>3mx1mx1m size Gabion box fabrication, 10 and 7 SWG ( 80x100 hex)</v>
          </cell>
          <cell r="E194" t="str">
            <v>cum</v>
          </cell>
          <cell r="F194">
            <v>980.29833333333329</v>
          </cell>
          <cell r="G194">
            <v>45.61666666666666</v>
          </cell>
          <cell r="H194">
            <v>10.733333333333333</v>
          </cell>
          <cell r="I194">
            <v>0</v>
          </cell>
          <cell r="J194">
            <v>923.94833333333315</v>
          </cell>
        </row>
        <row r="195">
          <cell r="A195" t="str">
            <v>16.2.c</v>
          </cell>
          <cell r="B195" t="str">
            <v>16-2(c)</v>
          </cell>
          <cell r="C195" t="str">
            <v>2mx1mx0.5m size Gabion box fabrication including cutting of wires, mesh wire 10 SWG, Selwage wire 7 SWG (mesh size 80x100 hexagonal)</v>
          </cell>
          <cell r="D195" t="str">
            <v>2mx1mx0.5m size Gabion box fabrication, 10 and 7 SWG ( 80x100 hex)</v>
          </cell>
          <cell r="E195" t="str">
            <v>cum</v>
          </cell>
          <cell r="F195">
            <v>1422.2049999999997</v>
          </cell>
          <cell r="G195">
            <v>68.424999999999983</v>
          </cell>
          <cell r="H195">
            <v>16.100000000000001</v>
          </cell>
          <cell r="I195">
            <v>0</v>
          </cell>
          <cell r="J195">
            <v>1337.6799999999996</v>
          </cell>
        </row>
        <row r="196">
          <cell r="A196" t="str">
            <v>16.2.d</v>
          </cell>
          <cell r="B196" t="str">
            <v>16-2(d)</v>
          </cell>
          <cell r="C196" t="str">
            <v>3mx1mx0.5m size Gabion box fabrication including cutting of wires, mesh wire 10 SWG, Selwage wire 7 SWG (mesh size 80x100 hexagonal)</v>
          </cell>
          <cell r="D196" t="str">
            <v>3mx1mx0.5m size Gabion box fabrication, 10 and 7 SWG ( 80x100 hex)</v>
          </cell>
          <cell r="E196" t="str">
            <v>cum</v>
          </cell>
          <cell r="F196">
            <v>1371.1066666666666</v>
          </cell>
          <cell r="G196">
            <v>65.166666666666657</v>
          </cell>
          <cell r="H196">
            <v>15.333333333333332</v>
          </cell>
          <cell r="I196">
            <v>0</v>
          </cell>
          <cell r="J196">
            <v>1290.6066666666666</v>
          </cell>
        </row>
        <row r="197">
          <cell r="A197" t="str">
            <v>16.2.e</v>
          </cell>
          <cell r="B197" t="str">
            <v>16-2(e)</v>
          </cell>
          <cell r="C197" t="str">
            <v>2mx1mx0.3m size Gabion box fabrication including cutting of wires, mesh wire 10 SWG, Selwage wire 7 SWG (mesh size 80x100 hexagonal)</v>
          </cell>
          <cell r="D197" t="str">
            <v>2mx1mx0.3m size Gabion box fabrication, 10 and 7 SWG ( 80x100 hex)</v>
          </cell>
          <cell r="E197" t="str">
            <v>cum</v>
          </cell>
          <cell r="F197">
            <v>1950.3041666666668</v>
          </cell>
          <cell r="G197">
            <v>94.49166666666666</v>
          </cell>
          <cell r="H197">
            <v>23</v>
          </cell>
          <cell r="I197">
            <v>0</v>
          </cell>
          <cell r="J197">
            <v>1832.8124999999998</v>
          </cell>
        </row>
        <row r="198">
          <cell r="A198" t="str">
            <v>16.2.f</v>
          </cell>
          <cell r="B198" t="str">
            <v>16-2(f)</v>
          </cell>
          <cell r="C198" t="str">
            <v>3mx1mx0.3m size Gabion box fabrication including cutting of wires, mesh wire 10 SWG, Selwage wire 7 SWG (mesh size 80x100 hexagonal)</v>
          </cell>
          <cell r="D198" t="str">
            <v>3mx1mx0.3m size Gabion box fabrication, 10 and 7 SWG ( 80x100 hex)</v>
          </cell>
          <cell r="E198" t="str">
            <v>cum</v>
          </cell>
          <cell r="F198">
            <v>1894.497222222222</v>
          </cell>
          <cell r="G198">
            <v>91.23333333333332</v>
          </cell>
          <cell r="H198">
            <v>21.722222222222221</v>
          </cell>
          <cell r="I198">
            <v>0</v>
          </cell>
          <cell r="J198">
            <v>1781.5416666666663</v>
          </cell>
        </row>
        <row r="199">
          <cell r="A199" t="str">
            <v>16.3.a</v>
          </cell>
          <cell r="B199" t="str">
            <v>16-3(a)</v>
          </cell>
          <cell r="C199" t="str">
            <v>2mx1mx1m size Gabion box fabrication including cutting of wires, mesh wire 11 SWG, Selwage wire 8 SWG (mesh size 80x100 hexagonal)</v>
          </cell>
          <cell r="D199" t="str">
            <v>2mx1mx1m size Gabion box fabrication, 11 and 8 SWG ( 80x100 hex)</v>
          </cell>
          <cell r="E199" t="str">
            <v>cum</v>
          </cell>
          <cell r="F199">
            <v>921.29375000000005</v>
          </cell>
          <cell r="G199">
            <v>48.874999999999993</v>
          </cell>
          <cell r="H199">
            <v>11.5</v>
          </cell>
          <cell r="I199">
            <v>0</v>
          </cell>
          <cell r="J199">
            <v>860.91874999999993</v>
          </cell>
        </row>
        <row r="200">
          <cell r="A200" t="str">
            <v>16.3.b</v>
          </cell>
          <cell r="B200" t="str">
            <v>16-3(b)</v>
          </cell>
          <cell r="C200" t="str">
            <v>3mx1mx1m size Gabion box fabrication including cutting of wires, mesh wire 11 SWG, Selwage wire 8 SWG (mesh size 80x100 hexagonal)</v>
          </cell>
          <cell r="D200" t="str">
            <v>3mx1mx1m size Gabion box fabrication, 11 and 8 SWG ( 80x100 hex)</v>
          </cell>
          <cell r="E200" t="str">
            <v>cum</v>
          </cell>
          <cell r="F200">
            <v>822.57583333333332</v>
          </cell>
          <cell r="G200">
            <v>45.61666666666666</v>
          </cell>
          <cell r="H200">
            <v>10.733333333333333</v>
          </cell>
          <cell r="I200">
            <v>0</v>
          </cell>
          <cell r="J200">
            <v>766.22583333333318</v>
          </cell>
        </row>
        <row r="201">
          <cell r="A201" t="str">
            <v>16.3.c</v>
          </cell>
          <cell r="B201" t="str">
            <v>16-3(c)</v>
          </cell>
          <cell r="C201" t="str">
            <v>2mx1mx0.5m size Gabion box fabrication including cutting of wires, mesh wire 11 SWG, Selwage wire 8 SWG (mesh size 80x100 hexagonal)</v>
          </cell>
          <cell r="D201" t="str">
            <v>2mx1mx0.5m size Gabion box fabrication, 11 and 8 SWG ( 80x100 hex)</v>
          </cell>
          <cell r="E201" t="str">
            <v>cum</v>
          </cell>
          <cell r="F201">
            <v>1193.1825000000001</v>
          </cell>
          <cell r="G201">
            <v>68.424999999999983</v>
          </cell>
          <cell r="H201">
            <v>16.100000000000001</v>
          </cell>
          <cell r="I201">
            <v>0</v>
          </cell>
          <cell r="J201">
            <v>1108.6575</v>
          </cell>
        </row>
        <row r="202">
          <cell r="A202" t="str">
            <v>16.3.d</v>
          </cell>
          <cell r="B202" t="str">
            <v>16-3(d)</v>
          </cell>
          <cell r="C202" t="str">
            <v>3mx1mx0.5m size Gabion box fabrication including cutting of wires, mesh wire 11 SWG, Selwage wire 8 SWG (mesh size 80x100 hexagonal)</v>
          </cell>
          <cell r="D202" t="str">
            <v>3mx1mx0.5m size Gabion box fabrication, 11 and 8 SWG ( 80x100 hex)</v>
          </cell>
          <cell r="E202" t="str">
            <v>cum</v>
          </cell>
          <cell r="F202">
            <v>1149.2333333333331</v>
          </cell>
          <cell r="G202">
            <v>65.166666666666657</v>
          </cell>
          <cell r="H202">
            <v>15.333333333333332</v>
          </cell>
          <cell r="I202">
            <v>0</v>
          </cell>
          <cell r="J202">
            <v>1068.7333333333331</v>
          </cell>
        </row>
        <row r="203">
          <cell r="A203" t="str">
            <v>16.3.e</v>
          </cell>
          <cell r="B203" t="str">
            <v>16-3(e)</v>
          </cell>
          <cell r="C203" t="str">
            <v>2mx1mx0.3m size Gabion box fabrication including cutting of wires, mesh wire 11 SWG, Selwage wire 8 SWG (mesh size 80x100 hexagonal)</v>
          </cell>
          <cell r="D203" t="str">
            <v>2mx1mx0.3m size Gabion box fabrication, 11 and 8 SWG ( 80x100 hex)</v>
          </cell>
          <cell r="E203" t="str">
            <v>cum</v>
          </cell>
          <cell r="F203">
            <v>1639.7083333333333</v>
          </cell>
          <cell r="G203">
            <v>94.49166666666666</v>
          </cell>
          <cell r="H203">
            <v>23</v>
          </cell>
          <cell r="I203">
            <v>0</v>
          </cell>
          <cell r="J203">
            <v>1522.2166666666665</v>
          </cell>
        </row>
        <row r="204">
          <cell r="A204" t="str">
            <v>16.3.f</v>
          </cell>
          <cell r="B204" t="str">
            <v>16-3(f)</v>
          </cell>
          <cell r="C204" t="str">
            <v>3mx1mx0.3m size Gabion box fabrication including cutting of wires, mesh wire 11 SWG, Selwage wire 8 SWG (mesh size 80x100 hexagonal)</v>
          </cell>
          <cell r="D204" t="str">
            <v>3mx1mx0.3m size Gabion box fabrication, 11 and 8 SWG ( 80x100 hex)</v>
          </cell>
          <cell r="E204" t="str">
            <v>cum</v>
          </cell>
          <cell r="F204">
            <v>1585.5944444444444</v>
          </cell>
          <cell r="G204">
            <v>91.23333333333332</v>
          </cell>
          <cell r="H204">
            <v>21.722222222222221</v>
          </cell>
          <cell r="I204">
            <v>0</v>
          </cell>
          <cell r="J204">
            <v>1472.6388888888889</v>
          </cell>
        </row>
        <row r="205">
          <cell r="A205" t="str">
            <v>16.4.a</v>
          </cell>
          <cell r="B205" t="str">
            <v>16-4(a)</v>
          </cell>
          <cell r="C205" t="str">
            <v>2mx1mx1m size Gabion box fabrication including cutting of wires, mesh wire 9 SWG, Selwage wire 6 SWG (mesh size 100x120 hexagonal)</v>
          </cell>
          <cell r="D205" t="str">
            <v>2mx1mx1m size Gabion box fabrication, 9 and 6 SWG ( 100x120 hex)</v>
          </cell>
          <cell r="E205" t="str">
            <v>cum</v>
          </cell>
          <cell r="F205">
            <v>1228.6600000000001</v>
          </cell>
          <cell r="G205">
            <v>43.987499999999997</v>
          </cell>
          <cell r="H205">
            <v>11.5</v>
          </cell>
          <cell r="I205">
            <v>0</v>
          </cell>
          <cell r="J205">
            <v>1173.1725000000001</v>
          </cell>
        </row>
        <row r="206">
          <cell r="A206" t="str">
            <v>16.4.b</v>
          </cell>
          <cell r="B206" t="str">
            <v>16-4(b)</v>
          </cell>
          <cell r="C206" t="str">
            <v>3mx1mx1m size Gabion box fabrication including cutting of wires, mesh wire 9 SWG, Selwage wire 6 SWG (mesh size 100x120 hexagonal)</v>
          </cell>
          <cell r="D206" t="str">
            <v>3mx1mx1m size Gabion box fabrication, 9 and 6 SWG ( 100x120 hex)</v>
          </cell>
          <cell r="E206" t="str">
            <v>cum</v>
          </cell>
          <cell r="F206">
            <v>1056.2750000000001</v>
          </cell>
          <cell r="G206">
            <v>41.054999999999993</v>
          </cell>
          <cell r="H206">
            <v>10.733333333333333</v>
          </cell>
          <cell r="I206">
            <v>0</v>
          </cell>
          <cell r="J206">
            <v>1004.4866666666667</v>
          </cell>
        </row>
        <row r="207">
          <cell r="A207" t="str">
            <v>16.4.c</v>
          </cell>
          <cell r="B207" t="str">
            <v>16-4(c)</v>
          </cell>
          <cell r="C207" t="str">
            <v>2mx1mx0.5m size Gabion box fabrication including cutting of wires, mesh wire 9 SWG, Selwage wire 6 SWG (mesh size 100x120 hexagonal)</v>
          </cell>
          <cell r="D207" t="str">
            <v>2mx1mx0.5m size Gabion box fabrication, 9 and 6 SWG ( 100x120 hex)</v>
          </cell>
          <cell r="E207" t="str">
            <v>cum</v>
          </cell>
          <cell r="F207">
            <v>1535.7675000000004</v>
          </cell>
          <cell r="G207">
            <v>62.559999999999995</v>
          </cell>
          <cell r="H207">
            <v>16.100000000000001</v>
          </cell>
          <cell r="I207">
            <v>0</v>
          </cell>
          <cell r="J207">
            <v>1457.1075000000001</v>
          </cell>
        </row>
        <row r="208">
          <cell r="A208" t="str">
            <v>16.4.d</v>
          </cell>
          <cell r="B208" t="str">
            <v>16-4(d)</v>
          </cell>
          <cell r="C208" t="str">
            <v>3mx1mx0.5m size Gabion box fabrication including cutting of wires, mesh wire 9 SWG, Selwage wire 6 SWG (mesh size 100x120 hexagonal)</v>
          </cell>
          <cell r="D208" t="str">
            <v>3mx1mx0.5m size Gabion box fabrication, 9 and 6 SWG ( 100x120 hex)</v>
          </cell>
          <cell r="E208" t="str">
            <v>cum</v>
          </cell>
          <cell r="F208">
            <v>1478.8233333333335</v>
          </cell>
          <cell r="G208">
            <v>58.65</v>
          </cell>
          <cell r="H208">
            <v>15.333333333333332</v>
          </cell>
          <cell r="I208">
            <v>0</v>
          </cell>
          <cell r="J208">
            <v>1404.8400000000001</v>
          </cell>
        </row>
        <row r="209">
          <cell r="A209" t="str">
            <v>16.4.e</v>
          </cell>
          <cell r="B209" t="str">
            <v>16-4(e)</v>
          </cell>
          <cell r="C209" t="str">
            <v>2mx1mx0.3m size Gabion box fabrication including cutting of wires, mesh wire 9 SWG, Selwage wire 6 SWG (mesh size 100x120 hexagonal)</v>
          </cell>
          <cell r="D209" t="str">
            <v>2mx1mx0.3m size Gabion box fabrication, 9 and 6 SWG ( 100x120 hex)</v>
          </cell>
          <cell r="E209" t="str">
            <v>cum</v>
          </cell>
          <cell r="F209">
            <v>2103.8291666666669</v>
          </cell>
          <cell r="G209">
            <v>84.716666666666669</v>
          </cell>
          <cell r="H209">
            <v>23</v>
          </cell>
          <cell r="I209">
            <v>0</v>
          </cell>
          <cell r="J209">
            <v>1996.1125</v>
          </cell>
        </row>
        <row r="210">
          <cell r="A210" t="str">
            <v>16.4.f</v>
          </cell>
          <cell r="B210" t="str">
            <v>16-4(f)</v>
          </cell>
          <cell r="C210" t="str">
            <v>3mx1mx0.3m size Gabion box fabrication including cutting of wires, mesh wire 9 SWG, Selwage wire 6 SWG (mesh size 100x120 hexagonal)</v>
          </cell>
          <cell r="D210" t="str">
            <v>3mx1mx0.3m size Gabion box fabrication, 9 and 6 SWG ( 100x120 hex)</v>
          </cell>
          <cell r="E210" t="str">
            <v>cum</v>
          </cell>
          <cell r="F210">
            <v>2040.1</v>
          </cell>
          <cell r="G210">
            <v>80.372222222222206</v>
          </cell>
          <cell r="H210">
            <v>21.722222222222221</v>
          </cell>
          <cell r="I210">
            <v>0</v>
          </cell>
          <cell r="J210">
            <v>1938.0055555555552</v>
          </cell>
        </row>
        <row r="211">
          <cell r="A211" t="str">
            <v>16.5.a</v>
          </cell>
          <cell r="B211" t="str">
            <v>16-5(a)</v>
          </cell>
          <cell r="C211" t="str">
            <v>2mx1mx1m size Gabion box fabrication including cutting of wires, mesh wire 10 SWG, Selwage wire 7 SWG (mesh size 100x120 hexagonal)</v>
          </cell>
          <cell r="D211" t="str">
            <v>2mx1mx1m size Gabion box fabrication, 10 and 7 SWG ( 100x120 hex)</v>
          </cell>
          <cell r="E211" t="str">
            <v>cum</v>
          </cell>
          <cell r="F211">
            <v>889.2662499999999</v>
          </cell>
          <cell r="G211">
            <v>43.987499999999997</v>
          </cell>
          <cell r="H211">
            <v>11.5</v>
          </cell>
          <cell r="I211">
            <v>0</v>
          </cell>
          <cell r="J211">
            <v>833.77874999999983</v>
          </cell>
        </row>
        <row r="212">
          <cell r="A212" t="str">
            <v>16.5.b</v>
          </cell>
          <cell r="B212" t="str">
            <v>16-5(b)</v>
          </cell>
          <cell r="C212" t="str">
            <v>3mx1mx1m size Gabion box fabrication including cutting of wires, mesh wire 10 SWG, Selwage wire 7 SWG (mesh size 100x120 hexagonal)</v>
          </cell>
          <cell r="D212" t="str">
            <v>3mx1mx1m size Gabion box fabrication, 10 and 7 SWG ( 100x120 hex)</v>
          </cell>
          <cell r="E212" t="str">
            <v>cum</v>
          </cell>
          <cell r="F212">
            <v>849.77333333333331</v>
          </cell>
          <cell r="G212">
            <v>41.054999999999993</v>
          </cell>
          <cell r="H212">
            <v>10.733333333333333</v>
          </cell>
          <cell r="I212">
            <v>0</v>
          </cell>
          <cell r="J212">
            <v>797.9849999999999</v>
          </cell>
        </row>
        <row r="213">
          <cell r="A213" t="str">
            <v>16.5.c</v>
          </cell>
          <cell r="B213" t="str">
            <v>16-5(c)</v>
          </cell>
          <cell r="C213" t="str">
            <v>2mx1mx0.5m size Gabion box fabrication including cutting of wires, mesh wire 10 SWG, Selwage wire 7 SWG (mesh size 100x120 hexagonal)</v>
          </cell>
          <cell r="D213" t="str">
            <v>2mx1mx0.5m size Gabion box fabrication, 10 and 7 SWG ( 100x120 hex)</v>
          </cell>
          <cell r="E213" t="str">
            <v>cum</v>
          </cell>
          <cell r="F213">
            <v>1236.5374999999999</v>
          </cell>
          <cell r="G213">
            <v>62.559999999999995</v>
          </cell>
          <cell r="H213">
            <v>16.100000000000001</v>
          </cell>
          <cell r="I213">
            <v>0</v>
          </cell>
          <cell r="J213">
            <v>1157.8774999999998</v>
          </cell>
        </row>
        <row r="214">
          <cell r="A214" t="str">
            <v>16.5.d</v>
          </cell>
          <cell r="B214" t="str">
            <v>16-5(d)</v>
          </cell>
          <cell r="C214" t="str">
            <v>3mx1mx0.5m size Gabion box fabrication including cutting of wires, mesh wire 10 SWG, Selwage wire 7 SWG (mesh size 100x120 hexagonal)</v>
          </cell>
          <cell r="D214" t="str">
            <v>3mx1mx0.5m size Gabion box fabrication, 10 and 7 SWG ( 100x120 hex)</v>
          </cell>
          <cell r="E214" t="str">
            <v>cum</v>
          </cell>
          <cell r="F214">
            <v>1191.8983333333331</v>
          </cell>
          <cell r="G214">
            <v>58.65</v>
          </cell>
          <cell r="H214">
            <v>15.333333333333332</v>
          </cell>
          <cell r="I214">
            <v>0</v>
          </cell>
          <cell r="J214">
            <v>1117.9149999999997</v>
          </cell>
        </row>
        <row r="215">
          <cell r="A215" t="str">
            <v>16.5.e</v>
          </cell>
          <cell r="B215" t="str">
            <v>16-5(e)</v>
          </cell>
          <cell r="C215" t="str">
            <v>2mx1mx0.3m size Gabion box fabrication including cutting of wires, mesh wire 10 SWG, Selwage wire 7 SWG (mesh size 100x120 hexagonal)</v>
          </cell>
          <cell r="D215" t="str">
            <v>2mx1mx0.3m size Gabion box fabrication, 10 and 7 SWG ( 100x120 hex)</v>
          </cell>
          <cell r="E215" t="str">
            <v>cum</v>
          </cell>
          <cell r="F215">
            <v>1701.8083333333334</v>
          </cell>
          <cell r="G215">
            <v>84.716666666666669</v>
          </cell>
          <cell r="H215">
            <v>23</v>
          </cell>
          <cell r="I215">
            <v>0</v>
          </cell>
          <cell r="J215">
            <v>1594.0916666666667</v>
          </cell>
        </row>
        <row r="216">
          <cell r="A216" t="str">
            <v>16.5.f</v>
          </cell>
          <cell r="B216" t="str">
            <v>16-5(f)</v>
          </cell>
          <cell r="C216" t="str">
            <v>3mx1mx0.3m size Gabion box fabrication including cutting of wires, mesh wire 10 SWG, Selwage wire 7 SWG (mesh size 100x120 hexagonal)</v>
          </cell>
          <cell r="D216" t="str">
            <v>3mx1mx0.3m size Gabion box fabrication, 10 and 7 SWG ( 100x120 hex)</v>
          </cell>
          <cell r="E216" t="str">
            <v>cum</v>
          </cell>
          <cell r="F216">
            <v>1646.6083333333331</v>
          </cell>
          <cell r="G216">
            <v>80.372222222222206</v>
          </cell>
          <cell r="H216">
            <v>21.722222222222221</v>
          </cell>
          <cell r="I216">
            <v>0</v>
          </cell>
          <cell r="J216">
            <v>1544.5138888888887</v>
          </cell>
        </row>
        <row r="217">
          <cell r="A217" t="str">
            <v>16.6.a</v>
          </cell>
          <cell r="B217" t="str">
            <v>16-6(a)</v>
          </cell>
          <cell r="C217" t="str">
            <v>2mx1mx1m size Gabion box construction, placing at designated location, stretching, tying up with gabion wire and closing with 11 SWG gabion wire</v>
          </cell>
          <cell r="D217" t="str">
            <v>2mx1mx1m size Gabion box construction and tying up with 11 SWG GI wire</v>
          </cell>
          <cell r="E217" t="str">
            <v>cum</v>
          </cell>
          <cell r="F217">
            <v>58.046249999999993</v>
          </cell>
          <cell r="G217">
            <v>0</v>
          </cell>
          <cell r="H217">
            <v>23</v>
          </cell>
          <cell r="I217">
            <v>0</v>
          </cell>
          <cell r="J217">
            <v>35.046249999999993</v>
          </cell>
        </row>
        <row r="218">
          <cell r="A218" t="str">
            <v>16.6.b</v>
          </cell>
          <cell r="B218" t="str">
            <v>16-6(b)</v>
          </cell>
          <cell r="C218" t="str">
            <v>3mx1mx1m size Gabion box construction, placing at designated location, stretching, tying up with gabion wire and closing with 11 SWG gabion wire</v>
          </cell>
          <cell r="D218" t="str">
            <v>3mx1mx1m size Gabion box construction and tying up with 11 SWG GI wire</v>
          </cell>
          <cell r="E218" t="str">
            <v>cum</v>
          </cell>
          <cell r="F218">
            <v>55.506666666666668</v>
          </cell>
          <cell r="G218">
            <v>0</v>
          </cell>
          <cell r="H218">
            <v>23</v>
          </cell>
          <cell r="I218">
            <v>0</v>
          </cell>
          <cell r="J218">
            <v>32.506666666666661</v>
          </cell>
        </row>
        <row r="219">
          <cell r="A219" t="str">
            <v>16.6.c</v>
          </cell>
          <cell r="B219" t="str">
            <v>16-6(c)</v>
          </cell>
          <cell r="C219" t="str">
            <v>2mx1mx0.5m size Gabion box construction, placing at designated location, stretching, tying up with GI wire and closing with 11 SWG gabion wire</v>
          </cell>
          <cell r="D219" t="str">
            <v>2mx1mx0.5m size Gabion box construction and tying up with 11 SWG GI wire</v>
          </cell>
          <cell r="E219" t="str">
            <v>cum</v>
          </cell>
          <cell r="F219">
            <v>77.855000000000004</v>
          </cell>
          <cell r="G219">
            <v>0</v>
          </cell>
          <cell r="H219">
            <v>23</v>
          </cell>
          <cell r="I219">
            <v>0</v>
          </cell>
          <cell r="J219">
            <v>54.854999999999997</v>
          </cell>
        </row>
        <row r="220">
          <cell r="A220" t="str">
            <v>16.6.d</v>
          </cell>
          <cell r="B220" t="str">
            <v>16-6(d)</v>
          </cell>
          <cell r="C220" t="str">
            <v>3mx1mx0.5m size Gabion box construction, placing at designated location, stretching, tying up with GI wire and closing with 11 SWG gabion wire</v>
          </cell>
          <cell r="D220" t="str">
            <v>3mx1mx0.5m size Gabion box construction and tying up with 11 SWG GI wire</v>
          </cell>
          <cell r="E220" t="str">
            <v>cum</v>
          </cell>
          <cell r="F220">
            <v>71.759999999999991</v>
          </cell>
          <cell r="G220">
            <v>0</v>
          </cell>
          <cell r="H220">
            <v>23</v>
          </cell>
          <cell r="I220">
            <v>0</v>
          </cell>
          <cell r="J220">
            <v>48.76</v>
          </cell>
        </row>
        <row r="221">
          <cell r="A221" t="str">
            <v>16.6.e</v>
          </cell>
          <cell r="B221" t="str">
            <v>16-6(e)</v>
          </cell>
          <cell r="C221" t="str">
            <v>2mx1mx0.3m size Gabion box construction, placing at designated location, stretching, tying up with GI wire and closing with 11 SWG gabion wire</v>
          </cell>
          <cell r="D221" t="str">
            <v>2mx1mx0.3m size Gabion box construction and tying up with 11 SWG GI wire</v>
          </cell>
          <cell r="E221" t="str">
            <v>cum</v>
          </cell>
          <cell r="F221">
            <v>100.43333333333334</v>
          </cell>
          <cell r="G221">
            <v>0</v>
          </cell>
          <cell r="H221">
            <v>19.166666666666668</v>
          </cell>
          <cell r="I221">
            <v>0</v>
          </cell>
          <cell r="J221">
            <v>81.266666666666666</v>
          </cell>
        </row>
        <row r="222">
          <cell r="A222" t="str">
            <v>16.6.f</v>
          </cell>
          <cell r="B222" t="str">
            <v>16-6(f)</v>
          </cell>
          <cell r="C222" t="str">
            <v>3mx1mx0.3m size Gabion box construction, placing at designated location, stretching, tying up with GI wire and closing with 11 SWG gabion wire</v>
          </cell>
          <cell r="D222" t="str">
            <v>3mx1mx0.3m size Gabion box construction and tying up with 11 SWG GI wire</v>
          </cell>
          <cell r="E222" t="str">
            <v>cum</v>
          </cell>
          <cell r="F222">
            <v>97.494444444444454</v>
          </cell>
          <cell r="G222">
            <v>0</v>
          </cell>
          <cell r="H222">
            <v>23</v>
          </cell>
          <cell r="I222">
            <v>0</v>
          </cell>
          <cell r="J222">
            <v>74.494444444444454</v>
          </cell>
        </row>
        <row r="223">
          <cell r="A223">
            <v>16.11</v>
          </cell>
          <cell r="B223" t="str">
            <v>16-11</v>
          </cell>
          <cell r="C223" t="str">
            <v>Filling of Gabion box with boulder</v>
          </cell>
          <cell r="D223" t="str">
            <v>Filling of Gabion box with boulder</v>
          </cell>
          <cell r="E223" t="str">
            <v>cum</v>
          </cell>
          <cell r="F223">
            <v>690</v>
          </cell>
          <cell r="G223">
            <v>0</v>
          </cell>
          <cell r="H223">
            <v>57.499999999999993</v>
          </cell>
          <cell r="I223">
            <v>632.5</v>
          </cell>
          <cell r="J223">
            <v>0</v>
          </cell>
        </row>
        <row r="224">
          <cell r="C224" t="str">
            <v>PIPELINE WORKS</v>
          </cell>
        </row>
        <row r="225">
          <cell r="A225" t="str">
            <v>17.1.a</v>
          </cell>
          <cell r="B225" t="str">
            <v>17-1(a)</v>
          </cell>
          <cell r="C225" t="str">
            <v>150mm dia. R.C.C. Pipe laying work including 100m haulage including pipe and collar</v>
          </cell>
          <cell r="D225" t="str">
            <v xml:space="preserve">150mm dia. R.C.C. Pipe laying work </v>
          </cell>
          <cell r="E225" t="str">
            <v>m</v>
          </cell>
          <cell r="F225" t="e">
            <v>#N/A</v>
          </cell>
          <cell r="G225">
            <v>18.328125</v>
          </cell>
          <cell r="H225">
            <v>53.906249999999993</v>
          </cell>
          <cell r="I225" t="e">
            <v>#N/A</v>
          </cell>
          <cell r="J225">
            <v>15.47109375</v>
          </cell>
        </row>
        <row r="226">
          <cell r="A226" t="str">
            <v>17.1.b</v>
          </cell>
          <cell r="B226" t="str">
            <v>17-1(b)</v>
          </cell>
          <cell r="C226" t="str">
            <v>200mm dia. R.C.C. Pipe laying work including 100m haulage including pipe and collar</v>
          </cell>
          <cell r="D226" t="str">
            <v xml:space="preserve">200mm dia. R.C.C. Pipe laying work </v>
          </cell>
          <cell r="E226" t="str">
            <v>m</v>
          </cell>
          <cell r="F226" t="e">
            <v>#N/A</v>
          </cell>
          <cell r="G226">
            <v>24.437499999999996</v>
          </cell>
          <cell r="H226">
            <v>71.875</v>
          </cell>
          <cell r="I226" t="e">
            <v>#N/A</v>
          </cell>
          <cell r="J226">
            <v>127.79374999999999</v>
          </cell>
        </row>
        <row r="227">
          <cell r="A227" t="str">
            <v>17.1.c</v>
          </cell>
          <cell r="B227" t="str">
            <v>17-1(c)</v>
          </cell>
          <cell r="C227" t="str">
            <v>300mm dia. R.C.C. Pipe laying work including 100m haulage including pipe and collar</v>
          </cell>
          <cell r="D227" t="str">
            <v xml:space="preserve">300mm dia. R.C.C. Pipe laying work </v>
          </cell>
          <cell r="E227" t="str">
            <v>m</v>
          </cell>
          <cell r="F227" t="e">
            <v>#N/A</v>
          </cell>
          <cell r="G227">
            <v>36.65625</v>
          </cell>
          <cell r="H227">
            <v>79.0625</v>
          </cell>
          <cell r="I227" t="e">
            <v>#N/A</v>
          </cell>
          <cell r="J227">
            <v>203.01093749999998</v>
          </cell>
        </row>
        <row r="228">
          <cell r="A228" t="str">
            <v>17.1.d</v>
          </cell>
          <cell r="B228" t="str">
            <v>17-1(d)</v>
          </cell>
          <cell r="C228" t="str">
            <v>400mm dia. R.C.C. Pipe laying work including 100m haulage including pipe and collar</v>
          </cell>
          <cell r="D228" t="str">
            <v xml:space="preserve">400mm dia. R.C.C. Pipe laying work </v>
          </cell>
          <cell r="E228" t="str">
            <v>m</v>
          </cell>
          <cell r="F228" t="e">
            <v>#N/A</v>
          </cell>
          <cell r="G228">
            <v>36.65625</v>
          </cell>
          <cell r="H228">
            <v>79.0625</v>
          </cell>
          <cell r="I228" t="e">
            <v>#N/A</v>
          </cell>
          <cell r="J228">
            <v>38.916718750000001</v>
          </cell>
        </row>
        <row r="229">
          <cell r="A229" t="str">
            <v>17.1.e</v>
          </cell>
          <cell r="B229" t="str">
            <v>17-1(e)</v>
          </cell>
          <cell r="C229" t="str">
            <v>500mm dia. R.C.C. Pipe laying work including 100m haulage including pipe and collar</v>
          </cell>
          <cell r="D229" t="str">
            <v xml:space="preserve">500mm dia. R.C.C. Pipe laying work </v>
          </cell>
          <cell r="E229" t="str">
            <v>m</v>
          </cell>
          <cell r="F229" t="e">
            <v>#N/A</v>
          </cell>
          <cell r="G229">
            <v>48.874999999999993</v>
          </cell>
          <cell r="H229">
            <v>107.81249999999999</v>
          </cell>
          <cell r="I229" t="e">
            <v>#N/A</v>
          </cell>
          <cell r="J229">
            <v>57.532343749999995</v>
          </cell>
        </row>
        <row r="230">
          <cell r="A230" t="str">
            <v>17.1.f</v>
          </cell>
          <cell r="B230" t="str">
            <v>17-1(f)</v>
          </cell>
          <cell r="C230" t="str">
            <v>600mm dia. R.C.C. Pipe laying work including 100m haulage including pipe and collar</v>
          </cell>
          <cell r="D230" t="str">
            <v xml:space="preserve">600mm dia. R.C.C. Pipe laying work </v>
          </cell>
          <cell r="E230" t="str">
            <v>m</v>
          </cell>
          <cell r="F230" t="e">
            <v>#N/A</v>
          </cell>
          <cell r="G230">
            <v>54.984374999999993</v>
          </cell>
          <cell r="H230">
            <v>125.78124999999999</v>
          </cell>
          <cell r="I230" t="e">
            <v>#N/A</v>
          </cell>
          <cell r="J230">
            <v>79.544062499999995</v>
          </cell>
        </row>
        <row r="231">
          <cell r="A231" t="str">
            <v>17.1.g</v>
          </cell>
          <cell r="B231" t="str">
            <v>17-1(g)</v>
          </cell>
          <cell r="C231" t="str">
            <v>750mm dia. R.C.C. Pipe laying work including 100m haulage including pipe and collar</v>
          </cell>
          <cell r="D231" t="str">
            <v xml:space="preserve">750mm dia. R.C.C. Pipe laying work </v>
          </cell>
          <cell r="E231" t="str">
            <v>m</v>
          </cell>
          <cell r="F231" t="e">
            <v>#N/A</v>
          </cell>
          <cell r="G231">
            <v>61.093749999999993</v>
          </cell>
          <cell r="H231">
            <v>143.75</v>
          </cell>
          <cell r="I231" t="e">
            <v>#N/A</v>
          </cell>
          <cell r="J231">
            <v>97.983593749999997</v>
          </cell>
        </row>
        <row r="232">
          <cell r="A232" t="str">
            <v>17.1.h</v>
          </cell>
          <cell r="B232" t="str">
            <v>17-1(h)</v>
          </cell>
          <cell r="C232" t="str">
            <v>900mm dia. R.C.C. Pipe laying work including 100m haulage including pipe and collar</v>
          </cell>
          <cell r="D232" t="str">
            <v xml:space="preserve">900mm dia. R.C.C. Pipe laying work </v>
          </cell>
          <cell r="E232" t="str">
            <v>m</v>
          </cell>
          <cell r="F232" t="e">
            <v>#N/A</v>
          </cell>
          <cell r="G232">
            <v>67.203125</v>
          </cell>
          <cell r="H232">
            <v>179.6875</v>
          </cell>
          <cell r="I232" t="e">
            <v>#N/A</v>
          </cell>
          <cell r="J232">
            <v>115.97031249999999</v>
          </cell>
        </row>
        <row r="233">
          <cell r="A233" t="str">
            <v>17.1.h'</v>
          </cell>
          <cell r="B233" t="str">
            <v>17-1(h)</v>
          </cell>
          <cell r="C233" t="str">
            <v>1000mm dia. R.C.C. Pipe laying work including 100m haulage including pipe and collar</v>
          </cell>
          <cell r="D233" t="str">
            <v xml:space="preserve">1000mm dia. R.C.C. Pipe laying work </v>
          </cell>
          <cell r="E233" t="str">
            <v>m</v>
          </cell>
          <cell r="F233" t="e">
            <v>#N/A</v>
          </cell>
          <cell r="G233">
            <v>67.203125</v>
          </cell>
          <cell r="H233">
            <v>179.6875</v>
          </cell>
          <cell r="I233" t="e">
            <v>#N/A</v>
          </cell>
          <cell r="J233">
            <v>115.97031249999999</v>
          </cell>
        </row>
        <row r="234">
          <cell r="A234" t="str">
            <v>17.1.i</v>
          </cell>
          <cell r="B234" t="str">
            <v>17-1(i)</v>
          </cell>
          <cell r="C234" t="str">
            <v>1200mm dia. R.C.C. Pipe laying work including 100m haulage including pipe and collar</v>
          </cell>
          <cell r="D234" t="str">
            <v xml:space="preserve">1200mm dia. R.C.C. Pipe laying work </v>
          </cell>
          <cell r="E234" t="str">
            <v>m</v>
          </cell>
          <cell r="F234" t="e">
            <v>#N/A</v>
          </cell>
          <cell r="G234">
            <v>73.3125</v>
          </cell>
          <cell r="H234">
            <v>269.53125</v>
          </cell>
          <cell r="I234" t="e">
            <v>#N/A</v>
          </cell>
          <cell r="J234">
            <v>142.56046874999998</v>
          </cell>
        </row>
        <row r="235">
          <cell r="C235" t="str">
            <v>Pipe Laying HDPE Pipe</v>
          </cell>
        </row>
        <row r="236">
          <cell r="A236" t="str">
            <v>17.2.a.1</v>
          </cell>
          <cell r="B236" t="str">
            <v>17-2(a)</v>
          </cell>
          <cell r="C236" t="str">
            <v>20mm dia. HDPE pipe laying works with butt-welded joint (excluding pipe)</v>
          </cell>
          <cell r="D236" t="str">
            <v>20/10 HDPE pipe laying works</v>
          </cell>
          <cell r="E236" t="str">
            <v>m</v>
          </cell>
          <cell r="F236">
            <v>0.56953750000000003</v>
          </cell>
          <cell r="G236">
            <v>0.19549999999999998</v>
          </cell>
          <cell r="H236">
            <v>0.34499999999999997</v>
          </cell>
          <cell r="I236">
            <v>0</v>
          </cell>
          <cell r="J236">
            <v>2.9037499999999997E-2</v>
          </cell>
        </row>
        <row r="237">
          <cell r="A237" t="str">
            <v>17.2.a.2</v>
          </cell>
          <cell r="B237" t="str">
            <v>17-2(a)</v>
          </cell>
          <cell r="C237" t="str">
            <v>25mm dia. HDPE pipe laying works with butt-welded joint (excluding pipe)</v>
          </cell>
          <cell r="D237" t="str">
            <v xml:space="preserve">25/10 HDPE pipe laying works </v>
          </cell>
          <cell r="E237" t="str">
            <v>m</v>
          </cell>
          <cell r="F237">
            <v>0.56953750000000003</v>
          </cell>
          <cell r="G237">
            <v>0.19549999999999998</v>
          </cell>
          <cell r="H237">
            <v>0.34499999999999997</v>
          </cell>
          <cell r="I237">
            <v>0</v>
          </cell>
          <cell r="J237">
            <v>2.9037499999999997E-2</v>
          </cell>
        </row>
        <row r="238">
          <cell r="A238" t="str">
            <v>17.2.a.3</v>
          </cell>
          <cell r="B238" t="str">
            <v>17-2(a)</v>
          </cell>
          <cell r="C238" t="str">
            <v>32mm dia. HDPE pipe laying works with butt-welded joint (excluding pipe)</v>
          </cell>
          <cell r="D238" t="str">
            <v xml:space="preserve">32/10 HDPE pipe laying works </v>
          </cell>
          <cell r="E238" t="str">
            <v>m</v>
          </cell>
          <cell r="F238">
            <v>0.68741249999999998</v>
          </cell>
          <cell r="G238">
            <v>0.19549999999999998</v>
          </cell>
          <cell r="H238">
            <v>0.45999999999999996</v>
          </cell>
          <cell r="I238">
            <v>0</v>
          </cell>
          <cell r="J238">
            <v>3.1912499999999996E-2</v>
          </cell>
        </row>
        <row r="239">
          <cell r="A239" t="str">
            <v>17.2.a.3.6</v>
          </cell>
          <cell r="B239" t="str">
            <v>17-2(a)</v>
          </cell>
          <cell r="C239" t="str">
            <v>32mm dia. HDPE pipe laying works with butt-welded joint (excluding pipe)</v>
          </cell>
          <cell r="D239" t="str">
            <v xml:space="preserve">32/6 HDPE pipe laying works </v>
          </cell>
          <cell r="E239" t="str">
            <v>m</v>
          </cell>
          <cell r="F239">
            <v>0.68741249999999998</v>
          </cell>
          <cell r="G239">
            <v>0.19549999999999998</v>
          </cell>
          <cell r="H239">
            <v>0.45999999999999996</v>
          </cell>
          <cell r="I239">
            <v>0</v>
          </cell>
          <cell r="J239">
            <v>3.1912499999999996E-2</v>
          </cell>
        </row>
        <row r="240">
          <cell r="A240" t="str">
            <v>17.2.a.4</v>
          </cell>
          <cell r="B240" t="str">
            <v>17-2(a)</v>
          </cell>
          <cell r="C240" t="str">
            <v>40mm dia. HDPE pipe laying works with butt-welded joint (excluding pipe)</v>
          </cell>
          <cell r="D240" t="str">
            <v xml:space="preserve">40/10 HDPE pipe laying works </v>
          </cell>
          <cell r="E240" t="str">
            <v>m</v>
          </cell>
          <cell r="F240">
            <v>0.85399575000000005</v>
          </cell>
          <cell r="G240">
            <v>0.29325000000000001</v>
          </cell>
          <cell r="H240">
            <v>0.51749999999999996</v>
          </cell>
          <cell r="I240">
            <v>0</v>
          </cell>
          <cell r="J240">
            <v>4.3245749999999999E-2</v>
          </cell>
        </row>
        <row r="241">
          <cell r="A241" t="str">
            <v>17.2.a.4.6</v>
          </cell>
          <cell r="B241" t="str">
            <v>17-2(a)</v>
          </cell>
          <cell r="C241" t="str">
            <v>40mm dia. HDPE pipe laying works with butt-welded joint (excluding pipe)</v>
          </cell>
          <cell r="D241" t="str">
            <v xml:space="preserve">40/6 HDPE pipe laying works </v>
          </cell>
          <cell r="E241" t="str">
            <v>m</v>
          </cell>
          <cell r="F241">
            <v>0.85399575000000005</v>
          </cell>
          <cell r="G241">
            <v>0.29325000000000001</v>
          </cell>
          <cell r="H241">
            <v>0.51749999999999996</v>
          </cell>
          <cell r="I241">
            <v>0</v>
          </cell>
          <cell r="J241">
            <v>4.3245749999999999E-2</v>
          </cell>
        </row>
        <row r="242">
          <cell r="A242" t="str">
            <v>17.2.a.5</v>
          </cell>
          <cell r="B242" t="str">
            <v>17-2(a)</v>
          </cell>
          <cell r="C242" t="str">
            <v>50mm dia. HDPE pipe laying works with butt-welded joint (excluding pipe)</v>
          </cell>
          <cell r="D242" t="str">
            <v xml:space="preserve">50/10 HDPE pipe laying works </v>
          </cell>
          <cell r="E242" t="str">
            <v>m</v>
          </cell>
          <cell r="F242">
            <v>0.85399575000000005</v>
          </cell>
          <cell r="G242">
            <v>0.29325000000000001</v>
          </cell>
          <cell r="H242">
            <v>0.51749999999999996</v>
          </cell>
          <cell r="I242">
            <v>0</v>
          </cell>
          <cell r="J242">
            <v>4.3245749999999999E-2</v>
          </cell>
        </row>
        <row r="243">
          <cell r="A243" t="str">
            <v>17.2.a.5.6</v>
          </cell>
          <cell r="B243" t="str">
            <v>17-2(a)</v>
          </cell>
          <cell r="C243" t="str">
            <v>50mm dia. HDPE pipe laying works with butt-welded joint (excluding pipe)</v>
          </cell>
          <cell r="D243" t="str">
            <v xml:space="preserve">50/6 HDPE pipe laying works </v>
          </cell>
          <cell r="E243" t="str">
            <v>m</v>
          </cell>
          <cell r="F243">
            <v>0.85399575000000005</v>
          </cell>
          <cell r="G243">
            <v>0.29325000000000001</v>
          </cell>
          <cell r="H243">
            <v>0.51749999999999996</v>
          </cell>
          <cell r="I243">
            <v>0</v>
          </cell>
          <cell r="J243">
            <v>4.3245749999999999E-2</v>
          </cell>
        </row>
        <row r="244">
          <cell r="A244" t="str">
            <v>17.2.b.1</v>
          </cell>
          <cell r="B244" t="str">
            <v>17-2(b)</v>
          </cell>
          <cell r="C244" t="str">
            <v>63mm dia. HDPE pipe laying works with butt-welded joint (excluding pipe)</v>
          </cell>
          <cell r="D244" t="str">
            <v xml:space="preserve">63/10 HDPE pipe laying works </v>
          </cell>
          <cell r="E244" t="str">
            <v>m</v>
          </cell>
          <cell r="F244">
            <v>12.292350000000001</v>
          </cell>
          <cell r="G244">
            <v>3.9099999999999993</v>
          </cell>
          <cell r="H244">
            <v>6.9</v>
          </cell>
          <cell r="I244">
            <v>0</v>
          </cell>
          <cell r="J244">
            <v>1.4823499999999998</v>
          </cell>
        </row>
        <row r="245">
          <cell r="A245" t="str">
            <v>17.2.b.1.6</v>
          </cell>
          <cell r="B245" t="str">
            <v>17-2(b)</v>
          </cell>
          <cell r="C245" t="str">
            <v>63mm dia. HDPE pipe laying works with butt-welded joint (excluding pipe)</v>
          </cell>
          <cell r="D245" t="str">
            <v xml:space="preserve">63/6 HDPE pipe laying works </v>
          </cell>
          <cell r="E245" t="str">
            <v>m</v>
          </cell>
          <cell r="F245">
            <v>12.292350000000001</v>
          </cell>
          <cell r="G245">
            <v>3.9099999999999993</v>
          </cell>
          <cell r="H245">
            <v>6.9</v>
          </cell>
          <cell r="I245">
            <v>0</v>
          </cell>
          <cell r="J245">
            <v>1.4823499999999998</v>
          </cell>
        </row>
        <row r="246">
          <cell r="A246" t="str">
            <v>17.2.b.1.4</v>
          </cell>
          <cell r="B246" t="str">
            <v>17-2(b)</v>
          </cell>
          <cell r="C246" t="str">
            <v>63mm dia. HDPE pipe laying works with butt-welded joint (excluding pipe)</v>
          </cell>
          <cell r="D246" t="str">
            <v xml:space="preserve">63/4 HDPE pipe laying works </v>
          </cell>
          <cell r="E246" t="str">
            <v>m</v>
          </cell>
          <cell r="F246">
            <v>12.292350000000001</v>
          </cell>
          <cell r="G246">
            <v>3.9099999999999993</v>
          </cell>
          <cell r="H246">
            <v>6.9</v>
          </cell>
          <cell r="I246">
            <v>0</v>
          </cell>
          <cell r="J246">
            <v>1.4823499999999998</v>
          </cell>
        </row>
        <row r="247">
          <cell r="A247" t="str">
            <v>17.2.b.2</v>
          </cell>
          <cell r="B247" t="str">
            <v>17-2(b)</v>
          </cell>
          <cell r="C247" t="str">
            <v>75mm dia. HDPE pipe laying works with butt-welded joint (excluding pipe)</v>
          </cell>
          <cell r="D247" t="str">
            <v xml:space="preserve">75/10 HDPE pipe laying works </v>
          </cell>
          <cell r="E247" t="str">
            <v>m</v>
          </cell>
          <cell r="F247">
            <v>12.292350000000001</v>
          </cell>
          <cell r="G247">
            <v>3.9099999999999993</v>
          </cell>
          <cell r="H247">
            <v>6.9</v>
          </cell>
          <cell r="I247">
            <v>0</v>
          </cell>
          <cell r="J247">
            <v>1.4823499999999998</v>
          </cell>
        </row>
        <row r="248">
          <cell r="A248" t="str">
            <v>17.2.b.2.6</v>
          </cell>
          <cell r="B248" t="str">
            <v>17-2(b)</v>
          </cell>
          <cell r="C248" t="str">
            <v>75mm dia. HDPE pipe laying works with butt-welded joint (excluding pipe)</v>
          </cell>
          <cell r="D248" t="str">
            <v xml:space="preserve">75/6 HDPE pipe laying works </v>
          </cell>
          <cell r="E248" t="str">
            <v>m</v>
          </cell>
          <cell r="F248">
            <v>12.292350000000001</v>
          </cell>
          <cell r="G248">
            <v>3.9099999999999993</v>
          </cell>
          <cell r="H248">
            <v>6.9</v>
          </cell>
          <cell r="I248">
            <v>0</v>
          </cell>
          <cell r="J248">
            <v>1.4823499999999998</v>
          </cell>
        </row>
        <row r="249">
          <cell r="A249" t="str">
            <v>17.2.b.2.4</v>
          </cell>
          <cell r="B249" t="str">
            <v>17-2(b)</v>
          </cell>
          <cell r="C249" t="str">
            <v>75mm dia. HDPE pipe laying works with butt-welded joint (excluding pipe)</v>
          </cell>
          <cell r="D249" t="str">
            <v xml:space="preserve">75/4 HDPE pipe laying works </v>
          </cell>
          <cell r="E249" t="str">
            <v>m</v>
          </cell>
          <cell r="F249">
            <v>12.292350000000001</v>
          </cell>
          <cell r="G249">
            <v>3.9099999999999993</v>
          </cell>
          <cell r="H249">
            <v>6.9</v>
          </cell>
          <cell r="I249">
            <v>0</v>
          </cell>
          <cell r="J249">
            <v>1.4823499999999998</v>
          </cell>
        </row>
        <row r="250">
          <cell r="A250" t="str">
            <v>17.2.b.3</v>
          </cell>
          <cell r="B250" t="str">
            <v>17-2(b)</v>
          </cell>
          <cell r="C250" t="str">
            <v>90mm dia. HDPE pipe laying works with butt-welded joint (excluding pipe)</v>
          </cell>
          <cell r="D250" t="str">
            <v xml:space="preserve">90/10 HDPE pipe laying works </v>
          </cell>
          <cell r="E250" t="str">
            <v>m</v>
          </cell>
          <cell r="F250">
            <v>12.867350000000002</v>
          </cell>
          <cell r="G250">
            <v>3.9099999999999993</v>
          </cell>
          <cell r="H250">
            <v>6.9</v>
          </cell>
          <cell r="I250">
            <v>0</v>
          </cell>
          <cell r="J250">
            <v>2.05735</v>
          </cell>
        </row>
        <row r="251">
          <cell r="A251" t="str">
            <v>17.2.b.3.6</v>
          </cell>
          <cell r="B251" t="str">
            <v>17-2(b)</v>
          </cell>
          <cell r="C251" t="str">
            <v>90mm dia. HDPE pipe laying works with butt-welded joint (excluding pipe)</v>
          </cell>
          <cell r="D251" t="str">
            <v xml:space="preserve">90/6 HDPE pipe laying works </v>
          </cell>
          <cell r="E251" t="str">
            <v>m</v>
          </cell>
          <cell r="F251">
            <v>12.867350000000002</v>
          </cell>
          <cell r="G251">
            <v>3.9099999999999993</v>
          </cell>
          <cell r="H251">
            <v>6.9</v>
          </cell>
          <cell r="I251">
            <v>0</v>
          </cell>
          <cell r="J251">
            <v>2.05735</v>
          </cell>
        </row>
        <row r="252">
          <cell r="A252" t="str">
            <v>17.2.b.3.4</v>
          </cell>
          <cell r="B252" t="str">
            <v>17-2(b)</v>
          </cell>
          <cell r="C252" t="str">
            <v>90mm dia. HDPE pipe laying works with butt-welded joint (excluding pipe)</v>
          </cell>
          <cell r="D252" t="str">
            <v xml:space="preserve">90/4 HDPE pipe laying works </v>
          </cell>
          <cell r="E252" t="str">
            <v>m</v>
          </cell>
          <cell r="F252">
            <v>12.867350000000002</v>
          </cell>
          <cell r="G252">
            <v>3.9099999999999993</v>
          </cell>
          <cell r="H252">
            <v>6.9</v>
          </cell>
          <cell r="I252">
            <v>0</v>
          </cell>
          <cell r="J252">
            <v>2.05735</v>
          </cell>
        </row>
        <row r="253">
          <cell r="A253" t="str">
            <v>17.2.b.4</v>
          </cell>
          <cell r="B253" t="str">
            <v>17-2(b)</v>
          </cell>
          <cell r="C253" t="str">
            <v>110mm dia. HDPE pipe laying works with butt-welded joint (excluding pipe)</v>
          </cell>
          <cell r="D253" t="str">
            <v xml:space="preserve">110/10 HDPE pipe laying works </v>
          </cell>
          <cell r="E253" t="str">
            <v>m</v>
          </cell>
          <cell r="F253">
            <v>18.966374999999999</v>
          </cell>
          <cell r="G253">
            <v>5.8650000000000002</v>
          </cell>
          <cell r="H253">
            <v>10.35</v>
          </cell>
          <cell r="I253">
            <v>0</v>
          </cell>
          <cell r="J253">
            <v>2.7513749999999999</v>
          </cell>
        </row>
        <row r="254">
          <cell r="A254" t="str">
            <v>17.2.b.4.6</v>
          </cell>
          <cell r="B254" t="str">
            <v>17-2(b)</v>
          </cell>
          <cell r="C254" t="str">
            <v>110mm dia. HDPE pipe laying works with butt-welded joint (excluding pipe)</v>
          </cell>
          <cell r="D254" t="str">
            <v xml:space="preserve">110/6 HDPE pipe laying works </v>
          </cell>
          <cell r="E254" t="str">
            <v>m</v>
          </cell>
          <cell r="F254">
            <v>18.966374999999999</v>
          </cell>
          <cell r="G254">
            <v>5.8650000000000002</v>
          </cell>
          <cell r="H254">
            <v>10.35</v>
          </cell>
          <cell r="I254">
            <v>0</v>
          </cell>
          <cell r="J254">
            <v>2.7513749999999999</v>
          </cell>
        </row>
        <row r="255">
          <cell r="A255" t="str">
            <v>17.2.b.4.4</v>
          </cell>
          <cell r="B255" t="str">
            <v>17-2(b)</v>
          </cell>
          <cell r="C255" t="str">
            <v>110mm dia. HDPE pipe laying works with butt-welded joint (excluding pipe)</v>
          </cell>
          <cell r="D255" t="str">
            <v xml:space="preserve">110/4 HDPE pipe laying works </v>
          </cell>
          <cell r="E255" t="str">
            <v>m</v>
          </cell>
          <cell r="F255">
            <v>18.966374999999999</v>
          </cell>
          <cell r="G255">
            <v>5.8650000000000002</v>
          </cell>
          <cell r="H255">
            <v>10.35</v>
          </cell>
          <cell r="I255">
            <v>0</v>
          </cell>
          <cell r="J255">
            <v>2.7513749999999999</v>
          </cell>
        </row>
        <row r="256">
          <cell r="A256" t="str">
            <v>17.2.b.5</v>
          </cell>
          <cell r="B256" t="str">
            <v>17-2(b)</v>
          </cell>
          <cell r="C256" t="str">
            <v>125mm dia. HDPE pipe laying works with butt-welded joint (excluding pipe)</v>
          </cell>
          <cell r="D256" t="str">
            <v xml:space="preserve">125/10 HDPE pipe laying works </v>
          </cell>
          <cell r="E256" t="str">
            <v>m</v>
          </cell>
          <cell r="F256">
            <v>18.966374999999999</v>
          </cell>
          <cell r="G256">
            <v>5.8650000000000002</v>
          </cell>
          <cell r="H256">
            <v>10.35</v>
          </cell>
          <cell r="I256">
            <v>0</v>
          </cell>
          <cell r="J256">
            <v>2.7513749999999999</v>
          </cell>
        </row>
        <row r="257">
          <cell r="A257" t="str">
            <v>17.2.b.5.6</v>
          </cell>
          <cell r="B257" t="str">
            <v>17-2(b)</v>
          </cell>
          <cell r="C257" t="str">
            <v>125mm dia. HDPE pipe laying works with butt-welded joint (excluding pipe)</v>
          </cell>
          <cell r="D257" t="str">
            <v xml:space="preserve">125/6 HDPE pipe laying works </v>
          </cell>
          <cell r="E257" t="str">
            <v>m</v>
          </cell>
          <cell r="F257">
            <v>18.966374999999999</v>
          </cell>
          <cell r="G257">
            <v>5.8650000000000002</v>
          </cell>
          <cell r="H257">
            <v>10.35</v>
          </cell>
          <cell r="I257">
            <v>0</v>
          </cell>
          <cell r="J257">
            <v>2.7513749999999999</v>
          </cell>
        </row>
        <row r="258">
          <cell r="A258" t="str">
            <v>17.2.b.5.4</v>
          </cell>
          <cell r="B258" t="str">
            <v>17-2(b)</v>
          </cell>
          <cell r="C258" t="str">
            <v>125mm dia. HDPE pipe laying works with butt-welded joint (excluding pipe)</v>
          </cell>
          <cell r="D258" t="str">
            <v xml:space="preserve">125/4 HDPE pipe laying works </v>
          </cell>
          <cell r="E258" t="str">
            <v>m</v>
          </cell>
          <cell r="F258">
            <v>18.966374999999999</v>
          </cell>
          <cell r="G258">
            <v>5.8650000000000002</v>
          </cell>
          <cell r="H258">
            <v>10.35</v>
          </cell>
          <cell r="I258">
            <v>0</v>
          </cell>
          <cell r="J258">
            <v>2.7513749999999999</v>
          </cell>
        </row>
        <row r="259">
          <cell r="A259" t="str">
            <v>17.2.b.6</v>
          </cell>
          <cell r="B259" t="str">
            <v>17-2(b)</v>
          </cell>
          <cell r="C259" t="str">
            <v>140mm dia. HDPE pipe laying works with butt-welded joint (excluding pipe)</v>
          </cell>
          <cell r="D259" t="str">
            <v xml:space="preserve">140/10 HDPE pipe laying works </v>
          </cell>
          <cell r="E259" t="str">
            <v>m</v>
          </cell>
          <cell r="F259">
            <v>25.702500000000001</v>
          </cell>
          <cell r="G259">
            <v>7.8199999999999985</v>
          </cell>
          <cell r="H259">
            <v>13.8</v>
          </cell>
          <cell r="I259">
            <v>0</v>
          </cell>
          <cell r="J259">
            <v>4.0824999999999996</v>
          </cell>
        </row>
        <row r="260">
          <cell r="A260" t="str">
            <v>17.2.b.6.6</v>
          </cell>
          <cell r="B260" t="str">
            <v>17-2(b)</v>
          </cell>
          <cell r="C260" t="str">
            <v>140mm dia. HDPE pipe laying works with butt-welded joint (excluding pipe)</v>
          </cell>
          <cell r="D260" t="str">
            <v xml:space="preserve">140/6 HDPE pipe laying works </v>
          </cell>
          <cell r="E260" t="str">
            <v>m</v>
          </cell>
          <cell r="F260">
            <v>25.702500000000001</v>
          </cell>
          <cell r="G260">
            <v>7.8199999999999985</v>
          </cell>
          <cell r="H260">
            <v>13.8</v>
          </cell>
          <cell r="I260">
            <v>0</v>
          </cell>
          <cell r="J260">
            <v>4.0824999999999996</v>
          </cell>
        </row>
        <row r="261">
          <cell r="A261" t="str">
            <v>17.2.b.6.4</v>
          </cell>
          <cell r="B261" t="str">
            <v>17-2(b)</v>
          </cell>
          <cell r="C261" t="str">
            <v>140mm dia. HDPE pipe laying works with butt-welded joint (excluding pipe)</v>
          </cell>
          <cell r="D261" t="str">
            <v xml:space="preserve">140/4 HDPE pipe laying works </v>
          </cell>
          <cell r="E261" t="str">
            <v>m</v>
          </cell>
          <cell r="F261">
            <v>25.702500000000001</v>
          </cell>
          <cell r="G261">
            <v>7.8199999999999985</v>
          </cell>
          <cell r="H261">
            <v>13.8</v>
          </cell>
          <cell r="I261">
            <v>0</v>
          </cell>
          <cell r="J261">
            <v>4.0824999999999996</v>
          </cell>
        </row>
        <row r="262">
          <cell r="A262" t="str">
            <v>17.2.b.7</v>
          </cell>
          <cell r="B262" t="str">
            <v>17-2(b)</v>
          </cell>
          <cell r="C262" t="str">
            <v>160mm dia. HDPE pipe laying works with butt-welded joint (excluding pipe)</v>
          </cell>
          <cell r="D262" t="str">
            <v xml:space="preserve">160/10 HDPE pipe laying works </v>
          </cell>
          <cell r="E262" t="str">
            <v>m</v>
          </cell>
          <cell r="F262">
            <v>25.702500000000001</v>
          </cell>
          <cell r="G262">
            <v>7.8199999999999985</v>
          </cell>
          <cell r="H262">
            <v>13.8</v>
          </cell>
          <cell r="I262">
            <v>0</v>
          </cell>
          <cell r="J262">
            <v>4.0824999999999996</v>
          </cell>
        </row>
        <row r="263">
          <cell r="A263" t="str">
            <v>17.2.b.7.6</v>
          </cell>
          <cell r="B263" t="str">
            <v>17-2(b)</v>
          </cell>
          <cell r="C263" t="str">
            <v>160mm dia. HDPE pipe laying works with butt-welded joint (excluding pipe)</v>
          </cell>
          <cell r="D263" t="str">
            <v xml:space="preserve">160/6 HDPE pipe laying works </v>
          </cell>
          <cell r="E263" t="str">
            <v>m</v>
          </cell>
          <cell r="F263">
            <v>25.702500000000001</v>
          </cell>
          <cell r="G263">
            <v>7.8199999999999985</v>
          </cell>
          <cell r="H263">
            <v>13.8</v>
          </cell>
          <cell r="I263">
            <v>0</v>
          </cell>
          <cell r="J263">
            <v>4.0824999999999996</v>
          </cell>
        </row>
        <row r="264">
          <cell r="A264" t="str">
            <v>17.2.b.7.4</v>
          </cell>
          <cell r="B264" t="str">
            <v>17-2(b)</v>
          </cell>
          <cell r="C264" t="str">
            <v>160mm dia. HDPE pipe laying works with butt-welded joint (excluding pipe)</v>
          </cell>
          <cell r="D264" t="str">
            <v xml:space="preserve">160/4 HDPE pipe laying works </v>
          </cell>
          <cell r="E264" t="str">
            <v>m</v>
          </cell>
          <cell r="F264">
            <v>25.702500000000001</v>
          </cell>
          <cell r="G264">
            <v>7.8199999999999985</v>
          </cell>
          <cell r="H264">
            <v>13.8</v>
          </cell>
          <cell r="I264">
            <v>0</v>
          </cell>
          <cell r="J264">
            <v>4.0824999999999996</v>
          </cell>
        </row>
        <row r="265">
          <cell r="A265" t="str">
            <v>17.2.b.8</v>
          </cell>
          <cell r="B265" t="str">
            <v>17-2(b)</v>
          </cell>
          <cell r="C265" t="str">
            <v>180mm dia. HDPE pipe laying works with butt-welded joint (excluding pipe)</v>
          </cell>
          <cell r="D265" t="str">
            <v xml:space="preserve">180/10 HDPE pipe laying works </v>
          </cell>
          <cell r="E265" t="str">
            <v>m</v>
          </cell>
          <cell r="F265">
            <v>25.702500000000001</v>
          </cell>
          <cell r="G265">
            <v>7.8199999999999985</v>
          </cell>
          <cell r="H265">
            <v>13.8</v>
          </cell>
          <cell r="I265">
            <v>0</v>
          </cell>
          <cell r="J265">
            <v>4.0824999999999996</v>
          </cell>
        </row>
        <row r="266">
          <cell r="A266" t="str">
            <v>17.2.b.8.6</v>
          </cell>
          <cell r="B266" t="str">
            <v>17-2(b)</v>
          </cell>
          <cell r="C266" t="str">
            <v>180mm dia. HDPE pipe laying works with butt-welded joint (excluding pipe)</v>
          </cell>
          <cell r="D266" t="str">
            <v xml:space="preserve">180/6 HDPE pipe laying works </v>
          </cell>
          <cell r="E266" t="str">
            <v>m</v>
          </cell>
          <cell r="F266">
            <v>25.702500000000001</v>
          </cell>
          <cell r="G266">
            <v>7.8199999999999985</v>
          </cell>
          <cell r="H266">
            <v>13.8</v>
          </cell>
          <cell r="I266">
            <v>0</v>
          </cell>
          <cell r="J266">
            <v>4.0824999999999996</v>
          </cell>
        </row>
        <row r="267">
          <cell r="A267" t="str">
            <v>17.2.b.8.4</v>
          </cell>
          <cell r="B267" t="str">
            <v>17-2(b)</v>
          </cell>
          <cell r="C267" t="str">
            <v>180mm dia. HDPE pipe laying works with butt-welded joint (excluding pipe)</v>
          </cell>
          <cell r="D267" t="str">
            <v xml:space="preserve">180/4 HDPE pipe laying works </v>
          </cell>
          <cell r="E267" t="str">
            <v>m</v>
          </cell>
          <cell r="F267">
            <v>25.702500000000001</v>
          </cell>
          <cell r="G267">
            <v>7.8199999999999985</v>
          </cell>
          <cell r="H267">
            <v>13.8</v>
          </cell>
          <cell r="I267">
            <v>0</v>
          </cell>
          <cell r="J267">
            <v>4.0824999999999996</v>
          </cell>
        </row>
        <row r="268">
          <cell r="A268" t="str">
            <v>17.2.b.9</v>
          </cell>
          <cell r="B268" t="str">
            <v>17-2(b)</v>
          </cell>
          <cell r="C268" t="str">
            <v>200mm dia. HDPE pipe laying works with butt-welded joint (excluding pipe)</v>
          </cell>
          <cell r="D268" t="str">
            <v xml:space="preserve">200/10 HDPE pipe laying works </v>
          </cell>
          <cell r="E268" t="str">
            <v>m</v>
          </cell>
          <cell r="F268">
            <v>25.702500000000001</v>
          </cell>
          <cell r="G268">
            <v>7.8199999999999985</v>
          </cell>
          <cell r="H268">
            <v>13.8</v>
          </cell>
          <cell r="I268">
            <v>0</v>
          </cell>
          <cell r="J268">
            <v>4.0824999999999996</v>
          </cell>
        </row>
        <row r="269">
          <cell r="A269" t="str">
            <v>17.2.b.9.6</v>
          </cell>
          <cell r="B269" t="str">
            <v>17-2(b)</v>
          </cell>
          <cell r="C269" t="str">
            <v>200mm dia. HDPE pipe laying works with butt-welded joint (excluding pipe)</v>
          </cell>
          <cell r="D269" t="str">
            <v xml:space="preserve">200/6 HDPE pipe laying works </v>
          </cell>
          <cell r="E269" t="str">
            <v>m</v>
          </cell>
          <cell r="F269">
            <v>25.702500000000001</v>
          </cell>
          <cell r="G269">
            <v>7.8199999999999985</v>
          </cell>
          <cell r="H269">
            <v>13.8</v>
          </cell>
          <cell r="I269">
            <v>0</v>
          </cell>
          <cell r="J269">
            <v>4.0824999999999996</v>
          </cell>
        </row>
        <row r="270">
          <cell r="A270" t="str">
            <v>17.2.b.9.4</v>
          </cell>
          <cell r="B270" t="str">
            <v>17-2(b)</v>
          </cell>
          <cell r="C270" t="str">
            <v>200mm dia. HDPE pipe laying works with butt-welded joint (excluding pipe)</v>
          </cell>
          <cell r="D270" t="str">
            <v xml:space="preserve">200/4 HDPE pipe laying works </v>
          </cell>
          <cell r="E270" t="str">
            <v>m</v>
          </cell>
          <cell r="F270">
            <v>25.702500000000001</v>
          </cell>
          <cell r="G270">
            <v>7.8199999999999985</v>
          </cell>
          <cell r="H270">
            <v>13.8</v>
          </cell>
          <cell r="I270">
            <v>0</v>
          </cell>
          <cell r="J270">
            <v>4.0824999999999996</v>
          </cell>
        </row>
        <row r="271">
          <cell r="A271" t="str">
            <v>17.2.b.10</v>
          </cell>
          <cell r="B271" t="str">
            <v>17-2(b)</v>
          </cell>
          <cell r="C271" t="str">
            <v>225mm dia. HDPE pipe laying works with butt-welded joint (excluding pipe)</v>
          </cell>
          <cell r="D271" t="str">
            <v xml:space="preserve">225/10 HDPE pipe laying works </v>
          </cell>
          <cell r="E271" t="str">
            <v>m</v>
          </cell>
          <cell r="F271">
            <v>25.702500000000001</v>
          </cell>
          <cell r="G271">
            <v>7.8199999999999985</v>
          </cell>
          <cell r="H271">
            <v>13.8</v>
          </cell>
          <cell r="I271">
            <v>0</v>
          </cell>
          <cell r="J271">
            <v>4.0824999999999996</v>
          </cell>
        </row>
        <row r="272">
          <cell r="A272" t="str">
            <v>17.2.b.10.6</v>
          </cell>
          <cell r="B272" t="str">
            <v>17-2(b)</v>
          </cell>
          <cell r="C272" t="str">
            <v>225mm dia. HDPE pipe laying works with butt-welded joint (excluding pipe)</v>
          </cell>
          <cell r="D272" t="str">
            <v xml:space="preserve">225/6 HDPE pipe laying works </v>
          </cell>
          <cell r="E272" t="str">
            <v>m</v>
          </cell>
          <cell r="F272">
            <v>25.702500000000001</v>
          </cell>
          <cell r="G272">
            <v>7.8199999999999985</v>
          </cell>
          <cell r="H272">
            <v>13.8</v>
          </cell>
          <cell r="I272">
            <v>0</v>
          </cell>
          <cell r="J272">
            <v>4.0824999999999996</v>
          </cell>
        </row>
        <row r="273">
          <cell r="A273" t="str">
            <v>17.2.b.10.4</v>
          </cell>
          <cell r="B273" t="str">
            <v>17-2(b)</v>
          </cell>
          <cell r="C273" t="str">
            <v>225mm dia. HDPE pipe laying works with butt-welded joint (excluding pipe)</v>
          </cell>
          <cell r="D273" t="str">
            <v xml:space="preserve">225/4 HDPE pipe laying works </v>
          </cell>
          <cell r="E273" t="str">
            <v>m</v>
          </cell>
          <cell r="F273">
            <v>25.702500000000001</v>
          </cell>
          <cell r="G273">
            <v>7.8199999999999985</v>
          </cell>
          <cell r="H273">
            <v>13.8</v>
          </cell>
          <cell r="I273">
            <v>0</v>
          </cell>
          <cell r="J273">
            <v>4.0824999999999996</v>
          </cell>
        </row>
        <row r="274">
          <cell r="A274" t="str">
            <v>17.2.b.11</v>
          </cell>
          <cell r="B274" t="str">
            <v>17-2(b)</v>
          </cell>
          <cell r="C274" t="str">
            <v>250mm dia. HDPE pipe laying works with butt-welded joint (excluding pipe)</v>
          </cell>
          <cell r="D274" t="str">
            <v xml:space="preserve">250/10 HDPE pipe laying works </v>
          </cell>
          <cell r="E274" t="str">
            <v>m</v>
          </cell>
          <cell r="F274">
            <v>25.702500000000001</v>
          </cell>
          <cell r="G274">
            <v>7.8199999999999985</v>
          </cell>
          <cell r="H274">
            <v>13.8</v>
          </cell>
          <cell r="I274">
            <v>0</v>
          </cell>
          <cell r="J274">
            <v>4.0824999999999996</v>
          </cell>
        </row>
        <row r="275">
          <cell r="A275" t="str">
            <v>17.2.b.11.6</v>
          </cell>
          <cell r="B275" t="str">
            <v>17-2(b)</v>
          </cell>
          <cell r="C275" t="str">
            <v>250mm dia. HDPE pipe laying works with butt-welded joint (excluding pipe)</v>
          </cell>
          <cell r="D275" t="str">
            <v xml:space="preserve">250/6 HDPE pipe laying works </v>
          </cell>
          <cell r="E275" t="str">
            <v>m</v>
          </cell>
          <cell r="F275">
            <v>25.702500000000001</v>
          </cell>
          <cell r="G275">
            <v>7.8199999999999985</v>
          </cell>
          <cell r="H275">
            <v>13.8</v>
          </cell>
          <cell r="I275">
            <v>0</v>
          </cell>
          <cell r="J275">
            <v>4.0824999999999996</v>
          </cell>
        </row>
        <row r="276">
          <cell r="A276" t="str">
            <v>17.2.b.11.4</v>
          </cell>
          <cell r="B276" t="str">
            <v>17-2(b)</v>
          </cell>
          <cell r="C276" t="str">
            <v>250mm dia. HDPE pipe laying works with butt-welded joint (excluding pipe)</v>
          </cell>
          <cell r="D276" t="str">
            <v xml:space="preserve">250/4 HDPE pipe laying works </v>
          </cell>
          <cell r="E276" t="str">
            <v>m</v>
          </cell>
          <cell r="F276">
            <v>25.702500000000001</v>
          </cell>
          <cell r="G276">
            <v>7.8199999999999985</v>
          </cell>
          <cell r="H276">
            <v>13.8</v>
          </cell>
          <cell r="I276">
            <v>0</v>
          </cell>
          <cell r="J276">
            <v>4.0824999999999996</v>
          </cell>
        </row>
        <row r="277">
          <cell r="A277" t="str">
            <v>17.2.b.12</v>
          </cell>
          <cell r="B277" t="str">
            <v>17-2(b)</v>
          </cell>
          <cell r="C277" t="str">
            <v>280mm dia. HDPE pipe laying works with butt-welded joint (excluding pipe)</v>
          </cell>
          <cell r="D277" t="str">
            <v xml:space="preserve">280/10 HDPE pipe laying works </v>
          </cell>
          <cell r="E277" t="str">
            <v>m</v>
          </cell>
          <cell r="F277">
            <v>25.702500000000001</v>
          </cell>
          <cell r="G277">
            <v>7.8199999999999985</v>
          </cell>
          <cell r="H277">
            <v>13.8</v>
          </cell>
          <cell r="I277">
            <v>0</v>
          </cell>
          <cell r="J277">
            <v>4.0824999999999996</v>
          </cell>
        </row>
        <row r="278">
          <cell r="A278" t="str">
            <v>17.2.b.12.6</v>
          </cell>
          <cell r="B278" t="str">
            <v>17-2(b)</v>
          </cell>
          <cell r="C278" t="str">
            <v>280mm dia. HDPE pipe laying works with butt-welded joint (excluding pipe)</v>
          </cell>
          <cell r="D278" t="str">
            <v xml:space="preserve">280/6 HDPE pipe laying works </v>
          </cell>
          <cell r="E278" t="str">
            <v>m</v>
          </cell>
          <cell r="F278">
            <v>25.702500000000001</v>
          </cell>
          <cell r="G278">
            <v>7.8199999999999985</v>
          </cell>
          <cell r="H278">
            <v>13.8</v>
          </cell>
          <cell r="I278">
            <v>0</v>
          </cell>
          <cell r="J278">
            <v>4.0824999999999996</v>
          </cell>
        </row>
        <row r="279">
          <cell r="A279" t="str">
            <v>17.2.b.12.4</v>
          </cell>
          <cell r="B279" t="str">
            <v>17-2(b)</v>
          </cell>
          <cell r="C279" t="str">
            <v>280mm dia. HDPE pipe laying works with butt-welded joint (excluding pipe)</v>
          </cell>
          <cell r="D279" t="str">
            <v xml:space="preserve">280/4 HDPE pipe laying works </v>
          </cell>
          <cell r="E279" t="str">
            <v>m</v>
          </cell>
          <cell r="F279">
            <v>25.702500000000001</v>
          </cell>
          <cell r="G279">
            <v>7.8199999999999985</v>
          </cell>
          <cell r="H279">
            <v>13.8</v>
          </cell>
          <cell r="I279">
            <v>0</v>
          </cell>
          <cell r="J279">
            <v>4.0824999999999996</v>
          </cell>
        </row>
        <row r="280">
          <cell r="A280" t="str">
            <v>17.2.b.13</v>
          </cell>
          <cell r="B280" t="str">
            <v>17-2(b)</v>
          </cell>
          <cell r="C280" t="str">
            <v>315mm dia. HDPE pipe laying works with butt-welded joint (excluding pipe)</v>
          </cell>
          <cell r="D280" t="str">
            <v xml:space="preserve">315/10 HDPE pipe laying works </v>
          </cell>
          <cell r="E280" t="str">
            <v>m</v>
          </cell>
          <cell r="F280">
            <v>25.702500000000001</v>
          </cell>
          <cell r="G280">
            <v>7.8199999999999985</v>
          </cell>
          <cell r="H280">
            <v>13.8</v>
          </cell>
          <cell r="I280">
            <v>0</v>
          </cell>
          <cell r="J280">
            <v>4.0824999999999996</v>
          </cell>
        </row>
        <row r="281">
          <cell r="A281" t="str">
            <v>17.2.b.13.6</v>
          </cell>
          <cell r="B281" t="str">
            <v>17-2(b)</v>
          </cell>
          <cell r="C281" t="str">
            <v>315mm dia. HDPE pipe laying works with butt-welded joint (excluding pipe)</v>
          </cell>
          <cell r="D281" t="str">
            <v xml:space="preserve">315/6 HDPE pipe laying works </v>
          </cell>
          <cell r="E281" t="str">
            <v>m</v>
          </cell>
          <cell r="F281">
            <v>25.702500000000001</v>
          </cell>
          <cell r="G281">
            <v>7.8199999999999985</v>
          </cell>
          <cell r="H281">
            <v>13.8</v>
          </cell>
          <cell r="I281">
            <v>0</v>
          </cell>
          <cell r="J281">
            <v>4.0824999999999996</v>
          </cell>
        </row>
        <row r="282">
          <cell r="A282" t="str">
            <v>17.2.b.13.4</v>
          </cell>
          <cell r="B282" t="str">
            <v>17-2(b)</v>
          </cell>
          <cell r="C282" t="str">
            <v>315mm dia. HDPE pipe laying works with butt-welded joint (excluding pipe)</v>
          </cell>
          <cell r="D282" t="str">
            <v xml:space="preserve">315/4 HDPE pipe laying works </v>
          </cell>
          <cell r="E282" t="str">
            <v>m</v>
          </cell>
          <cell r="F282">
            <v>25.702500000000001</v>
          </cell>
          <cell r="G282">
            <v>7.8199999999999985</v>
          </cell>
          <cell r="H282">
            <v>13.8</v>
          </cell>
          <cell r="I282">
            <v>0</v>
          </cell>
          <cell r="J282">
            <v>4.0824999999999996</v>
          </cell>
        </row>
        <row r="283">
          <cell r="A283" t="str">
            <v>17.4.a.1.1</v>
          </cell>
          <cell r="B283" t="str">
            <v>17-4(a)1</v>
          </cell>
          <cell r="C283" t="str">
            <v>13mm dia. GI pipe laying works with socket, union or flange joint including 500m carriage (excluding pipe)</v>
          </cell>
          <cell r="D283" t="str">
            <v xml:space="preserve">13mm dia. GI pipe laying works </v>
          </cell>
          <cell r="E283" t="str">
            <v>m</v>
          </cell>
          <cell r="F283">
            <v>12.194791666666667</v>
          </cell>
          <cell r="G283">
            <v>3.2583333333333329</v>
          </cell>
          <cell r="H283">
            <v>7.6666666666666661</v>
          </cell>
          <cell r="I283">
            <v>0</v>
          </cell>
          <cell r="J283">
            <v>1.2697916666666667</v>
          </cell>
        </row>
        <row r="284">
          <cell r="A284" t="str">
            <v>17.4.a.1.1.a</v>
          </cell>
          <cell r="B284" t="str">
            <v>17-4(a)1</v>
          </cell>
          <cell r="C284" t="str">
            <v>13mm dia. GI pipe laying works with socket, union or flange joint including 500m carriage (including pipe)</v>
          </cell>
          <cell r="D284" t="str">
            <v>13mm dia. GI pipe laying works (with pipe)</v>
          </cell>
          <cell r="E284" t="str">
            <v>m</v>
          </cell>
          <cell r="F284">
            <v>114.54479166666667</v>
          </cell>
          <cell r="G284">
            <v>3.2583333333333329</v>
          </cell>
          <cell r="H284">
            <v>7.6666666666666661</v>
          </cell>
          <cell r="I284">
            <v>0</v>
          </cell>
          <cell r="J284">
            <v>103.61979166666666</v>
          </cell>
        </row>
        <row r="285">
          <cell r="A285" t="str">
            <v>17.4.a.1.2</v>
          </cell>
          <cell r="B285" t="str">
            <v>17-4(a)1</v>
          </cell>
          <cell r="C285" t="str">
            <v>20mm dia. GI pipe laying works with socket, union or flange joint including 500m carriage (excluding pipe)</v>
          </cell>
          <cell r="D285" t="str">
            <v xml:space="preserve">20mm dia. GI pipe laying works </v>
          </cell>
          <cell r="E285" t="str">
            <v>m</v>
          </cell>
          <cell r="F285">
            <v>15.058411458333333</v>
          </cell>
          <cell r="G285">
            <v>3.2583333333333329</v>
          </cell>
          <cell r="H285">
            <v>7.6666666666666661</v>
          </cell>
          <cell r="I285">
            <v>0</v>
          </cell>
          <cell r="J285">
            <v>4.1334114583333328</v>
          </cell>
        </row>
        <row r="286">
          <cell r="A286" t="str">
            <v>17.4.a.1.2.a</v>
          </cell>
          <cell r="B286" t="str">
            <v>17-4(a)1</v>
          </cell>
          <cell r="C286" t="str">
            <v>20mm dia. GI pipe laying works with socket, union or flange joint including 500m carriage (including pipe)</v>
          </cell>
          <cell r="D286" t="str">
            <v>20mm dia. GI pipe laying works (with Pipe)</v>
          </cell>
          <cell r="E286" t="str">
            <v>m</v>
          </cell>
          <cell r="F286">
            <v>127.57568424479165</v>
          </cell>
          <cell r="G286">
            <v>3.2583333333333329</v>
          </cell>
          <cell r="H286">
            <v>7.6666666666666661</v>
          </cell>
          <cell r="I286">
            <v>0</v>
          </cell>
          <cell r="J286">
            <v>116.65068424479165</v>
          </cell>
        </row>
        <row r="287">
          <cell r="A287" t="str">
            <v>17.4.a.2.1</v>
          </cell>
          <cell r="B287" t="str">
            <v>17-4(a)2</v>
          </cell>
          <cell r="C287" t="str">
            <v>25mm dia. GI pipe laying works with socket, union or flange joint including 500m carriage (excluding pipe)</v>
          </cell>
          <cell r="D287" t="str">
            <v>25mm dia. GI pipe laying works</v>
          </cell>
          <cell r="E287" t="str">
            <v>m</v>
          </cell>
          <cell r="F287">
            <v>19.648767106119791</v>
          </cell>
          <cell r="G287">
            <v>3.2583333333333329</v>
          </cell>
          <cell r="H287">
            <v>11.5</v>
          </cell>
          <cell r="I287">
            <v>0</v>
          </cell>
          <cell r="J287">
            <v>4.8904337727864577</v>
          </cell>
        </row>
        <row r="288">
          <cell r="A288" t="str">
            <v>17.4.a.2.1.a</v>
          </cell>
          <cell r="B288" t="str">
            <v>17-4(a)2</v>
          </cell>
          <cell r="C288" t="str">
            <v>25mm dia. GI pipe laying works with socket, union or flange joint including 500m carriage (including pipe)</v>
          </cell>
          <cell r="D288" t="str">
            <v>25mm dia. GI pipe laying works (with Pipe)</v>
          </cell>
          <cell r="E288" t="str">
            <v>m</v>
          </cell>
          <cell r="F288">
            <v>213.61454878377279</v>
          </cell>
          <cell r="G288">
            <v>3.2583333333333329</v>
          </cell>
          <cell r="H288">
            <v>11.5</v>
          </cell>
          <cell r="I288">
            <v>0</v>
          </cell>
          <cell r="J288">
            <v>198.85621545043944</v>
          </cell>
        </row>
        <row r="289">
          <cell r="A289" t="str">
            <v>17.4.a.2.2</v>
          </cell>
          <cell r="B289" t="str">
            <v>17-4(a)2</v>
          </cell>
          <cell r="C289" t="str">
            <v>32mm dia. GI pipe laying works with socket, union or flange joint including 500m carriage (excluding pipe)</v>
          </cell>
          <cell r="D289" t="str">
            <v>32mm dia. GI pipe laying works</v>
          </cell>
          <cell r="E289" t="str">
            <v>m</v>
          </cell>
          <cell r="F289">
            <v>21.799738719594316</v>
          </cell>
          <cell r="G289">
            <v>3.2583333333333329</v>
          </cell>
          <cell r="H289">
            <v>11.5</v>
          </cell>
          <cell r="I289">
            <v>0</v>
          </cell>
          <cell r="J289">
            <v>7.041405386260986</v>
          </cell>
        </row>
        <row r="290">
          <cell r="A290" t="str">
            <v>17.4.a.3.1</v>
          </cell>
          <cell r="B290" t="str">
            <v>17-4(a)3</v>
          </cell>
          <cell r="C290" t="str">
            <v>40mm dia. GI pipe laying works with socket, union or flange joint including 500m carriage (excluding pipe)</v>
          </cell>
          <cell r="D290" t="str">
            <v>40mm dia. GI pipe laying works</v>
          </cell>
          <cell r="E290" t="str">
            <v>m</v>
          </cell>
          <cell r="F290">
            <v>22.556770833333335</v>
          </cell>
          <cell r="G290">
            <v>4.8875000000000002</v>
          </cell>
          <cell r="H290">
            <v>15.333333333333332</v>
          </cell>
          <cell r="I290">
            <v>0</v>
          </cell>
          <cell r="J290">
            <v>2.3359375</v>
          </cell>
        </row>
        <row r="291">
          <cell r="A291" t="str">
            <v>17.4.a.3.2</v>
          </cell>
          <cell r="B291" t="str">
            <v>17-4(a)3</v>
          </cell>
          <cell r="C291" t="str">
            <v>50mm dia. GI pipe laying works with socket, union or flange joint including 500m carriage (excluding pipe)</v>
          </cell>
          <cell r="D291" t="str">
            <v>50mm dia. GI pipe laying works</v>
          </cell>
          <cell r="E291" t="str">
            <v>m</v>
          </cell>
          <cell r="F291">
            <v>22.556770833333335</v>
          </cell>
          <cell r="G291">
            <v>4.8875000000000002</v>
          </cell>
          <cell r="H291">
            <v>15.333333333333332</v>
          </cell>
          <cell r="I291">
            <v>0</v>
          </cell>
          <cell r="J291">
            <v>2.3359375</v>
          </cell>
        </row>
        <row r="292">
          <cell r="A292" t="str">
            <v>17.4.a.4.1</v>
          </cell>
          <cell r="B292" t="str">
            <v>17-4(a)4</v>
          </cell>
          <cell r="C292" t="str">
            <v>63mm dia. GI pipe laying works with socket, union or flange joint including 500m carriage (excluding pipe)</v>
          </cell>
          <cell r="D292" t="str">
            <v>63mm dia. GI pipe laying works</v>
          </cell>
          <cell r="E292" t="str">
            <v>m</v>
          </cell>
          <cell r="F292">
            <v>30.439062499999999</v>
          </cell>
          <cell r="G292">
            <v>8.1458333333333321</v>
          </cell>
          <cell r="H292">
            <v>19.166666666666668</v>
          </cell>
          <cell r="I292">
            <v>0</v>
          </cell>
          <cell r="J292">
            <v>3.1265624999999995</v>
          </cell>
        </row>
        <row r="293">
          <cell r="A293" t="str">
            <v>17.4.a.4.2</v>
          </cell>
          <cell r="B293" t="str">
            <v>17-4(a)4</v>
          </cell>
          <cell r="C293" t="str">
            <v>75mm dia. GI pipe laying works with socket, union or flange joint including 500m carriage (excluding pipe)</v>
          </cell>
          <cell r="D293" t="str">
            <v>75mm dia. GI pipe laying works</v>
          </cell>
          <cell r="E293" t="str">
            <v>m</v>
          </cell>
          <cell r="F293">
            <v>30.439062499999999</v>
          </cell>
          <cell r="G293">
            <v>8.1458333333333321</v>
          </cell>
          <cell r="H293">
            <v>19.166666666666668</v>
          </cell>
          <cell r="I293">
            <v>0</v>
          </cell>
          <cell r="J293">
            <v>3.1265624999999995</v>
          </cell>
        </row>
        <row r="294">
          <cell r="A294" t="str">
            <v>17.4.a.5</v>
          </cell>
          <cell r="B294" t="str">
            <v>17-4(a)5</v>
          </cell>
          <cell r="C294" t="str">
            <v>100mm dia. GI pipe laying works with socket, union or flange joint including 500m carriage (excluding pipe)</v>
          </cell>
          <cell r="D294" t="str">
            <v>100mm dia. GI pipe laying works</v>
          </cell>
          <cell r="E294" t="str">
            <v>m</v>
          </cell>
          <cell r="F294">
            <v>38.321354166666666</v>
          </cell>
          <cell r="G294">
            <v>11.404166666666667</v>
          </cell>
          <cell r="H294">
            <v>23</v>
          </cell>
          <cell r="I294">
            <v>0</v>
          </cell>
          <cell r="J294">
            <v>3.9171874999999994</v>
          </cell>
        </row>
        <row r="295">
          <cell r="A295" t="str">
            <v>17.4.a.6</v>
          </cell>
          <cell r="B295" t="str">
            <v>17-4(a)6</v>
          </cell>
          <cell r="C295" t="str">
            <v>125mm dia. GI pipe laying works with socket, union or flange joint including 500m carriage (excluding pipe)</v>
          </cell>
          <cell r="D295" t="str">
            <v>125mm dia. GI pipe laying works</v>
          </cell>
          <cell r="E295" t="str">
            <v>m</v>
          </cell>
          <cell r="F295">
            <v>46.52708333333333</v>
          </cell>
          <cell r="G295">
            <v>13.033333333333331</v>
          </cell>
          <cell r="H295">
            <v>28.749999999999996</v>
          </cell>
          <cell r="I295">
            <v>0</v>
          </cell>
          <cell r="J295">
            <v>4.7437500000000004</v>
          </cell>
        </row>
        <row r="296">
          <cell r="A296" t="str">
            <v>17.4.a.6.1</v>
          </cell>
          <cell r="B296" t="str">
            <v>17-4(a)6</v>
          </cell>
          <cell r="C296" t="str">
            <v>150mm dia. GI pipe laying works with socket, union or flange joint including 500m carriage (excluding pipe) [data based on that for 125mm pipe]</v>
          </cell>
          <cell r="D296" t="str">
            <v>150mm dia. GI pipe laying works</v>
          </cell>
          <cell r="E296" t="str">
            <v>m</v>
          </cell>
          <cell r="F296">
            <v>56.565624999999997</v>
          </cell>
          <cell r="G296">
            <v>16.291666666666664</v>
          </cell>
          <cell r="H296">
            <v>34.5</v>
          </cell>
          <cell r="I296">
            <v>0</v>
          </cell>
          <cell r="J296">
            <v>5.7739583333333337</v>
          </cell>
        </row>
        <row r="297">
          <cell r="A297" t="str">
            <v>Rate for Ductile Iron Pipe Laying</v>
          </cell>
        </row>
        <row r="298">
          <cell r="A298">
            <v>18.100000000000001</v>
          </cell>
          <cell r="B298" t="str">
            <v>18-1</v>
          </cell>
          <cell r="C298" t="str">
            <v xml:space="preserve">80mm dia. DI pipe laying works with double flanged socket, or flange joint including 500m carriage (excluding pipe) </v>
          </cell>
          <cell r="D298" t="str">
            <v xml:space="preserve">80mm dia DI pipe laying works </v>
          </cell>
          <cell r="E298" t="str">
            <v>m</v>
          </cell>
          <cell r="F298">
            <v>45.658593749999994</v>
          </cell>
          <cell r="G298">
            <v>12.218749999999998</v>
          </cell>
          <cell r="H298">
            <v>28.75</v>
          </cell>
          <cell r="I298">
            <v>0</v>
          </cell>
          <cell r="J298">
            <v>4.6898437499999996</v>
          </cell>
        </row>
        <row r="299">
          <cell r="A299">
            <v>18.2</v>
          </cell>
          <cell r="B299" t="str">
            <v>18-2</v>
          </cell>
          <cell r="C299" t="str">
            <v xml:space="preserve">100mm dia. DI pipe laying works with double flanged socket, or flange joint including 500m carriage (excluding pipe) </v>
          </cell>
          <cell r="D299" t="str">
            <v xml:space="preserve">100mm dia DI pipe laying works </v>
          </cell>
          <cell r="E299" t="str">
            <v>m</v>
          </cell>
          <cell r="F299">
            <v>57.482031249999999</v>
          </cell>
          <cell r="G299">
            <v>17.106249999999999</v>
          </cell>
          <cell r="H299">
            <v>34.5</v>
          </cell>
          <cell r="I299">
            <v>0</v>
          </cell>
          <cell r="J299">
            <v>5.8757812499999993</v>
          </cell>
        </row>
        <row r="300">
          <cell r="A300">
            <v>18.3</v>
          </cell>
          <cell r="B300" t="str">
            <v>18-3</v>
          </cell>
          <cell r="C300" t="str">
            <v xml:space="preserve">150mm dia. DI pipe laying works with double flanged socket, or flange joint including 500m carriage (excluding pipe) </v>
          </cell>
          <cell r="D300" t="str">
            <v xml:space="preserve">150mm dia DI pipe laying works </v>
          </cell>
          <cell r="E300" t="str">
            <v>m</v>
          </cell>
          <cell r="F300">
            <v>84.848437499999989</v>
          </cell>
          <cell r="G300">
            <v>24.437499999999996</v>
          </cell>
          <cell r="H300">
            <v>51.75</v>
          </cell>
          <cell r="I300">
            <v>0</v>
          </cell>
          <cell r="J300">
            <v>8.6609375000000011</v>
          </cell>
        </row>
        <row r="301">
          <cell r="A301">
            <v>18.399999999999999</v>
          </cell>
          <cell r="B301" t="str">
            <v>18-4</v>
          </cell>
          <cell r="C301" t="str">
            <v xml:space="preserve">200mm dia. DI pipe laying works with double flanged socket, or flange joint including 500m carriage (excluding pipe) </v>
          </cell>
          <cell r="D301" t="str">
            <v xml:space="preserve">200mm dia DI pipe laying works </v>
          </cell>
          <cell r="E301" t="str">
            <v>m</v>
          </cell>
          <cell r="F301">
            <v>169.69687499999998</v>
          </cell>
          <cell r="G301">
            <v>48.874999999999993</v>
          </cell>
          <cell r="H301">
            <v>103.5</v>
          </cell>
          <cell r="I301">
            <v>0</v>
          </cell>
          <cell r="J301">
            <v>17.321875000000002</v>
          </cell>
        </row>
        <row r="302">
          <cell r="A302">
            <v>18.5</v>
          </cell>
          <cell r="B302" t="str">
            <v>18-5</v>
          </cell>
          <cell r="C302" t="str">
            <v>250mm dia. DI pipe laying works with fouble flanged socket,  or flange joint including 500m carriage (excluding pipe)</v>
          </cell>
          <cell r="D302" t="str">
            <v>250mm dia DI pipe laying works</v>
          </cell>
          <cell r="E302" t="str">
            <v>m</v>
          </cell>
          <cell r="F302">
            <v>339.39374999999995</v>
          </cell>
          <cell r="G302">
            <v>97.749999999999986</v>
          </cell>
          <cell r="H302">
            <v>207</v>
          </cell>
          <cell r="I302">
            <v>0</v>
          </cell>
          <cell r="J302">
            <v>34.643750000000004</v>
          </cell>
        </row>
        <row r="303">
          <cell r="A303">
            <v>18.600000000000001</v>
          </cell>
          <cell r="B303" t="str">
            <v>18-6</v>
          </cell>
          <cell r="C303" t="str">
            <v>300mm dia. DI pipe laying works with fouble flanged socket,  or flange joint including 500m carriage (excluding pipe)</v>
          </cell>
          <cell r="D303" t="str">
            <v>300mm dia DI pipe laying works</v>
          </cell>
          <cell r="E303" t="str">
            <v>m</v>
          </cell>
          <cell r="F303">
            <v>113.13124999999999</v>
          </cell>
          <cell r="G303">
            <v>32.583333333333329</v>
          </cell>
          <cell r="H303">
            <v>69</v>
          </cell>
          <cell r="I303">
            <v>0</v>
          </cell>
          <cell r="J303">
            <v>11.547916666666667</v>
          </cell>
        </row>
        <row r="304">
          <cell r="C304" t="str">
            <v>MISCELLANEOUS WORKS</v>
          </cell>
        </row>
        <row r="305">
          <cell r="A305" t="str">
            <v>M-1</v>
          </cell>
          <cell r="C305" t="str">
            <v>Fabrication of Angle post (MS 50x50x4 2.3m high)</v>
          </cell>
          <cell r="D305" t="str">
            <v xml:space="preserve">Fabrication &amp; placing of Angle post </v>
          </cell>
          <cell r="E305" t="str">
            <v>No</v>
          </cell>
          <cell r="F305">
            <v>321.19499999999999</v>
          </cell>
          <cell r="G305">
            <v>37.144999999999996</v>
          </cell>
          <cell r="H305">
            <v>21.849999999999998</v>
          </cell>
          <cell r="I305">
            <v>0</v>
          </cell>
          <cell r="J305">
            <v>262.2</v>
          </cell>
        </row>
        <row r="306">
          <cell r="A306" t="str">
            <v>M-2</v>
          </cell>
          <cell r="C306" t="str">
            <v>Fabrication of MS Grill gate 1.2mx 1.5m</v>
          </cell>
          <cell r="D306" t="str">
            <v>Fabrication &amp; placing of MS Grill gate</v>
          </cell>
          <cell r="E306" t="str">
            <v>set</v>
          </cell>
          <cell r="F306">
            <v>1694.663</v>
          </cell>
          <cell r="G306">
            <v>8.4064999999999994</v>
          </cell>
          <cell r="H306">
            <v>4.9449999999999994</v>
          </cell>
          <cell r="I306">
            <v>0</v>
          </cell>
          <cell r="J306">
            <v>1681.3114999999998</v>
          </cell>
        </row>
        <row r="307">
          <cell r="A307" t="str">
            <v>M-3</v>
          </cell>
          <cell r="C307" t="str">
            <v>Fabrication of MS Grill for windows including 2 coats of enamel paint over one coat of metal primer</v>
          </cell>
          <cell r="D307" t="str">
            <v>Fabrication of MS Grill for Windows</v>
          </cell>
          <cell r="E307" t="str">
            <v>Kg.</v>
          </cell>
          <cell r="F307">
            <v>51.75</v>
          </cell>
          <cell r="G307">
            <v>5.1749999999999998</v>
          </cell>
          <cell r="H307">
            <v>10.35</v>
          </cell>
          <cell r="I307">
            <v>0</v>
          </cell>
          <cell r="J307">
            <v>36.224999999999994</v>
          </cell>
        </row>
        <row r="308">
          <cell r="A308" t="str">
            <v>M-4</v>
          </cell>
          <cell r="C308" t="str">
            <v>Railing Wooden Guide (section : 100 x 150mm) including 3 coats of chapra polish</v>
          </cell>
          <cell r="D308" t="str">
            <v>Railing Wooden Guide (Section : 100 x 150mm)</v>
          </cell>
          <cell r="E308" t="str">
            <v>Rm</v>
          </cell>
          <cell r="F308" t="e">
            <v>#N/A</v>
          </cell>
          <cell r="G308">
            <v>178.88249999999999</v>
          </cell>
          <cell r="H308">
            <v>33.493749999999999</v>
          </cell>
          <cell r="I308">
            <v>455.4</v>
          </cell>
          <cell r="J308" t="e">
            <v>#N/A</v>
          </cell>
        </row>
        <row r="309">
          <cell r="A309" t="str">
            <v>M-5</v>
          </cell>
          <cell r="C309" t="str">
            <v>Staircase Railing Works of 20mm Square Pipe of 14 gauge including 2 coats of enamel paint over one coat of metal primer for Windows</v>
          </cell>
          <cell r="D309" t="str">
            <v>Staircase Railing Works of 20mm Square Pipe of 14 gauge</v>
          </cell>
          <cell r="E309" t="str">
            <v>Kg.</v>
          </cell>
          <cell r="F309" t="e">
            <v>#N/A</v>
          </cell>
          <cell r="G309">
            <v>0</v>
          </cell>
          <cell r="H309">
            <v>0</v>
          </cell>
          <cell r="I309">
            <v>0</v>
          </cell>
          <cell r="J309">
            <v>0</v>
          </cell>
        </row>
        <row r="310">
          <cell r="A310" t="str">
            <v>M-6</v>
          </cell>
          <cell r="C310" t="str">
            <v>Making plastered pattern of approved design on 20mm th. Plaster</v>
          </cell>
          <cell r="D310" t="str">
            <v>Plaster with Pattern</v>
          </cell>
          <cell r="E310" t="str">
            <v>Sqm</v>
          </cell>
          <cell r="F310">
            <v>286.83690999999999</v>
          </cell>
          <cell r="G310">
            <v>54.74</v>
          </cell>
          <cell r="H310">
            <v>43.7</v>
          </cell>
          <cell r="I310">
            <v>4.736159999999999</v>
          </cell>
          <cell r="J310">
            <v>183.66074999999998</v>
          </cell>
        </row>
        <row r="311">
          <cell r="A311" t="str">
            <v>M-7</v>
          </cell>
          <cell r="C311" t="str">
            <v>20mm Gate Valve with fitting</v>
          </cell>
          <cell r="D311" t="str">
            <v>20mm Gate Valve with fitting</v>
          </cell>
          <cell r="E311" t="str">
            <v>Nos.</v>
          </cell>
          <cell r="F311">
            <v>250</v>
          </cell>
          <cell r="J311">
            <v>250</v>
          </cell>
        </row>
        <row r="312">
          <cell r="A312" t="str">
            <v>M-7-1</v>
          </cell>
          <cell r="C312" t="str">
            <v>25mm Gate Valve with fitting</v>
          </cell>
          <cell r="D312" t="str">
            <v>25mm Gate Valve with fitting</v>
          </cell>
          <cell r="E312" t="str">
            <v>Nos.</v>
          </cell>
          <cell r="F312">
            <v>400</v>
          </cell>
          <cell r="J312">
            <v>400</v>
          </cell>
        </row>
        <row r="313">
          <cell r="A313" t="str">
            <v>M-8</v>
          </cell>
          <cell r="C313" t="str">
            <v>Chrome Plate (CP) 15mm taps</v>
          </cell>
          <cell r="D313" t="str">
            <v>Chrome Plate (CP) 15mm taps</v>
          </cell>
          <cell r="E313" t="str">
            <v>Nos,</v>
          </cell>
          <cell r="F313">
            <v>250</v>
          </cell>
          <cell r="J313">
            <v>250</v>
          </cell>
        </row>
        <row r="314">
          <cell r="A314" t="str">
            <v>M-9</v>
          </cell>
          <cell r="C314" t="str">
            <v>Glazed Indian Type WC Set</v>
          </cell>
          <cell r="D314" t="str">
            <v>Glazed Indian Type WC Set</v>
          </cell>
          <cell r="E314" t="str">
            <v>Nos.</v>
          </cell>
          <cell r="F314">
            <v>750</v>
          </cell>
          <cell r="J314">
            <v>750</v>
          </cell>
        </row>
        <row r="315">
          <cell r="A315" t="str">
            <v>M-10</v>
          </cell>
          <cell r="C315" t="str">
            <v>Inspection Chamber having internal dimension 450x450x450 with RCC Cover</v>
          </cell>
          <cell r="D315" t="str">
            <v>Inspection Chamber</v>
          </cell>
          <cell r="E315" t="str">
            <v>Nos</v>
          </cell>
          <cell r="F315">
            <v>1072.9297858749999</v>
          </cell>
          <cell r="G315">
            <v>214.58595717499998</v>
          </cell>
          <cell r="H315">
            <v>214.58595717499998</v>
          </cell>
          <cell r="I315">
            <v>321.87893576249991</v>
          </cell>
          <cell r="J315">
            <v>321.87893576249991</v>
          </cell>
        </row>
        <row r="316">
          <cell r="A316" t="str">
            <v>M-12</v>
          </cell>
          <cell r="C316" t="str">
            <v>PVC Pipe 100mm</v>
          </cell>
          <cell r="D316" t="str">
            <v>PVC Pipe 100mm</v>
          </cell>
          <cell r="E316" t="str">
            <v>Rm</v>
          </cell>
          <cell r="F316">
            <v>100</v>
          </cell>
          <cell r="G316">
            <v>0</v>
          </cell>
          <cell r="H316">
            <v>0</v>
          </cell>
          <cell r="I316">
            <v>0</v>
          </cell>
          <cell r="J316">
            <v>100</v>
          </cell>
        </row>
        <row r="317">
          <cell r="A317" t="str">
            <v>M-13</v>
          </cell>
          <cell r="C317" t="str">
            <v>PVC Pipe 75mm</v>
          </cell>
          <cell r="D317" t="str">
            <v>PVC Pipe 75mm</v>
          </cell>
          <cell r="E317" t="str">
            <v>Rm</v>
          </cell>
          <cell r="F317">
            <v>75</v>
          </cell>
          <cell r="G317">
            <v>0</v>
          </cell>
          <cell r="H317">
            <v>0</v>
          </cell>
          <cell r="I317">
            <v>0</v>
          </cell>
          <cell r="J317">
            <v>75</v>
          </cell>
        </row>
        <row r="318">
          <cell r="A318" t="str">
            <v>M-14</v>
          </cell>
          <cell r="C318" t="str">
            <v>PVC Pipe 50mm</v>
          </cell>
          <cell r="D318" t="str">
            <v>PVC Pipe 50mm</v>
          </cell>
          <cell r="E318" t="str">
            <v>Rm</v>
          </cell>
          <cell r="F318">
            <v>50</v>
          </cell>
          <cell r="G318">
            <v>0</v>
          </cell>
          <cell r="H318">
            <v>0</v>
          </cell>
          <cell r="I318">
            <v>0</v>
          </cell>
          <cell r="J318">
            <v>50</v>
          </cell>
        </row>
        <row r="319">
          <cell r="A319" t="str">
            <v>M-15</v>
          </cell>
          <cell r="C319" t="str">
            <v>Supply and Fixation of RCC Jali for Ventitation</v>
          </cell>
          <cell r="D319" t="str">
            <v>Supply and Fixation of RCC Jali for Ventitation</v>
          </cell>
          <cell r="E319" t="str">
            <v>Sqm</v>
          </cell>
          <cell r="F319">
            <v>862.5</v>
          </cell>
          <cell r="G319">
            <v>172.5</v>
          </cell>
          <cell r="H319">
            <v>172.5</v>
          </cell>
          <cell r="I319">
            <v>258.75</v>
          </cell>
          <cell r="J319">
            <v>258.75</v>
          </cell>
        </row>
        <row r="320">
          <cell r="A320" t="str">
            <v>M-16</v>
          </cell>
          <cell r="C320" t="str">
            <v>Supply and Fixation of Stainless Steel Plate</v>
          </cell>
          <cell r="D320" t="str">
            <v>Supply and Fixation of Stainless Steel Plate</v>
          </cell>
          <cell r="E320" t="str">
            <v>Sqm</v>
          </cell>
          <cell r="F320">
            <v>2300</v>
          </cell>
          <cell r="G320">
            <v>229.99999999999997</v>
          </cell>
          <cell r="H320">
            <v>229.99999999999997</v>
          </cell>
          <cell r="I320">
            <v>1839.9999999999998</v>
          </cell>
          <cell r="J320">
            <v>2300</v>
          </cell>
        </row>
        <row r="321">
          <cell r="A321" t="str">
            <v>M-17</v>
          </cell>
          <cell r="C321" t="str">
            <v>H Connection of PVC pipe 100mm</v>
          </cell>
          <cell r="D321" t="str">
            <v>H Connection of PVC pipe 100mm</v>
          </cell>
          <cell r="E321" t="str">
            <v>Nos.</v>
          </cell>
          <cell r="F321">
            <v>230</v>
          </cell>
          <cell r="G321">
            <v>57.499999999999993</v>
          </cell>
          <cell r="H321">
            <v>57.499999999999993</v>
          </cell>
          <cell r="I321">
            <v>459.99999999999994</v>
          </cell>
          <cell r="J321">
            <v>230</v>
          </cell>
        </row>
        <row r="322">
          <cell r="A322" t="str">
            <v>M-18</v>
          </cell>
          <cell r="C322" t="str">
            <v>Stainless Steel Sink</v>
          </cell>
          <cell r="D322" t="str">
            <v>Stainless Steel Sink</v>
          </cell>
          <cell r="E322" t="str">
            <v>Nos.</v>
          </cell>
          <cell r="F322">
            <v>3070.5</v>
          </cell>
          <cell r="G322">
            <v>307.04999999999995</v>
          </cell>
          <cell r="H322">
            <v>307.04999999999995</v>
          </cell>
          <cell r="I322">
            <v>0</v>
          </cell>
          <cell r="J322">
            <v>2456.3999999999996</v>
          </cell>
        </row>
        <row r="323">
          <cell r="A323" t="str">
            <v>M-21</v>
          </cell>
          <cell r="C323" t="str">
            <v>Formwork for Ferro-Cement</v>
          </cell>
          <cell r="D323" t="str">
            <v>Formwork for Ferro-Cement</v>
          </cell>
          <cell r="E323" t="str">
            <v>sqm</v>
          </cell>
          <cell r="F323">
            <v>99.843080658214191</v>
          </cell>
          <cell r="G323">
            <v>32.644861073644449</v>
          </cell>
          <cell r="H323">
            <v>23.57701645535473</v>
          </cell>
          <cell r="I323">
            <v>0</v>
          </cell>
          <cell r="J323">
            <v>43.62120312921499</v>
          </cell>
        </row>
        <row r="324">
          <cell r="A324" t="str">
            <v>M-22</v>
          </cell>
          <cell r="C324" t="str">
            <v>Steel bar binding for Ferro-Cement work</v>
          </cell>
          <cell r="D324" t="str">
            <v>Steel bar binding for Ferro-Cement work</v>
          </cell>
          <cell r="E324" t="str">
            <v>sqm</v>
          </cell>
          <cell r="F324" t="e">
            <v>#N/A</v>
          </cell>
          <cell r="G324">
            <v>48.874999999999993</v>
          </cell>
          <cell r="H324">
            <v>9.5422912205567449</v>
          </cell>
          <cell r="I324">
            <v>0</v>
          </cell>
          <cell r="J324" t="e">
            <v>#N/A</v>
          </cell>
        </row>
        <row r="325">
          <cell r="A325" t="str">
            <v>M-23</v>
          </cell>
          <cell r="C325" t="str">
            <v>600 mm circular metal manhole cover for Ferro-Cement tank as per standard details</v>
          </cell>
          <cell r="D325" t="str">
            <v xml:space="preserve">600 mm circular metal manhole </v>
          </cell>
          <cell r="E325" t="str">
            <v>No</v>
          </cell>
          <cell r="F325">
            <v>1500</v>
          </cell>
          <cell r="G325" t="e">
            <v>#N/A</v>
          </cell>
          <cell r="H325" t="e">
            <v>#N/A</v>
          </cell>
          <cell r="I325" t="e">
            <v>#N/A</v>
          </cell>
          <cell r="J325" t="e">
            <v>#N/A</v>
          </cell>
        </row>
        <row r="326">
          <cell r="A326" t="str">
            <v>M-24</v>
          </cell>
          <cell r="C326" t="str">
            <v xml:space="preserve">Railing Work with 50mm GI Post @ 1600 c/c and 2 horizontal 40mm GI Pipe  </v>
          </cell>
          <cell r="D326" t="str">
            <v xml:space="preserve">Railing Work with 50mm GI Post @ 1600 c/c and 2 horizontal 40mm GI Pipe  </v>
          </cell>
          <cell r="E326" t="str">
            <v>rm</v>
          </cell>
          <cell r="F326">
            <v>1000</v>
          </cell>
          <cell r="G326">
            <v>50</v>
          </cell>
          <cell r="H326">
            <v>150</v>
          </cell>
          <cell r="J326">
            <v>800</v>
          </cell>
        </row>
        <row r="328">
          <cell r="A328" t="str">
            <v>M-101</v>
          </cell>
          <cell r="C328" t="str">
            <v>MS Gate for Flushing</v>
          </cell>
          <cell r="D328" t="str">
            <v>MS Gate for Flushing</v>
          </cell>
          <cell r="E328" t="str">
            <v>Job</v>
          </cell>
          <cell r="F328">
            <v>100000</v>
          </cell>
          <cell r="G328" t="e">
            <v>#N/A</v>
          </cell>
          <cell r="H328" t="e">
            <v>#N/A</v>
          </cell>
          <cell r="I328" t="e">
            <v>#N/A</v>
          </cell>
          <cell r="J328" t="e">
            <v>#N/A</v>
          </cell>
        </row>
        <row r="329">
          <cell r="A329" t="str">
            <v>M-102</v>
          </cell>
          <cell r="C329" t="str">
            <v>MS Plate for Trash rack</v>
          </cell>
          <cell r="D329" t="str">
            <v>MS Plate for Trash rack</v>
          </cell>
          <cell r="E329" t="str">
            <v>Job</v>
          </cell>
          <cell r="F329">
            <v>15000</v>
          </cell>
          <cell r="G329" t="e">
            <v>#N/A</v>
          </cell>
          <cell r="H329" t="e">
            <v>#N/A</v>
          </cell>
          <cell r="I329" t="e">
            <v>#N/A</v>
          </cell>
          <cell r="J329" t="e">
            <v>#N/A</v>
          </cell>
        </row>
        <row r="330">
          <cell r="A330" t="str">
            <v>M-103</v>
          </cell>
          <cell r="C330" t="str">
            <v>Stop log structure</v>
          </cell>
          <cell r="D330" t="str">
            <v>Stop log structure</v>
          </cell>
          <cell r="E330" t="str">
            <v>Job</v>
          </cell>
          <cell r="F330">
            <v>5000</v>
          </cell>
          <cell r="G330" t="e">
            <v>#N/A</v>
          </cell>
          <cell r="H330" t="e">
            <v>#N/A</v>
          </cell>
          <cell r="I330" t="e">
            <v>#N/A</v>
          </cell>
          <cell r="J330" t="e">
            <v>#N/A</v>
          </cell>
        </row>
        <row r="331">
          <cell r="A331" t="str">
            <v>M-104</v>
          </cell>
          <cell r="C331" t="str">
            <v>Dewatering Cost</v>
          </cell>
          <cell r="D331" t="str">
            <v>Dewatering Cost</v>
          </cell>
          <cell r="E331" t="str">
            <v>Job</v>
          </cell>
          <cell r="F331">
            <v>100000</v>
          </cell>
          <cell r="G331" t="e">
            <v>#N/A</v>
          </cell>
          <cell r="H331" t="e">
            <v>#N/A</v>
          </cell>
          <cell r="I331" t="e">
            <v>#N/A</v>
          </cell>
          <cell r="J331" t="e">
            <v>#N/A</v>
          </cell>
        </row>
        <row r="332">
          <cell r="A332" t="str">
            <v>M-105</v>
          </cell>
          <cell r="C332" t="str">
            <v xml:space="preserve">Railing Work with 50mm GI Post @ 1600 c/c and 2 horizontal 40mm GI Pipe  </v>
          </cell>
          <cell r="D332" t="str">
            <v xml:space="preserve">Railing Work with 50mm GI Post @ 1600 c/c and 2 horizontal 40mm GI Pipe  </v>
          </cell>
          <cell r="E332" t="str">
            <v>rm</v>
          </cell>
          <cell r="F332">
            <v>1000</v>
          </cell>
          <cell r="G332">
            <v>100</v>
          </cell>
          <cell r="H332">
            <v>100</v>
          </cell>
          <cell r="J332">
            <v>800</v>
          </cell>
        </row>
        <row r="333">
          <cell r="A333" t="str">
            <v>M-106</v>
          </cell>
          <cell r="C333" t="str">
            <v>Paddle Wheel set</v>
          </cell>
          <cell r="D333" t="str">
            <v>Paddle Wheel set</v>
          </cell>
          <cell r="E333" t="str">
            <v>No</v>
          </cell>
          <cell r="F333">
            <v>10000</v>
          </cell>
          <cell r="G333" t="e">
            <v>#N/A</v>
          </cell>
          <cell r="H333" t="e">
            <v>#N/A</v>
          </cell>
          <cell r="I333" t="e">
            <v>#N/A</v>
          </cell>
          <cell r="J333" t="e">
            <v>#N/A</v>
          </cell>
        </row>
        <row r="334">
          <cell r="A334" t="str">
            <v>M-107</v>
          </cell>
          <cell r="C334" t="str">
            <v>Electric Motor for Flash Mixer</v>
          </cell>
          <cell r="D334" t="str">
            <v>Electric Motor for Flash Mixer</v>
          </cell>
          <cell r="E334" t="str">
            <v>No</v>
          </cell>
          <cell r="F334">
            <v>8000</v>
          </cell>
          <cell r="G334" t="e">
            <v>#N/A</v>
          </cell>
          <cell r="H334" t="e">
            <v>#N/A</v>
          </cell>
          <cell r="I334" t="e">
            <v>#N/A</v>
          </cell>
          <cell r="J334" t="e">
            <v>#N/A</v>
          </cell>
        </row>
        <row r="335">
          <cell r="A335" t="str">
            <v>RVT_Site</v>
          </cell>
          <cell r="C335" t="str">
            <v>Site Development Work</v>
          </cell>
          <cell r="D335" t="str">
            <v>Site Development Work</v>
          </cell>
          <cell r="E335" t="str">
            <v>PS</v>
          </cell>
          <cell r="F335">
            <v>500000</v>
          </cell>
          <cell r="G335">
            <v>100000</v>
          </cell>
          <cell r="H335">
            <v>100000</v>
          </cell>
          <cell r="I335">
            <v>150000</v>
          </cell>
          <cell r="J335">
            <v>150000</v>
          </cell>
        </row>
        <row r="336">
          <cell r="A336" t="str">
            <v>TreatMisc</v>
          </cell>
          <cell r="C336" t="str">
            <v>Treatment Plant Site Development and Miscellaneous Items</v>
          </cell>
          <cell r="D336" t="str">
            <v>Treatment Plant Site Development and Miscellaneous Items</v>
          </cell>
          <cell r="E336" t="str">
            <v>PS</v>
          </cell>
          <cell r="F336">
            <v>1000000</v>
          </cell>
          <cell r="G336">
            <v>200000</v>
          </cell>
          <cell r="H336">
            <v>200000</v>
          </cell>
          <cell r="I336">
            <v>300000</v>
          </cell>
          <cell r="J336">
            <v>300000</v>
          </cell>
        </row>
        <row r="337">
          <cell r="A337" t="str">
            <v>Misc-Canal</v>
          </cell>
          <cell r="C337" t="str">
            <v>Dismantling Work for canal</v>
          </cell>
          <cell r="D337" t="str">
            <v>Dismantling  of canal for construction of diversion system</v>
          </cell>
          <cell r="E337" t="str">
            <v>Job</v>
          </cell>
          <cell r="F337">
            <v>10000</v>
          </cell>
          <cell r="G337">
            <v>2500</v>
          </cell>
          <cell r="H337">
            <v>2500</v>
          </cell>
          <cell r="I337">
            <v>5000</v>
          </cell>
        </row>
        <row r="338">
          <cell r="A338" t="str">
            <v>Misc-Trash</v>
          </cell>
          <cell r="C338" t="str">
            <v>Trash Racks</v>
          </cell>
          <cell r="D338" t="str">
            <v>Supply, fabrication and installation of Trash Rack</v>
          </cell>
          <cell r="E338" t="str">
            <v>Job</v>
          </cell>
          <cell r="F338">
            <v>2500</v>
          </cell>
          <cell r="G338">
            <v>125</v>
          </cell>
          <cell r="H338">
            <v>375</v>
          </cell>
          <cell r="J338">
            <v>2000</v>
          </cell>
        </row>
        <row r="339">
          <cell r="A339" t="str">
            <v>M-108</v>
          </cell>
          <cell r="C339" t="str">
            <v>20-100mm river gravel filter filling work</v>
          </cell>
          <cell r="D339" t="str">
            <v>20-100mm river gravel filter filling work</v>
          </cell>
          <cell r="E339" t="str">
            <v>Cum</v>
          </cell>
          <cell r="F339">
            <v>500</v>
          </cell>
          <cell r="G339">
            <v>125</v>
          </cell>
          <cell r="H339">
            <v>125</v>
          </cell>
          <cell r="I339">
            <v>250</v>
          </cell>
        </row>
        <row r="340">
          <cell r="A340" t="str">
            <v>M-109</v>
          </cell>
          <cell r="C340" t="str">
            <v>10-20mm river gravel filter filling work</v>
          </cell>
          <cell r="D340" t="str">
            <v>10-20mm river gravel filter filling work</v>
          </cell>
          <cell r="E340" t="str">
            <v>Cum</v>
          </cell>
          <cell r="F340">
            <v>1000</v>
          </cell>
          <cell r="G340">
            <v>250</v>
          </cell>
          <cell r="H340">
            <v>250</v>
          </cell>
          <cell r="I340">
            <v>500</v>
          </cell>
        </row>
        <row r="341">
          <cell r="A341" t="str">
            <v>M-110</v>
          </cell>
          <cell r="C341" t="str">
            <v>4-10mm river gravel filter filling work</v>
          </cell>
          <cell r="D341" t="str">
            <v>4-10mm river gravel filter filling work</v>
          </cell>
          <cell r="E341" t="str">
            <v>Cum</v>
          </cell>
          <cell r="F341">
            <v>1200</v>
          </cell>
          <cell r="G341">
            <v>300</v>
          </cell>
          <cell r="H341">
            <v>300</v>
          </cell>
          <cell r="I341">
            <v>600</v>
          </cell>
        </row>
        <row r="342">
          <cell r="A342" t="str">
            <v>M-111</v>
          </cell>
          <cell r="C342" t="str">
            <v>MS U-Notch</v>
          </cell>
          <cell r="D342" t="str">
            <v>MS U-Notch</v>
          </cell>
          <cell r="E342" t="str">
            <v>Job</v>
          </cell>
          <cell r="F342">
            <v>100000</v>
          </cell>
          <cell r="G342" t="e">
            <v>#N/A</v>
          </cell>
          <cell r="H342" t="e">
            <v>#N/A</v>
          </cell>
          <cell r="I342" t="e">
            <v>#N/A</v>
          </cell>
          <cell r="J342" t="e">
            <v>#N/A</v>
          </cell>
        </row>
        <row r="343">
          <cell r="A343" t="str">
            <v>M-112</v>
          </cell>
          <cell r="C343" t="str">
            <v>Barbed Wire</v>
          </cell>
          <cell r="D343" t="str">
            <v>Barbed Wire Fencing Work</v>
          </cell>
          <cell r="E343" t="str">
            <v>Kg.</v>
          </cell>
          <cell r="F343">
            <v>65</v>
          </cell>
          <cell r="G343">
            <v>6.5</v>
          </cell>
          <cell r="H343">
            <v>6.5</v>
          </cell>
          <cell r="J343">
            <v>52</v>
          </cell>
        </row>
        <row r="344">
          <cell r="A344" t="str">
            <v>PRC</v>
          </cell>
          <cell r="C344" t="str">
            <v>Pipe Removal and Transportation Cost</v>
          </cell>
          <cell r="D344" t="str">
            <v>Pipe Removal and Transportation Cost</v>
          </cell>
          <cell r="E344" t="str">
            <v>PS</v>
          </cell>
          <cell r="F344">
            <v>25000</v>
          </cell>
          <cell r="H344">
            <v>25000</v>
          </cell>
        </row>
        <row r="345">
          <cell r="A345" t="str">
            <v>PerfPipe</v>
          </cell>
          <cell r="C345" t="str">
            <v>200/6 HDPE Pipe with Perforation @7.5cm c/c for half the circumferance</v>
          </cell>
          <cell r="D345" t="str">
            <v>200/6 HDPE Pipe with Perforation @7.5cm c/c for half the circumferance</v>
          </cell>
          <cell r="E345" t="str">
            <v>m</v>
          </cell>
          <cell r="F345">
            <v>1339.2035999999998</v>
          </cell>
          <cell r="G345">
            <v>66.960179999999994</v>
          </cell>
          <cell r="J345">
            <v>1272.2434199999998</v>
          </cell>
        </row>
        <row r="346">
          <cell r="A346" t="str">
            <v>BlindPipe</v>
          </cell>
          <cell r="C346" t="str">
            <v>225/6 HDPE Blind Pipe</v>
          </cell>
          <cell r="D346" t="str">
            <v>225/6 HDPE Blind Pipe</v>
          </cell>
          <cell r="E346" t="str">
            <v>m</v>
          </cell>
          <cell r="F346">
            <v>1542.5872000000002</v>
          </cell>
          <cell r="G346">
            <v>77.12936000000002</v>
          </cell>
          <cell r="J346">
            <v>1465.45784</v>
          </cell>
        </row>
        <row r="347">
          <cell r="A347" t="str">
            <v>Ter1000</v>
          </cell>
          <cell r="C347" t="str">
            <v>Supply and Laying of GeoTextile</v>
          </cell>
          <cell r="D347" t="str">
            <v>Supply and Laying of GeoTextile (Terram 1000 Equivalent)</v>
          </cell>
          <cell r="E347" t="str">
            <v>sqm</v>
          </cell>
          <cell r="F347">
            <v>50</v>
          </cell>
          <cell r="G347">
            <v>2.5</v>
          </cell>
          <cell r="J347">
            <v>47.5</v>
          </cell>
        </row>
        <row r="349">
          <cell r="A349" t="str">
            <v>M-115</v>
          </cell>
          <cell r="C349" t="str">
            <v>Brass Plate</v>
          </cell>
          <cell r="D349" t="str">
            <v>Brass Plate</v>
          </cell>
          <cell r="E349" t="str">
            <v>No</v>
          </cell>
          <cell r="F349">
            <v>100</v>
          </cell>
          <cell r="G349" t="e">
            <v>#N/A</v>
          </cell>
          <cell r="H349" t="e">
            <v>#N/A</v>
          </cell>
          <cell r="I349" t="e">
            <v>#N/A</v>
          </cell>
          <cell r="J349" t="e">
            <v>#N/A</v>
          </cell>
        </row>
        <row r="350">
          <cell r="A350" t="str">
            <v>VB</v>
          </cell>
          <cell r="C350" t="str">
            <v>Supply and Installation of Valve Box</v>
          </cell>
          <cell r="D350" t="str">
            <v>Supply and Installation of Valve Box</v>
          </cell>
          <cell r="E350" t="str">
            <v>No</v>
          </cell>
          <cell r="F350">
            <v>2500</v>
          </cell>
          <cell r="G350">
            <v>125</v>
          </cell>
          <cell r="H350">
            <v>125</v>
          </cell>
          <cell r="J350">
            <v>2250</v>
          </cell>
        </row>
        <row r="351">
          <cell r="A351" t="str">
            <v>M-117</v>
          </cell>
          <cell r="C351" t="str">
            <v>Supply and Installation ofFire Hydrant</v>
          </cell>
          <cell r="D351" t="str">
            <v>Supply and Installation ofFire Hydrant</v>
          </cell>
          <cell r="E351" t="str">
            <v>No</v>
          </cell>
          <cell r="F351">
            <v>15000</v>
          </cell>
          <cell r="G351">
            <v>750</v>
          </cell>
          <cell r="H351">
            <v>750</v>
          </cell>
          <cell r="J351">
            <v>13500</v>
          </cell>
        </row>
        <row r="352">
          <cell r="A352" t="str">
            <v>M-118</v>
          </cell>
          <cell r="C352" t="str">
            <v>Supply and Installation of CI Manhole</v>
          </cell>
          <cell r="D352" t="str">
            <v>Supply and Installation of CI Manhole</v>
          </cell>
          <cell r="E352" t="str">
            <v>No</v>
          </cell>
          <cell r="F352">
            <v>8000</v>
          </cell>
          <cell r="J352">
            <v>8000</v>
          </cell>
        </row>
        <row r="353">
          <cell r="A353" t="str">
            <v>M-119</v>
          </cell>
          <cell r="C353" t="str">
            <v>20-40mm river gravel filter filling work</v>
          </cell>
          <cell r="D353" t="str">
            <v>20-40mm river gravel filter filling work</v>
          </cell>
          <cell r="E353" t="str">
            <v>cum</v>
          </cell>
          <cell r="F353">
            <v>1200</v>
          </cell>
          <cell r="H353">
            <v>240</v>
          </cell>
          <cell r="I353">
            <v>960</v>
          </cell>
        </row>
        <row r="354">
          <cell r="A354" t="str">
            <v>M-120</v>
          </cell>
          <cell r="C354" t="str">
            <v>10-20mm river gravel filter filling work</v>
          </cell>
          <cell r="D354" t="str">
            <v>10-20mm river gravel filter filling work</v>
          </cell>
          <cell r="E354" t="str">
            <v>cum</v>
          </cell>
          <cell r="F354">
            <v>1500</v>
          </cell>
          <cell r="H354">
            <v>300</v>
          </cell>
          <cell r="I354">
            <v>1200</v>
          </cell>
        </row>
        <row r="355">
          <cell r="A355" t="str">
            <v>M-121</v>
          </cell>
          <cell r="C355" t="str">
            <v>4-10mm river gravel filter filling work</v>
          </cell>
          <cell r="D355" t="str">
            <v>4-10mm river gravel filter filling work</v>
          </cell>
          <cell r="E355" t="str">
            <v>cum</v>
          </cell>
          <cell r="F355">
            <v>1800</v>
          </cell>
          <cell r="H355">
            <v>360</v>
          </cell>
          <cell r="I355">
            <v>1440</v>
          </cell>
        </row>
        <row r="356">
          <cell r="A356" t="str">
            <v>M-122</v>
          </cell>
          <cell r="C356" t="str">
            <v>MS U-Notch</v>
          </cell>
          <cell r="D356" t="str">
            <v>MS U-Notch</v>
          </cell>
          <cell r="E356" t="str">
            <v>No</v>
          </cell>
          <cell r="G356" t="e">
            <v>#N/A</v>
          </cell>
          <cell r="H356" t="e">
            <v>#N/A</v>
          </cell>
          <cell r="I356" t="e">
            <v>#N/A</v>
          </cell>
          <cell r="J356" t="e">
            <v>#N/A</v>
          </cell>
        </row>
        <row r="357">
          <cell r="A357" t="str">
            <v>M-123</v>
          </cell>
          <cell r="C357" t="str">
            <v>Filter Sand</v>
          </cell>
          <cell r="D357" t="str">
            <v>Filter Sand</v>
          </cell>
          <cell r="E357" t="str">
            <v>cum</v>
          </cell>
          <cell r="F357">
            <v>1500</v>
          </cell>
          <cell r="H357">
            <v>300</v>
          </cell>
          <cell r="I357">
            <v>1200</v>
          </cell>
        </row>
        <row r="358">
          <cell r="A358" t="str">
            <v>M-124</v>
          </cell>
          <cell r="C358" t="str">
            <v>Perforated Slab</v>
          </cell>
          <cell r="D358" t="str">
            <v>Perforated Slab</v>
          </cell>
          <cell r="E358" t="str">
            <v>cum</v>
          </cell>
          <cell r="F358">
            <v>4987.7224999999999</v>
          </cell>
          <cell r="G358">
            <v>156.39999999999998</v>
          </cell>
          <cell r="H358">
            <v>804.99999999999989</v>
          </cell>
          <cell r="I358">
            <v>726.39749999999992</v>
          </cell>
          <cell r="J358">
            <v>3299.9249999999997</v>
          </cell>
        </row>
        <row r="359">
          <cell r="A359" t="str">
            <v>M-125</v>
          </cell>
          <cell r="C359" t="str">
            <v>Aluminium Anodised Door Frame and Shutter including fixtures</v>
          </cell>
          <cell r="D359" t="str">
            <v>Aluminium Anodised Door Frame and Shutter including fixtures</v>
          </cell>
          <cell r="E359" t="str">
            <v>sqm</v>
          </cell>
          <cell r="F359">
            <v>7100</v>
          </cell>
          <cell r="G359">
            <v>355</v>
          </cell>
          <cell r="H359">
            <v>355</v>
          </cell>
          <cell r="J359">
            <v>6390</v>
          </cell>
        </row>
        <row r="360">
          <cell r="A360" t="str">
            <v>M-126</v>
          </cell>
          <cell r="C360" t="str">
            <v>Aluminium Anodised Window  Frame and Sliding Shutter including fixtures</v>
          </cell>
          <cell r="D360" t="str">
            <v>Aluminium Anodised Window  Frame and Sliding Shutter including fixtures</v>
          </cell>
          <cell r="E360" t="str">
            <v>sqm</v>
          </cell>
          <cell r="F360">
            <v>5200</v>
          </cell>
          <cell r="G360">
            <v>260</v>
          </cell>
          <cell r="H360">
            <v>260</v>
          </cell>
          <cell r="J360">
            <v>4680</v>
          </cell>
        </row>
        <row r="361">
          <cell r="A361" t="str">
            <v>M-127</v>
          </cell>
          <cell r="C361" t="str">
            <v>Water Proofing Treatment( Dischtament DS)</v>
          </cell>
          <cell r="D361" t="str">
            <v>Water Proofing Treatment( Dischtament DS)</v>
          </cell>
          <cell r="E361" t="str">
            <v>sqm</v>
          </cell>
          <cell r="F361">
            <v>451</v>
          </cell>
          <cell r="G361">
            <v>22.55</v>
          </cell>
          <cell r="H361">
            <v>22.55</v>
          </cell>
          <cell r="J361">
            <v>405.90000000000003</v>
          </cell>
        </row>
        <row r="362">
          <cell r="A362" t="str">
            <v>E-1</v>
          </cell>
          <cell r="C362" t="str">
            <v>Supply, installation and commissioning  of Main Distribution Board (MDB) wall mounting concealed type, dust and vermin proofmade of 16 SWG mildsteel sheet cubical with double covercovering the MCB with the locking arrangement as perdrawing and specificati</v>
          </cell>
          <cell r="D362" t="str">
            <v>Supply, installation and commissioning  of Main Distribution Board (MDB) wall mounting concealed type, dust and vermin proofmade of 16 SWG mildsteel sheet cubical with double covercovering the MCB with the locking arrangement as perdrawing and specificati</v>
          </cell>
          <cell r="E362" t="str">
            <v>No</v>
          </cell>
          <cell r="F362">
            <v>3936</v>
          </cell>
          <cell r="G362">
            <v>196.8</v>
          </cell>
          <cell r="H362">
            <v>393.6</v>
          </cell>
          <cell r="J362">
            <v>3345.6</v>
          </cell>
        </row>
        <row r="363">
          <cell r="A363" t="str">
            <v>E-2</v>
          </cell>
          <cell r="C363" t="str">
            <v>Supply and installation of light point wiring from DB tovarious points with 2 Nos of 3/22 PVC insulated copper wirethrough 20 mm internal dia HDPE conduit concealed via junction box as per drawing and specification including the cost of switch and metal b</v>
          </cell>
          <cell r="D363" t="str">
            <v xml:space="preserve">Supply and installation of light point wiring from DB tovarious points with 2 Nos of 3/22 PVC insulated copper wire through 20 mm internal dia HDPE conduit concealed via junction box as per drawing and specification including the cost of switch and metal </v>
          </cell>
          <cell r="E363" t="str">
            <v>No</v>
          </cell>
          <cell r="F363">
            <v>3936</v>
          </cell>
          <cell r="G363">
            <v>196.8</v>
          </cell>
          <cell r="H363">
            <v>393.6</v>
          </cell>
          <cell r="J363">
            <v>3345.6</v>
          </cell>
        </row>
        <row r="364">
          <cell r="A364" t="str">
            <v>E-3</v>
          </cell>
          <cell r="C364" t="str">
            <v>Supply and installation of  3 pin (15 A) socket point wiring with2 Nos of7/22 + 1No of 1/18 pvc insulated copper wires through 20 mm internal diaHDPE conduit concealed from SDB to various points as per drawing and specification including the cost of Switc</v>
          </cell>
          <cell r="D364" t="str">
            <v>Supply and installation of  3 pin (15 A) socket point including wiring all complete as per drawing and specification</v>
          </cell>
          <cell r="E364" t="str">
            <v>No</v>
          </cell>
          <cell r="F364">
            <v>3936</v>
          </cell>
          <cell r="G364">
            <v>196.8</v>
          </cell>
          <cell r="H364">
            <v>393.6</v>
          </cell>
          <cell r="J364">
            <v>3345.6</v>
          </cell>
        </row>
        <row r="365">
          <cell r="A365" t="str">
            <v>E-4</v>
          </cell>
          <cell r="C365" t="str">
            <v>Supply and installation of  2 pin ( 5 A)socket point wiring with2 Nos of3/20 pvc insulated copper wires through 20 mm internal dia HDPE conduit concealed from SDB to various points as per drawing and specification including the cost of Switch socket and m</v>
          </cell>
          <cell r="D365" t="str">
            <v>Supply and installation of  2 pin (5 A) socket point including wiring all complete as per drawing and specification</v>
          </cell>
          <cell r="E365" t="str">
            <v>No</v>
          </cell>
          <cell r="F365">
            <v>3936</v>
          </cell>
          <cell r="G365">
            <v>196.8</v>
          </cell>
          <cell r="H365">
            <v>393.6</v>
          </cell>
          <cell r="J365">
            <v>3345.6</v>
          </cell>
        </row>
        <row r="366">
          <cell r="A366" t="str">
            <v>E-5</v>
          </cell>
          <cell r="C366" t="str">
            <v>Supply and installation of 9'' sweep  exhaust fan as per drawing andspecification including GI sheet boxing.</v>
          </cell>
          <cell r="D366" t="str">
            <v>Supply and installation of 9'' sweep  exhaust fan as per drawing andspecification including GI sheet boxing.</v>
          </cell>
          <cell r="E366" t="str">
            <v>No</v>
          </cell>
          <cell r="F366">
            <v>3936</v>
          </cell>
          <cell r="G366">
            <v>196.8</v>
          </cell>
          <cell r="H366">
            <v>393.6</v>
          </cell>
          <cell r="J366">
            <v>3345.6</v>
          </cell>
        </row>
        <row r="367">
          <cell r="A367" t="str">
            <v>E-6</v>
          </cell>
          <cell r="C367" t="str">
            <v>Supply and installation of 42'' sweep  ceiling fan as per drawing andspecification including GI sheet boxing.</v>
          </cell>
          <cell r="D367" t="str">
            <v>Supply and installation of 42'' sweep  ceiling fan as per drawing andspecification including GI sheet boxing.</v>
          </cell>
          <cell r="E367" t="str">
            <v>No</v>
          </cell>
          <cell r="F367">
            <v>3936</v>
          </cell>
          <cell r="G367">
            <v>196.8</v>
          </cell>
          <cell r="H367">
            <v>393.6</v>
          </cell>
          <cell r="J367">
            <v>3345.6</v>
          </cell>
        </row>
        <row r="368">
          <cell r="A368" t="str">
            <v>E-7</v>
          </cell>
          <cell r="C368" t="str">
            <v>Supply and installation of earth electrode made of 30cm x 30cm x 3mmcopper plate including 8 SWG bare copper wireconnection to DB's.</v>
          </cell>
          <cell r="D368" t="str">
            <v>Supply and installation of earth electrode made of 30cm x 30cm x 3mm copper plate including 8 SWG bare copper wire connection to DB's.</v>
          </cell>
          <cell r="E368" t="str">
            <v>Set</v>
          </cell>
          <cell r="F368">
            <v>3936</v>
          </cell>
          <cell r="G368">
            <v>196.8</v>
          </cell>
          <cell r="H368">
            <v>393.6</v>
          </cell>
          <cell r="J368">
            <v>3345.6</v>
          </cell>
        </row>
        <row r="369">
          <cell r="A369" t="str">
            <v>E-8</v>
          </cell>
          <cell r="C369" t="str">
            <v>Chieseling, laying conduits cables the main line distribution from MDB toFloor DB,s with 2 x 7/16 size cable in 20 mm HDPE consduit.</v>
          </cell>
          <cell r="D369" t="str">
            <v>Chieseling, laying conduits cables the main line distribution from MDB toFloor DB,s with 2 x 7/16 size cable in 20 mm HDPE consduit.</v>
          </cell>
          <cell r="E369" t="str">
            <v>Job</v>
          </cell>
          <cell r="F369">
            <v>3936</v>
          </cell>
          <cell r="G369">
            <v>196.8</v>
          </cell>
          <cell r="H369">
            <v>393.6</v>
          </cell>
          <cell r="J369">
            <v>3345.6</v>
          </cell>
        </row>
        <row r="370">
          <cell r="A370" t="str">
            <v>E-9</v>
          </cell>
          <cell r="C370" t="str">
            <v xml:space="preserve">Supply, installation and commissioning  of Main Distribution Board(MDB)wall mounting concealed type, dust and vermin proofmade of 16 SWG mildsteel sheet cubical with double covercovering the MCB with the lockingarrangement as perdrawing and specification </v>
          </cell>
          <cell r="D370" t="str">
            <v xml:space="preserve">Supply, installation and commissioning  of Main Distribution Board(MDB) </v>
          </cell>
          <cell r="E370" t="str">
            <v>No</v>
          </cell>
          <cell r="F370">
            <v>3936</v>
          </cell>
          <cell r="G370">
            <v>196.8</v>
          </cell>
          <cell r="H370">
            <v>393.6</v>
          </cell>
          <cell r="J370">
            <v>3345.6</v>
          </cell>
        </row>
        <row r="371">
          <cell r="A371" t="str">
            <v>F-1</v>
          </cell>
          <cell r="C371" t="str">
            <v>Made of 25x38mm MS angle and 3x18mm MS Strip with metal polish all complete</v>
          </cell>
          <cell r="D371" t="str">
            <v>Made of 25x38mm MS angle and 3x18mm MS Strip with metal polish all complete</v>
          </cell>
          <cell r="E371" t="str">
            <v>No</v>
          </cell>
          <cell r="F371">
            <v>3000</v>
          </cell>
          <cell r="G371">
            <v>300</v>
          </cell>
          <cell r="H371">
            <v>600</v>
          </cell>
          <cell r="I371">
            <v>1800</v>
          </cell>
          <cell r="J371">
            <v>300</v>
          </cell>
        </row>
        <row r="372">
          <cell r="A372" t="str">
            <v>F-2</v>
          </cell>
          <cell r="C372" t="str">
            <v>Made of 25x38mm MS angle and 3x18mm MS Strip with metal polish all complete</v>
          </cell>
          <cell r="D372" t="str">
            <v>Made of 25x38mm MS angle and 3x18mm MS Strip with metal polish all complete</v>
          </cell>
          <cell r="E372" t="str">
            <v>No</v>
          </cell>
          <cell r="F372">
            <v>3000</v>
          </cell>
          <cell r="G372">
            <v>300</v>
          </cell>
          <cell r="H372">
            <v>600</v>
          </cell>
          <cell r="I372">
            <v>1800</v>
          </cell>
          <cell r="J372">
            <v>300</v>
          </cell>
        </row>
        <row r="373">
          <cell r="A373" t="str">
            <v>F-3</v>
          </cell>
          <cell r="C373" t="str">
            <v>Made of sisam wood of 25x38mm section, dunlop at seat and back rest with rexin cover, having hand rest, 3 coats chapra polish all complete</v>
          </cell>
          <cell r="D373" t="str">
            <v>Made of sisam wood of 25x38mm section, dunlop at seat and back rest with rexin cover, having hand rest, 3 coats chapra polish all complete</v>
          </cell>
          <cell r="E373" t="str">
            <v>No</v>
          </cell>
          <cell r="F373">
            <v>1800</v>
          </cell>
          <cell r="G373">
            <v>180</v>
          </cell>
          <cell r="H373">
            <v>360</v>
          </cell>
          <cell r="I373">
            <v>1080</v>
          </cell>
          <cell r="J373">
            <v>180</v>
          </cell>
        </row>
        <row r="374">
          <cell r="A374" t="str">
            <v>F-4</v>
          </cell>
          <cell r="C374" t="str">
            <v>MS cupboard made of 20 gauge MS Sheet for Clothes Store : Godrej or Equivalent</v>
          </cell>
          <cell r="D374" t="str">
            <v>MS cupboard made of 20 gauge MS Sheet for Clothes Store : Godrej or Equivalent</v>
          </cell>
          <cell r="E374" t="str">
            <v>No</v>
          </cell>
          <cell r="F374">
            <v>9000</v>
          </cell>
          <cell r="G374">
            <v>900</v>
          </cell>
          <cell r="H374">
            <v>1800</v>
          </cell>
          <cell r="I374">
            <v>5400</v>
          </cell>
          <cell r="J374">
            <v>900</v>
          </cell>
        </row>
        <row r="375">
          <cell r="A375" t="str">
            <v>F-5</v>
          </cell>
          <cell r="C375" t="str">
            <v>Single Bed made of 50x75 salwood section</v>
          </cell>
          <cell r="D375" t="str">
            <v>Single Bed made of 50x75 salwood section</v>
          </cell>
          <cell r="E375" t="str">
            <v>No</v>
          </cell>
          <cell r="F375">
            <v>4500</v>
          </cell>
          <cell r="G375">
            <v>450</v>
          </cell>
          <cell r="H375">
            <v>900</v>
          </cell>
          <cell r="I375">
            <v>2700</v>
          </cell>
          <cell r="J375">
            <v>450</v>
          </cell>
        </row>
        <row r="376">
          <cell r="A376" t="str">
            <v>Lab-1</v>
          </cell>
          <cell r="C376" t="str">
            <v>Laboratory Equipment</v>
          </cell>
          <cell r="D376" t="str">
            <v>Laboratory Equipment</v>
          </cell>
          <cell r="E376" t="str">
            <v>Set</v>
          </cell>
          <cell r="F376">
            <v>318505</v>
          </cell>
          <cell r="G376" t="e">
            <v>#N/A</v>
          </cell>
          <cell r="H376" t="e">
            <v>#N/A</v>
          </cell>
          <cell r="I376" t="e">
            <v>#N/A</v>
          </cell>
          <cell r="J376" t="e">
            <v>#N/A</v>
          </cell>
        </row>
        <row r="377">
          <cell r="A377" t="str">
            <v>Lab-2</v>
          </cell>
          <cell r="C377" t="str">
            <v>Glassware</v>
          </cell>
          <cell r="D377" t="str">
            <v>Glassware</v>
          </cell>
          <cell r="E377" t="str">
            <v>Set</v>
          </cell>
          <cell r="F377">
            <v>110000</v>
          </cell>
          <cell r="G377" t="e">
            <v>#N/A</v>
          </cell>
          <cell r="H377" t="e">
            <v>#N/A</v>
          </cell>
          <cell r="I377" t="e">
            <v>#N/A</v>
          </cell>
          <cell r="J377" t="e">
            <v>#N/A</v>
          </cell>
        </row>
        <row r="378">
          <cell r="A378" t="str">
            <v>Lab-3</v>
          </cell>
          <cell r="C378" t="str">
            <v>Chemicals and Reagents</v>
          </cell>
          <cell r="D378" t="str">
            <v>Chemicals and Reagents</v>
          </cell>
          <cell r="E378" t="str">
            <v>Set</v>
          </cell>
          <cell r="F378">
            <v>44000</v>
          </cell>
          <cell r="G378" t="e">
            <v>#N/A</v>
          </cell>
          <cell r="H378" t="e">
            <v>#N/A</v>
          </cell>
          <cell r="I378" t="e">
            <v>#N/A</v>
          </cell>
          <cell r="J378" t="e">
            <v>#N/A</v>
          </cell>
        </row>
        <row r="379">
          <cell r="A379" t="str">
            <v>PS1</v>
          </cell>
          <cell r="C379" t="str">
            <v>Provisional Sum for unforseen works e.g. Road crossing, change of electrical poles etc.</v>
          </cell>
          <cell r="D379" t="str">
            <v>Provisional Sum for unforseen works e.g. Road crossing, change of electrical poles etc.</v>
          </cell>
          <cell r="E379" t="str">
            <v>PS</v>
          </cell>
          <cell r="F379">
            <v>300000</v>
          </cell>
          <cell r="G379">
            <v>60000</v>
          </cell>
          <cell r="H379">
            <v>60000</v>
          </cell>
          <cell r="I379">
            <v>60000</v>
          </cell>
          <cell r="J379">
            <v>120000</v>
          </cell>
        </row>
        <row r="380">
          <cell r="A380" t="str">
            <v>PMP</v>
          </cell>
          <cell r="C380" t="str">
            <v>Pipe Marker Post</v>
          </cell>
          <cell r="D380" t="str">
            <v>Pipe Marker Post</v>
          </cell>
          <cell r="E380" t="str">
            <v>No</v>
          </cell>
          <cell r="F380">
            <v>700.37714200000005</v>
          </cell>
          <cell r="G380">
            <v>70.037714200000011</v>
          </cell>
          <cell r="H380">
            <v>70.037714200000011</v>
          </cell>
          <cell r="I380">
            <v>350.18857100000002</v>
          </cell>
          <cell r="J380">
            <v>210.1131426</v>
          </cell>
        </row>
        <row r="381">
          <cell r="A381" t="str">
            <v>RA</v>
          </cell>
          <cell r="C381" t="str">
            <v>Rock Anchoring</v>
          </cell>
          <cell r="D381" t="str">
            <v>Rock Anchoring</v>
          </cell>
          <cell r="E381" t="str">
            <v>No</v>
          </cell>
          <cell r="F381" t="e">
            <v>#REF!</v>
          </cell>
          <cell r="G381" t="e">
            <v>#REF!</v>
          </cell>
          <cell r="H381" t="e">
            <v>#REF!</v>
          </cell>
          <cell r="I381" t="e">
            <v>#REF!</v>
          </cell>
          <cell r="J381" t="e">
            <v>#REF!</v>
          </cell>
        </row>
        <row r="382">
          <cell r="C382" t="str">
            <v>Pipe Cost at the Site</v>
          </cell>
        </row>
        <row r="383">
          <cell r="A383" t="str">
            <v>H-16/10</v>
          </cell>
          <cell r="C383" t="str">
            <v>PIPE HDPE-16/10</v>
          </cell>
          <cell r="D383" t="str">
            <v>PIPE HDPE-16/10</v>
          </cell>
          <cell r="E383" t="str">
            <v>m</v>
          </cell>
          <cell r="F383">
            <v>12.236000000000001</v>
          </cell>
          <cell r="J383">
            <v>12.236000000000001</v>
          </cell>
        </row>
        <row r="384">
          <cell r="A384" t="str">
            <v>H-20/10</v>
          </cell>
          <cell r="C384" t="str">
            <v>PIPE HDPE-20/10</v>
          </cell>
          <cell r="D384" t="str">
            <v>PIPE HDPE-20/10</v>
          </cell>
          <cell r="E384" t="str">
            <v>m</v>
          </cell>
          <cell r="F384">
            <v>17.822000000000003</v>
          </cell>
          <cell r="J384">
            <v>17.822000000000003</v>
          </cell>
        </row>
        <row r="385">
          <cell r="A385" t="str">
            <v>H-25/10</v>
          </cell>
          <cell r="C385" t="str">
            <v>PIPE HDPE-25/10</v>
          </cell>
          <cell r="D385" t="str">
            <v>PIPE HDPE-25/10</v>
          </cell>
          <cell r="E385" t="str">
            <v>m</v>
          </cell>
          <cell r="F385">
            <v>26.866000000000003</v>
          </cell>
          <cell r="J385">
            <v>26.866000000000003</v>
          </cell>
        </row>
        <row r="386">
          <cell r="A386" t="str">
            <v>H-32/6</v>
          </cell>
          <cell r="C386" t="str">
            <v>PIPE HDPE-32/6</v>
          </cell>
          <cell r="D386" t="str">
            <v>PIPE HDPE-32/6</v>
          </cell>
          <cell r="E386" t="str">
            <v>m</v>
          </cell>
          <cell r="F386">
            <v>29.26</v>
          </cell>
          <cell r="J386">
            <v>29.26</v>
          </cell>
        </row>
        <row r="387">
          <cell r="A387" t="str">
            <v>H-32/10</v>
          </cell>
          <cell r="C387" t="str">
            <v>PIPE HDPE-32/10</v>
          </cell>
          <cell r="D387" t="str">
            <v>PIPE HDPE-32/10</v>
          </cell>
          <cell r="E387" t="str">
            <v>m</v>
          </cell>
          <cell r="F387">
            <v>44.422000000000004</v>
          </cell>
          <cell r="J387">
            <v>44.422000000000004</v>
          </cell>
        </row>
        <row r="388">
          <cell r="A388" t="str">
            <v>H-40/4</v>
          </cell>
          <cell r="C388" t="str">
            <v>PIPE HDPE-40/4</v>
          </cell>
          <cell r="D388" t="str">
            <v>PIPE HDPE-40/4</v>
          </cell>
          <cell r="E388" t="str">
            <v>m</v>
          </cell>
          <cell r="F388">
            <v>33.383000000000003</v>
          </cell>
          <cell r="J388">
            <v>33.383000000000003</v>
          </cell>
        </row>
        <row r="389">
          <cell r="A389" t="str">
            <v>H-40/6</v>
          </cell>
          <cell r="C389" t="str">
            <v>PIPE HDPE-40/6</v>
          </cell>
          <cell r="D389" t="str">
            <v>PIPE HDPE-40/6</v>
          </cell>
          <cell r="E389" t="str">
            <v>m</v>
          </cell>
          <cell r="F389">
            <v>46.55</v>
          </cell>
          <cell r="J389">
            <v>46.55</v>
          </cell>
        </row>
        <row r="390">
          <cell r="A390" t="str">
            <v>H-40/10</v>
          </cell>
          <cell r="C390" t="str">
            <v>PIPE HDPE-40/10</v>
          </cell>
          <cell r="D390" t="str">
            <v>PIPE HDPE-40/10</v>
          </cell>
          <cell r="E390" t="str">
            <v>m</v>
          </cell>
          <cell r="F390">
            <v>68.361999999999995</v>
          </cell>
          <cell r="J390">
            <v>68.361999999999995</v>
          </cell>
        </row>
        <row r="391">
          <cell r="A391" t="str">
            <v>H-50/4</v>
          </cell>
          <cell r="C391" t="str">
            <v>PIPE HDPE-50/4</v>
          </cell>
          <cell r="D391" t="str">
            <v>PIPE HDPE-50/4</v>
          </cell>
          <cell r="E391" t="str">
            <v>m</v>
          </cell>
          <cell r="F391">
            <v>50.274000000000001</v>
          </cell>
          <cell r="J391">
            <v>50.274000000000001</v>
          </cell>
        </row>
        <row r="392">
          <cell r="A392" t="str">
            <v>H-50/6</v>
          </cell>
          <cell r="C392" t="str">
            <v>PIPE HDPE-50/6</v>
          </cell>
          <cell r="D392" t="str">
            <v>PIPE HDPE-50/6</v>
          </cell>
          <cell r="E392" t="str">
            <v>m</v>
          </cell>
          <cell r="F392">
            <v>72.085999999999999</v>
          </cell>
          <cell r="J392">
            <v>72.085999999999999</v>
          </cell>
        </row>
        <row r="393">
          <cell r="A393" t="str">
            <v>H-50/10</v>
          </cell>
          <cell r="C393" t="str">
            <v>PIPE HDPE-50/10</v>
          </cell>
          <cell r="D393" t="str">
            <v>PIPE HDPE-50/10</v>
          </cell>
          <cell r="E393" t="str">
            <v>m</v>
          </cell>
          <cell r="F393">
            <v>105.86800000000001</v>
          </cell>
          <cell r="J393">
            <v>105.86800000000001</v>
          </cell>
        </row>
        <row r="394">
          <cell r="A394" t="str">
            <v>H-63/4</v>
          </cell>
          <cell r="C394" t="str">
            <v>PIPE HDPE-63/4</v>
          </cell>
          <cell r="D394" t="str">
            <v>PIPE HDPE-63/4</v>
          </cell>
          <cell r="E394" t="str">
            <v>m</v>
          </cell>
          <cell r="F394">
            <v>77.804999999999993</v>
          </cell>
          <cell r="J394">
            <v>77.804999999999993</v>
          </cell>
        </row>
        <row r="395">
          <cell r="A395" t="str">
            <v>H-63/6</v>
          </cell>
          <cell r="C395" t="str">
            <v>PIPE HDPE-63/6</v>
          </cell>
          <cell r="D395" t="str">
            <v>PIPE HDPE-63/6</v>
          </cell>
          <cell r="E395" t="str">
            <v>m</v>
          </cell>
          <cell r="F395">
            <v>113.05</v>
          </cell>
          <cell r="J395">
            <v>113.05</v>
          </cell>
        </row>
        <row r="396">
          <cell r="A396" t="str">
            <v>H-63/10</v>
          </cell>
          <cell r="C396" t="str">
            <v>PIPE HDPE-63/10</v>
          </cell>
          <cell r="D396" t="str">
            <v>PIPE HDPE-63/10</v>
          </cell>
          <cell r="E396" t="str">
            <v>m</v>
          </cell>
          <cell r="F396">
            <v>168.77699999999999</v>
          </cell>
          <cell r="J396">
            <v>168.77699999999999</v>
          </cell>
        </row>
        <row r="397">
          <cell r="A397" t="str">
            <v>H-75/4</v>
          </cell>
          <cell r="C397" t="str">
            <v>PIPE HDPE-75/4</v>
          </cell>
          <cell r="D397" t="str">
            <v>PIPE HDPE-75/4</v>
          </cell>
          <cell r="E397" t="str">
            <v>m</v>
          </cell>
          <cell r="F397">
            <v>112.518</v>
          </cell>
          <cell r="J397">
            <v>112.518</v>
          </cell>
        </row>
        <row r="398">
          <cell r="A398" t="str">
            <v>H-75/6</v>
          </cell>
          <cell r="C398" t="str">
            <v>PIPE HDPE-75/6</v>
          </cell>
          <cell r="D398" t="str">
            <v>PIPE HDPE-75/6</v>
          </cell>
          <cell r="E398" t="str">
            <v>m</v>
          </cell>
          <cell r="F398">
            <v>158.40300000000002</v>
          </cell>
          <cell r="J398">
            <v>158.40300000000002</v>
          </cell>
        </row>
        <row r="399">
          <cell r="A399" t="str">
            <v>H-75/10</v>
          </cell>
          <cell r="C399" t="str">
            <v>PIPE HDPE-75/10</v>
          </cell>
          <cell r="D399" t="str">
            <v>PIPE HDPE-75/10</v>
          </cell>
          <cell r="E399" t="str">
            <v>m</v>
          </cell>
          <cell r="F399">
            <v>237.006</v>
          </cell>
          <cell r="J399">
            <v>237.006</v>
          </cell>
        </row>
        <row r="400">
          <cell r="A400" t="str">
            <v>H-90/4</v>
          </cell>
          <cell r="C400" t="str">
            <v>PIPE HDPE-90/4</v>
          </cell>
          <cell r="D400" t="str">
            <v>PIPE HDPE-90/4</v>
          </cell>
          <cell r="E400" t="str">
            <v>m</v>
          </cell>
          <cell r="F400">
            <v>162.26</v>
          </cell>
          <cell r="J400">
            <v>162.26</v>
          </cell>
        </row>
        <row r="401">
          <cell r="A401" t="str">
            <v>H-90/6</v>
          </cell>
          <cell r="C401" t="str">
            <v>PIPE HDPE-90/6</v>
          </cell>
          <cell r="D401" t="str">
            <v>PIPE HDPE-90/6</v>
          </cell>
          <cell r="E401" t="str">
            <v>m</v>
          </cell>
          <cell r="F401">
            <v>228.095</v>
          </cell>
          <cell r="J401">
            <v>228.095</v>
          </cell>
        </row>
        <row r="402">
          <cell r="A402" t="str">
            <v>H-90/10</v>
          </cell>
          <cell r="C402" t="str">
            <v>PIPE HDPE-90/10</v>
          </cell>
          <cell r="D402" t="str">
            <v>PIPE HDPE-90/10</v>
          </cell>
          <cell r="E402" t="str">
            <v>m</v>
          </cell>
          <cell r="F402">
            <v>341.54399999999998</v>
          </cell>
          <cell r="J402">
            <v>341.54399999999998</v>
          </cell>
        </row>
        <row r="403">
          <cell r="A403" t="str">
            <v>H-110/4</v>
          </cell>
          <cell r="C403" t="str">
            <v>PIPE HDPE-110/4</v>
          </cell>
          <cell r="D403" t="str">
            <v>PIPE HDPE-110/4</v>
          </cell>
          <cell r="E403" t="str">
            <v>m</v>
          </cell>
          <cell r="F403">
            <v>226.499</v>
          </cell>
          <cell r="J403">
            <v>226.499</v>
          </cell>
        </row>
        <row r="404">
          <cell r="A404" t="str">
            <v>H-110/6</v>
          </cell>
          <cell r="C404" t="str">
            <v>PIPE HDPE-110/6</v>
          </cell>
          <cell r="D404" t="str">
            <v>PIPE HDPE-110/6</v>
          </cell>
          <cell r="E404" t="str">
            <v>m</v>
          </cell>
          <cell r="F404">
            <v>338.48500000000001</v>
          </cell>
          <cell r="J404">
            <v>338.48500000000001</v>
          </cell>
        </row>
        <row r="405">
          <cell r="A405" t="str">
            <v>H-110/10</v>
          </cell>
          <cell r="C405" t="str">
            <v>PIPE HDPE-110/10</v>
          </cell>
          <cell r="D405" t="str">
            <v>PIPE HDPE-110/10</v>
          </cell>
          <cell r="E405" t="str">
            <v>m</v>
          </cell>
          <cell r="F405">
            <v>505.53300000000002</v>
          </cell>
          <cell r="J405">
            <v>505.53300000000002</v>
          </cell>
        </row>
        <row r="406">
          <cell r="A406" t="str">
            <v>H-125/4</v>
          </cell>
          <cell r="C406" t="str">
            <v>PIPE HDPE-125/4</v>
          </cell>
          <cell r="D406" t="str">
            <v>PIPE HDPE-125/4</v>
          </cell>
          <cell r="E406" t="str">
            <v>m</v>
          </cell>
          <cell r="F406">
            <v>304.43700000000001</v>
          </cell>
          <cell r="J406">
            <v>304.43700000000001</v>
          </cell>
        </row>
        <row r="407">
          <cell r="A407" t="str">
            <v>H-125/6</v>
          </cell>
          <cell r="C407" t="str">
            <v>PIPE HDPE-125/6</v>
          </cell>
          <cell r="D407" t="str">
            <v>PIPE HDPE-125/6</v>
          </cell>
          <cell r="E407" t="str">
            <v>m</v>
          </cell>
          <cell r="F407">
            <v>437.96899999999999</v>
          </cell>
          <cell r="J407">
            <v>437.96899999999999</v>
          </cell>
        </row>
        <row r="408">
          <cell r="A408" t="str">
            <v>H-125/10</v>
          </cell>
          <cell r="C408" t="str">
            <v>PIPE HDPE-125/10</v>
          </cell>
          <cell r="D408" t="str">
            <v>PIPE HDPE-125/10</v>
          </cell>
          <cell r="E408" t="str">
            <v>m</v>
          </cell>
          <cell r="F408">
            <v>659.94599999999991</v>
          </cell>
          <cell r="J408">
            <v>659.94599999999991</v>
          </cell>
        </row>
        <row r="409">
          <cell r="A409" t="str">
            <v>H-140/4</v>
          </cell>
          <cell r="C409" t="str">
            <v>PIPE HDPE-140/4</v>
          </cell>
          <cell r="D409" t="str">
            <v>PIPE HDPE-140/4</v>
          </cell>
          <cell r="E409" t="str">
            <v>m</v>
          </cell>
          <cell r="F409">
            <v>385.83299999999997</v>
          </cell>
          <cell r="J409">
            <v>385.83299999999997</v>
          </cell>
        </row>
        <row r="410">
          <cell r="A410" t="str">
            <v>H-140/6</v>
          </cell>
          <cell r="C410" t="str">
            <v>PIPE HDPE-140/6</v>
          </cell>
          <cell r="D410" t="str">
            <v>PIPE HDPE-140/6</v>
          </cell>
          <cell r="E410" t="str">
            <v>m</v>
          </cell>
          <cell r="F410">
            <v>551.95000000000005</v>
          </cell>
          <cell r="J410">
            <v>551.95000000000005</v>
          </cell>
        </row>
        <row r="411">
          <cell r="A411" t="str">
            <v>H-140/10</v>
          </cell>
          <cell r="C411" t="str">
            <v>PIPE HDPE-140/10</v>
          </cell>
          <cell r="D411" t="str">
            <v>PIPE HDPE-140/10</v>
          </cell>
          <cell r="E411" t="str">
            <v>m</v>
          </cell>
          <cell r="F411">
            <v>825.79699999999991</v>
          </cell>
          <cell r="J411">
            <v>825.79699999999991</v>
          </cell>
        </row>
        <row r="412">
          <cell r="A412" t="str">
            <v>H-160/4</v>
          </cell>
          <cell r="C412" t="str">
            <v>PIPE HDPE-160/4</v>
          </cell>
          <cell r="D412" t="str">
            <v>PIPE HDPE-160/4</v>
          </cell>
          <cell r="E412" t="str">
            <v>m</v>
          </cell>
          <cell r="F412">
            <v>501.80900000000003</v>
          </cell>
          <cell r="J412">
            <v>501.80900000000003</v>
          </cell>
        </row>
        <row r="413">
          <cell r="A413" t="str">
            <v>H-160/6</v>
          </cell>
          <cell r="C413" t="str">
            <v>PIPE HDPE-160/6</v>
          </cell>
          <cell r="D413" t="str">
            <v>PIPE HDPE-160/6</v>
          </cell>
          <cell r="E413" t="str">
            <v>m</v>
          </cell>
          <cell r="F413">
            <v>712.21500000000003</v>
          </cell>
          <cell r="J413">
            <v>712.21500000000003</v>
          </cell>
        </row>
        <row r="414">
          <cell r="A414" t="str">
            <v>H-160/10</v>
          </cell>
          <cell r="C414" t="str">
            <v>PIPE HDPE-160/10</v>
          </cell>
          <cell r="D414" t="str">
            <v>PIPE HDPE-160/10</v>
          </cell>
          <cell r="E414" t="str">
            <v>m</v>
          </cell>
          <cell r="F414">
            <v>1074.5070000000001</v>
          </cell>
          <cell r="J414">
            <v>1074.5070000000001</v>
          </cell>
        </row>
        <row r="415">
          <cell r="A415" t="str">
            <v>H-180/4</v>
          </cell>
          <cell r="C415" t="str">
            <v>PIPE HDPE-180/4</v>
          </cell>
          <cell r="D415" t="str">
            <v>PIPE HDPE-180/4</v>
          </cell>
          <cell r="E415" t="str">
            <v>m</v>
          </cell>
          <cell r="F415">
            <v>633.34599999999989</v>
          </cell>
          <cell r="J415">
            <v>633.34599999999989</v>
          </cell>
        </row>
        <row r="416">
          <cell r="A416" t="str">
            <v>H-180/6</v>
          </cell>
          <cell r="C416" t="str">
            <v>PIPE HDPE-180/6</v>
          </cell>
          <cell r="D416" t="str">
            <v>PIPE HDPE-180/6</v>
          </cell>
          <cell r="E416" t="str">
            <v>m</v>
          </cell>
          <cell r="F416">
            <v>904.4</v>
          </cell>
          <cell r="J416">
            <v>904.4</v>
          </cell>
        </row>
        <row r="417">
          <cell r="A417" t="str">
            <v>H-180/10</v>
          </cell>
          <cell r="C417" t="str">
            <v>PIPE HDPE-180/10</v>
          </cell>
          <cell r="D417" t="str">
            <v>PIPE HDPE-180/10</v>
          </cell>
          <cell r="E417" t="str">
            <v>m</v>
          </cell>
          <cell r="F417">
            <v>1364.048</v>
          </cell>
          <cell r="J417">
            <v>1364.048</v>
          </cell>
        </row>
        <row r="418">
          <cell r="A418" t="str">
            <v>H-200/4</v>
          </cell>
          <cell r="C418" t="str">
            <v>PIPE HDPE-200/4</v>
          </cell>
          <cell r="D418" t="str">
            <v>PIPE HDPE-200/4</v>
          </cell>
          <cell r="E418" t="str">
            <v>m</v>
          </cell>
          <cell r="F418">
            <v>783.37</v>
          </cell>
          <cell r="J418">
            <v>783.37</v>
          </cell>
        </row>
        <row r="419">
          <cell r="A419" t="str">
            <v>H-200/6</v>
          </cell>
          <cell r="C419" t="str">
            <v>PIPE HDPE-200/6</v>
          </cell>
          <cell r="D419" t="str">
            <v>PIPE HDPE-200/6</v>
          </cell>
          <cell r="E419" t="str">
            <v>m</v>
          </cell>
          <cell r="F419">
            <v>1116.0029999999999</v>
          </cell>
          <cell r="J419">
            <v>1116.0029999999999</v>
          </cell>
        </row>
        <row r="420">
          <cell r="A420" t="str">
            <v>H-200/10</v>
          </cell>
          <cell r="C420" t="str">
            <v>PIPE HDPE-200/10</v>
          </cell>
          <cell r="D420" t="str">
            <v>PIPE HDPE-200/10</v>
          </cell>
          <cell r="E420" t="str">
            <v>m</v>
          </cell>
          <cell r="F420">
            <v>1678.4599999999998</v>
          </cell>
          <cell r="J420">
            <v>1678.4599999999998</v>
          </cell>
        </row>
        <row r="421">
          <cell r="A421" t="str">
            <v>H-225/4</v>
          </cell>
          <cell r="C421" t="str">
            <v>PIPE HDPE-225/4</v>
          </cell>
          <cell r="D421" t="str">
            <v>PIPE HDPE-225/4</v>
          </cell>
          <cell r="E421" t="str">
            <v>m</v>
          </cell>
          <cell r="F421">
            <v>990.18500000000006</v>
          </cell>
          <cell r="J421">
            <v>990.18500000000006</v>
          </cell>
        </row>
        <row r="422">
          <cell r="A422" t="str">
            <v>H-225/6</v>
          </cell>
          <cell r="C422" t="str">
            <v>PIPE HDPE-225/6</v>
          </cell>
          <cell r="D422" t="str">
            <v>PIPE HDPE-225/6</v>
          </cell>
          <cell r="E422" t="str">
            <v>m</v>
          </cell>
          <cell r="F422">
            <v>1402.3520000000001</v>
          </cell>
          <cell r="J422">
            <v>1402.3520000000001</v>
          </cell>
        </row>
        <row r="423">
          <cell r="A423" t="str">
            <v>H-225/10</v>
          </cell>
          <cell r="C423" t="str">
            <v>PIPE HDPE-225/10</v>
          </cell>
          <cell r="D423" t="str">
            <v>PIPE HDPE-225/10</v>
          </cell>
          <cell r="E423" t="str">
            <v>m</v>
          </cell>
          <cell r="F423">
            <v>2129.8620000000001</v>
          </cell>
          <cell r="J423">
            <v>2129.8620000000001</v>
          </cell>
        </row>
        <row r="424">
          <cell r="A424" t="str">
            <v>H-250/4</v>
          </cell>
          <cell r="C424" t="str">
            <v>PIPE HDPE-250/4</v>
          </cell>
          <cell r="D424" t="str">
            <v>PIPE HDPE-250/4</v>
          </cell>
          <cell r="E424" t="str">
            <v>m</v>
          </cell>
          <cell r="F424">
            <v>1221.8709999999999</v>
          </cell>
          <cell r="J424">
            <v>1221.8709999999999</v>
          </cell>
        </row>
        <row r="425">
          <cell r="A425" t="str">
            <v>H-250/6</v>
          </cell>
          <cell r="C425" t="str">
            <v>PIPE HDPE-250/6</v>
          </cell>
          <cell r="D425" t="str">
            <v>PIPE HDPE-250/6</v>
          </cell>
          <cell r="E425" t="str">
            <v>m</v>
          </cell>
          <cell r="F425">
            <v>1734.453</v>
          </cell>
          <cell r="J425">
            <v>1734.453</v>
          </cell>
        </row>
        <row r="426">
          <cell r="A426" t="str">
            <v>H-250/10</v>
          </cell>
          <cell r="C426" t="str">
            <v>PIPE HDPE-250/10</v>
          </cell>
          <cell r="D426" t="str">
            <v>PIPE HDPE-250/10</v>
          </cell>
          <cell r="E426" t="str">
            <v>m</v>
          </cell>
          <cell r="F426">
            <v>2627.681</v>
          </cell>
          <cell r="J426">
            <v>2627.681</v>
          </cell>
        </row>
        <row r="427">
          <cell r="A427" t="str">
            <v>H-280/4</v>
          </cell>
          <cell r="C427" t="str">
            <v>PIPE HDPE-280/4</v>
          </cell>
          <cell r="D427" t="str">
            <v>PIPE HDPE-280/4</v>
          </cell>
          <cell r="E427" t="str">
            <v>m</v>
          </cell>
          <cell r="F427">
            <v>1523.5150000000001</v>
          </cell>
          <cell r="J427">
            <v>1523.5150000000001</v>
          </cell>
        </row>
        <row r="428">
          <cell r="A428" t="str">
            <v>H-280/6</v>
          </cell>
          <cell r="C428" t="str">
            <v>PIPE HDPE-280/6</v>
          </cell>
          <cell r="D428" t="str">
            <v>PIPE HDPE-280/6</v>
          </cell>
          <cell r="E428" t="str">
            <v>m</v>
          </cell>
          <cell r="F428">
            <v>2171.4910000000004</v>
          </cell>
          <cell r="J428">
            <v>2171.4910000000004</v>
          </cell>
        </row>
        <row r="429">
          <cell r="A429" t="str">
            <v>H-280/10</v>
          </cell>
          <cell r="C429" t="str">
            <v>PIPE HDPE-280/10</v>
          </cell>
          <cell r="D429" t="str">
            <v>PIPE HDPE-280/10</v>
          </cell>
          <cell r="E429" t="str">
            <v>m</v>
          </cell>
          <cell r="F429">
            <v>3286.1639999999998</v>
          </cell>
          <cell r="J429">
            <v>3286.1639999999998</v>
          </cell>
        </row>
        <row r="430">
          <cell r="A430" t="str">
            <v>H-315/4</v>
          </cell>
          <cell r="C430" t="str">
            <v>PIPE HDPE-315/4</v>
          </cell>
          <cell r="D430" t="str">
            <v>PIPE HDPE-315/4</v>
          </cell>
          <cell r="E430" t="str">
            <v>m</v>
          </cell>
          <cell r="F430">
            <v>1929.5639999999999</v>
          </cell>
          <cell r="J430">
            <v>1929.5639999999999</v>
          </cell>
        </row>
        <row r="431">
          <cell r="A431" t="str">
            <v>H-315/6</v>
          </cell>
          <cell r="C431" t="str">
            <v>PIPE HDPE-315/6</v>
          </cell>
          <cell r="D431" t="str">
            <v>PIPE HDPE-315/6</v>
          </cell>
          <cell r="E431" t="str">
            <v>m</v>
          </cell>
          <cell r="F431">
            <v>2751.9029999999998</v>
          </cell>
          <cell r="J431">
            <v>2751.9029999999998</v>
          </cell>
        </row>
        <row r="432">
          <cell r="A432" t="str">
            <v>H-315/10</v>
          </cell>
          <cell r="C432" t="str">
            <v>PIPE HDPE-315/10</v>
          </cell>
          <cell r="D432" t="str">
            <v>PIPE HDPE-315/10</v>
          </cell>
          <cell r="E432" t="str">
            <v>m</v>
          </cell>
          <cell r="F432">
            <v>4144.28</v>
          </cell>
          <cell r="J432">
            <v>4144.28</v>
          </cell>
        </row>
        <row r="433">
          <cell r="A433" t="str">
            <v>H-350/4</v>
          </cell>
          <cell r="C433" t="str">
            <v>PIPE HDPE-350/4</v>
          </cell>
          <cell r="D433" t="str">
            <v>PIPE HDPE-350/4</v>
          </cell>
          <cell r="E433" t="str">
            <v>m</v>
          </cell>
          <cell r="F433">
            <v>2444.806</v>
          </cell>
          <cell r="J433">
            <v>2444.806</v>
          </cell>
        </row>
        <row r="434">
          <cell r="A434" t="str">
            <v>H-350/6</v>
          </cell>
          <cell r="C434" t="str">
            <v>PIPE HDPE-350/6</v>
          </cell>
          <cell r="D434" t="str">
            <v>PIPE HDPE-350/6</v>
          </cell>
          <cell r="E434" t="str">
            <v>m</v>
          </cell>
          <cell r="F434">
            <v>3490.319</v>
          </cell>
          <cell r="J434">
            <v>3490.319</v>
          </cell>
        </row>
        <row r="435">
          <cell r="A435" t="str">
            <v>H-350/10</v>
          </cell>
          <cell r="C435" t="str">
            <v>PIPE HDPE-350/10</v>
          </cell>
          <cell r="D435" t="str">
            <v>PIPE HDPE-350/10</v>
          </cell>
          <cell r="E435" t="str">
            <v>m</v>
          </cell>
          <cell r="F435">
            <v>5271.4549999999999</v>
          </cell>
          <cell r="J435">
            <v>5271.4549999999999</v>
          </cell>
        </row>
        <row r="436">
          <cell r="A436" t="str">
            <v>H-400/4</v>
          </cell>
          <cell r="C436" t="str">
            <v>PIPE HDPE-400/4</v>
          </cell>
          <cell r="D436" t="str">
            <v>PIPE HDPE-400/4</v>
          </cell>
          <cell r="E436" t="str">
            <v>m</v>
          </cell>
          <cell r="F436">
            <v>3104.4859999999999</v>
          </cell>
          <cell r="J436">
            <v>3104.4859999999999</v>
          </cell>
        </row>
        <row r="437">
          <cell r="A437" t="str">
            <v>H-400/6</v>
          </cell>
          <cell r="C437" t="str">
            <v>PIPE HDPE-400/6</v>
          </cell>
          <cell r="D437" t="str">
            <v>PIPE HDPE-400/6</v>
          </cell>
          <cell r="E437" t="str">
            <v>m</v>
          </cell>
          <cell r="F437">
            <v>4430.0969999999998</v>
          </cell>
          <cell r="J437">
            <v>4430.0969999999998</v>
          </cell>
        </row>
        <row r="438">
          <cell r="A438" t="str">
            <v>H-400/10</v>
          </cell>
          <cell r="C438" t="str">
            <v>PIPE HDPE-400/10</v>
          </cell>
          <cell r="D438" t="str">
            <v>PIPE HDPE-400/10</v>
          </cell>
          <cell r="E438" t="str">
            <v>m</v>
          </cell>
          <cell r="F438">
            <v>6695.7520000000004</v>
          </cell>
          <cell r="J438">
            <v>6695.7520000000004</v>
          </cell>
        </row>
        <row r="439">
          <cell r="A439" t="str">
            <v>H-440/4</v>
          </cell>
          <cell r="C439" t="str">
            <v>PIPE HDPE-440/4</v>
          </cell>
          <cell r="D439" t="str">
            <v>PIPE HDPE-440/4</v>
          </cell>
          <cell r="E439" t="str">
            <v>m</v>
          </cell>
          <cell r="F439">
            <v>3890.3830000000003</v>
          </cell>
          <cell r="J439">
            <v>3890.3830000000003</v>
          </cell>
        </row>
        <row r="440">
          <cell r="A440" t="str">
            <v>H-440/6</v>
          </cell>
          <cell r="C440" t="str">
            <v>PIPE HDPE-440/6</v>
          </cell>
          <cell r="D440" t="str">
            <v>PIPE HDPE-440/6</v>
          </cell>
          <cell r="E440" t="str">
            <v>m</v>
          </cell>
          <cell r="F440">
            <v>5594.6449999999995</v>
          </cell>
          <cell r="J440">
            <v>5594.6449999999995</v>
          </cell>
        </row>
        <row r="441">
          <cell r="A441" t="str">
            <v>H-440/10</v>
          </cell>
          <cell r="C441" t="str">
            <v>PIPE HDPE-440/10</v>
          </cell>
          <cell r="D441" t="str">
            <v>PIPE HDPE-440/10</v>
          </cell>
          <cell r="E441" t="str">
            <v>m</v>
          </cell>
          <cell r="F441">
            <v>8458.5339999999997</v>
          </cell>
          <cell r="J441">
            <v>8458.5339999999997</v>
          </cell>
        </row>
        <row r="442">
          <cell r="A442" t="str">
            <v>H-500/4</v>
          </cell>
          <cell r="C442" t="str">
            <v>PIPE HDPE-500/4</v>
          </cell>
          <cell r="D442" t="str">
            <v>PIPE HDPE-500/4</v>
          </cell>
          <cell r="E442" t="str">
            <v>m</v>
          </cell>
          <cell r="F442">
            <v>4841.9979999999996</v>
          </cell>
          <cell r="J442">
            <v>4841.9979999999996</v>
          </cell>
        </row>
        <row r="443">
          <cell r="A443" t="str">
            <v>H-500/6</v>
          </cell>
          <cell r="C443" t="str">
            <v>PIPE HDPE-500/6</v>
          </cell>
          <cell r="D443" t="str">
            <v>PIPE HDPE-500/6</v>
          </cell>
          <cell r="E443" t="str">
            <v>m</v>
          </cell>
          <cell r="F443">
            <v>6902.7</v>
          </cell>
          <cell r="J443">
            <v>6902.7</v>
          </cell>
        </row>
        <row r="444">
          <cell r="A444" t="str">
            <v>H-500/10</v>
          </cell>
          <cell r="C444" t="str">
            <v>PIPE HDPE-500/10</v>
          </cell>
          <cell r="D444" t="str">
            <v>PIPE HDPE-500/10</v>
          </cell>
          <cell r="E444" t="str">
            <v>m</v>
          </cell>
          <cell r="F444">
            <v>10479.735000000001</v>
          </cell>
          <cell r="J444">
            <v>10479.735000000001</v>
          </cell>
        </row>
        <row r="445">
          <cell r="J445">
            <v>0</v>
          </cell>
        </row>
        <row r="446">
          <cell r="A446" t="str">
            <v>G-13</v>
          </cell>
          <cell r="C446" t="str">
            <v>PIPE GI-13</v>
          </cell>
          <cell r="D446" t="str">
            <v>PIPE GI-13</v>
          </cell>
          <cell r="E446" t="str">
            <v>m</v>
          </cell>
          <cell r="F446">
            <v>78.613479218659009</v>
          </cell>
          <cell r="J446">
            <v>78.613479218659009</v>
          </cell>
        </row>
        <row r="447">
          <cell r="A447" t="str">
            <v>G-20</v>
          </cell>
          <cell r="C447" t="str">
            <v>PIPE GI-20</v>
          </cell>
          <cell r="D447" t="str">
            <v>PIPE GI-20</v>
          </cell>
          <cell r="E447" t="str">
            <v>m</v>
          </cell>
          <cell r="F447">
            <v>101.7844703268085</v>
          </cell>
          <cell r="J447">
            <v>101.7844703268085</v>
          </cell>
        </row>
        <row r="448">
          <cell r="A448" t="str">
            <v>G-25</v>
          </cell>
          <cell r="C448" t="str">
            <v>PIPE GI-25</v>
          </cell>
          <cell r="D448" t="str">
            <v>PIPE GI-25</v>
          </cell>
          <cell r="E448" t="str">
            <v>m</v>
          </cell>
          <cell r="F448">
            <v>157.09909368156852</v>
          </cell>
          <cell r="J448">
            <v>157.09909368156852</v>
          </cell>
        </row>
        <row r="449">
          <cell r="A449" t="str">
            <v>G-32</v>
          </cell>
          <cell r="C449" t="str">
            <v>PIPE GI-32</v>
          </cell>
          <cell r="D449" t="str">
            <v>PIPE GI-32</v>
          </cell>
          <cell r="E449" t="str">
            <v>m</v>
          </cell>
          <cell r="F449">
            <v>202.34170710249651</v>
          </cell>
          <cell r="J449">
            <v>202.34170710249651</v>
          </cell>
        </row>
        <row r="450">
          <cell r="A450" t="str">
            <v>G-40</v>
          </cell>
          <cell r="C450" t="str">
            <v>PIPE GI-40</v>
          </cell>
          <cell r="D450" t="str">
            <v>PIPE GI-40</v>
          </cell>
          <cell r="E450" t="str">
            <v>m</v>
          </cell>
          <cell r="F450">
            <v>232.386748730367</v>
          </cell>
          <cell r="J450">
            <v>232.386748730367</v>
          </cell>
        </row>
        <row r="451">
          <cell r="A451" t="str">
            <v>G-50</v>
          </cell>
          <cell r="C451" t="str">
            <v>PIPE GI-50</v>
          </cell>
          <cell r="D451" t="str">
            <v>PIPE GI-50</v>
          </cell>
          <cell r="E451" t="str">
            <v>m</v>
          </cell>
          <cell r="F451">
            <v>329.75021263056948</v>
          </cell>
          <cell r="J451">
            <v>329.75021263056948</v>
          </cell>
        </row>
        <row r="452">
          <cell r="A452" t="str">
            <v>G-63</v>
          </cell>
          <cell r="C452" t="str">
            <v>PIPE GI-63</v>
          </cell>
          <cell r="D452" t="str">
            <v>PIPE GI-63</v>
          </cell>
          <cell r="E452" t="str">
            <v>m</v>
          </cell>
          <cell r="F452">
            <v>422.83238297122909</v>
          </cell>
          <cell r="J452">
            <v>422.83238297122909</v>
          </cell>
        </row>
        <row r="453">
          <cell r="A453" t="str">
            <v>G-75</v>
          </cell>
          <cell r="C453" t="str">
            <v>PIPE GI-75</v>
          </cell>
          <cell r="D453" t="str">
            <v>PIPE GI-75</v>
          </cell>
          <cell r="E453" t="str">
            <v>m</v>
          </cell>
          <cell r="F453">
            <v>551.01565611773447</v>
          </cell>
          <cell r="J453">
            <v>551.01565611773447</v>
          </cell>
        </row>
        <row r="454">
          <cell r="A454" t="str">
            <v>G-100</v>
          </cell>
          <cell r="C454" t="str">
            <v>PIPE GI-100</v>
          </cell>
          <cell r="D454" t="str">
            <v>PIPE GI-100</v>
          </cell>
          <cell r="E454" t="str">
            <v>m</v>
          </cell>
          <cell r="F454">
            <v>790.14859061207312</v>
          </cell>
          <cell r="J454">
            <v>790.14859061207312</v>
          </cell>
        </row>
        <row r="455">
          <cell r="A455" t="str">
            <v>G-150</v>
          </cell>
          <cell r="C455" t="str">
            <v>PIPE GI-150</v>
          </cell>
          <cell r="D455" t="str">
            <v>PIPE GI-150</v>
          </cell>
          <cell r="E455" t="str">
            <v>m</v>
          </cell>
          <cell r="F455">
            <v>1264.4927650250283</v>
          </cell>
          <cell r="J455">
            <v>1264.4927650250283</v>
          </cell>
        </row>
        <row r="456">
          <cell r="J456">
            <v>0</v>
          </cell>
        </row>
        <row r="457">
          <cell r="A457" t="str">
            <v>D-80</v>
          </cell>
          <cell r="C457" t="str">
            <v>PIPE DI-80</v>
          </cell>
          <cell r="D457" t="str">
            <v>PIPE DI-80</v>
          </cell>
          <cell r="E457" t="str">
            <v>m</v>
          </cell>
          <cell r="F457">
            <v>1283.1929912628748</v>
          </cell>
          <cell r="J457">
            <v>1283.1929912628748</v>
          </cell>
        </row>
        <row r="458">
          <cell r="A458" t="str">
            <v>D-100</v>
          </cell>
          <cell r="C458" t="str">
            <v>PIPE DI-100</v>
          </cell>
          <cell r="D458" t="str">
            <v>PIPE DI-100</v>
          </cell>
          <cell r="E458" t="str">
            <v>m</v>
          </cell>
          <cell r="F458">
            <v>1334.9524269369749</v>
          </cell>
          <cell r="J458">
            <v>1334.9524269369749</v>
          </cell>
        </row>
        <row r="459">
          <cell r="A459" t="str">
            <v>D-150</v>
          </cell>
          <cell r="C459" t="str">
            <v>PIPE DI-150</v>
          </cell>
          <cell r="D459" t="str">
            <v>PIPE DI-150</v>
          </cell>
          <cell r="E459" t="str">
            <v>m</v>
          </cell>
          <cell r="F459">
            <v>1676.4194402108997</v>
          </cell>
          <cell r="J459">
            <v>1676.4194402108997</v>
          </cell>
        </row>
        <row r="460">
          <cell r="A460" t="str">
            <v>D-200</v>
          </cell>
          <cell r="C460" t="str">
            <v>PIPE DI-200</v>
          </cell>
          <cell r="D460" t="str">
            <v>PIPE DI-200</v>
          </cell>
          <cell r="E460" t="str">
            <v>m</v>
          </cell>
          <cell r="F460">
            <v>1934.5886770506447</v>
          </cell>
          <cell r="J460">
            <v>1934.5886770506447</v>
          </cell>
        </row>
        <row r="461">
          <cell r="A461" t="str">
            <v>D-250</v>
          </cell>
          <cell r="C461" t="str">
            <v>PIPE DI-250</v>
          </cell>
          <cell r="D461" t="str">
            <v>PIPE DI-250</v>
          </cell>
          <cell r="E461" t="str">
            <v>m</v>
          </cell>
          <cell r="F461">
            <v>2542.1468368965898</v>
          </cell>
          <cell r="J461">
            <v>2542.1468368965898</v>
          </cell>
        </row>
        <row r="462">
          <cell r="A462" t="str">
            <v>D-300</v>
          </cell>
          <cell r="C462" t="str">
            <v>PIPE DI-300</v>
          </cell>
          <cell r="D462" t="str">
            <v>PIPE DI-300</v>
          </cell>
          <cell r="E462" t="str">
            <v>m</v>
          </cell>
          <cell r="F462">
            <v>3149.2679542504948</v>
          </cell>
          <cell r="J462">
            <v>3149.2679542504948</v>
          </cell>
        </row>
        <row r="463">
          <cell r="A463" t="str">
            <v>T&amp;P</v>
          </cell>
          <cell r="C463" t="str">
            <v>Tools and Plant</v>
          </cell>
          <cell r="D463" t="str">
            <v>Tools and Plant</v>
          </cell>
        </row>
        <row r="631">
          <cell r="G631" t="e">
            <v>#N/A</v>
          </cell>
          <cell r="H631" t="e">
            <v>#N/A</v>
          </cell>
          <cell r="I631" t="e">
            <v>#N/A</v>
          </cell>
          <cell r="J631" t="e">
            <v>#N/A</v>
          </cell>
        </row>
        <row r="632">
          <cell r="G632" t="e">
            <v>#N/A</v>
          </cell>
          <cell r="H632" t="e">
            <v>#N/A</v>
          </cell>
          <cell r="I632" t="e">
            <v>#N/A</v>
          </cell>
          <cell r="J632" t="e">
            <v>#N/A</v>
          </cell>
        </row>
        <row r="633">
          <cell r="G633" t="e">
            <v>#N/A</v>
          </cell>
          <cell r="H633" t="e">
            <v>#N/A</v>
          </cell>
          <cell r="I633" t="e">
            <v>#N/A</v>
          </cell>
          <cell r="J633" t="e">
            <v>#N/A</v>
          </cell>
        </row>
        <row r="634">
          <cell r="G634" t="e">
            <v>#N/A</v>
          </cell>
          <cell r="H634" t="e">
            <v>#N/A</v>
          </cell>
          <cell r="I634" t="e">
            <v>#N/A</v>
          </cell>
          <cell r="J634" t="e">
            <v>#N/A</v>
          </cell>
        </row>
        <row r="635">
          <cell r="G635" t="e">
            <v>#N/A</v>
          </cell>
          <cell r="H635" t="e">
            <v>#N/A</v>
          </cell>
          <cell r="I635" t="e">
            <v>#N/A</v>
          </cell>
          <cell r="J635" t="e">
            <v>#N/A</v>
          </cell>
        </row>
        <row r="636">
          <cell r="G636" t="e">
            <v>#N/A</v>
          </cell>
          <cell r="H636" t="e">
            <v>#N/A</v>
          </cell>
          <cell r="I636" t="e">
            <v>#N/A</v>
          </cell>
          <cell r="J636" t="e">
            <v>#N/A</v>
          </cell>
        </row>
        <row r="637">
          <cell r="G637" t="e">
            <v>#N/A</v>
          </cell>
          <cell r="H637" t="e">
            <v>#N/A</v>
          </cell>
          <cell r="I637" t="e">
            <v>#N/A</v>
          </cell>
          <cell r="J637" t="e">
            <v>#N/A</v>
          </cell>
        </row>
        <row r="638">
          <cell r="G638" t="e">
            <v>#N/A</v>
          </cell>
          <cell r="H638" t="e">
            <v>#N/A</v>
          </cell>
          <cell r="I638" t="e">
            <v>#N/A</v>
          </cell>
          <cell r="J638" t="e">
            <v>#N/A</v>
          </cell>
        </row>
        <row r="639">
          <cell r="G639" t="e">
            <v>#N/A</v>
          </cell>
          <cell r="H639" t="e">
            <v>#N/A</v>
          </cell>
          <cell r="I639" t="e">
            <v>#N/A</v>
          </cell>
          <cell r="J639" t="e">
            <v>#N/A</v>
          </cell>
        </row>
        <row r="640">
          <cell r="G640" t="e">
            <v>#N/A</v>
          </cell>
          <cell r="H640" t="e">
            <v>#N/A</v>
          </cell>
          <cell r="I640" t="e">
            <v>#N/A</v>
          </cell>
          <cell r="J640" t="e">
            <v>#N/A</v>
          </cell>
        </row>
        <row r="641">
          <cell r="G641" t="e">
            <v>#N/A</v>
          </cell>
          <cell r="H641" t="e">
            <v>#N/A</v>
          </cell>
          <cell r="I641" t="e">
            <v>#N/A</v>
          </cell>
          <cell r="J641" t="e">
            <v>#N/A</v>
          </cell>
        </row>
        <row r="642">
          <cell r="G642" t="e">
            <v>#N/A</v>
          </cell>
          <cell r="H642" t="e">
            <v>#N/A</v>
          </cell>
          <cell r="I642" t="e">
            <v>#N/A</v>
          </cell>
          <cell r="J642" t="e">
            <v>#N/A</v>
          </cell>
        </row>
        <row r="643">
          <cell r="G643" t="e">
            <v>#N/A</v>
          </cell>
          <cell r="H643" t="e">
            <v>#N/A</v>
          </cell>
          <cell r="I643" t="e">
            <v>#N/A</v>
          </cell>
          <cell r="J643" t="e">
            <v>#N/A</v>
          </cell>
        </row>
        <row r="644">
          <cell r="G644" t="e">
            <v>#N/A</v>
          </cell>
          <cell r="H644" t="e">
            <v>#N/A</v>
          </cell>
          <cell r="I644" t="e">
            <v>#N/A</v>
          </cell>
          <cell r="J644" t="e">
            <v>#N/A</v>
          </cell>
        </row>
        <row r="645">
          <cell r="G645" t="e">
            <v>#N/A</v>
          </cell>
          <cell r="H645" t="e">
            <v>#N/A</v>
          </cell>
          <cell r="I645" t="e">
            <v>#N/A</v>
          </cell>
          <cell r="J645" t="e">
            <v>#N/A</v>
          </cell>
        </row>
        <row r="646">
          <cell r="G646" t="e">
            <v>#N/A</v>
          </cell>
          <cell r="H646" t="e">
            <v>#N/A</v>
          </cell>
          <cell r="I646" t="e">
            <v>#N/A</v>
          </cell>
          <cell r="J646" t="e">
            <v>#N/A</v>
          </cell>
        </row>
        <row r="647">
          <cell r="G647" t="e">
            <v>#N/A</v>
          </cell>
          <cell r="H647" t="e">
            <v>#N/A</v>
          </cell>
          <cell r="I647" t="e">
            <v>#N/A</v>
          </cell>
          <cell r="J647" t="e">
            <v>#N/A</v>
          </cell>
        </row>
        <row r="648">
          <cell r="G648" t="e">
            <v>#N/A</v>
          </cell>
          <cell r="H648" t="e">
            <v>#N/A</v>
          </cell>
          <cell r="I648" t="e">
            <v>#N/A</v>
          </cell>
          <cell r="J648" t="e">
            <v>#N/A</v>
          </cell>
        </row>
        <row r="649">
          <cell r="G649" t="e">
            <v>#N/A</v>
          </cell>
          <cell r="H649" t="e">
            <v>#N/A</v>
          </cell>
          <cell r="I649" t="e">
            <v>#N/A</v>
          </cell>
          <cell r="J649" t="e">
            <v>#N/A</v>
          </cell>
        </row>
        <row r="650">
          <cell r="G650" t="e">
            <v>#N/A</v>
          </cell>
          <cell r="H650" t="e">
            <v>#N/A</v>
          </cell>
          <cell r="I650" t="e">
            <v>#N/A</v>
          </cell>
          <cell r="J650" t="e">
            <v>#N/A</v>
          </cell>
        </row>
        <row r="651">
          <cell r="G651" t="e">
            <v>#N/A</v>
          </cell>
          <cell r="H651" t="e">
            <v>#N/A</v>
          </cell>
          <cell r="I651" t="e">
            <v>#N/A</v>
          </cell>
          <cell r="J651" t="e">
            <v>#N/A</v>
          </cell>
        </row>
        <row r="652">
          <cell r="G652" t="e">
            <v>#N/A</v>
          </cell>
          <cell r="H652" t="e">
            <v>#N/A</v>
          </cell>
          <cell r="I652" t="e">
            <v>#N/A</v>
          </cell>
          <cell r="J652" t="e">
            <v>#N/A</v>
          </cell>
        </row>
        <row r="653">
          <cell r="G653" t="e">
            <v>#N/A</v>
          </cell>
          <cell r="H653" t="e">
            <v>#N/A</v>
          </cell>
          <cell r="I653" t="e">
            <v>#N/A</v>
          </cell>
          <cell r="J653" t="e">
            <v>#N/A</v>
          </cell>
        </row>
        <row r="654">
          <cell r="G654" t="e">
            <v>#N/A</v>
          </cell>
          <cell r="H654" t="e">
            <v>#N/A</v>
          </cell>
          <cell r="I654" t="e">
            <v>#N/A</v>
          </cell>
          <cell r="J654" t="e">
            <v>#N/A</v>
          </cell>
        </row>
        <row r="655">
          <cell r="G655" t="e">
            <v>#N/A</v>
          </cell>
          <cell r="H655" t="e">
            <v>#N/A</v>
          </cell>
          <cell r="I655" t="e">
            <v>#N/A</v>
          </cell>
          <cell r="J655" t="e">
            <v>#N/A</v>
          </cell>
        </row>
        <row r="656">
          <cell r="G656" t="e">
            <v>#N/A</v>
          </cell>
          <cell r="H656" t="e">
            <v>#N/A</v>
          </cell>
          <cell r="I656" t="e">
            <v>#N/A</v>
          </cell>
          <cell r="J656" t="e">
            <v>#N/A</v>
          </cell>
        </row>
        <row r="657">
          <cell r="G657" t="e">
            <v>#N/A</v>
          </cell>
          <cell r="H657" t="e">
            <v>#N/A</v>
          </cell>
          <cell r="I657" t="e">
            <v>#N/A</v>
          </cell>
          <cell r="J657" t="e">
            <v>#N/A</v>
          </cell>
        </row>
        <row r="658">
          <cell r="G658" t="e">
            <v>#N/A</v>
          </cell>
          <cell r="H658" t="e">
            <v>#N/A</v>
          </cell>
          <cell r="I658" t="e">
            <v>#N/A</v>
          </cell>
          <cell r="J658" t="e">
            <v>#N/A</v>
          </cell>
        </row>
        <row r="659">
          <cell r="G659" t="e">
            <v>#N/A</v>
          </cell>
          <cell r="H659" t="e">
            <v>#N/A</v>
          </cell>
          <cell r="I659" t="e">
            <v>#N/A</v>
          </cell>
          <cell r="J659" t="e">
            <v>#N/A</v>
          </cell>
        </row>
        <row r="660">
          <cell r="G660" t="e">
            <v>#N/A</v>
          </cell>
          <cell r="H660" t="e">
            <v>#N/A</v>
          </cell>
          <cell r="I660" t="e">
            <v>#N/A</v>
          </cell>
          <cell r="J660" t="e">
            <v>#N/A</v>
          </cell>
        </row>
        <row r="661">
          <cell r="G661" t="e">
            <v>#N/A</v>
          </cell>
          <cell r="H661" t="e">
            <v>#N/A</v>
          </cell>
          <cell r="I661" t="e">
            <v>#N/A</v>
          </cell>
          <cell r="J661" t="e">
            <v>#N/A</v>
          </cell>
        </row>
        <row r="662">
          <cell r="G662" t="e">
            <v>#N/A</v>
          </cell>
          <cell r="H662" t="e">
            <v>#N/A</v>
          </cell>
          <cell r="I662" t="e">
            <v>#N/A</v>
          </cell>
          <cell r="J662" t="e">
            <v>#N/A</v>
          </cell>
        </row>
        <row r="663">
          <cell r="G663" t="e">
            <v>#N/A</v>
          </cell>
          <cell r="H663" t="e">
            <v>#N/A</v>
          </cell>
          <cell r="I663" t="e">
            <v>#N/A</v>
          </cell>
          <cell r="J663" t="e">
            <v>#N/A</v>
          </cell>
        </row>
        <row r="664">
          <cell r="G664" t="e">
            <v>#N/A</v>
          </cell>
          <cell r="H664" t="e">
            <v>#N/A</v>
          </cell>
          <cell r="I664" t="e">
            <v>#N/A</v>
          </cell>
          <cell r="J664" t="e">
            <v>#N/A</v>
          </cell>
        </row>
        <row r="665">
          <cell r="G665" t="e">
            <v>#N/A</v>
          </cell>
          <cell r="H665" t="e">
            <v>#N/A</v>
          </cell>
          <cell r="I665" t="e">
            <v>#N/A</v>
          </cell>
          <cell r="J665" t="e">
            <v>#N/A</v>
          </cell>
        </row>
        <row r="666">
          <cell r="G666" t="e">
            <v>#N/A</v>
          </cell>
          <cell r="H666" t="e">
            <v>#N/A</v>
          </cell>
          <cell r="I666" t="e">
            <v>#N/A</v>
          </cell>
          <cell r="J666" t="e">
            <v>#N/A</v>
          </cell>
        </row>
        <row r="667">
          <cell r="G667" t="e">
            <v>#N/A</v>
          </cell>
          <cell r="H667" t="e">
            <v>#N/A</v>
          </cell>
          <cell r="I667" t="e">
            <v>#N/A</v>
          </cell>
          <cell r="J667" t="e">
            <v>#N/A</v>
          </cell>
        </row>
        <row r="668">
          <cell r="G668" t="e">
            <v>#N/A</v>
          </cell>
          <cell r="H668" t="e">
            <v>#N/A</v>
          </cell>
          <cell r="I668" t="e">
            <v>#N/A</v>
          </cell>
          <cell r="J668" t="e">
            <v>#N/A</v>
          </cell>
        </row>
        <row r="669">
          <cell r="G669" t="e">
            <v>#N/A</v>
          </cell>
          <cell r="H669" t="e">
            <v>#N/A</v>
          </cell>
          <cell r="I669" t="e">
            <v>#N/A</v>
          </cell>
          <cell r="J669" t="e">
            <v>#N/A</v>
          </cell>
        </row>
        <row r="670">
          <cell r="G670" t="e">
            <v>#N/A</v>
          </cell>
          <cell r="H670" t="e">
            <v>#N/A</v>
          </cell>
          <cell r="I670" t="e">
            <v>#N/A</v>
          </cell>
          <cell r="J670" t="e">
            <v>#N/A</v>
          </cell>
        </row>
        <row r="671">
          <cell r="G671" t="e">
            <v>#N/A</v>
          </cell>
          <cell r="H671" t="e">
            <v>#N/A</v>
          </cell>
          <cell r="I671" t="e">
            <v>#N/A</v>
          </cell>
          <cell r="J671" t="e">
            <v>#N/A</v>
          </cell>
        </row>
        <row r="672">
          <cell r="G672" t="e">
            <v>#N/A</v>
          </cell>
          <cell r="H672" t="e">
            <v>#N/A</v>
          </cell>
          <cell r="I672" t="e">
            <v>#N/A</v>
          </cell>
          <cell r="J672" t="e">
            <v>#N/A</v>
          </cell>
        </row>
        <row r="673">
          <cell r="G673" t="e">
            <v>#N/A</v>
          </cell>
          <cell r="H673" t="e">
            <v>#N/A</v>
          </cell>
          <cell r="I673" t="e">
            <v>#N/A</v>
          </cell>
          <cell r="J673" t="e">
            <v>#N/A</v>
          </cell>
        </row>
        <row r="674">
          <cell r="G674" t="e">
            <v>#N/A</v>
          </cell>
          <cell r="H674" t="e">
            <v>#N/A</v>
          </cell>
          <cell r="I674" t="e">
            <v>#N/A</v>
          </cell>
          <cell r="J674" t="e">
            <v>#N/A</v>
          </cell>
        </row>
        <row r="675">
          <cell r="G675" t="e">
            <v>#N/A</v>
          </cell>
          <cell r="H675" t="e">
            <v>#N/A</v>
          </cell>
          <cell r="I675" t="e">
            <v>#N/A</v>
          </cell>
          <cell r="J675" t="e">
            <v>#N/A</v>
          </cell>
        </row>
        <row r="676">
          <cell r="G676" t="e">
            <v>#N/A</v>
          </cell>
          <cell r="H676" t="e">
            <v>#N/A</v>
          </cell>
          <cell r="I676" t="e">
            <v>#N/A</v>
          </cell>
          <cell r="J676" t="e">
            <v>#N/A</v>
          </cell>
        </row>
        <row r="677">
          <cell r="G677" t="e">
            <v>#N/A</v>
          </cell>
          <cell r="H677" t="e">
            <v>#N/A</v>
          </cell>
          <cell r="I677" t="e">
            <v>#N/A</v>
          </cell>
          <cell r="J677" t="e">
            <v>#N/A</v>
          </cell>
        </row>
        <row r="678">
          <cell r="G678" t="e">
            <v>#N/A</v>
          </cell>
          <cell r="H678" t="e">
            <v>#N/A</v>
          </cell>
          <cell r="I678" t="e">
            <v>#N/A</v>
          </cell>
          <cell r="J678" t="e">
            <v>#N/A</v>
          </cell>
        </row>
        <row r="679">
          <cell r="G679" t="e">
            <v>#N/A</v>
          </cell>
          <cell r="H679" t="e">
            <v>#N/A</v>
          </cell>
          <cell r="I679" t="e">
            <v>#N/A</v>
          </cell>
          <cell r="J679" t="e">
            <v>#N/A</v>
          </cell>
        </row>
        <row r="680">
          <cell r="G680" t="e">
            <v>#N/A</v>
          </cell>
          <cell r="H680" t="e">
            <v>#N/A</v>
          </cell>
          <cell r="I680" t="e">
            <v>#N/A</v>
          </cell>
          <cell r="J680" t="e">
            <v>#N/A</v>
          </cell>
        </row>
        <row r="681">
          <cell r="G681" t="e">
            <v>#N/A</v>
          </cell>
          <cell r="H681" t="e">
            <v>#N/A</v>
          </cell>
          <cell r="I681" t="e">
            <v>#N/A</v>
          </cell>
          <cell r="J681" t="e">
            <v>#N/A</v>
          </cell>
        </row>
        <row r="682">
          <cell r="G682" t="e">
            <v>#N/A</v>
          </cell>
          <cell r="H682" t="e">
            <v>#N/A</v>
          </cell>
          <cell r="I682" t="e">
            <v>#N/A</v>
          </cell>
          <cell r="J682" t="e">
            <v>#N/A</v>
          </cell>
        </row>
        <row r="683">
          <cell r="G683" t="e">
            <v>#N/A</v>
          </cell>
          <cell r="H683" t="e">
            <v>#N/A</v>
          </cell>
          <cell r="I683" t="e">
            <v>#N/A</v>
          </cell>
          <cell r="J683" t="e">
            <v>#N/A</v>
          </cell>
        </row>
        <row r="684">
          <cell r="G684" t="e">
            <v>#N/A</v>
          </cell>
          <cell r="H684" t="e">
            <v>#N/A</v>
          </cell>
          <cell r="I684" t="e">
            <v>#N/A</v>
          </cell>
          <cell r="J684" t="e">
            <v>#N/A</v>
          </cell>
        </row>
        <row r="685">
          <cell r="G685" t="e">
            <v>#N/A</v>
          </cell>
          <cell r="H685" t="e">
            <v>#N/A</v>
          </cell>
          <cell r="I685" t="e">
            <v>#N/A</v>
          </cell>
          <cell r="J685" t="e">
            <v>#N/A</v>
          </cell>
        </row>
        <row r="686">
          <cell r="G686" t="e">
            <v>#N/A</v>
          </cell>
          <cell r="H686" t="e">
            <v>#N/A</v>
          </cell>
          <cell r="I686" t="e">
            <v>#N/A</v>
          </cell>
          <cell r="J686" t="e">
            <v>#N/A</v>
          </cell>
        </row>
        <row r="687">
          <cell r="G687" t="e">
            <v>#N/A</v>
          </cell>
          <cell r="H687" t="e">
            <v>#N/A</v>
          </cell>
          <cell r="I687" t="e">
            <v>#N/A</v>
          </cell>
          <cell r="J687" t="e">
            <v>#N/A</v>
          </cell>
        </row>
        <row r="688">
          <cell r="G688" t="e">
            <v>#N/A</v>
          </cell>
          <cell r="H688" t="e">
            <v>#N/A</v>
          </cell>
          <cell r="I688" t="e">
            <v>#N/A</v>
          </cell>
          <cell r="J688" t="e">
            <v>#N/A</v>
          </cell>
        </row>
        <row r="689">
          <cell r="G689" t="e">
            <v>#N/A</v>
          </cell>
          <cell r="H689" t="e">
            <v>#N/A</v>
          </cell>
          <cell r="I689" t="e">
            <v>#N/A</v>
          </cell>
          <cell r="J689" t="e">
            <v>#N/A</v>
          </cell>
        </row>
        <row r="690">
          <cell r="G690" t="e">
            <v>#N/A</v>
          </cell>
          <cell r="H690" t="e">
            <v>#N/A</v>
          </cell>
          <cell r="I690" t="e">
            <v>#N/A</v>
          </cell>
          <cell r="J690" t="e">
            <v>#N/A</v>
          </cell>
        </row>
        <row r="691">
          <cell r="G691" t="e">
            <v>#N/A</v>
          </cell>
          <cell r="H691" t="e">
            <v>#N/A</v>
          </cell>
          <cell r="I691" t="e">
            <v>#N/A</v>
          </cell>
          <cell r="J691" t="e">
            <v>#N/A</v>
          </cell>
        </row>
        <row r="692">
          <cell r="G692" t="e">
            <v>#N/A</v>
          </cell>
          <cell r="H692" t="e">
            <v>#N/A</v>
          </cell>
          <cell r="I692" t="e">
            <v>#N/A</v>
          </cell>
          <cell r="J692" t="e">
            <v>#N/A</v>
          </cell>
        </row>
        <row r="693">
          <cell r="G693" t="e">
            <v>#N/A</v>
          </cell>
          <cell r="H693" t="e">
            <v>#N/A</v>
          </cell>
          <cell r="I693" t="e">
            <v>#N/A</v>
          </cell>
          <cell r="J693" t="e">
            <v>#N/A</v>
          </cell>
        </row>
        <row r="694">
          <cell r="G694" t="e">
            <v>#N/A</v>
          </cell>
          <cell r="H694" t="e">
            <v>#N/A</v>
          </cell>
          <cell r="I694" t="e">
            <v>#N/A</v>
          </cell>
          <cell r="J694" t="e">
            <v>#N/A</v>
          </cell>
        </row>
        <row r="695">
          <cell r="G695" t="e">
            <v>#N/A</v>
          </cell>
          <cell r="H695" t="e">
            <v>#N/A</v>
          </cell>
          <cell r="I695" t="e">
            <v>#N/A</v>
          </cell>
          <cell r="J695" t="e">
            <v>#N/A</v>
          </cell>
        </row>
        <row r="696">
          <cell r="G696" t="e">
            <v>#N/A</v>
          </cell>
          <cell r="H696" t="e">
            <v>#N/A</v>
          </cell>
          <cell r="I696" t="e">
            <v>#N/A</v>
          </cell>
          <cell r="J696" t="e">
            <v>#N/A</v>
          </cell>
        </row>
        <row r="697">
          <cell r="G697" t="e">
            <v>#N/A</v>
          </cell>
          <cell r="H697" t="e">
            <v>#N/A</v>
          </cell>
          <cell r="I697" t="e">
            <v>#N/A</v>
          </cell>
          <cell r="J697" t="e">
            <v>#N/A</v>
          </cell>
        </row>
        <row r="698">
          <cell r="G698" t="e">
            <v>#N/A</v>
          </cell>
          <cell r="H698" t="e">
            <v>#N/A</v>
          </cell>
          <cell r="I698" t="e">
            <v>#N/A</v>
          </cell>
          <cell r="J698" t="e">
            <v>#N/A</v>
          </cell>
        </row>
        <row r="699">
          <cell r="G699" t="e">
            <v>#N/A</v>
          </cell>
          <cell r="H699" t="e">
            <v>#N/A</v>
          </cell>
          <cell r="I699" t="e">
            <v>#N/A</v>
          </cell>
          <cell r="J699" t="e">
            <v>#N/A</v>
          </cell>
        </row>
        <row r="700">
          <cell r="G700" t="e">
            <v>#N/A</v>
          </cell>
          <cell r="H700" t="e">
            <v>#N/A</v>
          </cell>
          <cell r="I700" t="e">
            <v>#N/A</v>
          </cell>
          <cell r="J700" t="e">
            <v>#N/A</v>
          </cell>
        </row>
        <row r="701">
          <cell r="G701" t="e">
            <v>#N/A</v>
          </cell>
          <cell r="H701" t="e">
            <v>#N/A</v>
          </cell>
          <cell r="I701" t="e">
            <v>#N/A</v>
          </cell>
          <cell r="J701" t="e">
            <v>#N/A</v>
          </cell>
        </row>
        <row r="702">
          <cell r="G702" t="e">
            <v>#N/A</v>
          </cell>
          <cell r="H702" t="e">
            <v>#N/A</v>
          </cell>
          <cell r="I702" t="e">
            <v>#N/A</v>
          </cell>
          <cell r="J702" t="e">
            <v>#N/A</v>
          </cell>
        </row>
        <row r="703">
          <cell r="G703" t="e">
            <v>#N/A</v>
          </cell>
          <cell r="H703" t="e">
            <v>#N/A</v>
          </cell>
          <cell r="I703" t="e">
            <v>#N/A</v>
          </cell>
          <cell r="J703" t="e">
            <v>#N/A</v>
          </cell>
        </row>
        <row r="704">
          <cell r="G704" t="e">
            <v>#N/A</v>
          </cell>
          <cell r="H704" t="e">
            <v>#N/A</v>
          </cell>
          <cell r="I704" t="e">
            <v>#N/A</v>
          </cell>
          <cell r="J704" t="e">
            <v>#N/A</v>
          </cell>
        </row>
        <row r="705">
          <cell r="G705" t="e">
            <v>#N/A</v>
          </cell>
          <cell r="H705" t="e">
            <v>#N/A</v>
          </cell>
          <cell r="I705" t="e">
            <v>#N/A</v>
          </cell>
          <cell r="J705" t="e">
            <v>#N/A</v>
          </cell>
        </row>
        <row r="706">
          <cell r="G706" t="e">
            <v>#N/A</v>
          </cell>
          <cell r="H706" t="e">
            <v>#N/A</v>
          </cell>
          <cell r="I706" t="e">
            <v>#N/A</v>
          </cell>
          <cell r="J706" t="e">
            <v>#N/A</v>
          </cell>
        </row>
        <row r="707">
          <cell r="G707" t="e">
            <v>#N/A</v>
          </cell>
          <cell r="H707" t="e">
            <v>#N/A</v>
          </cell>
          <cell r="I707" t="e">
            <v>#N/A</v>
          </cell>
          <cell r="J707" t="e">
            <v>#N/A</v>
          </cell>
        </row>
        <row r="708">
          <cell r="G708" t="e">
            <v>#N/A</v>
          </cell>
          <cell r="H708" t="e">
            <v>#N/A</v>
          </cell>
          <cell r="I708" t="e">
            <v>#N/A</v>
          </cell>
          <cell r="J708" t="e">
            <v>#N/A</v>
          </cell>
        </row>
        <row r="709">
          <cell r="G709" t="e">
            <v>#N/A</v>
          </cell>
          <cell r="H709" t="e">
            <v>#N/A</v>
          </cell>
          <cell r="I709" t="e">
            <v>#N/A</v>
          </cell>
          <cell r="J709" t="e">
            <v>#N/A</v>
          </cell>
        </row>
        <row r="710">
          <cell r="G710" t="e">
            <v>#N/A</v>
          </cell>
          <cell r="H710" t="e">
            <v>#N/A</v>
          </cell>
          <cell r="I710" t="e">
            <v>#N/A</v>
          </cell>
          <cell r="J710" t="e">
            <v>#N/A</v>
          </cell>
        </row>
        <row r="711">
          <cell r="G711" t="e">
            <v>#N/A</v>
          </cell>
          <cell r="H711" t="e">
            <v>#N/A</v>
          </cell>
          <cell r="I711" t="e">
            <v>#N/A</v>
          </cell>
          <cell r="J711" t="e">
            <v>#N/A</v>
          </cell>
        </row>
        <row r="712">
          <cell r="G712" t="e">
            <v>#N/A</v>
          </cell>
          <cell r="H712" t="e">
            <v>#N/A</v>
          </cell>
          <cell r="I712" t="e">
            <v>#N/A</v>
          </cell>
          <cell r="J712" t="e">
            <v>#N/A</v>
          </cell>
        </row>
        <row r="713">
          <cell r="G713" t="e">
            <v>#N/A</v>
          </cell>
          <cell r="H713" t="e">
            <v>#N/A</v>
          </cell>
          <cell r="I713" t="e">
            <v>#N/A</v>
          </cell>
          <cell r="J713" t="e">
            <v>#N/A</v>
          </cell>
        </row>
        <row r="714">
          <cell r="G714" t="e">
            <v>#N/A</v>
          </cell>
          <cell r="H714" t="e">
            <v>#N/A</v>
          </cell>
          <cell r="I714" t="e">
            <v>#N/A</v>
          </cell>
          <cell r="J714" t="e">
            <v>#N/A</v>
          </cell>
        </row>
        <row r="715">
          <cell r="G715" t="e">
            <v>#N/A</v>
          </cell>
          <cell r="H715" t="e">
            <v>#N/A</v>
          </cell>
          <cell r="I715" t="e">
            <v>#N/A</v>
          </cell>
          <cell r="J715" t="e">
            <v>#N/A</v>
          </cell>
        </row>
        <row r="716">
          <cell r="G716" t="e">
            <v>#N/A</v>
          </cell>
          <cell r="H716" t="e">
            <v>#N/A</v>
          </cell>
          <cell r="I716" t="e">
            <v>#N/A</v>
          </cell>
          <cell r="J716" t="e">
            <v>#N/A</v>
          </cell>
        </row>
        <row r="717">
          <cell r="G717" t="e">
            <v>#N/A</v>
          </cell>
          <cell r="H717" t="e">
            <v>#N/A</v>
          </cell>
          <cell r="I717" t="e">
            <v>#N/A</v>
          </cell>
          <cell r="J717" t="e">
            <v>#N/A</v>
          </cell>
        </row>
        <row r="718">
          <cell r="G718" t="e">
            <v>#N/A</v>
          </cell>
          <cell r="H718" t="e">
            <v>#N/A</v>
          </cell>
          <cell r="I718" t="e">
            <v>#N/A</v>
          </cell>
          <cell r="J718" t="e">
            <v>#N/A</v>
          </cell>
        </row>
        <row r="719">
          <cell r="G719" t="e">
            <v>#N/A</v>
          </cell>
          <cell r="H719" t="e">
            <v>#N/A</v>
          </cell>
          <cell r="I719" t="e">
            <v>#N/A</v>
          </cell>
          <cell r="J719" t="e">
            <v>#N/A</v>
          </cell>
        </row>
        <row r="720">
          <cell r="G720" t="e">
            <v>#N/A</v>
          </cell>
          <cell r="H720" t="e">
            <v>#N/A</v>
          </cell>
          <cell r="I720" t="e">
            <v>#N/A</v>
          </cell>
          <cell r="J720" t="e">
            <v>#N/A</v>
          </cell>
        </row>
        <row r="721">
          <cell r="G721" t="e">
            <v>#N/A</v>
          </cell>
          <cell r="H721" t="e">
            <v>#N/A</v>
          </cell>
          <cell r="I721" t="e">
            <v>#N/A</v>
          </cell>
          <cell r="J721" t="e">
            <v>#N/A</v>
          </cell>
        </row>
        <row r="722">
          <cell r="G722" t="e">
            <v>#N/A</v>
          </cell>
          <cell r="H722" t="e">
            <v>#N/A</v>
          </cell>
          <cell r="I722" t="e">
            <v>#N/A</v>
          </cell>
          <cell r="J722" t="e">
            <v>#N/A</v>
          </cell>
        </row>
        <row r="723">
          <cell r="G723" t="e">
            <v>#N/A</v>
          </cell>
          <cell r="H723" t="e">
            <v>#N/A</v>
          </cell>
          <cell r="I723" t="e">
            <v>#N/A</v>
          </cell>
          <cell r="J723" t="e">
            <v>#N/A</v>
          </cell>
        </row>
        <row r="724">
          <cell r="G724" t="e">
            <v>#N/A</v>
          </cell>
          <cell r="H724" t="e">
            <v>#N/A</v>
          </cell>
          <cell r="I724" t="e">
            <v>#N/A</v>
          </cell>
          <cell r="J724" t="e">
            <v>#N/A</v>
          </cell>
        </row>
        <row r="725">
          <cell r="G725" t="e">
            <v>#N/A</v>
          </cell>
          <cell r="H725" t="e">
            <v>#N/A</v>
          </cell>
          <cell r="I725" t="e">
            <v>#N/A</v>
          </cell>
          <cell r="J725" t="e">
            <v>#N/A</v>
          </cell>
        </row>
        <row r="726">
          <cell r="G726" t="e">
            <v>#N/A</v>
          </cell>
          <cell r="H726" t="e">
            <v>#N/A</v>
          </cell>
          <cell r="I726" t="e">
            <v>#N/A</v>
          </cell>
          <cell r="J726" t="e">
            <v>#N/A</v>
          </cell>
        </row>
        <row r="727">
          <cell r="G727" t="e">
            <v>#N/A</v>
          </cell>
          <cell r="H727" t="e">
            <v>#N/A</v>
          </cell>
          <cell r="I727" t="e">
            <v>#N/A</v>
          </cell>
          <cell r="J727" t="e">
            <v>#N/A</v>
          </cell>
        </row>
        <row r="728">
          <cell r="G728" t="e">
            <v>#N/A</v>
          </cell>
          <cell r="H728" t="e">
            <v>#N/A</v>
          </cell>
          <cell r="I728" t="e">
            <v>#N/A</v>
          </cell>
          <cell r="J728" t="e">
            <v>#N/A</v>
          </cell>
        </row>
        <row r="729">
          <cell r="G729" t="e">
            <v>#N/A</v>
          </cell>
          <cell r="H729" t="e">
            <v>#N/A</v>
          </cell>
          <cell r="I729" t="e">
            <v>#N/A</v>
          </cell>
          <cell r="J729" t="e">
            <v>#N/A</v>
          </cell>
        </row>
        <row r="730">
          <cell r="G730" t="e">
            <v>#N/A</v>
          </cell>
          <cell r="H730" t="e">
            <v>#N/A</v>
          </cell>
          <cell r="I730" t="e">
            <v>#N/A</v>
          </cell>
          <cell r="J730" t="e">
            <v>#N/A</v>
          </cell>
        </row>
        <row r="731">
          <cell r="G731" t="e">
            <v>#N/A</v>
          </cell>
          <cell r="H731" t="e">
            <v>#N/A</v>
          </cell>
          <cell r="I731" t="e">
            <v>#N/A</v>
          </cell>
          <cell r="J731" t="e">
            <v>#N/A</v>
          </cell>
        </row>
        <row r="732">
          <cell r="G732" t="e">
            <v>#N/A</v>
          </cell>
          <cell r="H732" t="e">
            <v>#N/A</v>
          </cell>
          <cell r="I732" t="e">
            <v>#N/A</v>
          </cell>
          <cell r="J732" t="e">
            <v>#N/A</v>
          </cell>
        </row>
        <row r="733">
          <cell r="G733" t="e">
            <v>#N/A</v>
          </cell>
          <cell r="H733" t="e">
            <v>#N/A</v>
          </cell>
          <cell r="I733" t="e">
            <v>#N/A</v>
          </cell>
          <cell r="J733" t="e">
            <v>#N/A</v>
          </cell>
        </row>
        <row r="734">
          <cell r="G734" t="e">
            <v>#N/A</v>
          </cell>
          <cell r="H734" t="e">
            <v>#N/A</v>
          </cell>
          <cell r="I734" t="e">
            <v>#N/A</v>
          </cell>
          <cell r="J734" t="e">
            <v>#N/A</v>
          </cell>
        </row>
        <row r="735">
          <cell r="G735" t="e">
            <v>#N/A</v>
          </cell>
          <cell r="H735" t="e">
            <v>#N/A</v>
          </cell>
          <cell r="I735" t="e">
            <v>#N/A</v>
          </cell>
          <cell r="J735" t="e">
            <v>#N/A</v>
          </cell>
        </row>
        <row r="736">
          <cell r="G736" t="e">
            <v>#N/A</v>
          </cell>
          <cell r="H736" t="e">
            <v>#N/A</v>
          </cell>
          <cell r="I736" t="e">
            <v>#N/A</v>
          </cell>
          <cell r="J736" t="e">
            <v>#N/A</v>
          </cell>
        </row>
        <row r="737">
          <cell r="G737" t="e">
            <v>#N/A</v>
          </cell>
          <cell r="H737" t="e">
            <v>#N/A</v>
          </cell>
          <cell r="I737" t="e">
            <v>#N/A</v>
          </cell>
          <cell r="J737" t="e">
            <v>#N/A</v>
          </cell>
        </row>
        <row r="738">
          <cell r="G738" t="e">
            <v>#N/A</v>
          </cell>
          <cell r="H738" t="e">
            <v>#N/A</v>
          </cell>
          <cell r="I738" t="e">
            <v>#N/A</v>
          </cell>
          <cell r="J738" t="e">
            <v>#N/A</v>
          </cell>
        </row>
        <row r="739">
          <cell r="G739" t="e">
            <v>#N/A</v>
          </cell>
          <cell r="H739" t="e">
            <v>#N/A</v>
          </cell>
          <cell r="I739" t="e">
            <v>#N/A</v>
          </cell>
          <cell r="J739" t="e">
            <v>#N/A</v>
          </cell>
        </row>
        <row r="740">
          <cell r="G740" t="e">
            <v>#N/A</v>
          </cell>
          <cell r="H740" t="e">
            <v>#N/A</v>
          </cell>
          <cell r="I740" t="e">
            <v>#N/A</v>
          </cell>
          <cell r="J740" t="e">
            <v>#N/A</v>
          </cell>
        </row>
      </sheetData>
      <sheetData sheetId="51"/>
      <sheetData sheetId="52"/>
      <sheetData sheetId="53"/>
      <sheetData sheetId="54"/>
      <sheetData sheetId="55"/>
      <sheetData sheetId="56"/>
      <sheetData sheetId="57"/>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
      <sheetName val="2-A1"/>
      <sheetName val="2-A2"/>
      <sheetName val="2-A3"/>
      <sheetName val="2-A4"/>
      <sheetName val="2-A5"/>
      <sheetName val="2-A6"/>
      <sheetName val="2-A7"/>
      <sheetName val="2-A8_Noprint"/>
      <sheetName val="3-A1"/>
      <sheetName val="3-A2"/>
      <sheetName val="3-A3"/>
      <sheetName val="3-A4"/>
      <sheetName val="3-B1"/>
      <sheetName val="3-B2"/>
      <sheetName val="3-B3"/>
      <sheetName val="3-B4"/>
      <sheetName val="3-B5"/>
      <sheetName val="3-C1"/>
      <sheetName val="3-C2"/>
      <sheetName val="3-C3"/>
      <sheetName val="3-C4"/>
      <sheetName val="3-C5"/>
      <sheetName val="3-C6"/>
      <sheetName val="3-C7"/>
      <sheetName val="3-C8"/>
      <sheetName val="3-D1"/>
      <sheetName val="3-D2"/>
      <sheetName val="3-D3"/>
      <sheetName val="4-A1"/>
      <sheetName val="4-A2"/>
      <sheetName val="4-B1"/>
      <sheetName val="4-B2"/>
      <sheetName val="4-C1"/>
      <sheetName val="4-C3"/>
      <sheetName val="4-C5"/>
      <sheetName val="4-C7"/>
      <sheetName val="4-D1"/>
      <sheetName val="4-D2"/>
      <sheetName val="Summary-PRINT"/>
      <sheetName val="DONT_Print_above"/>
      <sheetName val="BLANK"/>
      <sheetName val="2-B1"/>
      <sheetName val="2-B2"/>
      <sheetName val="sheet_0"/>
      <sheetName val="3-C4(a)"/>
      <sheetName val="sheet100"/>
      <sheetName val="sheet101"/>
      <sheetName val="3-C7(a)"/>
      <sheetName val="sheet102"/>
      <sheetName val="3-C9"/>
      <sheetName val="5-A1"/>
      <sheetName val="5-B2"/>
      <sheetName val="5-B3"/>
      <sheetName val="Summary"/>
      <sheetName val="Template"/>
      <sheetName val="PD-HW-Sample"/>
      <sheetName val="update Rate"/>
    </sheetNames>
    <sheetDataSet>
      <sheetData sheetId="0">
        <row r="16">
          <cell r="D16" t="str">
            <v>L-01</v>
          </cell>
          <cell r="E16" t="str">
            <v>Unskilled</v>
          </cell>
          <cell r="F16" t="str">
            <v>md</v>
          </cell>
          <cell r="H16">
            <v>110</v>
          </cell>
        </row>
        <row r="17">
          <cell r="D17" t="str">
            <v>L-02</v>
          </cell>
          <cell r="E17" t="str">
            <v>Semi-Skilled</v>
          </cell>
          <cell r="F17" t="str">
            <v>md</v>
          </cell>
          <cell r="H17">
            <v>150</v>
          </cell>
        </row>
        <row r="18">
          <cell r="D18" t="str">
            <v>L-03</v>
          </cell>
          <cell r="E18" t="str">
            <v>Skilled</v>
          </cell>
          <cell r="F18" t="str">
            <v>md</v>
          </cell>
          <cell r="H18">
            <v>155</v>
          </cell>
        </row>
        <row r="19">
          <cell r="D19" t="str">
            <v>L-04</v>
          </cell>
          <cell r="E19" t="str">
            <v>Mason</v>
          </cell>
          <cell r="F19" t="str">
            <v>md</v>
          </cell>
          <cell r="H19">
            <v>155</v>
          </cell>
        </row>
        <row r="20">
          <cell r="D20" t="str">
            <v>L-05</v>
          </cell>
          <cell r="E20" t="str">
            <v>Operator</v>
          </cell>
          <cell r="F20" t="str">
            <v>md</v>
          </cell>
          <cell r="H20">
            <v>155</v>
          </cell>
        </row>
        <row r="21">
          <cell r="D21" t="str">
            <v>L-06</v>
          </cell>
          <cell r="E21" t="str">
            <v>Blaster</v>
          </cell>
          <cell r="F21" t="str">
            <v>md</v>
          </cell>
          <cell r="H21">
            <v>160</v>
          </cell>
        </row>
        <row r="22">
          <cell r="D22" t="str">
            <v>L-07</v>
          </cell>
          <cell r="E22" t="str">
            <v>Supervisor</v>
          </cell>
          <cell r="F22" t="str">
            <v>md</v>
          </cell>
          <cell r="H22">
            <v>120</v>
          </cell>
        </row>
        <row r="28">
          <cell r="D28" t="str">
            <v>M-01</v>
          </cell>
          <cell r="E28" t="str">
            <v>Cement</v>
          </cell>
          <cell r="F28" t="str">
            <v>mt</v>
          </cell>
          <cell r="G28">
            <v>5954.4</v>
          </cell>
          <cell r="H28">
            <v>6777.3514983333325</v>
          </cell>
        </row>
        <row r="29">
          <cell r="D29" t="str">
            <v>M-02</v>
          </cell>
          <cell r="E29" t="str">
            <v>Steel reinforcement</v>
          </cell>
          <cell r="F29" t="str">
            <v>mt</v>
          </cell>
          <cell r="G29">
            <v>25675</v>
          </cell>
          <cell r="H29">
            <v>26497.951498333332</v>
          </cell>
        </row>
        <row r="30">
          <cell r="D30" t="str">
            <v>M-03</v>
          </cell>
          <cell r="E30" t="str">
            <v>Geotextile</v>
          </cell>
          <cell r="F30" t="str">
            <v>sqm</v>
          </cell>
          <cell r="H30">
            <v>154.21526321741914</v>
          </cell>
        </row>
        <row r="31">
          <cell r="D31" t="str">
            <v>M-04</v>
          </cell>
          <cell r="E31" t="str">
            <v>RCC pipe (900mm)</v>
          </cell>
          <cell r="F31" t="str">
            <v>rm</v>
          </cell>
          <cell r="G31">
            <v>4074</v>
          </cell>
          <cell r="H31">
            <v>4732.3611986666665</v>
          </cell>
        </row>
        <row r="32">
          <cell r="D32" t="str">
            <v>M-05</v>
          </cell>
          <cell r="E32" t="str">
            <v>Sand</v>
          </cell>
          <cell r="F32" t="str">
            <v>cum</v>
          </cell>
          <cell r="H32">
            <v>583.42138104089224</v>
          </cell>
        </row>
        <row r="33">
          <cell r="D33" t="str">
            <v>M-06</v>
          </cell>
          <cell r="E33" t="str">
            <v>CRM (TypeA)</v>
          </cell>
          <cell r="F33" t="str">
            <v>cum</v>
          </cell>
          <cell r="H33">
            <v>863.28215693751827</v>
          </cell>
        </row>
        <row r="34">
          <cell r="D34" t="str">
            <v>M-07</v>
          </cell>
          <cell r="E34" t="str">
            <v>CRM (Type B)</v>
          </cell>
          <cell r="H34">
            <v>1118.0621569375182</v>
          </cell>
        </row>
        <row r="35">
          <cell r="D35" t="str">
            <v>M-08</v>
          </cell>
          <cell r="E35" t="str">
            <v>Stone including transportation</v>
          </cell>
          <cell r="F35" t="str">
            <v>cum</v>
          </cell>
          <cell r="H35">
            <v>631.14308244680853</v>
          </cell>
        </row>
        <row r="36">
          <cell r="D36" t="str">
            <v>M-09</v>
          </cell>
          <cell r="E36" t="str">
            <v>20mm Aggregate</v>
          </cell>
          <cell r="F36" t="str">
            <v>cum</v>
          </cell>
          <cell r="H36">
            <v>912.25887420042648</v>
          </cell>
        </row>
        <row r="37">
          <cell r="D37" t="str">
            <v>M-10</v>
          </cell>
          <cell r="E37" t="str">
            <v>40mm Aggregate</v>
          </cell>
          <cell r="F37" t="str">
            <v>cum</v>
          </cell>
          <cell r="H37">
            <v>718.40556929637535</v>
          </cell>
        </row>
        <row r="38">
          <cell r="D38" t="str">
            <v>M-11</v>
          </cell>
          <cell r="E38" t="str">
            <v xml:space="preserve">Gabion wire </v>
          </cell>
          <cell r="F38" t="str">
            <v>kg</v>
          </cell>
          <cell r="G38">
            <v>36.36</v>
          </cell>
          <cell r="H38">
            <v>37.489618165000003</v>
          </cell>
        </row>
        <row r="39">
          <cell r="D39" t="str">
            <v>M-12</v>
          </cell>
          <cell r="E39" t="str">
            <v>Stone for plum concrete</v>
          </cell>
          <cell r="F39" t="str">
            <v>cum</v>
          </cell>
          <cell r="H39">
            <v>389.97885428571425</v>
          </cell>
        </row>
        <row r="40">
          <cell r="D40" t="str">
            <v>M-13</v>
          </cell>
          <cell r="E40" t="str">
            <v>Pervious backfill material</v>
          </cell>
          <cell r="F40" t="str">
            <v>cum</v>
          </cell>
          <cell r="H40">
            <v>553.40556929637523</v>
          </cell>
        </row>
        <row r="41">
          <cell r="D41" t="str">
            <v>M-14</v>
          </cell>
          <cell r="E41" t="str">
            <v>Filter fill (20-70 mm)</v>
          </cell>
          <cell r="F41" t="str">
            <v>cum</v>
          </cell>
          <cell r="H41">
            <v>553.40556929637523</v>
          </cell>
        </row>
        <row r="42">
          <cell r="D42" t="str">
            <v>M-15</v>
          </cell>
          <cell r="E42" t="str">
            <v>Bitumin</v>
          </cell>
          <cell r="F42" t="str">
            <v>kg</v>
          </cell>
          <cell r="G42">
            <v>23.8</v>
          </cell>
          <cell r="H42">
            <v>24.627186498333334</v>
          </cell>
        </row>
        <row r="43">
          <cell r="D43" t="str">
            <v>M-16</v>
          </cell>
          <cell r="E43" t="str">
            <v>Diesel</v>
          </cell>
          <cell r="F43" t="str">
            <v>lt</v>
          </cell>
          <cell r="G43">
            <v>26</v>
          </cell>
          <cell r="H43">
            <v>26</v>
          </cell>
        </row>
        <row r="44">
          <cell r="D44" t="str">
            <v>M-17</v>
          </cell>
          <cell r="E44" t="str">
            <v>Petrol</v>
          </cell>
          <cell r="F44" t="str">
            <v>lt</v>
          </cell>
          <cell r="G44">
            <v>46</v>
          </cell>
          <cell r="H44">
            <v>46</v>
          </cell>
        </row>
        <row r="45">
          <cell r="D45" t="str">
            <v>M-18</v>
          </cell>
          <cell r="E45" t="str">
            <v>Kerosene</v>
          </cell>
          <cell r="F45" t="str">
            <v>lt</v>
          </cell>
          <cell r="G45">
            <v>16</v>
          </cell>
          <cell r="H45">
            <v>16</v>
          </cell>
        </row>
        <row r="46">
          <cell r="D46" t="str">
            <v>M-19</v>
          </cell>
          <cell r="E46" t="str">
            <v>Crushed 10 mm chips including transportation</v>
          </cell>
          <cell r="F46" t="str">
            <v>cum</v>
          </cell>
          <cell r="H46">
            <v>826.43763655030796</v>
          </cell>
        </row>
        <row r="47">
          <cell r="D47" t="str">
            <v>M-20</v>
          </cell>
          <cell r="E47" t="str">
            <v>Crushed 20 mm chips including transportation</v>
          </cell>
          <cell r="F47" t="str">
            <v>cum</v>
          </cell>
          <cell r="H47">
            <v>621.6639199178644</v>
          </cell>
        </row>
        <row r="48">
          <cell r="D48" t="str">
            <v>M-21</v>
          </cell>
          <cell r="E48" t="str">
            <v>20mm chips screeding including transportation</v>
          </cell>
          <cell r="F48" t="str">
            <v>cum</v>
          </cell>
          <cell r="H48">
            <v>1062.6597633262259</v>
          </cell>
        </row>
        <row r="51">
          <cell r="D51" t="str">
            <v>E-01</v>
          </cell>
          <cell r="E51" t="str">
            <v>Truck</v>
          </cell>
          <cell r="F51" t="str">
            <v>hr</v>
          </cell>
          <cell r="H51">
            <v>575.49</v>
          </cell>
        </row>
        <row r="52">
          <cell r="D52" t="str">
            <v>E-02</v>
          </cell>
          <cell r="E52" t="str">
            <v>Truck Idle</v>
          </cell>
          <cell r="F52" t="str">
            <v>hr</v>
          </cell>
          <cell r="H52">
            <v>165.51</v>
          </cell>
        </row>
        <row r="53">
          <cell r="D53" t="str">
            <v>E-03</v>
          </cell>
          <cell r="E53" t="str">
            <v>Air Compressor</v>
          </cell>
          <cell r="F53" t="str">
            <v>hr</v>
          </cell>
          <cell r="H53">
            <v>160</v>
          </cell>
        </row>
        <row r="54">
          <cell r="D54" t="str">
            <v>E-04</v>
          </cell>
          <cell r="E54" t="str">
            <v>Rock Driller</v>
          </cell>
          <cell r="F54" t="str">
            <v>hr</v>
          </cell>
          <cell r="H54">
            <v>50</v>
          </cell>
        </row>
        <row r="55">
          <cell r="D55" t="str">
            <v>E-05</v>
          </cell>
          <cell r="E55" t="str">
            <v>Concrete Mixer</v>
          </cell>
          <cell r="F55" t="str">
            <v>hr</v>
          </cell>
          <cell r="H55">
            <v>310</v>
          </cell>
        </row>
        <row r="56">
          <cell r="D56" t="str">
            <v>E-06</v>
          </cell>
          <cell r="E56" t="str">
            <v>Concrete Vibrator</v>
          </cell>
          <cell r="F56" t="str">
            <v>hr</v>
          </cell>
          <cell r="H56">
            <v>30</v>
          </cell>
        </row>
        <row r="57">
          <cell r="D57" t="str">
            <v>E-07</v>
          </cell>
          <cell r="E57" t="str">
            <v>Rammer</v>
          </cell>
          <cell r="F57" t="str">
            <v>hr</v>
          </cell>
          <cell r="H57">
            <v>331</v>
          </cell>
        </row>
        <row r="58">
          <cell r="D58" t="str">
            <v>E-08</v>
          </cell>
          <cell r="E58" t="str">
            <v>Stone Crusher</v>
          </cell>
          <cell r="F58" t="str">
            <v>hr</v>
          </cell>
          <cell r="H58">
            <v>8904</v>
          </cell>
        </row>
        <row r="59">
          <cell r="D59" t="str">
            <v>E-09</v>
          </cell>
          <cell r="E59" t="str">
            <v>Water Bouser</v>
          </cell>
          <cell r="F59" t="str">
            <v>hr</v>
          </cell>
          <cell r="H59">
            <v>550</v>
          </cell>
        </row>
        <row r="60">
          <cell r="D60" t="str">
            <v>E-10</v>
          </cell>
          <cell r="E60" t="str">
            <v>Bitumen Distributor</v>
          </cell>
          <cell r="F60" t="str">
            <v>hr</v>
          </cell>
          <cell r="H60">
            <v>850</v>
          </cell>
        </row>
        <row r="61">
          <cell r="D61" t="str">
            <v>E-11</v>
          </cell>
          <cell r="E61" t="str">
            <v>Butumen Boiler</v>
          </cell>
          <cell r="F61" t="str">
            <v>hr</v>
          </cell>
          <cell r="H61">
            <v>90</v>
          </cell>
        </row>
        <row r="62">
          <cell r="D62" t="str">
            <v>E-12</v>
          </cell>
          <cell r="E62" t="str">
            <v>Chip spreader</v>
          </cell>
          <cell r="F62" t="str">
            <v>hr</v>
          </cell>
          <cell r="H62">
            <v>740</v>
          </cell>
        </row>
        <row r="63">
          <cell r="D63" t="str">
            <v>E-13</v>
          </cell>
          <cell r="E63" t="str">
            <v>Roller</v>
          </cell>
          <cell r="F63" t="str">
            <v>hr</v>
          </cell>
          <cell r="H63">
            <v>1050</v>
          </cell>
        </row>
        <row r="64">
          <cell r="D64" t="str">
            <v>E-14</v>
          </cell>
          <cell r="E64" t="str">
            <v>Pneumatic Roller</v>
          </cell>
          <cell r="F64" t="str">
            <v>hr</v>
          </cell>
          <cell r="H64">
            <v>800</v>
          </cell>
        </row>
        <row r="65">
          <cell r="D65" t="str">
            <v>E-15</v>
          </cell>
          <cell r="E65" t="str">
            <v>Roller Steel tyred</v>
          </cell>
          <cell r="F65" t="str">
            <v>hr</v>
          </cell>
          <cell r="H65">
            <v>290</v>
          </cell>
        </row>
        <row r="66">
          <cell r="D66" t="str">
            <v>E-16</v>
          </cell>
          <cell r="E66" t="str">
            <v>Viberating Roller</v>
          </cell>
          <cell r="F66" t="str">
            <v>hr</v>
          </cell>
          <cell r="H66">
            <v>430</v>
          </cell>
        </row>
        <row r="67">
          <cell r="D67" t="str">
            <v>E-17</v>
          </cell>
          <cell r="E67" t="str">
            <v>Vib Tandon Roller</v>
          </cell>
          <cell r="F67" t="str">
            <v>hr</v>
          </cell>
          <cell r="H67">
            <v>1050</v>
          </cell>
        </row>
        <row r="68">
          <cell r="D68" t="str">
            <v>E-18</v>
          </cell>
          <cell r="E68" t="str">
            <v>Wheel Loader</v>
          </cell>
          <cell r="F68" t="str">
            <v>hr</v>
          </cell>
          <cell r="H68">
            <v>920</v>
          </cell>
        </row>
        <row r="69">
          <cell r="D69" t="str">
            <v>E-19</v>
          </cell>
          <cell r="E69" t="str">
            <v>Grader</v>
          </cell>
          <cell r="F69" t="str">
            <v>hr</v>
          </cell>
          <cell r="H69">
            <v>1000</v>
          </cell>
        </row>
        <row r="70">
          <cell r="D70" t="str">
            <v>E-20</v>
          </cell>
          <cell r="E70" t="str">
            <v>Generator</v>
          </cell>
          <cell r="F70" t="str">
            <v>hr</v>
          </cell>
          <cell r="H70">
            <v>50</v>
          </cell>
        </row>
        <row r="71">
          <cell r="D71" t="str">
            <v>E-21</v>
          </cell>
          <cell r="E71" t="str">
            <v>Screw Jack</v>
          </cell>
          <cell r="F71" t="str">
            <v>hr</v>
          </cell>
          <cell r="H71">
            <v>25</v>
          </cell>
        </row>
        <row r="72">
          <cell r="D72" t="str">
            <v>E-22</v>
          </cell>
          <cell r="E72" t="str">
            <v>Heating Plate</v>
          </cell>
          <cell r="F72" t="str">
            <v>hr</v>
          </cell>
          <cell r="H72">
            <v>50</v>
          </cell>
        </row>
        <row r="73">
          <cell r="D73" t="str">
            <v>E-23</v>
          </cell>
          <cell r="E73" t="str">
            <v>Hand Drill</v>
          </cell>
          <cell r="F73" t="str">
            <v>hr</v>
          </cell>
          <cell r="H73">
            <v>50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Summary"/>
      <sheetName val="Trainings"/>
      <sheetName val="SLTS Budget Summary"/>
      <sheetName val="Intake Repairs"/>
      <sheetName val="Panera"/>
      <sheetName val="repairs of structures"/>
      <sheetName val="RT Repair"/>
      <sheetName val="SprInt1"/>
      <sheetName val="SprInt2"/>
      <sheetName val="Compound"/>
      <sheetName val="Pump House"/>
      <sheetName val="Sumpwell"/>
      <sheetName val="ElectroMech"/>
      <sheetName val="StrInt1"/>
      <sheetName val="StrInt2"/>
      <sheetName val="StrInt3"/>
      <sheetName val="Masonry CC,DC,IC,BPT"/>
      <sheetName val="SedTank"/>
      <sheetName val="ConCh"/>
      <sheetName val="FER-SED"/>
      <sheetName val="MRT"/>
      <sheetName val="FRT"/>
      <sheetName val="RCT"/>
      <sheetName val="BarSchedule"/>
      <sheetName val="Sheets"/>
      <sheetName val="Fence"/>
      <sheetName val="RCC VC"/>
      <sheetName val="Rcc CC,DC,IC,BPC"/>
      <sheetName val="PBPC"/>
      <sheetName val="VCs"/>
      <sheetName val="Cabl-Cross"/>
      <sheetName val="UnderCros"/>
      <sheetName val="Piprot"/>
      <sheetName val="Miscel"/>
      <sheetName val="HouseConection"/>
      <sheetName val="PSP1"/>
      <sheetName val="Operator House"/>
      <sheetName val="PSP2"/>
      <sheetName val="MRT-1"/>
      <sheetName val="PSP V"/>
      <sheetName val="VIP1"/>
      <sheetName val="VIP2"/>
      <sheetName val="VIP3"/>
      <sheetName val="DP Lat"/>
      <sheetName val="RtAn"/>
      <sheetName val="MatC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row r="9">
          <cell r="J9">
            <v>10</v>
          </cell>
          <cell r="K9">
            <v>3</v>
          </cell>
          <cell r="L9">
            <v>1.65</v>
          </cell>
          <cell r="M9">
            <v>0.7</v>
          </cell>
          <cell r="N9">
            <v>11.663162726452107</v>
          </cell>
          <cell r="O9">
            <v>0.1</v>
          </cell>
        </row>
        <row r="10">
          <cell r="J10">
            <v>15</v>
          </cell>
          <cell r="K10">
            <v>3.5</v>
          </cell>
          <cell r="L10">
            <v>1.75</v>
          </cell>
          <cell r="M10">
            <v>0.75</v>
          </cell>
          <cell r="N10">
            <v>16.836973127832795</v>
          </cell>
          <cell r="O10">
            <v>0.1</v>
          </cell>
        </row>
        <row r="11">
          <cell r="J11">
            <v>25</v>
          </cell>
          <cell r="K11">
            <v>3.3</v>
          </cell>
          <cell r="L11">
            <v>3</v>
          </cell>
          <cell r="M11">
            <v>0.75</v>
          </cell>
          <cell r="N11">
            <v>25.65895799819463</v>
          </cell>
          <cell r="O11">
            <v>0.11</v>
          </cell>
        </row>
        <row r="12">
          <cell r="J12">
            <v>35</v>
          </cell>
          <cell r="K12">
            <v>4</v>
          </cell>
          <cell r="L12">
            <v>3</v>
          </cell>
          <cell r="M12">
            <v>0.75</v>
          </cell>
          <cell r="N12">
            <v>37.699111843077517</v>
          </cell>
          <cell r="O12">
            <v>0.12</v>
          </cell>
        </row>
        <row r="13">
          <cell r="J13">
            <v>50</v>
          </cell>
          <cell r="K13">
            <v>5</v>
          </cell>
          <cell r="L13">
            <v>3</v>
          </cell>
          <cell r="M13">
            <v>0.96</v>
          </cell>
          <cell r="N13">
            <v>58.90486225480862</v>
          </cell>
          <cell r="O13">
            <v>0.13</v>
          </cell>
        </row>
        <row r="14">
          <cell r="J14">
            <v>75</v>
          </cell>
          <cell r="K14">
            <v>6.1</v>
          </cell>
          <cell r="L14">
            <v>3</v>
          </cell>
          <cell r="M14">
            <v>1.1299999999999999</v>
          </cell>
          <cell r="N14">
            <v>87.67399698005714</v>
          </cell>
          <cell r="O14">
            <v>0.15</v>
          </cell>
        </row>
        <row r="15">
          <cell r="J15">
            <v>100</v>
          </cell>
          <cell r="K15">
            <v>7</v>
          </cell>
          <cell r="L15">
            <v>3</v>
          </cell>
          <cell r="M15">
            <v>1.3</v>
          </cell>
          <cell r="N15">
            <v>115.45353001942489</v>
          </cell>
          <cell r="O15">
            <v>0.15</v>
          </cell>
        </row>
        <row r="16">
          <cell r="J16">
            <v>150</v>
          </cell>
          <cell r="K16">
            <v>8.6</v>
          </cell>
          <cell r="L16">
            <v>3</v>
          </cell>
          <cell r="M16">
            <v>1.48</v>
          </cell>
          <cell r="N16">
            <v>174.26414449462581</v>
          </cell>
          <cell r="O16">
            <v>0.16</v>
          </cell>
        </row>
        <row r="17">
          <cell r="J17">
            <v>200</v>
          </cell>
          <cell r="K17">
            <v>9.9</v>
          </cell>
          <cell r="L17">
            <v>3</v>
          </cell>
          <cell r="M17">
            <v>1.71</v>
          </cell>
          <cell r="N17">
            <v>230.93062198375173</v>
          </cell>
          <cell r="O17">
            <v>0.16</v>
          </cell>
        </row>
      </sheetData>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ev ADP Summary"/>
      <sheetName val="ADP Summary"/>
      <sheetName val="PPR Summary"/>
      <sheetName val="OUTPUT"/>
      <sheetName val="Spcl Monitored"/>
      <sheetName val="Bhagu"/>
      <sheetName val="Survey"/>
      <sheetName val="Maintenance"/>
      <sheetName val="Chandre"/>
      <sheetName val="Besishahar"/>
      <sheetName val="Tarku"/>
      <sheetName val="Bhalayakarka"/>
      <sheetName val="Maghi"/>
      <sheetName val="Gauda"/>
      <sheetName val="Parewa"/>
      <sheetName val="Rainas"/>
      <sheetName val="Chiti"/>
      <sheetName val="Purankot"/>
      <sheetName val="Raniban"/>
      <sheetName val="Ishane"/>
      <sheetName val="Jalpa"/>
      <sheetName val="Ramgha"/>
      <sheetName val="Karapu"/>
      <sheetName val="Data"/>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vices &amp; facilities"/>
      <sheetName val="site installation"/>
      <sheetName val="temp facility"/>
      <sheetName val="laboratory test"/>
      <sheetName val="submis contractor"/>
      <sheetName val="staff training"/>
      <sheetName val="Sheet1"/>
      <sheetName val="Repair &amp; maintenance"/>
      <sheetName val="Summary of BOQ"/>
      <sheetName val="BOQ Electrical"/>
      <sheetName val="Bill of Qty."/>
      <sheetName val="New Grand Summary"/>
      <sheetName val="Grand summary"/>
      <sheetName val="OFF BULDG"/>
      <sheetName val="SUMMARY"/>
      <sheetName val="BOQ General Item"/>
      <sheetName val="DAY WORKS"/>
      <sheetName val="Intake &amp; Trans Improvement Cost"/>
      <sheetName val="Tubewell Cost"/>
      <sheetName val="Cost B.Hole platform"/>
      <sheetName val="Cost NWSC RVT 600m3"/>
      <sheetName val="NWSC Reservoir 600m3   "/>
      <sheetName val="Cost 450 cum OHT"/>
      <sheetName val="COST PIPE (Trans)"/>
      <sheetName val="COST PIPE LAYNG &amp; JOINING(Trans"/>
      <sheetName val="COST PIPE LINE TRENCH (Trans)"/>
      <sheetName val="Pipe Trans Pumping cost"/>
      <sheetName val="Pipe Trans Pumping laying cost"/>
      <sheetName val="Pipe Trans Pumping Trench Cost"/>
      <sheetName val="COST PIPE"/>
      <sheetName val="COST PIPE LAYNG &amp; JOINING"/>
      <sheetName val="COST PIPE LINE TRENCH"/>
      <sheetName val="Cost Flocculator Sardu"/>
      <sheetName val="Cost Sedimentation"/>
      <sheetName val="Cost RSF"/>
      <sheetName val="Cost Site Development"/>
      <sheetName val="Cost Phusre RVT 500m3"/>
      <sheetName val="Cost Bijayapu RVT 600m3"/>
      <sheetName val="Cost Pindeswor RVT 900m3"/>
      <sheetName val="Cost Railway RVT 500m3"/>
      <sheetName val="cost Backwash oht200m3"/>
      <sheetName val="Cost Gr 200 Central Pump Stn"/>
      <sheetName val="Cost GR 50m3 Railway Pump Stn"/>
      <sheetName val="summary of costs"/>
      <sheetName val="tentative cost estimate 1 &amp; 2"/>
      <sheetName val="Cost Estimate 3"/>
      <sheetName val="cost estimate 4"/>
      <sheetName val="Dismental &amp; Reistatement cost"/>
      <sheetName val="COST Road &amp; River Crossing"/>
      <sheetName val="COST GENERATOR OPERATOR"/>
      <sheetName val="GEN OPERATOR ROOM Electrical"/>
      <sheetName val="Generator shed cost"/>
      <sheetName val="COST GAURD H"/>
      <sheetName val="Guard room Electrical"/>
      <sheetName val="COST HOUSE CONNECTION"/>
      <sheetName val="cost hole change"/>
      <sheetName val="COST FIRE HYDRANT"/>
      <sheetName val="COST OFF BULDG"/>
      <sheetName val="BPT cost"/>
      <sheetName val="Cost Fitting"/>
      <sheetName val="COST VALVE CHAMBER"/>
      <sheetName val="Cost Thrust Block"/>
      <sheetName val="Office Building"/>
      <sheetName val="P A Block Cost"/>
      <sheetName val="Pressure test of pipe"/>
      <sheetName val="Cost Flocculator Khardu"/>
      <sheetName val="COST TOOLS &amp; PLANT"/>
      <sheetName val="DOR equip List"/>
      <sheetName val="Sheet6"/>
      <sheetName val="HDPE"/>
      <sheetName val="Manual Haul Rate"/>
      <sheetName val="BPT Quantity"/>
      <sheetName val="CostRes.Fitin"/>
      <sheetName val="Res.Fitin"/>
      <sheetName val="AV cost"/>
      <sheetName val="AV"/>
      <sheetName val="WO cost"/>
      <sheetName val="WO"/>
      <sheetName val="BPT Fit cost"/>
      <sheetName val="BPT Fit"/>
      <sheetName val="Material density"/>
      <sheetName val="side drain"/>
      <sheetName val="cover"/>
      <sheetName val="Electro Mechanical Summary"/>
      <sheetName val="cost m450"/>
      <sheetName val="cost m600"/>
      <sheetName val="cost septic Tank 15"/>
      <sheetName val="cost soak15"/>
      <sheetName val="cost apron"/>
      <sheetName val="Enviromental mitigation"/>
      <sheetName val="Intake &amp;Trans Improvement"/>
      <sheetName val="Tube well"/>
      <sheetName val="Bore Hole Platform"/>
      <sheetName val="450 cum OHT"/>
      <sheetName val="PIPE (Trans)"/>
      <sheetName val="PIPE LAYING &amp; JOINING (Trans)"/>
      <sheetName val="PIPE TRENCH (Trans)"/>
      <sheetName val="Pipe Trans pumping "/>
      <sheetName val="Pipe Trans Pumping laying"/>
      <sheetName val="Pipe Trans Pumping Trench"/>
      <sheetName val="PIPE"/>
      <sheetName val="PIPE LAYING &amp; JOINING"/>
      <sheetName val="PIPE TRENCH"/>
      <sheetName val="Flocculator Sardu"/>
      <sheetName val="Sedimentation Tank"/>
      <sheetName val="RSF"/>
      <sheetName val="site development"/>
      <sheetName val="Phusre RVT 500m3"/>
      <sheetName val="Bijayapur RVT 600m3 "/>
      <sheetName val="Pindeshwor RVT 900m3  "/>
      <sheetName val="Railway 500m3 "/>
      <sheetName val="OHT200m3"/>
      <sheetName val="GR200m3 RAILWAY PUMPING STN"/>
      <sheetName val="GR 50m3 Khardu pumping stn"/>
      <sheetName val="Dismental &amp; Reistatement"/>
      <sheetName val="Road &amp; River Crossing"/>
      <sheetName val="GENERATOR OPERATOR"/>
      <sheetName val="Generator shed"/>
      <sheetName val="GAURD HC"/>
      <sheetName val="HOUSE CONNECTION"/>
      <sheetName val="hole Change"/>
      <sheetName val="FIRE HYDRANT"/>
      <sheetName val="BPT"/>
      <sheetName val="Valve Chamber"/>
      <sheetName val="Thrust Block"/>
      <sheetName val="P A Block"/>
      <sheetName val="Flocculator Khardu"/>
      <sheetName val="manhole 450 qntty"/>
      <sheetName val="manhole 600 qntty"/>
      <sheetName val="septic tank for 15 users"/>
      <sheetName val="Soakpit 15"/>
      <sheetName val="appron qntty"/>
      <sheetName val="Generator shed Data"/>
      <sheetName val="Summary Rate"/>
      <sheetName val="Civi Rate Analysis"/>
      <sheetName val="Pipe Rate Analysis"/>
      <sheetName val="Fitting Analysis"/>
      <sheetName val="H test &amp; S test"/>
      <sheetName val="sanatary analysis"/>
      <sheetName val="Rate Analysis Electrical"/>
      <sheetName val="Summary Rate (Trans)"/>
      <sheetName val="Civi Rate Analysis (Trans)"/>
      <sheetName val="Pipe Rate Analysis (Trans)"/>
      <sheetName val="Labour Rate"/>
      <sheetName val="Materials Rate"/>
      <sheetName val="DI"/>
      <sheetName val="GI fittings"/>
      <sheetName val="GI"/>
      <sheetName val="DI fittings"/>
      <sheetName val="sanatary analysis (Trans)"/>
      <sheetName val="cost side drain"/>
      <sheetName val="Separator"/>
      <sheetName val="TOC"/>
      <sheetName val="Dayworks"/>
      <sheetName val="Haulage dist"/>
      <sheetName val="Transport_Cost_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14">
          <cell r="D14">
            <v>101.935</v>
          </cell>
        </row>
      </sheetData>
      <sheetData sheetId="33">
        <row r="14">
          <cell r="D14">
            <v>241.57499999999999</v>
          </cell>
        </row>
      </sheetData>
      <sheetData sheetId="34">
        <row r="14">
          <cell r="D14">
            <v>295.8</v>
          </cell>
        </row>
      </sheetData>
      <sheetData sheetId="35"/>
      <sheetData sheetId="36"/>
      <sheetData sheetId="37">
        <row r="7">
          <cell r="F7">
            <v>29185.82</v>
          </cell>
        </row>
      </sheetData>
      <sheetData sheetId="38">
        <row r="7">
          <cell r="F7">
            <v>35502.97</v>
          </cell>
        </row>
      </sheetData>
      <sheetData sheetId="39">
        <row r="7">
          <cell r="F7">
            <v>25266.63</v>
          </cell>
        </row>
      </sheetData>
      <sheetData sheetId="40">
        <row r="6">
          <cell r="F6">
            <v>9318.9195489065278</v>
          </cell>
        </row>
      </sheetData>
      <sheetData sheetId="41">
        <row r="8">
          <cell r="F8">
            <v>15340.47</v>
          </cell>
        </row>
      </sheetData>
      <sheetData sheetId="42">
        <row r="7">
          <cell r="F7">
            <v>2075.0835229120689</v>
          </cell>
        </row>
      </sheetData>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ow r="16">
          <cell r="Q16">
            <v>3.76</v>
          </cell>
        </row>
        <row r="17">
          <cell r="Q17">
            <v>4.01</v>
          </cell>
        </row>
        <row r="19">
          <cell r="Q19">
            <v>4.05</v>
          </cell>
        </row>
        <row r="20">
          <cell r="Q20">
            <v>4.43</v>
          </cell>
        </row>
        <row r="24">
          <cell r="Q24">
            <v>44.88</v>
          </cell>
        </row>
        <row r="25">
          <cell r="Q25">
            <v>45.67</v>
          </cell>
        </row>
        <row r="29">
          <cell r="Q29">
            <v>45.52</v>
          </cell>
        </row>
        <row r="30">
          <cell r="Q30">
            <v>46.64</v>
          </cell>
        </row>
        <row r="34">
          <cell r="Q34">
            <v>46.52</v>
          </cell>
        </row>
        <row r="35">
          <cell r="Q35">
            <v>69.39</v>
          </cell>
        </row>
        <row r="39">
          <cell r="Q39">
            <v>70.91</v>
          </cell>
        </row>
        <row r="40">
          <cell r="Q40">
            <v>73.790000000000006</v>
          </cell>
        </row>
        <row r="44">
          <cell r="Q44">
            <v>72.63</v>
          </cell>
        </row>
        <row r="45">
          <cell r="Q45">
            <v>76.430000000000007</v>
          </cell>
        </row>
        <row r="49">
          <cell r="Q49">
            <v>97.16</v>
          </cell>
        </row>
        <row r="50">
          <cell r="Q50">
            <v>101.85</v>
          </cell>
        </row>
        <row r="54">
          <cell r="Q54">
            <v>99.91</v>
          </cell>
        </row>
        <row r="55">
          <cell r="Q55">
            <v>106.13</v>
          </cell>
        </row>
        <row r="59">
          <cell r="Q59">
            <v>105.91</v>
          </cell>
        </row>
        <row r="60">
          <cell r="Q60">
            <v>115.17</v>
          </cell>
        </row>
        <row r="64">
          <cell r="Q64">
            <v>153.31</v>
          </cell>
        </row>
        <row r="65">
          <cell r="Q65">
            <v>164.64</v>
          </cell>
        </row>
        <row r="69">
          <cell r="Q69">
            <v>159.09</v>
          </cell>
        </row>
        <row r="70">
          <cell r="Q70">
            <v>173.74</v>
          </cell>
        </row>
      </sheetData>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ow r="8">
          <cell r="G8">
            <v>237.78714795021139</v>
          </cell>
        </row>
      </sheetData>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ow r="6">
          <cell r="D6">
            <v>75.260000000000005</v>
          </cell>
        </row>
      </sheetData>
      <sheetData sheetId="134"/>
      <sheetData sheetId="135"/>
      <sheetData sheetId="136"/>
      <sheetData sheetId="137"/>
      <sheetData sheetId="138"/>
      <sheetData sheetId="139"/>
      <sheetData sheetId="140"/>
      <sheetData sheetId="141"/>
      <sheetData sheetId="142"/>
      <sheetData sheetId="143"/>
      <sheetData sheetId="144">
        <row r="2503">
          <cell r="G2503">
            <v>450</v>
          </cell>
        </row>
      </sheetData>
      <sheetData sheetId="145"/>
      <sheetData sheetId="146">
        <row r="12">
          <cell r="M12">
            <v>22.380000000000003</v>
          </cell>
        </row>
      </sheetData>
      <sheetData sheetId="147"/>
      <sheetData sheetId="148">
        <row r="17">
          <cell r="N17">
            <v>5918.6399999999994</v>
          </cell>
        </row>
      </sheetData>
      <sheetData sheetId="149"/>
      <sheetData sheetId="150"/>
      <sheetData sheetId="151"/>
      <sheetData sheetId="152"/>
      <sheetData sheetId="153" refreshError="1"/>
      <sheetData sheetId="154" refreshError="1"/>
      <sheetData sheetId="15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BOQ"/>
      <sheetName val="Part No. A General Item"/>
      <sheetName val="Part No. B1 Boring"/>
      <sheetName val="Part No.B2 EW"/>
      <sheetName val="Part No.B3 Stone Brick"/>
      <sheetName val="Part No.B4 ConcreteRebar"/>
      <sheetName val="Part No.B5 CementPlaster"/>
      <sheetName val="Part No.B6 Wood Work"/>
      <sheetName val="Part No.B7 SurfaceFinish"/>
      <sheetName val="Part No. C1 PipeSupply"/>
      <sheetName val="Part No. C2 PipeSupLay"/>
      <sheetName val="Part No. C3 Fittings"/>
      <sheetName val="Part No. D1 HT Transformer"/>
      <sheetName val="Part No. D2 Elect Building"/>
      <sheetName val="Part No. D3 Sub Pump"/>
      <sheetName val="Part No. D4 Metal Works"/>
      <sheetName val="Part No. D5 Treatment"/>
      <sheetName val="Part No. E Tool Equipment"/>
      <sheetName val="Part No. F Misc"/>
      <sheetName val="Part G Environ"/>
      <sheetName val="Part H Dayswork"/>
      <sheetName val="Part I WUSC"/>
      <sheetName val="All BOQ donot print Sunwal"/>
      <sheetName val="C (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10">
          <cell r="B10" t="str">
            <v>A_1</v>
          </cell>
          <cell r="C10" t="str">
            <v>1.1.a</v>
          </cell>
          <cell r="D10">
            <v>1</v>
          </cell>
          <cell r="E10" t="str">
            <v>Provide and maintain cube testing facilities including moulds for the duration of the contract and preparation and testing of cubes, marking, curing, storing, and transport, to lab for tests and maintain full records (Equipment and moulds to remain in the</v>
          </cell>
          <cell r="F10" t="str">
            <v>Provide and maintain cube testing facilities including moulds for the duration of the contract and preparation and testing of cubes, marking, curing, storing, and transport, to lab for tests and maintain full records (Equipment and moulds to remain in the</v>
          </cell>
          <cell r="G10">
            <v>250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250</v>
          </cell>
          <cell r="Y10" t="str">
            <v>Nos</v>
          </cell>
          <cell r="Z10">
            <v>250</v>
          </cell>
          <cell r="AB10">
            <v>62500</v>
          </cell>
        </row>
        <row r="11">
          <cell r="B11" t="str">
            <v>A_2</v>
          </cell>
          <cell r="C11" t="str">
            <v>1.1.b</v>
          </cell>
          <cell r="D11">
            <v>2</v>
          </cell>
          <cell r="E11" t="str">
            <v>Provide photographs (color prints, sized 5x7, 24 numbers, each month) for inclusion in periodic progress reports (if digital photo provide photo in digital format as well) to the satisfaction of the engineer</v>
          </cell>
          <cell r="F11" t="str">
            <v>Provide photographs (color prints, sized 5x7, 24 numbers, each month) for inclusion in periodic progress reports (if digital photo provide photo in digital format as well) to the satisfaction of the engineer (Specification Clause 1.7)</v>
          </cell>
          <cell r="G11">
            <v>1</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1</v>
          </cell>
          <cell r="Y11" t="str">
            <v>job</v>
          </cell>
          <cell r="Z11">
            <v>5000</v>
          </cell>
          <cell r="AB11">
            <v>5000</v>
          </cell>
        </row>
        <row r="12">
          <cell r="B12" t="str">
            <v>A_3</v>
          </cell>
          <cell r="C12" t="str">
            <v>1.1.c</v>
          </cell>
          <cell r="D12">
            <v>3</v>
          </cell>
          <cell r="E12" t="str">
            <v>Insurance for the loss of damage to works, plant, material, equipment, property and personal injury or death and as stipulated in contract</v>
          </cell>
          <cell r="F12" t="str">
            <v>Insurance for the loss of damage to works, plant, material, equipment, property and personal injury or death and as stipulated in contract (Specification Clause 1.10)</v>
          </cell>
          <cell r="G12">
            <v>1</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1</v>
          </cell>
          <cell r="Y12" t="str">
            <v>job</v>
          </cell>
          <cell r="Z12">
            <v>500000</v>
          </cell>
          <cell r="AB12">
            <v>500000</v>
          </cell>
        </row>
        <row r="13">
          <cell r="B13" t="str">
            <v>A_4</v>
          </cell>
          <cell r="C13" t="str">
            <v>1.1.d</v>
          </cell>
          <cell r="D13">
            <v>4</v>
          </cell>
          <cell r="E13" t="str">
            <v>Provide for payment for easement for the payment works and for crop compensation in the area of the payment works</v>
          </cell>
          <cell r="F13" t="str">
            <v>Provide for payment for easement like temporary way leaves, across cost and for for crop compensation in the area of the works (Specification Clause 1.5)</v>
          </cell>
          <cell r="G13" t="str">
            <v>PS</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t="str">
            <v>PS</v>
          </cell>
          <cell r="Y13" t="str">
            <v>job</v>
          </cell>
          <cell r="Z13">
            <v>10000</v>
          </cell>
          <cell r="AB13">
            <v>10000</v>
          </cell>
        </row>
        <row r="14">
          <cell r="B14" t="str">
            <v>A_5</v>
          </cell>
          <cell r="C14" t="str">
            <v>1.4</v>
          </cell>
          <cell r="D14">
            <v>5</v>
          </cell>
          <cell r="E14" t="str">
            <v>Provide for all necessary cost of protection from damage to existing structure adjacent to the work including all necessary propping, shorting, under pinning and any compensation or costs of marking good any damages occurred during construct</v>
          </cell>
          <cell r="F14" t="str">
            <v>Provide for all necessary cost of protection from damage to existing structure adjacent to the work including all necessary propping, shorting, under pinning and any compensation or costs of marking good any damages occurred during construction (Specifica</v>
          </cell>
          <cell r="G14" t="str">
            <v>PS</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t="str">
            <v>PS</v>
          </cell>
          <cell r="Y14" t="str">
            <v>job</v>
          </cell>
          <cell r="Z14">
            <v>5000</v>
          </cell>
          <cell r="AB14">
            <v>5000</v>
          </cell>
        </row>
        <row r="15">
          <cell r="B15" t="str">
            <v>A_6</v>
          </cell>
          <cell r="D15">
            <v>6</v>
          </cell>
          <cell r="E15" t="str">
            <v>Provide payment to other statutory undertaken for diverting electricity, telecommunication, water supply, traffic control and vehicular access, and other service</v>
          </cell>
          <cell r="F15" t="str">
            <v>Provide payment to other statutory undertaken for diverting electricity, telecommunication, water supply, traffic control and vehicular access, and other services (Specification Clause 1.5)</v>
          </cell>
          <cell r="G15" t="str">
            <v>PS</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t="str">
            <v>PS</v>
          </cell>
          <cell r="Y15" t="str">
            <v>job</v>
          </cell>
          <cell r="Z15">
            <v>150000</v>
          </cell>
          <cell r="AB15">
            <v>150000</v>
          </cell>
        </row>
        <row r="16">
          <cell r="B16" t="str">
            <v>A_7</v>
          </cell>
          <cell r="D16">
            <v>7</v>
          </cell>
          <cell r="E16" t="str">
            <v>Compliance with the contract, not covered by BOQ</v>
          </cell>
          <cell r="F16" t="str">
            <v>Compliance with the contract, not covered by BOQ (As per COC)</v>
          </cell>
          <cell r="G16" t="str">
            <v>PS</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t="str">
            <v>PS</v>
          </cell>
          <cell r="Y16" t="str">
            <v>job</v>
          </cell>
          <cell r="Z16">
            <v>150000</v>
          </cell>
          <cell r="AB16">
            <v>150000</v>
          </cell>
        </row>
        <row r="17">
          <cell r="B17" t="str">
            <v>A_8</v>
          </cell>
          <cell r="D17">
            <v>8</v>
          </cell>
          <cell r="E17" t="str">
            <v>Testing and commissioning of the whole water supply system and facilities as per condition of contract</v>
          </cell>
          <cell r="F17" t="str">
            <v>Testing and commissioning of the whole water supply system and facilities as per condition of contract  (As per COC)</v>
          </cell>
          <cell r="G17">
            <v>1</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1</v>
          </cell>
          <cell r="Y17" t="str">
            <v>job</v>
          </cell>
          <cell r="Z17">
            <v>100000</v>
          </cell>
          <cell r="AB17">
            <v>100000</v>
          </cell>
        </row>
        <row r="18">
          <cell r="D18" t="str">
            <v>B. Civil Work</v>
          </cell>
        </row>
        <row r="19">
          <cell r="C19">
            <v>2.12</v>
          </cell>
          <cell r="D19" t="str">
            <v>B1. Deep Tubewell Construction Work</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row>
        <row r="20">
          <cell r="B20" t="str">
            <v>B1_1</v>
          </cell>
          <cell r="C20">
            <v>2.14</v>
          </cell>
          <cell r="D20">
            <v>1</v>
          </cell>
          <cell r="E20" t="str">
            <v>Mobilization and Demobilization</v>
          </cell>
          <cell r="F20" t="str">
            <v xml:space="preserve">Mobilization of drilling machine, equipment, accessories and crew including the hire charge of truck and crane for lifting heavy loads and demobilizaion on completion of works (Specification Clause 6) </v>
          </cell>
          <cell r="H20">
            <v>2</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1</v>
          </cell>
          <cell r="Y20" t="str">
            <v>job</v>
          </cell>
          <cell r="Z20">
            <v>100000</v>
          </cell>
          <cell r="AB20">
            <v>200000</v>
          </cell>
        </row>
        <row r="21">
          <cell r="B21" t="str">
            <v>B1_2</v>
          </cell>
          <cell r="C21" t="str">
            <v>2.39.a</v>
          </cell>
          <cell r="D21">
            <v>2</v>
          </cell>
          <cell r="E21" t="str">
            <v>Camp and Rig Setting and Preparation of site for work</v>
          </cell>
          <cell r="F21" t="str">
            <v xml:space="preserve">Camp setting and rig setting up and preparation of mud pit work supply of all labour, materials, equipment, spareparts and other necessary for complete execution of the work with total transportation, including site clearance (Specification Clause 6) </v>
          </cell>
          <cell r="H21">
            <v>2</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1</v>
          </cell>
          <cell r="Y21" t="str">
            <v>job</v>
          </cell>
          <cell r="Z21">
            <v>10000</v>
          </cell>
          <cell r="AB21">
            <v>20000</v>
          </cell>
        </row>
        <row r="22">
          <cell r="B22" t="str">
            <v>B1_3</v>
          </cell>
          <cell r="D22">
            <v>3</v>
          </cell>
          <cell r="E22" t="str">
            <v>Vertical Electrical Sounding work</v>
          </cell>
          <cell r="F22" t="str">
            <v xml:space="preserve">Vertical electrical sounding works including supply of labour, materials, equipment and other encessary spare parts for complete execution of the works (Specification Clause 6) </v>
          </cell>
          <cell r="H22">
            <v>2</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1</v>
          </cell>
          <cell r="Y22" t="str">
            <v>job</v>
          </cell>
          <cell r="Z22">
            <v>35000</v>
          </cell>
          <cell r="AB22">
            <v>70000</v>
          </cell>
        </row>
        <row r="23">
          <cell r="B23" t="str">
            <v>B1_4</v>
          </cell>
          <cell r="C23" t="str">
            <v>2.39.f</v>
          </cell>
          <cell r="D23">
            <v>4</v>
          </cell>
          <cell r="E23" t="str">
            <v>Guide Pipe Works (550mm dia)</v>
          </cell>
          <cell r="F23" t="str">
            <v>Assembling centralizing and sinking of guide pipe work (pipe size 550mm/22 inch dia) to the depth of 10m including supply of labour, materials, equipment and all other necessary spare parts for the complete execution of the works  (Specification Clause 6)</v>
          </cell>
          <cell r="H23">
            <v>20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10</v>
          </cell>
          <cell r="Y23" t="str">
            <v>m</v>
          </cell>
          <cell r="Z23">
            <v>3824.8429999999998</v>
          </cell>
          <cell r="AB23">
            <v>76496.86</v>
          </cell>
        </row>
        <row r="24">
          <cell r="B24" t="str">
            <v>B1_5</v>
          </cell>
          <cell r="D24">
            <v>5</v>
          </cell>
          <cell r="E24" t="str">
            <v>Drilling of pilot hole by std bit ranging from 7 5/8" to 9 7/8" dia. for first 40m</v>
          </cell>
          <cell r="F24" t="str">
            <v>Drilling of pilot hole by standard bit ranging from 7.625" to 9.875" dia. in medium to hard formation from gorund level including supply of labour, materials, equipment and all other necessary spare parts for the complete execution of the works  (Specific</v>
          </cell>
          <cell r="H24">
            <v>360</v>
          </cell>
          <cell r="X24">
            <v>180</v>
          </cell>
          <cell r="Y24" t="str">
            <v>m</v>
          </cell>
          <cell r="Z24">
            <v>1066.7285000000002</v>
          </cell>
          <cell r="AB24">
            <v>384022.26</v>
          </cell>
        </row>
        <row r="25">
          <cell r="B25" t="str">
            <v>B1_12</v>
          </cell>
          <cell r="D25">
            <v>6</v>
          </cell>
          <cell r="E25" t="str">
            <v>Electrical Resistivity Logging Test Work</v>
          </cell>
          <cell r="F25" t="str">
            <v>Carry out electrical resistivity logging test work for ull depth of drilled boreholes as per specificaion including supply of labour, materials, equipment and all other necessary spare parts for the complete execution of the works  (Specification Clause 6</v>
          </cell>
          <cell r="H25">
            <v>2</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1</v>
          </cell>
          <cell r="Y25" t="str">
            <v>Job</v>
          </cell>
          <cell r="Z25">
            <v>13202</v>
          </cell>
          <cell r="AB25">
            <v>26404</v>
          </cell>
        </row>
        <row r="26">
          <cell r="B26" t="str">
            <v>B1_13</v>
          </cell>
          <cell r="C26" t="str">
            <v>7.4.b</v>
          </cell>
          <cell r="D26">
            <v>7</v>
          </cell>
          <cell r="E26" t="str">
            <v>Complete drilling for total Reaming work (at least two) by std bit above 9 7/8" and below 17 1/2" with drilling rig machine</v>
          </cell>
          <cell r="F26" t="str">
            <v>Complete drillingin medium to hard formation from ground level for total reaming work (at least two) by standard bit above 9.875" and below 17.5" including supply of labour, materials, equipment and all other necessary spare parts for the complete executi</v>
          </cell>
          <cell r="H26">
            <v>360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180</v>
          </cell>
          <cell r="Y26" t="str">
            <v>m</v>
          </cell>
          <cell r="Z26">
            <v>1151.9665</v>
          </cell>
          <cell r="AB26">
            <v>414707.94</v>
          </cell>
        </row>
        <row r="27">
          <cell r="B27" t="str">
            <v>B1_20</v>
          </cell>
          <cell r="D27">
            <v>8</v>
          </cell>
          <cell r="E27" t="str">
            <v>Reconditioning of bore hole before lowering of pipe assembly 8-10" dia</v>
          </cell>
          <cell r="F27" t="str">
            <v xml:space="preserve">Reconditioning of bore hole work before lowering of pipe assembly 8-10" diameter including supply of labour, materials, equipment and all other necessary spare parts for the complete execution of the works  (Specification Clause 6)  </v>
          </cell>
          <cell r="H27">
            <v>360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180</v>
          </cell>
          <cell r="Y27" t="str">
            <v>m</v>
          </cell>
          <cell r="Z27">
            <v>143.46250000000001</v>
          </cell>
          <cell r="AB27">
            <v>51646.5</v>
          </cell>
        </row>
        <row r="28">
          <cell r="B28" t="str">
            <v>B1_21</v>
          </cell>
          <cell r="D28">
            <v>9</v>
          </cell>
          <cell r="E28" t="str">
            <v>Lowering of pipe assembly of 8-10" dia to a depth of 180m</v>
          </cell>
          <cell r="F28" t="str">
            <v xml:space="preserve">Lowering of pipe assembly of 8-10" dia up to a depth of 180m  including supply of labour, materials, equipment and all other necessary spare parts for the complete execution of the works  (Specification Clause 6)  </v>
          </cell>
          <cell r="H28">
            <v>360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180</v>
          </cell>
          <cell r="Y28" t="str">
            <v>m</v>
          </cell>
          <cell r="Z28">
            <v>679.03699999999992</v>
          </cell>
          <cell r="AB28">
            <v>244453.32</v>
          </cell>
        </row>
        <row r="29">
          <cell r="B29" t="str">
            <v>B1_22</v>
          </cell>
          <cell r="D29">
            <v>10</v>
          </cell>
          <cell r="E29" t="str">
            <v>Collection of lithological samples (at interval of 1.5m and at the change of strata)</v>
          </cell>
          <cell r="F29" t="str">
            <v xml:space="preserve">Collection of lithological samples at every 1.5m depth interval and at the change of strata including supply of labour, materials, equipment and all other necessary spare parts for the complete execution of the works  (Specification Clause 6)  </v>
          </cell>
          <cell r="H29">
            <v>2</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1</v>
          </cell>
          <cell r="Y29" t="str">
            <v>well</v>
          </cell>
          <cell r="Z29">
            <v>15000</v>
          </cell>
          <cell r="AB29">
            <v>30000</v>
          </cell>
        </row>
        <row r="30">
          <cell r="B30" t="str">
            <v>B1_23</v>
          </cell>
          <cell r="D30">
            <v>11</v>
          </cell>
          <cell r="E30" t="str">
            <v>Supply and place approved size pea gravel (4-8mm) packing in a continuous operation</v>
          </cell>
          <cell r="F30" t="str">
            <v>Supply, placing and packing of approved size pea gravel (4-8mm) work in annular space of full depth of borehole including supply of labour, materials, equipment and all other necessary spare parts for the complete execution of the works  (Specification Cl</v>
          </cell>
          <cell r="H30">
            <v>68.92</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34.46</v>
          </cell>
          <cell r="Y30" t="str">
            <v>m3</v>
          </cell>
          <cell r="Z30">
            <v>1500</v>
          </cell>
          <cell r="AB30">
            <v>103380</v>
          </cell>
        </row>
        <row r="31">
          <cell r="B31" t="str">
            <v>B1_24</v>
          </cell>
          <cell r="D31">
            <v>12</v>
          </cell>
          <cell r="E31" t="str">
            <v>Cementation for sanitary protection and well support work</v>
          </cell>
          <cell r="F31" t="str">
            <v>Cementation for sanitary protection and well support work (up to 5m depth) by M20 cement concrete with pipe or iron bat as required including supply of labour, materials, equipment and all other necessary spare parts for the complete execution of the work</v>
          </cell>
          <cell r="H31">
            <v>7.4</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3.7</v>
          </cell>
          <cell r="Y31" t="str">
            <v>m3</v>
          </cell>
          <cell r="Z31">
            <v>2500</v>
          </cell>
          <cell r="AB31">
            <v>18500</v>
          </cell>
        </row>
        <row r="32">
          <cell r="B32" t="str">
            <v>B1_25</v>
          </cell>
          <cell r="C32">
            <v>11.16</v>
          </cell>
          <cell r="D32">
            <v>13</v>
          </cell>
          <cell r="E32" t="str">
            <v>Supply and install gravel top up 80mm dia GI pipe (M) and seal bore hole with cement</v>
          </cell>
          <cell r="F32" t="str">
            <v>Supply and installation of 80mm dia GI pipe (M) for gravel packing as per specification and instruction of site engineer including supply of labour, materials, equipment and all other necessary spare parts for the complete execution of the works  (Specifi</v>
          </cell>
          <cell r="H32">
            <v>10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5</v>
          </cell>
          <cell r="Y32" t="str">
            <v>m</v>
          </cell>
          <cell r="Z32">
            <v>623.33000000000004</v>
          </cell>
          <cell r="AB32">
            <v>6233.3</v>
          </cell>
        </row>
        <row r="33">
          <cell r="B33" t="str">
            <v>B1_26</v>
          </cell>
          <cell r="D33">
            <v>14</v>
          </cell>
          <cell r="E33" t="str">
            <v>Supply and Installation of Pipes and accessories</v>
          </cell>
          <cell r="F33" t="str">
            <v>Supply and Installation work of following different sized mild steel ERW pipe and slotted pipes of thickness 7.0mm or above having beveled ends as per specification including supply of labour, materials, equipment and all other necessary spare parts for t</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AB33">
            <v>0</v>
          </cell>
        </row>
        <row r="34">
          <cell r="B34" t="str">
            <v>B1_27</v>
          </cell>
          <cell r="E34" t="str">
            <v>250mm ND mild steel ERW housing pipe of thickness 7mm having male and female ends</v>
          </cell>
          <cell r="F34" t="str">
            <v xml:space="preserve">250mm ND mild steel ERW housing pipe </v>
          </cell>
          <cell r="H34">
            <v>140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70</v>
          </cell>
          <cell r="Y34" t="str">
            <v>m</v>
          </cell>
          <cell r="Z34">
            <v>5200</v>
          </cell>
          <cell r="AB34">
            <v>728000</v>
          </cell>
        </row>
        <row r="35">
          <cell r="B35" t="str">
            <v>B1_28</v>
          </cell>
          <cell r="E35" t="str">
            <v>200mm ND mild steel ERW housing pipe of thickness 7mm having male and female ends</v>
          </cell>
          <cell r="F35" t="str">
            <v>200mm ND mild steel ERW  pipe</v>
          </cell>
          <cell r="H35">
            <v>160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80</v>
          </cell>
          <cell r="Y35" t="str">
            <v>m</v>
          </cell>
          <cell r="Z35">
            <v>4000</v>
          </cell>
          <cell r="AB35">
            <v>640000</v>
          </cell>
        </row>
        <row r="36">
          <cell r="B36" t="str">
            <v>B1_29</v>
          </cell>
          <cell r="C36" t="str">
            <v>12.4.a</v>
          </cell>
          <cell r="E36" t="str">
            <v>200mm ND mild steel slotted pipe of thickness heavy duty with slots 1.6mmx75mm and percentage opening minimum 15% having male and female ends</v>
          </cell>
          <cell r="F36" t="str">
            <v>200mm ND mild steel slotted pipe of thickness heavy duty with slots 1.6mmx75mm and percentage opening minimum 15% having male and female ends</v>
          </cell>
          <cell r="H36">
            <v>60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30</v>
          </cell>
          <cell r="Y36" t="str">
            <v>m</v>
          </cell>
          <cell r="Z36">
            <v>5200</v>
          </cell>
          <cell r="AB36">
            <v>312000</v>
          </cell>
        </row>
        <row r="37">
          <cell r="B37" t="str">
            <v>B1_30</v>
          </cell>
          <cell r="D37">
            <v>15</v>
          </cell>
          <cell r="E37" t="str">
            <v>Supply of 250mmx200mm dia MS reducer</v>
          </cell>
          <cell r="F37" t="str">
            <v>Supply and installation of 250mmx200mm dia MS reducer as per specification and instruction of site engineer including supply of labour, materials, equipment and all other necessary spare parts for the complete execution of the works  (Specification Clause</v>
          </cell>
          <cell r="H37">
            <v>2</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1</v>
          </cell>
          <cell r="Y37" t="str">
            <v>Nos</v>
          </cell>
          <cell r="Z37">
            <v>3500</v>
          </cell>
          <cell r="AB37">
            <v>7000</v>
          </cell>
        </row>
        <row r="38">
          <cell r="B38" t="str">
            <v>B1_31</v>
          </cell>
          <cell r="D38">
            <v>16</v>
          </cell>
          <cell r="E38" t="str">
            <v>Supply and Installation of well caps, cross bars, centralizers, bottom plug and other necessary accessories required for complete execution of borehole</v>
          </cell>
          <cell r="F38" t="str">
            <v xml:space="preserve">Supply and Installation of well caps, cross bars, centralizers, bottom plug and other necessary accessories required for complete execution of borehole as per specification and instruction of site engineer including supply of labour, materials, equipment </v>
          </cell>
          <cell r="H38">
            <v>2</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1</v>
          </cell>
          <cell r="Y38" t="str">
            <v>Job</v>
          </cell>
          <cell r="Z38">
            <v>35000</v>
          </cell>
          <cell r="AB38">
            <v>70000</v>
          </cell>
        </row>
        <row r="39">
          <cell r="B39" t="str">
            <v>B1_32</v>
          </cell>
          <cell r="D39">
            <v>17</v>
          </cell>
          <cell r="E39" t="str">
            <v>Well development by drilling rig machine for well size of 10" dia (Back washing and inner washing)</v>
          </cell>
          <cell r="F39" t="str">
            <v>Well development by drilling rig machine for well size up to 10" dia (back washing and inner washing) as per specification including supply of labour, materials, equipment and all other necessary spare parts for the complete execution of the works  (Speci</v>
          </cell>
          <cell r="H39">
            <v>360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180</v>
          </cell>
          <cell r="Y39" t="str">
            <v>m</v>
          </cell>
          <cell r="Z39">
            <v>273.32</v>
          </cell>
          <cell r="AB39">
            <v>98395.199999999997</v>
          </cell>
        </row>
        <row r="40">
          <cell r="B40" t="str">
            <v>B1_33</v>
          </cell>
          <cell r="D40">
            <v>18</v>
          </cell>
          <cell r="E40" t="str">
            <v>Well development by drilling rig machine for well size of 10" dia (water jetting)</v>
          </cell>
          <cell r="F40" t="str">
            <v>Well development by drilling rig machine for well size up to 10" dia (water jetting) as per specification including supply of labour, materials, equipment and all other necessary spare parts for the complete execution of the works  (Specification Clause 6</v>
          </cell>
          <cell r="H40">
            <v>360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180</v>
          </cell>
          <cell r="Y40" t="str">
            <v>m</v>
          </cell>
          <cell r="Z40">
            <v>125.66</v>
          </cell>
          <cell r="AB40">
            <v>45237.599999999999</v>
          </cell>
        </row>
        <row r="41">
          <cell r="B41" t="str">
            <v>B1_34</v>
          </cell>
          <cell r="D41">
            <v>19</v>
          </cell>
          <cell r="E41" t="str">
            <v>Well development by compressor machine for well size of 10" dia</v>
          </cell>
          <cell r="F41" t="str">
            <v xml:space="preserve">Well development by Compressor machine for well size up to 10" dia as per specification including supply of labour, materials, equipment and all other necessary spare parts for the complete execution of the works  (Specification Clause 6.4.5)  </v>
          </cell>
          <cell r="H41">
            <v>2</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1</v>
          </cell>
          <cell r="Y41" t="str">
            <v>well</v>
          </cell>
          <cell r="Z41">
            <v>50309.05</v>
          </cell>
          <cell r="AB41">
            <v>100618.1</v>
          </cell>
        </row>
        <row r="42">
          <cell r="B42" t="str">
            <v>B1_35</v>
          </cell>
          <cell r="D42">
            <v>20</v>
          </cell>
          <cell r="E42" t="str">
            <v>Well development by pump 10" dia</v>
          </cell>
          <cell r="F42" t="str">
            <v xml:space="preserve">Well development by water pump for  well size up to 10" dia as per specification including supply of labour, materials, equipment and all other necessary spare parts for the complete execution of the works  (Specification Clause 6.4.5)  </v>
          </cell>
          <cell r="H42">
            <v>2</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1</v>
          </cell>
          <cell r="Y42" t="str">
            <v>well</v>
          </cell>
          <cell r="Z42">
            <v>46161</v>
          </cell>
          <cell r="AB42">
            <v>92322</v>
          </cell>
        </row>
        <row r="43">
          <cell r="B43" t="str">
            <v>B1_36</v>
          </cell>
          <cell r="C43" t="str">
            <v>16.5.a</v>
          </cell>
          <cell r="D43">
            <v>21</v>
          </cell>
          <cell r="E43" t="str">
            <v>Time draw down pump test for seep tubewell</v>
          </cell>
          <cell r="F43" t="str">
            <v xml:space="preserve">Time draw down test as per specification including supply of labour, materials, equipment and all other necessary spare parts for the complete execution of the works  (Specification Clause 6.4.6)  </v>
          </cell>
          <cell r="H43">
            <v>2</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1</v>
          </cell>
          <cell r="Y43" t="str">
            <v>well</v>
          </cell>
          <cell r="Z43">
            <v>32740.5</v>
          </cell>
          <cell r="AB43">
            <v>65481</v>
          </cell>
        </row>
        <row r="44">
          <cell r="B44" t="str">
            <v>B1_37</v>
          </cell>
          <cell r="C44" t="str">
            <v>16.5.b</v>
          </cell>
          <cell r="D44">
            <v>22</v>
          </cell>
          <cell r="E44" t="str">
            <v>Step draw down pump test for deep tubewell (well test)</v>
          </cell>
          <cell r="F44" t="str">
            <v xml:space="preserve">Step draw down test at least for 4 steps as per specification including supply of labour, materials, equipment and all other necessary spare parts for the complete execution of the works  (Specification Clause 6.4.6)  </v>
          </cell>
          <cell r="H44">
            <v>2</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1</v>
          </cell>
          <cell r="Y44" t="str">
            <v>well</v>
          </cell>
          <cell r="Z44">
            <v>33614.5</v>
          </cell>
          <cell r="AB44">
            <v>67229</v>
          </cell>
        </row>
        <row r="45">
          <cell r="B45" t="str">
            <v>B1_38</v>
          </cell>
          <cell r="C45" t="str">
            <v>16.5.d</v>
          </cell>
          <cell r="D45">
            <v>23</v>
          </cell>
          <cell r="E45" t="str">
            <v>Recovery test for Deep tubewell</v>
          </cell>
          <cell r="F45" t="str">
            <v xml:space="preserve">Pumping by suitable pump (150mm dia.) for recovery test for 12 hours as per specification including supply of labour, materials, equipment and all other necessary spare parts for the complete execution of the works  (Specification Clause 6.4.6)  </v>
          </cell>
          <cell r="H45">
            <v>2</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1</v>
          </cell>
          <cell r="Y45" t="str">
            <v>well</v>
          </cell>
          <cell r="Z45">
            <v>8027</v>
          </cell>
          <cell r="AB45">
            <v>16054</v>
          </cell>
        </row>
        <row r="46">
          <cell r="B46" t="str">
            <v>B1_39</v>
          </cell>
          <cell r="D46">
            <v>24</v>
          </cell>
          <cell r="E46" t="str">
            <v>Conducting water quality test and disinfection work</v>
          </cell>
          <cell r="F46" t="str">
            <v xml:space="preserve">Conducting water quality test and disinfection of well as per specification and instruction of site engineer including supply of labour, materials, equipment and all other necessary spare parts for the complete execution of the works </v>
          </cell>
          <cell r="H46">
            <v>2</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1</v>
          </cell>
          <cell r="Y46" t="str">
            <v>well</v>
          </cell>
          <cell r="Z46">
            <v>10000</v>
          </cell>
          <cell r="AB46">
            <v>20000</v>
          </cell>
        </row>
        <row r="47">
          <cell r="B47" t="str">
            <v>B1_40</v>
          </cell>
          <cell r="C47">
            <v>16.11</v>
          </cell>
          <cell r="D47">
            <v>25</v>
          </cell>
          <cell r="E47" t="str">
            <v>Preparation of report and submission (3 copies)</v>
          </cell>
          <cell r="F47" t="str">
            <v>Prepation and submission of well completion report (3 Copies each for a well) with pumping test data analysis, resistivity test and water quality analysis  as per specification and instruction of site engineer including supply of labour, materials, equipm</v>
          </cell>
          <cell r="H47">
            <v>2</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1</v>
          </cell>
          <cell r="Y47" t="str">
            <v>job</v>
          </cell>
          <cell r="Z47">
            <v>5000</v>
          </cell>
          <cell r="AB47">
            <v>10000</v>
          </cell>
        </row>
        <row r="48">
          <cell r="D48" t="str">
            <v>B2. Earth Work and Sand filling Work</v>
          </cell>
        </row>
        <row r="49">
          <cell r="B49" t="str">
            <v>B2_1</v>
          </cell>
          <cell r="C49" t="str">
            <v>H-75/6</v>
          </cell>
          <cell r="D49" t="str">
            <v>g</v>
          </cell>
          <cell r="E49" t="str">
            <v>Site Clearance in thin vegetation area</v>
          </cell>
          <cell r="F49" t="str">
            <v>Cutting vegetation, grubbing their roots and disposal from the construction site as directed by the Engineer and as per Clause 2.1 and other relevant Clauses of the Specification</v>
          </cell>
          <cell r="I49">
            <v>0</v>
          </cell>
          <cell r="J49">
            <v>0</v>
          </cell>
          <cell r="K49">
            <v>12</v>
          </cell>
          <cell r="L49">
            <v>0</v>
          </cell>
          <cell r="M49">
            <v>3211.25</v>
          </cell>
          <cell r="N49">
            <v>93.73</v>
          </cell>
          <cell r="O49">
            <v>93.73</v>
          </cell>
          <cell r="P49">
            <v>177.6</v>
          </cell>
          <cell r="Q49">
            <v>0</v>
          </cell>
          <cell r="R49">
            <v>53.04</v>
          </cell>
          <cell r="S49">
            <v>128.90625</v>
          </cell>
          <cell r="T49">
            <v>200</v>
          </cell>
          <cell r="U49">
            <v>0</v>
          </cell>
          <cell r="V49">
            <v>0</v>
          </cell>
          <cell r="W49">
            <v>122.8275</v>
          </cell>
          <cell r="X49">
            <v>4093.0837499999998</v>
          </cell>
          <cell r="Y49" t="str">
            <v>sqm</v>
          </cell>
          <cell r="Z49">
            <v>3.79</v>
          </cell>
          <cell r="AB49">
            <v>15512.79</v>
          </cell>
        </row>
        <row r="50">
          <cell r="B50" t="str">
            <v>B2_2</v>
          </cell>
          <cell r="C50" t="str">
            <v>H-90/4</v>
          </cell>
          <cell r="D50" t="str">
            <v>h</v>
          </cell>
          <cell r="E50" t="str">
            <v>E/W Excavation for foundation, drain, pipelines etc. in BM Soil</v>
          </cell>
          <cell r="F50" t="str">
            <v>Earthwork in Excavation work in foundation, tranmission pipeline trench in all materials and disposal of surplus materials to the specified site as directed by the Engineer and including dewatering and as per Clause 2.2 and other clause of the Specificati</v>
          </cell>
          <cell r="I50">
            <v>0</v>
          </cell>
          <cell r="J50">
            <v>0</v>
          </cell>
          <cell r="K50">
            <v>14.647500000000001</v>
          </cell>
          <cell r="L50">
            <v>438.75</v>
          </cell>
          <cell r="M50">
            <v>3643.9171992845882</v>
          </cell>
          <cell r="N50">
            <v>31.624500000000001</v>
          </cell>
          <cell r="O50">
            <v>40.459499999999998</v>
          </cell>
          <cell r="P50">
            <v>113.6</v>
          </cell>
          <cell r="Q50">
            <v>0</v>
          </cell>
          <cell r="R50">
            <v>239.49</v>
          </cell>
          <cell r="S50">
            <v>333.81562499999995</v>
          </cell>
          <cell r="T50">
            <v>150.96</v>
          </cell>
          <cell r="U50">
            <v>0</v>
          </cell>
          <cell r="V50">
            <v>0</v>
          </cell>
          <cell r="W50">
            <v>289.30227773119492</v>
          </cell>
          <cell r="X50">
            <v>5296.5666020157832</v>
          </cell>
          <cell r="Y50" t="str">
            <v>cum</v>
          </cell>
          <cell r="Z50">
            <v>207.16</v>
          </cell>
          <cell r="AB50">
            <v>1097236.74</v>
          </cell>
        </row>
        <row r="51">
          <cell r="B51" t="str">
            <v>B2_6</v>
          </cell>
          <cell r="D51" t="str">
            <v>ar</v>
          </cell>
          <cell r="E51" t="str">
            <v>E/W Excavation for ditch in hard soil</v>
          </cell>
          <cell r="F51" t="str">
            <v xml:space="preserve">Earthwork in Excavation work in distribution pipeline trench all materials and disposal of surplus materials to the specified site as directed by the Engineer and including dewatering and as per Clause 2.2 and other clause of the Specification. </v>
          </cell>
          <cell r="I51">
            <v>0</v>
          </cell>
          <cell r="J51">
            <v>0</v>
          </cell>
          <cell r="K51">
            <v>0</v>
          </cell>
          <cell r="L51">
            <v>0</v>
          </cell>
          <cell r="M51">
            <v>0</v>
          </cell>
          <cell r="N51">
            <v>0</v>
          </cell>
          <cell r="O51">
            <v>0</v>
          </cell>
          <cell r="P51">
            <v>0</v>
          </cell>
          <cell r="Q51">
            <v>22336.544999999998</v>
          </cell>
          <cell r="R51">
            <v>0</v>
          </cell>
          <cell r="S51">
            <v>0</v>
          </cell>
          <cell r="T51">
            <v>0</v>
          </cell>
          <cell r="U51">
            <v>0</v>
          </cell>
          <cell r="V51">
            <v>0</v>
          </cell>
          <cell r="W51">
            <v>0</v>
          </cell>
          <cell r="X51">
            <v>22336.544999999998</v>
          </cell>
          <cell r="Y51" t="str">
            <v>cum</v>
          </cell>
          <cell r="Z51">
            <v>162.86000000000001</v>
          </cell>
          <cell r="AB51">
            <v>3637729.72</v>
          </cell>
        </row>
        <row r="52">
          <cell r="B52" t="str">
            <v>B2_3</v>
          </cell>
          <cell r="C52" t="str">
            <v>H-160/4</v>
          </cell>
          <cell r="D52" t="str">
            <v>o</v>
          </cell>
          <cell r="E52" t="str">
            <v>Filling soft soil in pipeline trench with compaction and sprinkling of water</v>
          </cell>
          <cell r="F52" t="str">
            <v xml:space="preserve">Earth filling work in pipeline (including supply and transportation of materials if not available at site) in 15cm thick layer by layer with water sprinkling and compaction as per Clause 2.2, 3 and other clause of the Specification and as directed by the </v>
          </cell>
          <cell r="I52">
            <v>0</v>
          </cell>
          <cell r="J52">
            <v>0</v>
          </cell>
          <cell r="K52">
            <v>0</v>
          </cell>
          <cell r="L52">
            <v>438.75</v>
          </cell>
          <cell r="M52">
            <v>0</v>
          </cell>
          <cell r="N52">
            <v>0</v>
          </cell>
          <cell r="O52">
            <v>0</v>
          </cell>
          <cell r="P52">
            <v>0</v>
          </cell>
          <cell r="Q52">
            <v>22336.544999999998</v>
          </cell>
          <cell r="R52">
            <v>0</v>
          </cell>
          <cell r="S52">
            <v>0</v>
          </cell>
          <cell r="T52">
            <v>0</v>
          </cell>
          <cell r="U52">
            <v>0</v>
          </cell>
          <cell r="V52">
            <v>0</v>
          </cell>
          <cell r="W52">
            <v>0</v>
          </cell>
          <cell r="X52">
            <v>22775.294999999998</v>
          </cell>
          <cell r="Y52" t="str">
            <v>cum</v>
          </cell>
          <cell r="Z52">
            <v>65.14</v>
          </cell>
          <cell r="AB52">
            <v>1483582.72</v>
          </cell>
        </row>
        <row r="53">
          <cell r="B53" t="str">
            <v>B2_4</v>
          </cell>
          <cell r="D53" t="str">
            <v>d</v>
          </cell>
          <cell r="E53" t="str">
            <v>Filling with ordinary soils with compaction and sprinkling of water</v>
          </cell>
          <cell r="F53" t="str">
            <v>Earth filling work in room, foundation (including supply and transportation of materials if not available at site) in 15cm thick layer by layer with water sprinkling and compaction as per Clause 2.2, 3 and other clause of the Specification and as directed</v>
          </cell>
          <cell r="I53">
            <v>0</v>
          </cell>
          <cell r="J53">
            <v>0</v>
          </cell>
          <cell r="K53">
            <v>0</v>
          </cell>
          <cell r="L53">
            <v>0</v>
          </cell>
          <cell r="M53">
            <v>0</v>
          </cell>
          <cell r="N53">
            <v>42.979218750000001</v>
          </cell>
          <cell r="O53">
            <v>46.413281249999997</v>
          </cell>
          <cell r="P53">
            <v>0</v>
          </cell>
          <cell r="Q53">
            <v>0</v>
          </cell>
          <cell r="R53">
            <v>0</v>
          </cell>
          <cell r="S53">
            <v>0</v>
          </cell>
          <cell r="T53">
            <v>0</v>
          </cell>
          <cell r="U53">
            <v>0</v>
          </cell>
          <cell r="V53">
            <v>0</v>
          </cell>
          <cell r="W53">
            <v>51.015302280449191</v>
          </cell>
          <cell r="X53">
            <v>140.40780228044918</v>
          </cell>
          <cell r="Y53" t="str">
            <v>cum</v>
          </cell>
          <cell r="Z53">
            <v>65.14</v>
          </cell>
          <cell r="AB53">
            <v>9146.16</v>
          </cell>
        </row>
        <row r="54">
          <cell r="B54" t="str">
            <v>B2_5</v>
          </cell>
          <cell r="D54" t="str">
            <v>e</v>
          </cell>
          <cell r="E54" t="str">
            <v>Sand filling in pipeline trench with compaction and sprinkling of water</v>
          </cell>
          <cell r="F54" t="str">
            <v>Sand filling in the trench and rooms with compaction and sprinkling of water as  per specification and as directed by the Engineer</v>
          </cell>
          <cell r="I54">
            <v>0</v>
          </cell>
          <cell r="J54">
            <v>0</v>
          </cell>
          <cell r="K54">
            <v>0</v>
          </cell>
          <cell r="L54">
            <v>0</v>
          </cell>
          <cell r="M54">
            <v>0</v>
          </cell>
          <cell r="N54">
            <v>8.9841562499999998</v>
          </cell>
          <cell r="O54">
            <v>8.8237500000000004</v>
          </cell>
          <cell r="P54">
            <v>0</v>
          </cell>
          <cell r="Q54">
            <v>0</v>
          </cell>
          <cell r="R54">
            <v>0</v>
          </cell>
          <cell r="S54">
            <v>0</v>
          </cell>
          <cell r="T54">
            <v>0</v>
          </cell>
          <cell r="U54">
            <v>0</v>
          </cell>
          <cell r="V54">
            <v>0</v>
          </cell>
          <cell r="W54">
            <v>9.2486304999999991</v>
          </cell>
          <cell r="X54">
            <v>27.056536749999999</v>
          </cell>
          <cell r="Y54" t="str">
            <v>cum</v>
          </cell>
          <cell r="Z54">
            <v>508.65</v>
          </cell>
          <cell r="AB54">
            <v>13762.31</v>
          </cell>
        </row>
        <row r="55">
          <cell r="D55" t="str">
            <v xml:space="preserve">B3 Stone, Brick and Gabion Work </v>
          </cell>
          <cell r="X55">
            <v>0</v>
          </cell>
        </row>
        <row r="56">
          <cell r="B56" t="str">
            <v>B3_1</v>
          </cell>
          <cell r="C56" t="str">
            <v>H-90/6</v>
          </cell>
          <cell r="D56" t="str">
            <v>i</v>
          </cell>
          <cell r="E56" t="str">
            <v xml:space="preserve">Stone soling with sand </v>
          </cell>
          <cell r="F56" t="str">
            <v>Stone soling work on sand bed and filling with chips or spalls in voids as per specification and as directed by the Engineer</v>
          </cell>
          <cell r="I56">
            <v>0</v>
          </cell>
          <cell r="J56">
            <v>0</v>
          </cell>
          <cell r="K56">
            <v>4.0709999999999997</v>
          </cell>
          <cell r="L56">
            <v>0</v>
          </cell>
          <cell r="M56">
            <v>76.774815679322813</v>
          </cell>
          <cell r="N56">
            <v>0</v>
          </cell>
          <cell r="O56">
            <v>0</v>
          </cell>
          <cell r="P56">
            <v>28.4</v>
          </cell>
          <cell r="Q56">
            <v>0</v>
          </cell>
          <cell r="R56">
            <v>17.82</v>
          </cell>
          <cell r="S56">
            <v>30.346875000000001</v>
          </cell>
          <cell r="T56">
            <v>0</v>
          </cell>
          <cell r="U56">
            <v>0</v>
          </cell>
          <cell r="V56">
            <v>0</v>
          </cell>
          <cell r="W56">
            <v>0</v>
          </cell>
          <cell r="X56">
            <v>157.41269067932282</v>
          </cell>
          <cell r="Y56" t="str">
            <v>cum</v>
          </cell>
          <cell r="Z56">
            <v>1551.69</v>
          </cell>
          <cell r="AB56">
            <v>244255.7</v>
          </cell>
        </row>
        <row r="57">
          <cell r="B57" t="str">
            <v>B3_2</v>
          </cell>
          <cell r="C57" t="str">
            <v>H-225/4</v>
          </cell>
          <cell r="D57" t="str">
            <v>s</v>
          </cell>
          <cell r="E57" t="str">
            <v>Rubble masonry works in 1:4 cement mortar</v>
          </cell>
          <cell r="F57" t="str">
            <v>Random rubble masonry work for Surface Drain Work in Cement sand mortar (1:4) including supply of materials, scaffolding, curing as per specification as per Clause 2.2 and other related clause of the Specification and as directed by the Engineer</v>
          </cell>
          <cell r="I57">
            <v>0</v>
          </cell>
          <cell r="J57">
            <v>0</v>
          </cell>
          <cell r="K57">
            <v>0</v>
          </cell>
          <cell r="L57">
            <v>0</v>
          </cell>
          <cell r="M57">
            <v>138</v>
          </cell>
          <cell r="N57">
            <v>0</v>
          </cell>
          <cell r="O57">
            <v>0</v>
          </cell>
          <cell r="P57">
            <v>0</v>
          </cell>
          <cell r="Q57">
            <v>0</v>
          </cell>
          <cell r="R57">
            <v>0</v>
          </cell>
          <cell r="S57">
            <v>0</v>
          </cell>
          <cell r="T57">
            <v>0</v>
          </cell>
          <cell r="U57">
            <v>0</v>
          </cell>
          <cell r="V57">
            <v>0</v>
          </cell>
          <cell r="W57">
            <v>0</v>
          </cell>
          <cell r="X57">
            <v>138</v>
          </cell>
          <cell r="Y57" t="str">
            <v>cum</v>
          </cell>
          <cell r="Z57">
            <v>2898.23</v>
          </cell>
          <cell r="AB57">
            <v>399955.74</v>
          </cell>
        </row>
        <row r="58">
          <cell r="B58" t="str">
            <v>B3_3</v>
          </cell>
          <cell r="D58" t="str">
            <v>f</v>
          </cell>
          <cell r="E58" t="str">
            <v xml:space="preserve">Brick soling on edge with sand </v>
          </cell>
          <cell r="F58" t="str">
            <v>Brick soling on edge with sand bedding as per clause 4.1 and other related clause of the Specification and as directed by the Engineer.</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t="str">
            <v>sqm</v>
          </cell>
          <cell r="Z58">
            <v>347.5</v>
          </cell>
          <cell r="AB58">
            <v>0</v>
          </cell>
        </row>
        <row r="59">
          <cell r="B59" t="str">
            <v>B3_4</v>
          </cell>
          <cell r="D59" t="str">
            <v>g</v>
          </cell>
          <cell r="E59" t="str">
            <v xml:space="preserve">Local first class brick masonry works in 1:6 cement sand mortar </v>
          </cell>
          <cell r="F59" t="str">
            <v>Local first class brick masonry works with supply of all materials in 1:6 cement sand mortar including scaffolding as  per Clause 4.1 and other relevant clause of the Specification and as directed by the Engineer</v>
          </cell>
          <cell r="I59">
            <v>0</v>
          </cell>
          <cell r="J59">
            <v>0</v>
          </cell>
          <cell r="K59">
            <v>0</v>
          </cell>
          <cell r="L59">
            <v>0</v>
          </cell>
          <cell r="M59">
            <v>0</v>
          </cell>
          <cell r="N59">
            <v>29.276828124999998</v>
          </cell>
          <cell r="O59">
            <v>34.224046874999999</v>
          </cell>
          <cell r="P59">
            <v>0</v>
          </cell>
          <cell r="Q59">
            <v>0</v>
          </cell>
          <cell r="R59">
            <v>0</v>
          </cell>
          <cell r="S59">
            <v>0</v>
          </cell>
          <cell r="T59">
            <v>0</v>
          </cell>
          <cell r="U59">
            <v>0</v>
          </cell>
          <cell r="V59">
            <v>0</v>
          </cell>
          <cell r="W59">
            <v>12.370021073509811</v>
          </cell>
          <cell r="X59">
            <v>75.870896073509812</v>
          </cell>
          <cell r="Y59" t="str">
            <v>cum</v>
          </cell>
          <cell r="Z59">
            <v>3141.8</v>
          </cell>
          <cell r="AB59">
            <v>238371.18</v>
          </cell>
        </row>
        <row r="60">
          <cell r="B60" t="str">
            <v>B3_5</v>
          </cell>
          <cell r="E60" t="str">
            <v xml:space="preserve">Brick soling on flat with sand </v>
          </cell>
          <cell r="F60" t="str">
            <v>Brick soling on flat with sand bedding as per clause 4.1 and other related clause of the Specification and as directed by the Engineer.</v>
          </cell>
          <cell r="I60">
            <v>0</v>
          </cell>
          <cell r="J60">
            <v>0</v>
          </cell>
          <cell r="K60">
            <v>0</v>
          </cell>
          <cell r="L60">
            <v>0</v>
          </cell>
          <cell r="M60">
            <v>0</v>
          </cell>
          <cell r="N60">
            <v>112.791875</v>
          </cell>
          <cell r="O60">
            <v>111.7225</v>
          </cell>
          <cell r="P60">
            <v>0</v>
          </cell>
          <cell r="Q60">
            <v>0</v>
          </cell>
          <cell r="R60">
            <v>0</v>
          </cell>
          <cell r="S60">
            <v>0</v>
          </cell>
          <cell r="T60">
            <v>0</v>
          </cell>
          <cell r="U60">
            <v>0</v>
          </cell>
          <cell r="V60">
            <v>0</v>
          </cell>
          <cell r="W60">
            <v>200.37432227250281</v>
          </cell>
          <cell r="X60">
            <v>424.88869727250278</v>
          </cell>
          <cell r="Y60" t="str">
            <v>sqm</v>
          </cell>
          <cell r="Z60">
            <v>194.84</v>
          </cell>
          <cell r="AB60">
            <v>82785.31</v>
          </cell>
        </row>
        <row r="61">
          <cell r="B61" t="str">
            <v>B3_6</v>
          </cell>
          <cell r="E61" t="str">
            <v xml:space="preserve">Local first class brick masonry works in 1:4 cement sand mortar </v>
          </cell>
          <cell r="F61" t="str">
            <v>Local first class brick masonry works with supply of all materials in 1:4 cement sand mortar including scaffolding as  per Clause 4.1 and other relevant clause of the Specification and as directed by the Engineer</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116.94631749999999</v>
          </cell>
          <cell r="X61">
            <v>116.94631749999999</v>
          </cell>
          <cell r="Y61" t="str">
            <v>cum</v>
          </cell>
          <cell r="Z61">
            <v>3351.56</v>
          </cell>
          <cell r="AB61">
            <v>391952.6</v>
          </cell>
        </row>
        <row r="62">
          <cell r="B62" t="str">
            <v>B3_7</v>
          </cell>
          <cell r="D62" t="str">
            <v>an</v>
          </cell>
          <cell r="E62" t="str">
            <v>Rubble masonry works in 1:6 cement mortar</v>
          </cell>
          <cell r="F62" t="str">
            <v>Random rubble masonry work up to the super structure from foundation in Cement sand mortar (1:6) including supply of materials, scaffolding, curing as per specification as per Clause 2.2 and other related clause of the Specification and as directed by the</v>
          </cell>
          <cell r="I62">
            <v>0</v>
          </cell>
          <cell r="J62">
            <v>0</v>
          </cell>
          <cell r="K62">
            <v>0</v>
          </cell>
          <cell r="L62">
            <v>0</v>
          </cell>
          <cell r="M62">
            <v>0</v>
          </cell>
          <cell r="N62">
            <v>0</v>
          </cell>
          <cell r="O62">
            <v>0</v>
          </cell>
          <cell r="P62">
            <v>90.205500000000001</v>
          </cell>
          <cell r="Q62">
            <v>0</v>
          </cell>
          <cell r="R62">
            <v>0</v>
          </cell>
          <cell r="S62">
            <v>0</v>
          </cell>
          <cell r="T62">
            <v>0</v>
          </cell>
          <cell r="U62">
            <v>0</v>
          </cell>
          <cell r="V62">
            <v>0</v>
          </cell>
          <cell r="W62">
            <v>0</v>
          </cell>
          <cell r="X62">
            <v>90.205500000000001</v>
          </cell>
          <cell r="Y62" t="str">
            <v>cum</v>
          </cell>
          <cell r="Z62">
            <v>2521.83</v>
          </cell>
          <cell r="AB62">
            <v>227482.94</v>
          </cell>
        </row>
        <row r="63">
          <cell r="B63" t="str">
            <v>B3_8</v>
          </cell>
          <cell r="E63" t="str">
            <v>Brick bats filling with compaction and sprinkling of water</v>
          </cell>
          <cell r="F63" t="str">
            <v>Brick bats filling with compaction and sprinkling of water as directed by the Engineer</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42.308417314516298</v>
          </cell>
          <cell r="X63">
            <v>42.308417314516298</v>
          </cell>
          <cell r="Y63" t="str">
            <v>cum</v>
          </cell>
          <cell r="Z63">
            <v>767.05</v>
          </cell>
          <cell r="AB63">
            <v>32452.67</v>
          </cell>
        </row>
        <row r="64">
          <cell r="B64" t="str">
            <v>B3_9</v>
          </cell>
          <cell r="D64" t="str">
            <v>cs</v>
          </cell>
          <cell r="E64" t="str">
            <v>3m (or 2m) x1mx0.5m size Gabion box fabrication, 10 and 7 SWG ( 100x120 hex)</v>
          </cell>
          <cell r="F64" t="str">
            <v xml:space="preserve">Supply and installation of gabion boxes including Filling with stone (boulder) at specified places including cutting, weaving including transportation all complete as per drawings and as per Clause 2.2 and other related clause of the Specification and as </v>
          </cell>
          <cell r="I64">
            <v>0</v>
          </cell>
          <cell r="J64">
            <v>0</v>
          </cell>
          <cell r="K64">
            <v>0</v>
          </cell>
          <cell r="L64">
            <v>0</v>
          </cell>
          <cell r="M64">
            <v>0</v>
          </cell>
          <cell r="N64">
            <v>0</v>
          </cell>
          <cell r="O64">
            <v>0</v>
          </cell>
          <cell r="P64">
            <v>0</v>
          </cell>
          <cell r="Q64">
            <v>0</v>
          </cell>
          <cell r="R64">
            <v>0</v>
          </cell>
          <cell r="S64">
            <v>0</v>
          </cell>
          <cell r="T64">
            <v>170</v>
          </cell>
          <cell r="U64">
            <v>0</v>
          </cell>
          <cell r="V64">
            <v>0</v>
          </cell>
          <cell r="W64">
            <v>0</v>
          </cell>
          <cell r="X64">
            <v>170</v>
          </cell>
          <cell r="Y64" t="str">
            <v>cum</v>
          </cell>
          <cell r="Z64">
            <v>726.41</v>
          </cell>
          <cell r="AB64">
            <v>123489.7</v>
          </cell>
        </row>
        <row r="65">
          <cell r="B65" t="str">
            <v>B3_10</v>
          </cell>
          <cell r="D65" t="str">
            <v>ct</v>
          </cell>
          <cell r="E65" t="str">
            <v>3m (or 2m) x1mx0.5m size Gabion box construction and tying up with 11 SWG GI wire</v>
          </cell>
          <cell r="I65">
            <v>0</v>
          </cell>
          <cell r="J65">
            <v>0</v>
          </cell>
          <cell r="K65">
            <v>0</v>
          </cell>
          <cell r="L65">
            <v>0</v>
          </cell>
          <cell r="M65">
            <v>0</v>
          </cell>
          <cell r="N65">
            <v>0</v>
          </cell>
          <cell r="O65">
            <v>0</v>
          </cell>
          <cell r="P65">
            <v>0</v>
          </cell>
          <cell r="Q65">
            <v>0</v>
          </cell>
          <cell r="R65">
            <v>0</v>
          </cell>
          <cell r="S65">
            <v>0</v>
          </cell>
          <cell r="T65">
            <v>170</v>
          </cell>
          <cell r="U65">
            <v>0</v>
          </cell>
          <cell r="V65">
            <v>0</v>
          </cell>
          <cell r="W65">
            <v>0</v>
          </cell>
          <cell r="X65">
            <v>170</v>
          </cell>
          <cell r="Y65" t="str">
            <v>cum</v>
          </cell>
          <cell r="Z65">
            <v>52.9</v>
          </cell>
          <cell r="AB65">
            <v>8993</v>
          </cell>
        </row>
        <row r="66">
          <cell r="B66" t="str">
            <v>B3_11</v>
          </cell>
          <cell r="D66" t="str">
            <v>cu</v>
          </cell>
          <cell r="E66" t="str">
            <v>Filling of Gabion box with boulder</v>
          </cell>
          <cell r="I66">
            <v>0</v>
          </cell>
          <cell r="J66">
            <v>0</v>
          </cell>
          <cell r="K66">
            <v>0</v>
          </cell>
          <cell r="L66">
            <v>0</v>
          </cell>
          <cell r="M66">
            <v>0</v>
          </cell>
          <cell r="N66">
            <v>0</v>
          </cell>
          <cell r="O66">
            <v>0</v>
          </cell>
          <cell r="P66">
            <v>0</v>
          </cell>
          <cell r="Q66">
            <v>0</v>
          </cell>
          <cell r="R66">
            <v>0</v>
          </cell>
          <cell r="S66">
            <v>0</v>
          </cell>
          <cell r="T66">
            <v>170</v>
          </cell>
          <cell r="U66">
            <v>0</v>
          </cell>
          <cell r="V66">
            <v>0</v>
          </cell>
          <cell r="W66">
            <v>0</v>
          </cell>
          <cell r="X66">
            <v>170</v>
          </cell>
          <cell r="Y66" t="str">
            <v>cum</v>
          </cell>
          <cell r="Z66">
            <v>695.75</v>
          </cell>
          <cell r="AB66">
            <v>118277.5</v>
          </cell>
        </row>
        <row r="67">
          <cell r="D67" t="str">
            <v>B4</v>
          </cell>
          <cell r="E67" t="str">
            <v>Concrete, Reinforcement and Form Work</v>
          </cell>
          <cell r="X67">
            <v>0</v>
          </cell>
        </row>
        <row r="68">
          <cell r="B68" t="str">
            <v>B4_1</v>
          </cell>
          <cell r="C68" t="str">
            <v>H-110/4</v>
          </cell>
          <cell r="D68" t="str">
            <v>j</v>
          </cell>
          <cell r="E68" t="str">
            <v xml:space="preserve">P.C.C. for  foundation &amp; walls in M10 </v>
          </cell>
          <cell r="F68" t="str">
            <v>Concrete work M10 for PCC work as per shape and size as shown in drawings including form work as per Clause 2.3 and other related clause of the specification and as directed by the Engineer</v>
          </cell>
          <cell r="I68">
            <v>0</v>
          </cell>
          <cell r="J68">
            <v>0</v>
          </cell>
          <cell r="K68">
            <v>1.7621249999999999</v>
          </cell>
          <cell r="L68">
            <v>0</v>
          </cell>
          <cell r="M68">
            <v>28.898555879746048</v>
          </cell>
          <cell r="N68">
            <v>8.834734375</v>
          </cell>
          <cell r="O68">
            <v>9.5001067500000005</v>
          </cell>
          <cell r="P68">
            <v>0</v>
          </cell>
          <cell r="Q68">
            <v>0</v>
          </cell>
          <cell r="R68">
            <v>6.7469999999999999</v>
          </cell>
          <cell r="S68">
            <v>12.3046875</v>
          </cell>
          <cell r="T68">
            <v>0</v>
          </cell>
          <cell r="U68">
            <v>0</v>
          </cell>
          <cell r="V68">
            <v>0</v>
          </cell>
          <cell r="W68">
            <v>8.5248383750000016</v>
          </cell>
          <cell r="X68">
            <v>76.572047879746052</v>
          </cell>
          <cell r="Y68" t="str">
            <v>cum</v>
          </cell>
          <cell r="Z68">
            <v>3630.32</v>
          </cell>
          <cell r="AB68">
            <v>277981.03999999998</v>
          </cell>
        </row>
        <row r="69">
          <cell r="B69" t="str">
            <v>B4_2</v>
          </cell>
          <cell r="C69" t="str">
            <v>H-110/6</v>
          </cell>
          <cell r="D69" t="str">
            <v>k</v>
          </cell>
          <cell r="E69" t="str">
            <v xml:space="preserve">P.C.C. for R.C.C. for super structures in M20 </v>
          </cell>
          <cell r="F69" t="str">
            <v>Concrete work M20 for RCC work (including supply and application of water proofing material, and water stopper in the construction joints for water retaining structures) as per shape and size shown in drawings and as per Clause 2.3  and other related clau</v>
          </cell>
          <cell r="I69">
            <v>0</v>
          </cell>
          <cell r="J69">
            <v>0</v>
          </cell>
          <cell r="K69">
            <v>6.3209999999999997</v>
          </cell>
          <cell r="L69">
            <v>0</v>
          </cell>
          <cell r="M69">
            <v>220.44472970796554</v>
          </cell>
          <cell r="N69">
            <v>23.041562500000001</v>
          </cell>
          <cell r="O69">
            <v>23.997265625000001</v>
          </cell>
          <cell r="P69">
            <v>0</v>
          </cell>
          <cell r="Q69">
            <v>0</v>
          </cell>
          <cell r="R69">
            <v>52.370999999999995</v>
          </cell>
          <cell r="S69">
            <v>71.849999999999994</v>
          </cell>
          <cell r="T69">
            <v>0</v>
          </cell>
          <cell r="U69">
            <v>0</v>
          </cell>
          <cell r="V69">
            <v>0</v>
          </cell>
          <cell r="W69">
            <v>34.882138816263925</v>
          </cell>
          <cell r="X69">
            <v>432.90769664922948</v>
          </cell>
          <cell r="Y69" t="str">
            <v>cum</v>
          </cell>
          <cell r="Z69">
            <v>5197.9399999999996</v>
          </cell>
          <cell r="AB69">
            <v>2250228.23</v>
          </cell>
        </row>
        <row r="70">
          <cell r="B70" t="str">
            <v>B4_3</v>
          </cell>
          <cell r="D70" t="str">
            <v>ao</v>
          </cell>
          <cell r="E70" t="str">
            <v xml:space="preserve">P.C.C. for R.C.C. for super structures in M15 </v>
          </cell>
          <cell r="F70" t="str">
            <v>Concrete work M15 for RCC/PCC work in super structure, slab and beam as per shape and size shown in drawings and as per Clause 2.3  and other related clause of the Specification and as directed by the Engineer.</v>
          </cell>
          <cell r="I70">
            <v>0</v>
          </cell>
          <cell r="J70">
            <v>0</v>
          </cell>
          <cell r="K70">
            <v>0</v>
          </cell>
          <cell r="L70">
            <v>0</v>
          </cell>
          <cell r="M70">
            <v>0</v>
          </cell>
          <cell r="N70">
            <v>0</v>
          </cell>
          <cell r="O70">
            <v>0</v>
          </cell>
          <cell r="P70">
            <v>15.572374999999997</v>
          </cell>
          <cell r="Q70">
            <v>0</v>
          </cell>
          <cell r="R70">
            <v>0</v>
          </cell>
          <cell r="S70">
            <v>0</v>
          </cell>
          <cell r="T70">
            <v>0.37405581500000001</v>
          </cell>
          <cell r="U70">
            <v>0</v>
          </cell>
          <cell r="V70">
            <v>0</v>
          </cell>
          <cell r="W70">
            <v>0</v>
          </cell>
          <cell r="X70">
            <v>15.946430814999998</v>
          </cell>
          <cell r="Y70" t="str">
            <v>cum</v>
          </cell>
          <cell r="Z70">
            <v>4638.58</v>
          </cell>
          <cell r="AB70">
            <v>73968.800000000003</v>
          </cell>
        </row>
        <row r="71">
          <cell r="B71" t="str">
            <v>B4_4</v>
          </cell>
          <cell r="D71" t="str">
            <v>cr</v>
          </cell>
          <cell r="E71" t="str">
            <v xml:space="preserve">P.C.C. for  foundation &amp; walls in M15 </v>
          </cell>
          <cell r="F71" t="str">
            <v>Concrete work M15 for RCC work in Foundation as per shape and size shown in drawings and as per Clause 2.3  and other related clause of the Specification and as directed by the Engineer.</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t="str">
            <v>cum</v>
          </cell>
          <cell r="Z71">
            <v>4300.4799999999996</v>
          </cell>
          <cell r="AB71">
            <v>0</v>
          </cell>
        </row>
        <row r="72">
          <cell r="B72" t="str">
            <v>B4_5</v>
          </cell>
          <cell r="C72" t="str">
            <v>H-200/4</v>
          </cell>
          <cell r="D72" t="str">
            <v>r</v>
          </cell>
          <cell r="E72" t="str">
            <v>Reinforcement work for R.C.C. work</v>
          </cell>
          <cell r="F72" t="str">
            <v>Supply, cutting, Bending, Laying in position and binding of steel bars for RCC work as drawings and as per Clause 2.3  and other related clause of the Specification and as directed by Engineer</v>
          </cell>
          <cell r="I72">
            <v>0</v>
          </cell>
          <cell r="J72">
            <v>0</v>
          </cell>
          <cell r="K72">
            <v>0.79012499999999997</v>
          </cell>
          <cell r="L72">
            <v>0</v>
          </cell>
          <cell r="M72">
            <v>28.272013409152834</v>
          </cell>
          <cell r="N72">
            <v>3.9779498000000015</v>
          </cell>
          <cell r="O72">
            <v>3.966986100000002</v>
          </cell>
          <cell r="P72">
            <v>0</v>
          </cell>
          <cell r="Q72">
            <v>0</v>
          </cell>
          <cell r="R72">
            <v>4.4112075000000006</v>
          </cell>
          <cell r="S72">
            <v>7.4604250000000008</v>
          </cell>
          <cell r="T72">
            <v>0</v>
          </cell>
          <cell r="U72">
            <v>0</v>
          </cell>
          <cell r="V72">
            <v>0</v>
          </cell>
          <cell r="W72">
            <v>3.1045790579516703</v>
          </cell>
          <cell r="X72">
            <v>51.983285867104506</v>
          </cell>
          <cell r="Y72" t="str">
            <v>mt</v>
          </cell>
          <cell r="Z72">
            <v>55407</v>
          </cell>
          <cell r="AB72">
            <v>2880237.92</v>
          </cell>
        </row>
        <row r="73">
          <cell r="B73" t="str">
            <v>B4_6</v>
          </cell>
          <cell r="C73" t="str">
            <v>H-125/4</v>
          </cell>
          <cell r="D73" t="str">
            <v>l</v>
          </cell>
          <cell r="E73" t="str">
            <v>Formwork for flooring and slab including materials</v>
          </cell>
          <cell r="F73" t="str">
            <v>Supply, preparation and placing of shuttering (plywood and steel props) works for different RCC structure as per shape and size shown in drawings as per Clause 2.3  and other related clause of the Specification and as directed by Engineer</v>
          </cell>
          <cell r="I73">
            <v>0</v>
          </cell>
          <cell r="J73">
            <v>0</v>
          </cell>
          <cell r="K73">
            <v>31.92</v>
          </cell>
          <cell r="L73">
            <v>0</v>
          </cell>
          <cell r="M73">
            <v>988.79802933062274</v>
          </cell>
          <cell r="N73">
            <v>174.26124999999999</v>
          </cell>
          <cell r="O73">
            <v>217.96937500000001</v>
          </cell>
          <cell r="P73">
            <v>21.4</v>
          </cell>
          <cell r="Q73">
            <v>0</v>
          </cell>
          <cell r="R73">
            <v>512.26</v>
          </cell>
          <cell r="S73">
            <v>573.0625</v>
          </cell>
          <cell r="T73">
            <v>0</v>
          </cell>
          <cell r="U73">
            <v>0</v>
          </cell>
          <cell r="V73">
            <v>0</v>
          </cell>
          <cell r="W73">
            <v>221.20600500323746</v>
          </cell>
          <cell r="X73">
            <v>2740.8771593338602</v>
          </cell>
          <cell r="Y73" t="str">
            <v>sqm</v>
          </cell>
          <cell r="Z73">
            <v>261.79000000000002</v>
          </cell>
          <cell r="AB73">
            <v>717534.23</v>
          </cell>
        </row>
        <row r="74">
          <cell r="D74" t="str">
            <v>B5 : Cement Plaster, Punning and Pointing Work</v>
          </cell>
          <cell r="X74">
            <v>0</v>
          </cell>
        </row>
        <row r="75">
          <cell r="B75" t="str">
            <v>B5_1</v>
          </cell>
          <cell r="C75" t="str">
            <v>H-250/4</v>
          </cell>
          <cell r="D75" t="str">
            <v>t</v>
          </cell>
          <cell r="E75" t="str">
            <v>12.5 mm plastering works in 1:3 cement sand mortar</v>
          </cell>
          <cell r="F75" t="str">
            <v>12.5 mm thick Cement sand plaster work of ratio 1:3 in wall, ceiling and floor as shown in the drawing and as per Clause 2.7 and other related clause of the Specification and as directed by Engineer</v>
          </cell>
          <cell r="I75">
            <v>0</v>
          </cell>
          <cell r="J75">
            <v>0</v>
          </cell>
          <cell r="K75">
            <v>0</v>
          </cell>
          <cell r="L75">
            <v>0</v>
          </cell>
          <cell r="M75">
            <v>1469.1625480841733</v>
          </cell>
          <cell r="N75">
            <v>0</v>
          </cell>
          <cell r="O75">
            <v>0</v>
          </cell>
          <cell r="P75">
            <v>0</v>
          </cell>
          <cell r="Q75">
            <v>0</v>
          </cell>
          <cell r="R75">
            <v>332.04</v>
          </cell>
          <cell r="S75">
            <v>573.0625</v>
          </cell>
          <cell r="T75">
            <v>0</v>
          </cell>
          <cell r="U75">
            <v>0</v>
          </cell>
          <cell r="V75">
            <v>0</v>
          </cell>
          <cell r="W75">
            <v>102.99</v>
          </cell>
          <cell r="X75">
            <v>2477.2550480841728</v>
          </cell>
          <cell r="Y75" t="str">
            <v>sqm</v>
          </cell>
          <cell r="Z75">
            <v>95.21</v>
          </cell>
          <cell r="AB75">
            <v>235859.45</v>
          </cell>
        </row>
        <row r="76">
          <cell r="B76" t="str">
            <v>B5_2</v>
          </cell>
          <cell r="D76" t="str">
            <v>h</v>
          </cell>
          <cell r="E76" t="str">
            <v>12.5 mm plastering works in 1:4 cement sand mortar</v>
          </cell>
          <cell r="F76" t="str">
            <v>12.5 mm thick Cement sand plaster work of ratio 1:4 in wall, ceiling and floor as in the drawing and as per Clause 2.7 and other related clause of the Specification and as directed by Engineer</v>
          </cell>
          <cell r="I76">
            <v>0</v>
          </cell>
          <cell r="J76">
            <v>0</v>
          </cell>
          <cell r="K76">
            <v>0</v>
          </cell>
          <cell r="L76">
            <v>0</v>
          </cell>
          <cell r="M76">
            <v>0</v>
          </cell>
          <cell r="N76">
            <v>39.869374999999998</v>
          </cell>
          <cell r="O76">
            <v>120.006</v>
          </cell>
          <cell r="P76">
            <v>491</v>
          </cell>
          <cell r="Q76">
            <v>0</v>
          </cell>
          <cell r="R76">
            <v>0</v>
          </cell>
          <cell r="S76">
            <v>0</v>
          </cell>
          <cell r="T76">
            <v>0</v>
          </cell>
          <cell r="U76">
            <v>0</v>
          </cell>
          <cell r="V76">
            <v>0</v>
          </cell>
          <cell r="W76">
            <v>124</v>
          </cell>
          <cell r="X76">
            <v>774.87537499999996</v>
          </cell>
          <cell r="Y76" t="str">
            <v>sqm</v>
          </cell>
          <cell r="Z76">
            <v>89.59</v>
          </cell>
          <cell r="AB76">
            <v>69421.08</v>
          </cell>
        </row>
        <row r="77">
          <cell r="B77" t="str">
            <v>B5_3</v>
          </cell>
          <cell r="D77" t="str">
            <v>i</v>
          </cell>
          <cell r="E77" t="str">
            <v>12.5 mm plastering works in 1:6 cement sand mortar</v>
          </cell>
          <cell r="F77" t="str">
            <v>12.5 mm thick Cement sand plaster work of ratio 1:6 in wall, ceiling and floor as shown in the drawing and as per Clause 2.7 and other related clause of the Specification and as directed by Engineer</v>
          </cell>
          <cell r="I77">
            <v>0</v>
          </cell>
          <cell r="J77">
            <v>0</v>
          </cell>
          <cell r="K77">
            <v>0</v>
          </cell>
          <cell r="L77">
            <v>0</v>
          </cell>
          <cell r="M77">
            <v>0</v>
          </cell>
          <cell r="N77">
            <v>221.42649999999998</v>
          </cell>
          <cell r="O77">
            <v>219.68949999999998</v>
          </cell>
          <cell r="P77">
            <v>0</v>
          </cell>
          <cell r="Q77">
            <v>0</v>
          </cell>
          <cell r="R77">
            <v>0</v>
          </cell>
          <cell r="S77">
            <v>0</v>
          </cell>
          <cell r="T77">
            <v>0</v>
          </cell>
          <cell r="U77">
            <v>0</v>
          </cell>
          <cell r="V77">
            <v>0</v>
          </cell>
          <cell r="W77">
            <v>0</v>
          </cell>
          <cell r="X77">
            <v>441.11599999999999</v>
          </cell>
          <cell r="Y77" t="str">
            <v>sqm</v>
          </cell>
          <cell r="Z77">
            <v>78.709999999999994</v>
          </cell>
          <cell r="AB77">
            <v>34720.239999999998</v>
          </cell>
        </row>
        <row r="78">
          <cell r="B78" t="str">
            <v>B5_6</v>
          </cell>
          <cell r="E78" t="str">
            <v>20 mm plastering works in 1:3 cement sand mortar</v>
          </cell>
          <cell r="F78" t="str">
            <v>20 mm thick Cement sand plaster work of ratio 1:3 in wall, ceiling and floor as shown in the drawing and as per Clause 2.7 and other related clause of the Specification and as directed by Engineer</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468.38400000000013</v>
          </cell>
          <cell r="X78">
            <v>468.38400000000013</v>
          </cell>
          <cell r="Y78" t="str">
            <v>sqm</v>
          </cell>
          <cell r="Z78">
            <v>129.96</v>
          </cell>
          <cell r="AB78">
            <v>60871.18</v>
          </cell>
        </row>
        <row r="79">
          <cell r="B79" t="str">
            <v>B5_4</v>
          </cell>
          <cell r="D79" t="str">
            <v>q</v>
          </cell>
          <cell r="E79" t="str">
            <v>20 mm plastering works in 1:4 cement sand mortar</v>
          </cell>
          <cell r="F79" t="str">
            <v>20 mm thick Cement sand plaster work of ratio 1:4 in wall, ceiling and floor as shown in the drawing and as per Clause 2.7 and other related clause of the Specification and as directed by Engineer</v>
          </cell>
          <cell r="I79">
            <v>0</v>
          </cell>
          <cell r="J79">
            <v>0</v>
          </cell>
          <cell r="K79">
            <v>0</v>
          </cell>
          <cell r="L79">
            <v>0</v>
          </cell>
          <cell r="M79">
            <v>0</v>
          </cell>
          <cell r="N79">
            <v>30.869375000000002</v>
          </cell>
          <cell r="O79">
            <v>43.024999999999999</v>
          </cell>
          <cell r="P79">
            <v>0</v>
          </cell>
          <cell r="Q79">
            <v>0</v>
          </cell>
          <cell r="R79">
            <v>0</v>
          </cell>
          <cell r="S79">
            <v>0</v>
          </cell>
          <cell r="T79">
            <v>0</v>
          </cell>
          <cell r="U79">
            <v>0</v>
          </cell>
          <cell r="V79">
            <v>0</v>
          </cell>
          <cell r="W79">
            <v>0</v>
          </cell>
          <cell r="X79">
            <v>73.894374999999997</v>
          </cell>
          <cell r="Y79" t="str">
            <v>sqm</v>
          </cell>
          <cell r="Z79">
            <v>120.04</v>
          </cell>
          <cell r="AB79">
            <v>8870.2800000000007</v>
          </cell>
        </row>
        <row r="80">
          <cell r="B80" t="str">
            <v>B5_5</v>
          </cell>
          <cell r="D80" t="str">
            <v>j</v>
          </cell>
          <cell r="E80" t="str">
            <v>Cement punning works in 1:1 cement sand mortar</v>
          </cell>
          <cell r="F80" t="str">
            <v>Cement punning works in 1:1 cement sand mortar as per Clause 2.7 and other related clause of the Specification and as directed by the Engineer</v>
          </cell>
          <cell r="I80">
            <v>0</v>
          </cell>
          <cell r="J80">
            <v>0</v>
          </cell>
          <cell r="K80">
            <v>0</v>
          </cell>
          <cell r="L80">
            <v>0</v>
          </cell>
          <cell r="M80">
            <v>512.17777730556099</v>
          </cell>
          <cell r="N80">
            <v>65.794375000000002</v>
          </cell>
          <cell r="O80">
            <v>90.376000000000019</v>
          </cell>
          <cell r="P80">
            <v>0</v>
          </cell>
          <cell r="Q80">
            <v>0</v>
          </cell>
          <cell r="R80">
            <v>0</v>
          </cell>
          <cell r="S80">
            <v>0</v>
          </cell>
          <cell r="T80">
            <v>0</v>
          </cell>
          <cell r="U80">
            <v>0</v>
          </cell>
          <cell r="V80">
            <v>0</v>
          </cell>
          <cell r="W80">
            <v>284.92</v>
          </cell>
          <cell r="X80">
            <v>953.26815230556099</v>
          </cell>
          <cell r="Y80" t="str">
            <v>sqm</v>
          </cell>
          <cell r="Z80">
            <v>58.56</v>
          </cell>
          <cell r="AB80">
            <v>55823.38</v>
          </cell>
        </row>
        <row r="81">
          <cell r="B81" t="str">
            <v>B5_7</v>
          </cell>
          <cell r="E81" t="str">
            <v>25 mm PCC in M15 concrete mix in flooring work</v>
          </cell>
          <cell r="F81" t="str">
            <v>25 mm PCC in M15 concrete mix in flooring work (screeding) as per Clause 2.3  and other related clause of the Specification and as directed by Engineer</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160.91999999999999</v>
          </cell>
          <cell r="X81">
            <v>160.91999999999999</v>
          </cell>
          <cell r="Y81" t="str">
            <v>sqm</v>
          </cell>
          <cell r="Z81">
            <v>127.37</v>
          </cell>
          <cell r="AB81">
            <v>20496.38</v>
          </cell>
        </row>
        <row r="82">
          <cell r="D82" t="str">
            <v>B6 : Wood work</v>
          </cell>
          <cell r="X82">
            <v>0</v>
          </cell>
        </row>
        <row r="83">
          <cell r="B83" t="str">
            <v>B6_1</v>
          </cell>
          <cell r="D83" t="str">
            <v>b</v>
          </cell>
          <cell r="E83" t="str">
            <v>Salwood frame work for door and windows</v>
          </cell>
          <cell r="F83" t="str">
            <v>Supply and Fixing of Salwood frame of different size for door and windows as shown in drawing including all fixture and accessories and as per Clause 2.8 and other related clause of the Specification and as directed by the Engineer.</v>
          </cell>
          <cell r="I83">
            <v>0</v>
          </cell>
          <cell r="J83">
            <v>0</v>
          </cell>
          <cell r="K83">
            <v>0</v>
          </cell>
          <cell r="L83">
            <v>0</v>
          </cell>
          <cell r="M83">
            <v>9.8399999999999987E-2</v>
          </cell>
          <cell r="N83">
            <v>0.38981250000000001</v>
          </cell>
          <cell r="O83">
            <v>0.56130749999999996</v>
          </cell>
          <cell r="P83">
            <v>0</v>
          </cell>
          <cell r="Q83">
            <v>0</v>
          </cell>
          <cell r="R83">
            <v>0</v>
          </cell>
          <cell r="S83">
            <v>0</v>
          </cell>
          <cell r="T83">
            <v>0</v>
          </cell>
          <cell r="U83">
            <v>0</v>
          </cell>
          <cell r="V83">
            <v>0</v>
          </cell>
          <cell r="W83">
            <v>0.63</v>
          </cell>
          <cell r="X83">
            <v>1.6795200000000001</v>
          </cell>
          <cell r="Y83" t="str">
            <v>cum</v>
          </cell>
          <cell r="Z83">
            <v>55204.14</v>
          </cell>
          <cell r="AB83">
            <v>92716.46</v>
          </cell>
        </row>
        <row r="84">
          <cell r="B84" t="str">
            <v>B6_2</v>
          </cell>
          <cell r="D84">
            <v>100</v>
          </cell>
          <cell r="E84" t="str">
            <v>Meshed shutter work with 24 gauge G.I. mosquito net in 38 x 75 mm salwood frame</v>
          </cell>
          <cell r="F84" t="str">
            <v>Supply and fixing of 38 x 75mm thick Sal wood with 24 gauge wire mesh shutter for given door, window and ventilation size shown in drawing including all fixture and accessories and as per Clause 2.8 and other related clause of the Specification and as dir</v>
          </cell>
          <cell r="I84">
            <v>0</v>
          </cell>
          <cell r="J84">
            <v>0</v>
          </cell>
          <cell r="K84">
            <v>0</v>
          </cell>
          <cell r="L84">
            <v>0</v>
          </cell>
          <cell r="M84">
            <v>2.94</v>
          </cell>
          <cell r="N84">
            <v>15.255000000000001</v>
          </cell>
          <cell r="O84">
            <v>23.13</v>
          </cell>
          <cell r="P84">
            <v>0</v>
          </cell>
          <cell r="Q84">
            <v>0</v>
          </cell>
          <cell r="R84">
            <v>0</v>
          </cell>
          <cell r="S84">
            <v>0</v>
          </cell>
          <cell r="T84">
            <v>0</v>
          </cell>
          <cell r="U84">
            <v>0</v>
          </cell>
          <cell r="V84">
            <v>0</v>
          </cell>
          <cell r="W84">
            <v>0</v>
          </cell>
          <cell r="X84">
            <v>41.325000000000003</v>
          </cell>
          <cell r="Y84" t="str">
            <v>sqm</v>
          </cell>
          <cell r="Z84">
            <v>1321.17</v>
          </cell>
          <cell r="AB84">
            <v>54597.35</v>
          </cell>
        </row>
        <row r="85">
          <cell r="B85" t="str">
            <v>B6_3</v>
          </cell>
          <cell r="D85" t="str">
            <v>a</v>
          </cell>
          <cell r="E85" t="str">
            <v>Panel shutter work in 38 x 75 mm salwood frame</v>
          </cell>
          <cell r="F85" t="str">
            <v>Supply and fixing of 38 x 75mm thick Sal wood paneled door &amp; window shutter for given door size shown in drawing including all fixture and accessories and as per Clause 2.8 and other related clause of the Specification and as directed by the Engineer.</v>
          </cell>
          <cell r="I85">
            <v>0</v>
          </cell>
          <cell r="J85">
            <v>0</v>
          </cell>
          <cell r="K85">
            <v>0</v>
          </cell>
          <cell r="L85">
            <v>0</v>
          </cell>
          <cell r="M85">
            <v>0.78300000000000003</v>
          </cell>
          <cell r="N85">
            <v>5.0118749999999999</v>
          </cell>
          <cell r="O85">
            <v>11.390625</v>
          </cell>
          <cell r="P85">
            <v>0</v>
          </cell>
          <cell r="Q85">
            <v>0</v>
          </cell>
          <cell r="R85">
            <v>0</v>
          </cell>
          <cell r="S85">
            <v>0</v>
          </cell>
          <cell r="T85">
            <v>0</v>
          </cell>
          <cell r="U85">
            <v>0</v>
          </cell>
          <cell r="V85">
            <v>0</v>
          </cell>
          <cell r="W85">
            <v>8.91</v>
          </cell>
          <cell r="X85">
            <v>26.095500000000001</v>
          </cell>
          <cell r="Y85" t="str">
            <v>sqm</v>
          </cell>
          <cell r="Z85">
            <v>3141.66</v>
          </cell>
          <cell r="AB85">
            <v>81983.19</v>
          </cell>
        </row>
        <row r="86">
          <cell r="B86" t="str">
            <v>B6_4</v>
          </cell>
          <cell r="D86" t="str">
            <v>k</v>
          </cell>
          <cell r="E86" t="str">
            <v xml:space="preserve">Glazed shutter work with 4mm float glass in 38 x 75 mm salwood frame </v>
          </cell>
          <cell r="F86" t="str">
            <v>Glazed shutter door work with 4mm float glass in 38 x 75 mm salwood frame given door size shown in drawing including all fixture and accessories and as per Clause 2.8 and other related clause of the Specification and as directed by the Engineer.</v>
          </cell>
          <cell r="I86">
            <v>0</v>
          </cell>
          <cell r="J86">
            <v>0</v>
          </cell>
          <cell r="K86">
            <v>0</v>
          </cell>
          <cell r="L86">
            <v>0</v>
          </cell>
          <cell r="M86">
            <v>0</v>
          </cell>
          <cell r="N86">
            <v>5.4</v>
          </cell>
          <cell r="O86">
            <v>5.4</v>
          </cell>
          <cell r="P86">
            <v>0</v>
          </cell>
          <cell r="Q86">
            <v>0</v>
          </cell>
          <cell r="R86">
            <v>0</v>
          </cell>
          <cell r="S86">
            <v>0</v>
          </cell>
          <cell r="T86">
            <v>0</v>
          </cell>
          <cell r="U86">
            <v>0</v>
          </cell>
          <cell r="V86">
            <v>0</v>
          </cell>
          <cell r="W86">
            <v>0</v>
          </cell>
          <cell r="X86">
            <v>10.8</v>
          </cell>
          <cell r="Y86" t="str">
            <v>sqm</v>
          </cell>
          <cell r="Z86">
            <v>2189.0500000000002</v>
          </cell>
          <cell r="AB86">
            <v>23641.74</v>
          </cell>
        </row>
        <row r="87">
          <cell r="B87" t="str">
            <v>B6_5</v>
          </cell>
          <cell r="E87" t="str">
            <v xml:space="preserve">Flush shutter work with 4mm plywood in both side in 38 x 75 mm salwood frame </v>
          </cell>
          <cell r="F87" t="str">
            <v>Flush shutter door work with 4mm plywood in both side in 38 x 75 mm salwood frame given door size shown in drawing including all fixture and accessories and as per Clause 2.8 and other related clause of the Specification and as directed by the Engineer.</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9.7200000000000006</v>
          </cell>
          <cell r="X87">
            <v>9.7200000000000006</v>
          </cell>
          <cell r="Y87" t="str">
            <v>sqm</v>
          </cell>
          <cell r="Z87">
            <v>1796.96</v>
          </cell>
          <cell r="AB87">
            <v>17466.45</v>
          </cell>
        </row>
        <row r="88">
          <cell r="B88" t="str">
            <v>B6_6</v>
          </cell>
          <cell r="D88" t="str">
            <v>ac</v>
          </cell>
          <cell r="E88" t="str">
            <v>Installation of 4mm Float glass in Salwood frame with Salwood bead for closed window</v>
          </cell>
          <cell r="F88" t="str">
            <v>Fixing of 4mm float glass in window frame with sal wood beading as size shown in drawing including all fixture and accessories and as per Clause 4.5 and other related clause of the Specification and as directed by the Engineer.</v>
          </cell>
          <cell r="I88">
            <v>0</v>
          </cell>
          <cell r="J88">
            <v>0</v>
          </cell>
          <cell r="K88">
            <v>0</v>
          </cell>
          <cell r="L88">
            <v>0</v>
          </cell>
          <cell r="M88">
            <v>0</v>
          </cell>
          <cell r="N88">
            <v>0</v>
          </cell>
          <cell r="O88">
            <v>1.7748000000000002</v>
          </cell>
          <cell r="P88">
            <v>0</v>
          </cell>
          <cell r="Q88">
            <v>0</v>
          </cell>
          <cell r="R88">
            <v>0</v>
          </cell>
          <cell r="S88">
            <v>0</v>
          </cell>
          <cell r="T88">
            <v>0</v>
          </cell>
          <cell r="U88">
            <v>0</v>
          </cell>
          <cell r="V88">
            <v>0</v>
          </cell>
          <cell r="W88">
            <v>0</v>
          </cell>
          <cell r="X88">
            <v>1.7748000000000002</v>
          </cell>
          <cell r="Y88" t="str">
            <v>sqm</v>
          </cell>
          <cell r="Z88">
            <v>524.91</v>
          </cell>
          <cell r="AB88">
            <v>931.61</v>
          </cell>
        </row>
        <row r="89">
          <cell r="B89" t="str">
            <v>B6_7</v>
          </cell>
          <cell r="E89" t="str">
            <v>Supply and Fixation of RCC Jali for Ventilation</v>
          </cell>
          <cell r="F89" t="str">
            <v>Supply and Fixation of Pre-cast RCC Jali for Ventilation as per drawings, as per Clause 2.3 and other related clause of the Specification and as directed by the Engineer</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12.78</v>
          </cell>
          <cell r="X89">
            <v>12.78</v>
          </cell>
          <cell r="Y89" t="str">
            <v>Sqm</v>
          </cell>
          <cell r="Z89">
            <v>1237.4000000000001</v>
          </cell>
          <cell r="AB89">
            <v>15813.97</v>
          </cell>
        </row>
        <row r="90">
          <cell r="D90" t="str">
            <v>B7 : Surface Finishing Work</v>
          </cell>
          <cell r="X90">
            <v>0</v>
          </cell>
        </row>
        <row r="91">
          <cell r="B91" t="str">
            <v>B7_1</v>
          </cell>
          <cell r="D91" t="str">
            <v>l</v>
          </cell>
          <cell r="E91" t="str">
            <v>Laying primer course and two coats of enamel paint</v>
          </cell>
          <cell r="F91" t="str">
            <v>Laying primer course and two coats of enamel paint as per Clause 2.7 and other related Clause of the Specification and as directed by the Engineer</v>
          </cell>
          <cell r="I91">
            <v>0</v>
          </cell>
          <cell r="J91">
            <v>0</v>
          </cell>
          <cell r="K91">
            <v>0</v>
          </cell>
          <cell r="L91">
            <v>0</v>
          </cell>
          <cell r="M91">
            <v>0</v>
          </cell>
          <cell r="N91">
            <v>30.51</v>
          </cell>
          <cell r="O91">
            <v>46.872000000000007</v>
          </cell>
          <cell r="P91">
            <v>0</v>
          </cell>
          <cell r="Q91">
            <v>0</v>
          </cell>
          <cell r="R91">
            <v>0</v>
          </cell>
          <cell r="S91">
            <v>0</v>
          </cell>
          <cell r="T91">
            <v>0</v>
          </cell>
          <cell r="U91">
            <v>0</v>
          </cell>
          <cell r="V91">
            <v>0</v>
          </cell>
          <cell r="W91">
            <v>49.14</v>
          </cell>
          <cell r="X91">
            <v>126.52200000000001</v>
          </cell>
          <cell r="Y91" t="str">
            <v>sqm</v>
          </cell>
          <cell r="Z91">
            <v>90.35</v>
          </cell>
          <cell r="AB91">
            <v>11431.26</v>
          </cell>
        </row>
        <row r="92">
          <cell r="B92" t="str">
            <v>B7_2</v>
          </cell>
          <cell r="D92" t="str">
            <v>o</v>
          </cell>
          <cell r="E92" t="str">
            <v>Laying base course and two coats of distemper paint</v>
          </cell>
          <cell r="F92" t="str">
            <v>Laying primer course and two coats of Distemper paint as per Clause 2.7 and other related Clause of the Specification and as directed by the Engineer</v>
          </cell>
          <cell r="I92">
            <v>0</v>
          </cell>
          <cell r="J92">
            <v>0</v>
          </cell>
          <cell r="K92">
            <v>0</v>
          </cell>
          <cell r="L92">
            <v>0</v>
          </cell>
          <cell r="M92">
            <v>0</v>
          </cell>
          <cell r="N92">
            <v>158.69687500000001</v>
          </cell>
          <cell r="O92">
            <v>169.90649999999999</v>
          </cell>
          <cell r="P92">
            <v>0</v>
          </cell>
          <cell r="Q92">
            <v>0</v>
          </cell>
          <cell r="R92">
            <v>0</v>
          </cell>
          <cell r="S92">
            <v>0</v>
          </cell>
          <cell r="T92">
            <v>0</v>
          </cell>
          <cell r="U92">
            <v>0</v>
          </cell>
          <cell r="V92">
            <v>0</v>
          </cell>
          <cell r="W92">
            <v>380.7</v>
          </cell>
          <cell r="X92">
            <v>709.30337499999996</v>
          </cell>
          <cell r="Y92" t="str">
            <v>sqm</v>
          </cell>
          <cell r="Z92">
            <v>34.18</v>
          </cell>
          <cell r="AB92">
            <v>24243.99</v>
          </cell>
        </row>
        <row r="93">
          <cell r="B93" t="str">
            <v>B7_3</v>
          </cell>
          <cell r="D93" t="str">
            <v>p</v>
          </cell>
          <cell r="E93" t="str">
            <v>Laying two coat of water proof cement paint</v>
          </cell>
          <cell r="F93" t="str">
            <v>Laying primer course and two coats of Cement paint as per Clause 2.7 and other related Clause of the Specification and as directed by the Engineer</v>
          </cell>
          <cell r="I93">
            <v>0</v>
          </cell>
          <cell r="J93">
            <v>0</v>
          </cell>
          <cell r="K93">
            <v>0</v>
          </cell>
          <cell r="L93">
            <v>0</v>
          </cell>
          <cell r="M93">
            <v>773.78212456080007</v>
          </cell>
          <cell r="N93">
            <v>111.599</v>
          </cell>
          <cell r="O93">
            <v>225.16800000000001</v>
          </cell>
          <cell r="P93">
            <v>0</v>
          </cell>
          <cell r="Q93">
            <v>0</v>
          </cell>
          <cell r="R93">
            <v>0</v>
          </cell>
          <cell r="S93">
            <v>0</v>
          </cell>
          <cell r="T93">
            <v>0</v>
          </cell>
          <cell r="U93">
            <v>0</v>
          </cell>
          <cell r="V93">
            <v>0</v>
          </cell>
          <cell r="W93">
            <v>190.67400000000004</v>
          </cell>
          <cell r="X93">
            <v>1301.2231245608</v>
          </cell>
          <cell r="Y93" t="str">
            <v>sqm</v>
          </cell>
          <cell r="Z93">
            <v>44.56</v>
          </cell>
          <cell r="AB93">
            <v>57982.5</v>
          </cell>
        </row>
        <row r="94">
          <cell r="D94" t="str">
            <v>C</v>
          </cell>
          <cell r="E94" t="str">
            <v>Pipe and Fittings supply, laying and installation work</v>
          </cell>
        </row>
        <row r="95">
          <cell r="B95" t="str">
            <v>C1_1</v>
          </cell>
          <cell r="D95" t="str">
            <v>ci</v>
          </cell>
          <cell r="E95" t="str">
            <v>PIPE HDPE-50/6</v>
          </cell>
          <cell r="F95" t="str">
            <v>HDPE Pipe of 50mm dia. and 6 kgf/sqcm pressure rating</v>
          </cell>
          <cell r="I95">
            <v>0</v>
          </cell>
          <cell r="J95">
            <v>0</v>
          </cell>
          <cell r="K95">
            <v>0</v>
          </cell>
          <cell r="L95">
            <v>0</v>
          </cell>
          <cell r="M95">
            <v>0</v>
          </cell>
          <cell r="N95">
            <v>0</v>
          </cell>
          <cell r="O95">
            <v>0</v>
          </cell>
          <cell r="P95">
            <v>0</v>
          </cell>
          <cell r="Q95">
            <v>16630</v>
          </cell>
          <cell r="R95">
            <v>0</v>
          </cell>
          <cell r="S95">
            <v>0</v>
          </cell>
          <cell r="T95">
            <v>0</v>
          </cell>
          <cell r="U95">
            <v>0</v>
          </cell>
          <cell r="V95">
            <v>0</v>
          </cell>
          <cell r="W95">
            <v>0</v>
          </cell>
          <cell r="X95">
            <v>16630</v>
          </cell>
          <cell r="Y95" t="str">
            <v>m</v>
          </cell>
          <cell r="Z95">
            <v>72.08</v>
          </cell>
          <cell r="AB95">
            <v>1198690.3999999999</v>
          </cell>
        </row>
        <row r="96">
          <cell r="B96" t="str">
            <v>C1_2</v>
          </cell>
          <cell r="D96" t="str">
            <v>cj</v>
          </cell>
          <cell r="E96" t="str">
            <v>PIPE HDPE-40/6</v>
          </cell>
          <cell r="F96" t="str">
            <v>HDPE Pipe of 40mm dia. and 6 kgf/sqcm pressure rating</v>
          </cell>
          <cell r="I96">
            <v>0</v>
          </cell>
          <cell r="J96">
            <v>0</v>
          </cell>
          <cell r="K96">
            <v>0</v>
          </cell>
          <cell r="L96">
            <v>0</v>
          </cell>
          <cell r="M96">
            <v>0</v>
          </cell>
          <cell r="N96">
            <v>0</v>
          </cell>
          <cell r="O96">
            <v>0</v>
          </cell>
          <cell r="P96">
            <v>0</v>
          </cell>
          <cell r="Q96">
            <v>3581</v>
          </cell>
          <cell r="R96">
            <v>0</v>
          </cell>
          <cell r="S96">
            <v>0</v>
          </cell>
          <cell r="T96">
            <v>0</v>
          </cell>
          <cell r="U96">
            <v>0</v>
          </cell>
          <cell r="V96">
            <v>0</v>
          </cell>
          <cell r="W96">
            <v>0</v>
          </cell>
          <cell r="X96">
            <v>3581</v>
          </cell>
          <cell r="Y96" t="str">
            <v>m</v>
          </cell>
          <cell r="Z96">
            <v>46.55</v>
          </cell>
          <cell r="AB96">
            <v>166695.54999999999</v>
          </cell>
        </row>
        <row r="97">
          <cell r="B97" t="str">
            <v>C2_1</v>
          </cell>
          <cell r="D97" t="str">
            <v>av</v>
          </cell>
          <cell r="E97" t="str">
            <v xml:space="preserve">250/4 HDPE pipe laying works </v>
          </cell>
          <cell r="I97">
            <v>0</v>
          </cell>
          <cell r="J97">
            <v>0</v>
          </cell>
          <cell r="K97">
            <v>0</v>
          </cell>
          <cell r="L97">
            <v>0</v>
          </cell>
          <cell r="M97">
            <v>0</v>
          </cell>
          <cell r="N97">
            <v>0</v>
          </cell>
          <cell r="O97">
            <v>0</v>
          </cell>
          <cell r="P97">
            <v>0</v>
          </cell>
          <cell r="Q97">
            <v>53</v>
          </cell>
          <cell r="R97">
            <v>0</v>
          </cell>
          <cell r="S97">
            <v>0</v>
          </cell>
          <cell r="T97">
            <v>0</v>
          </cell>
          <cell r="U97">
            <v>0</v>
          </cell>
          <cell r="V97">
            <v>0</v>
          </cell>
          <cell r="W97">
            <v>0</v>
          </cell>
          <cell r="X97">
            <v>53</v>
          </cell>
          <cell r="Y97" t="str">
            <v>m</v>
          </cell>
          <cell r="Z97">
            <v>28.35</v>
          </cell>
          <cell r="AB97">
            <v>1502.55</v>
          </cell>
        </row>
        <row r="98">
          <cell r="B98" t="str">
            <v>C2_2</v>
          </cell>
          <cell r="D98" t="str">
            <v>aw</v>
          </cell>
          <cell r="E98" t="str">
            <v xml:space="preserve">250/6 HDPE pipe laying works </v>
          </cell>
          <cell r="I98">
            <v>0</v>
          </cell>
          <cell r="J98">
            <v>0</v>
          </cell>
          <cell r="K98">
            <v>0</v>
          </cell>
          <cell r="L98">
            <v>0</v>
          </cell>
          <cell r="M98">
            <v>0</v>
          </cell>
          <cell r="N98">
            <v>0</v>
          </cell>
          <cell r="O98">
            <v>0</v>
          </cell>
          <cell r="P98">
            <v>0</v>
          </cell>
          <cell r="Q98">
            <v>32</v>
          </cell>
          <cell r="R98">
            <v>0</v>
          </cell>
          <cell r="S98">
            <v>0</v>
          </cell>
          <cell r="T98">
            <v>0</v>
          </cell>
          <cell r="U98">
            <v>0</v>
          </cell>
          <cell r="V98">
            <v>0</v>
          </cell>
          <cell r="W98">
            <v>0</v>
          </cell>
          <cell r="X98">
            <v>32</v>
          </cell>
          <cell r="Y98" t="str">
            <v>m</v>
          </cell>
          <cell r="Z98">
            <v>28.35</v>
          </cell>
          <cell r="AB98">
            <v>907.2</v>
          </cell>
        </row>
        <row r="99">
          <cell r="B99" t="str">
            <v>C2_3</v>
          </cell>
          <cell r="D99" t="str">
            <v>ax</v>
          </cell>
          <cell r="E99" t="str">
            <v xml:space="preserve">225/4 HDPE pipe laying works </v>
          </cell>
          <cell r="I99">
            <v>0</v>
          </cell>
          <cell r="J99">
            <v>0</v>
          </cell>
          <cell r="K99">
            <v>0</v>
          </cell>
          <cell r="L99">
            <v>0</v>
          </cell>
          <cell r="M99">
            <v>0</v>
          </cell>
          <cell r="N99">
            <v>0</v>
          </cell>
          <cell r="O99">
            <v>0</v>
          </cell>
          <cell r="P99">
            <v>0</v>
          </cell>
          <cell r="Q99">
            <v>998</v>
          </cell>
          <cell r="R99">
            <v>0</v>
          </cell>
          <cell r="S99">
            <v>0</v>
          </cell>
          <cell r="T99">
            <v>0</v>
          </cell>
          <cell r="U99">
            <v>0</v>
          </cell>
          <cell r="V99">
            <v>0</v>
          </cell>
          <cell r="W99">
            <v>0</v>
          </cell>
          <cell r="X99">
            <v>998</v>
          </cell>
          <cell r="Y99" t="str">
            <v>m</v>
          </cell>
          <cell r="Z99">
            <v>28.35</v>
          </cell>
          <cell r="AB99">
            <v>28293.3</v>
          </cell>
        </row>
        <row r="100">
          <cell r="B100" t="str">
            <v>C2_4</v>
          </cell>
          <cell r="D100" t="str">
            <v>ay</v>
          </cell>
          <cell r="E100" t="str">
            <v xml:space="preserve">225/6 HDPE pipe laying works </v>
          </cell>
          <cell r="I100">
            <v>0</v>
          </cell>
          <cell r="J100">
            <v>0</v>
          </cell>
          <cell r="K100">
            <v>0</v>
          </cell>
          <cell r="L100">
            <v>0</v>
          </cell>
          <cell r="M100">
            <v>0</v>
          </cell>
          <cell r="N100">
            <v>0</v>
          </cell>
          <cell r="O100">
            <v>0</v>
          </cell>
          <cell r="P100">
            <v>0</v>
          </cell>
          <cell r="Q100">
            <v>2608</v>
          </cell>
          <cell r="R100">
            <v>0</v>
          </cell>
          <cell r="S100">
            <v>0</v>
          </cell>
          <cell r="T100">
            <v>0</v>
          </cell>
          <cell r="U100">
            <v>0</v>
          </cell>
          <cell r="V100">
            <v>0</v>
          </cell>
          <cell r="W100">
            <v>0</v>
          </cell>
          <cell r="X100">
            <v>2608</v>
          </cell>
          <cell r="Y100" t="str">
            <v>m</v>
          </cell>
          <cell r="Z100">
            <v>28.35</v>
          </cell>
          <cell r="AB100">
            <v>73936.800000000003</v>
          </cell>
        </row>
        <row r="101">
          <cell r="B101" t="str">
            <v>C2_5</v>
          </cell>
          <cell r="D101" t="str">
            <v>az</v>
          </cell>
          <cell r="E101" t="str">
            <v xml:space="preserve">180/4 HDPE pipe laying works </v>
          </cell>
          <cell r="I101">
            <v>0</v>
          </cell>
          <cell r="J101">
            <v>0</v>
          </cell>
          <cell r="K101">
            <v>0</v>
          </cell>
          <cell r="L101">
            <v>0</v>
          </cell>
          <cell r="M101">
            <v>0</v>
          </cell>
          <cell r="N101">
            <v>0</v>
          </cell>
          <cell r="O101">
            <v>0</v>
          </cell>
          <cell r="P101">
            <v>0</v>
          </cell>
          <cell r="Q101">
            <v>578</v>
          </cell>
          <cell r="R101">
            <v>0</v>
          </cell>
          <cell r="S101">
            <v>0</v>
          </cell>
          <cell r="T101">
            <v>0</v>
          </cell>
          <cell r="U101">
            <v>0</v>
          </cell>
          <cell r="V101">
            <v>0</v>
          </cell>
          <cell r="W101">
            <v>0</v>
          </cell>
          <cell r="X101">
            <v>578</v>
          </cell>
          <cell r="Y101" t="str">
            <v>m</v>
          </cell>
          <cell r="Z101">
            <v>28.35</v>
          </cell>
          <cell r="AB101">
            <v>16386.3</v>
          </cell>
        </row>
        <row r="102">
          <cell r="B102" t="str">
            <v>C2_6</v>
          </cell>
          <cell r="D102" t="str">
            <v>ba</v>
          </cell>
          <cell r="E102" t="str">
            <v xml:space="preserve">180/6 HDPE pipe laying works </v>
          </cell>
          <cell r="I102">
            <v>0</v>
          </cell>
          <cell r="J102">
            <v>0</v>
          </cell>
          <cell r="K102">
            <v>0</v>
          </cell>
          <cell r="L102">
            <v>0</v>
          </cell>
          <cell r="M102">
            <v>0</v>
          </cell>
          <cell r="N102">
            <v>0</v>
          </cell>
          <cell r="O102">
            <v>0</v>
          </cell>
          <cell r="P102">
            <v>0</v>
          </cell>
          <cell r="Q102">
            <v>752</v>
          </cell>
          <cell r="R102">
            <v>0</v>
          </cell>
          <cell r="S102">
            <v>0</v>
          </cell>
          <cell r="T102">
            <v>0</v>
          </cell>
          <cell r="U102">
            <v>0</v>
          </cell>
          <cell r="V102">
            <v>0</v>
          </cell>
          <cell r="W102">
            <v>0</v>
          </cell>
          <cell r="X102">
            <v>752</v>
          </cell>
          <cell r="Y102" t="str">
            <v>m</v>
          </cell>
          <cell r="Z102">
            <v>28.35</v>
          </cell>
          <cell r="AB102">
            <v>21319.200000000001</v>
          </cell>
        </row>
        <row r="103">
          <cell r="B103" t="str">
            <v>C2_7</v>
          </cell>
          <cell r="D103" t="str">
            <v>bb</v>
          </cell>
          <cell r="E103" t="str">
            <v xml:space="preserve">160/6 HDPE pipe laying works </v>
          </cell>
          <cell r="I103">
            <v>0</v>
          </cell>
          <cell r="J103">
            <v>0</v>
          </cell>
          <cell r="K103">
            <v>0</v>
          </cell>
          <cell r="L103">
            <v>0</v>
          </cell>
          <cell r="M103">
            <v>0</v>
          </cell>
          <cell r="N103">
            <v>0</v>
          </cell>
          <cell r="O103">
            <v>0</v>
          </cell>
          <cell r="P103">
            <v>0</v>
          </cell>
          <cell r="Q103">
            <v>2289</v>
          </cell>
          <cell r="R103">
            <v>0</v>
          </cell>
          <cell r="S103">
            <v>0</v>
          </cell>
          <cell r="T103">
            <v>0</v>
          </cell>
          <cell r="U103">
            <v>0</v>
          </cell>
          <cell r="V103">
            <v>0</v>
          </cell>
          <cell r="W103">
            <v>0</v>
          </cell>
          <cell r="X103">
            <v>2289</v>
          </cell>
          <cell r="Y103" t="str">
            <v>m</v>
          </cell>
          <cell r="Z103">
            <v>28.35</v>
          </cell>
          <cell r="AB103">
            <v>64893.15</v>
          </cell>
        </row>
        <row r="104">
          <cell r="B104" t="str">
            <v>C2_8</v>
          </cell>
          <cell r="D104" t="str">
            <v>bc</v>
          </cell>
          <cell r="E104" t="str">
            <v xml:space="preserve">140/4 HDPE pipe laying works </v>
          </cell>
          <cell r="I104">
            <v>0</v>
          </cell>
          <cell r="J104">
            <v>0</v>
          </cell>
          <cell r="K104">
            <v>0</v>
          </cell>
          <cell r="L104">
            <v>0</v>
          </cell>
          <cell r="M104">
            <v>0</v>
          </cell>
          <cell r="N104">
            <v>0</v>
          </cell>
          <cell r="O104">
            <v>0</v>
          </cell>
          <cell r="P104">
            <v>0</v>
          </cell>
          <cell r="Q104">
            <v>1474</v>
          </cell>
          <cell r="R104">
            <v>0</v>
          </cell>
          <cell r="S104">
            <v>0</v>
          </cell>
          <cell r="T104">
            <v>0</v>
          </cell>
          <cell r="U104">
            <v>0</v>
          </cell>
          <cell r="V104">
            <v>0</v>
          </cell>
          <cell r="W104">
            <v>0</v>
          </cell>
          <cell r="X104">
            <v>1474</v>
          </cell>
          <cell r="Y104" t="str">
            <v>m</v>
          </cell>
          <cell r="Z104">
            <v>28.35</v>
          </cell>
          <cell r="AB104">
            <v>41787.9</v>
          </cell>
        </row>
        <row r="105">
          <cell r="B105" t="str">
            <v>C2_9</v>
          </cell>
          <cell r="D105" t="str">
            <v>bd</v>
          </cell>
          <cell r="E105" t="str">
            <v xml:space="preserve">140/6 HDPE pipe laying works </v>
          </cell>
          <cell r="I105">
            <v>0</v>
          </cell>
          <cell r="J105">
            <v>0</v>
          </cell>
          <cell r="K105">
            <v>0</v>
          </cell>
          <cell r="L105">
            <v>0</v>
          </cell>
          <cell r="M105">
            <v>0</v>
          </cell>
          <cell r="N105">
            <v>0</v>
          </cell>
          <cell r="O105">
            <v>0</v>
          </cell>
          <cell r="P105">
            <v>0</v>
          </cell>
          <cell r="Q105">
            <v>7121</v>
          </cell>
          <cell r="R105">
            <v>0</v>
          </cell>
          <cell r="S105">
            <v>0</v>
          </cell>
          <cell r="T105">
            <v>0</v>
          </cell>
          <cell r="U105">
            <v>0</v>
          </cell>
          <cell r="V105">
            <v>0</v>
          </cell>
          <cell r="W105">
            <v>0</v>
          </cell>
          <cell r="X105">
            <v>7121</v>
          </cell>
          <cell r="Y105" t="str">
            <v>m</v>
          </cell>
          <cell r="Z105">
            <v>28.35</v>
          </cell>
          <cell r="AB105">
            <v>201880.35</v>
          </cell>
        </row>
        <row r="106">
          <cell r="B106" t="str">
            <v>C2_10</v>
          </cell>
          <cell r="D106" t="str">
            <v>be</v>
          </cell>
          <cell r="E106" t="str">
            <v xml:space="preserve">125/6 HDPE pipe laying works </v>
          </cell>
          <cell r="I106">
            <v>0</v>
          </cell>
          <cell r="J106">
            <v>0</v>
          </cell>
          <cell r="K106">
            <v>0</v>
          </cell>
          <cell r="L106">
            <v>0</v>
          </cell>
          <cell r="M106">
            <v>0</v>
          </cell>
          <cell r="N106">
            <v>0</v>
          </cell>
          <cell r="O106">
            <v>0</v>
          </cell>
          <cell r="P106">
            <v>0</v>
          </cell>
          <cell r="Q106">
            <v>7227</v>
          </cell>
          <cell r="R106">
            <v>0</v>
          </cell>
          <cell r="S106">
            <v>0</v>
          </cell>
          <cell r="T106">
            <v>0</v>
          </cell>
          <cell r="U106">
            <v>0</v>
          </cell>
          <cell r="V106">
            <v>0</v>
          </cell>
          <cell r="W106">
            <v>0</v>
          </cell>
          <cell r="X106">
            <v>7227</v>
          </cell>
          <cell r="Y106" t="str">
            <v>m</v>
          </cell>
          <cell r="Z106">
            <v>20.88</v>
          </cell>
          <cell r="AB106">
            <v>150899.76</v>
          </cell>
        </row>
        <row r="107">
          <cell r="B107" t="str">
            <v>C2_11</v>
          </cell>
          <cell r="D107" t="str">
            <v>bf</v>
          </cell>
          <cell r="E107" t="str">
            <v xml:space="preserve">110/6 HDPE pipe laying works </v>
          </cell>
          <cell r="I107">
            <v>0</v>
          </cell>
          <cell r="J107">
            <v>0</v>
          </cell>
          <cell r="K107">
            <v>0</v>
          </cell>
          <cell r="L107">
            <v>0</v>
          </cell>
          <cell r="M107">
            <v>0</v>
          </cell>
          <cell r="N107">
            <v>0</v>
          </cell>
          <cell r="O107">
            <v>0</v>
          </cell>
          <cell r="P107">
            <v>0</v>
          </cell>
          <cell r="Q107">
            <v>5883</v>
          </cell>
          <cell r="R107">
            <v>0</v>
          </cell>
          <cell r="S107">
            <v>0</v>
          </cell>
          <cell r="T107">
            <v>0</v>
          </cell>
          <cell r="U107">
            <v>0</v>
          </cell>
          <cell r="V107">
            <v>0</v>
          </cell>
          <cell r="W107">
            <v>0</v>
          </cell>
          <cell r="X107">
            <v>5883</v>
          </cell>
          <cell r="Y107" t="str">
            <v>m</v>
          </cell>
          <cell r="Z107">
            <v>20.88</v>
          </cell>
          <cell r="AB107">
            <v>122837.04</v>
          </cell>
        </row>
        <row r="108">
          <cell r="B108" t="str">
            <v>C2_12</v>
          </cell>
          <cell r="D108" t="str">
            <v>bg</v>
          </cell>
          <cell r="E108" t="str">
            <v xml:space="preserve">90/6 HDPE pipe laying works </v>
          </cell>
          <cell r="I108">
            <v>0</v>
          </cell>
          <cell r="J108">
            <v>0</v>
          </cell>
          <cell r="K108">
            <v>0</v>
          </cell>
          <cell r="L108">
            <v>0</v>
          </cell>
          <cell r="M108">
            <v>0</v>
          </cell>
          <cell r="N108">
            <v>0</v>
          </cell>
          <cell r="O108">
            <v>0</v>
          </cell>
          <cell r="P108">
            <v>0</v>
          </cell>
          <cell r="Q108">
            <v>4808</v>
          </cell>
          <cell r="R108">
            <v>0</v>
          </cell>
          <cell r="S108">
            <v>0</v>
          </cell>
          <cell r="T108">
            <v>0</v>
          </cell>
          <cell r="U108">
            <v>0</v>
          </cell>
          <cell r="V108">
            <v>0</v>
          </cell>
          <cell r="W108">
            <v>0</v>
          </cell>
          <cell r="X108">
            <v>4808</v>
          </cell>
          <cell r="Y108" t="str">
            <v>m</v>
          </cell>
          <cell r="Z108">
            <v>14.06</v>
          </cell>
          <cell r="AB108">
            <v>67600.479999999996</v>
          </cell>
        </row>
        <row r="109">
          <cell r="B109" t="str">
            <v>C2_13</v>
          </cell>
          <cell r="D109" t="str">
            <v>bh</v>
          </cell>
          <cell r="E109" t="str">
            <v xml:space="preserve">75/4 HDPE pipe laying works </v>
          </cell>
          <cell r="I109">
            <v>0</v>
          </cell>
          <cell r="J109">
            <v>0</v>
          </cell>
          <cell r="K109">
            <v>0</v>
          </cell>
          <cell r="L109">
            <v>0</v>
          </cell>
          <cell r="M109">
            <v>0</v>
          </cell>
          <cell r="N109">
            <v>0</v>
          </cell>
          <cell r="O109">
            <v>0</v>
          </cell>
          <cell r="P109">
            <v>0</v>
          </cell>
          <cell r="Q109">
            <v>4898</v>
          </cell>
          <cell r="R109">
            <v>0</v>
          </cell>
          <cell r="S109">
            <v>0</v>
          </cell>
          <cell r="T109">
            <v>0</v>
          </cell>
          <cell r="U109">
            <v>0</v>
          </cell>
          <cell r="V109">
            <v>0</v>
          </cell>
          <cell r="W109">
            <v>0</v>
          </cell>
          <cell r="X109">
            <v>4898</v>
          </cell>
          <cell r="Y109" t="str">
            <v>m</v>
          </cell>
          <cell r="Z109">
            <v>13.48</v>
          </cell>
          <cell r="AB109">
            <v>66025.039999999994</v>
          </cell>
        </row>
        <row r="110">
          <cell r="B110" t="str">
            <v>C2_14</v>
          </cell>
          <cell r="D110" t="str">
            <v>bi</v>
          </cell>
          <cell r="E110" t="str">
            <v xml:space="preserve">75/6 HDPE pipe laying works </v>
          </cell>
          <cell r="I110">
            <v>0</v>
          </cell>
          <cell r="J110">
            <v>0</v>
          </cell>
          <cell r="K110">
            <v>0</v>
          </cell>
          <cell r="L110">
            <v>0</v>
          </cell>
          <cell r="M110">
            <v>0</v>
          </cell>
          <cell r="N110">
            <v>0</v>
          </cell>
          <cell r="O110">
            <v>0</v>
          </cell>
          <cell r="P110">
            <v>0</v>
          </cell>
          <cell r="Q110">
            <v>473</v>
          </cell>
          <cell r="R110">
            <v>0</v>
          </cell>
          <cell r="S110">
            <v>0</v>
          </cell>
          <cell r="T110">
            <v>0</v>
          </cell>
          <cell r="U110">
            <v>0</v>
          </cell>
          <cell r="V110">
            <v>0</v>
          </cell>
          <cell r="W110">
            <v>0</v>
          </cell>
          <cell r="X110">
            <v>473</v>
          </cell>
          <cell r="Y110" t="str">
            <v>m</v>
          </cell>
          <cell r="Z110">
            <v>13.48</v>
          </cell>
          <cell r="AB110">
            <v>6376.04</v>
          </cell>
        </row>
        <row r="111">
          <cell r="B111" t="str">
            <v>C2_15</v>
          </cell>
          <cell r="D111" t="str">
            <v>bj</v>
          </cell>
          <cell r="E111" t="str">
            <v xml:space="preserve">63/6 HDPE pipe laying works </v>
          </cell>
          <cell r="I111">
            <v>0</v>
          </cell>
          <cell r="J111">
            <v>0</v>
          </cell>
          <cell r="K111">
            <v>0</v>
          </cell>
          <cell r="L111">
            <v>0</v>
          </cell>
          <cell r="M111">
            <v>0</v>
          </cell>
          <cell r="N111">
            <v>0</v>
          </cell>
          <cell r="O111">
            <v>0</v>
          </cell>
          <cell r="P111">
            <v>0</v>
          </cell>
          <cell r="Q111">
            <v>4710</v>
          </cell>
          <cell r="R111">
            <v>0</v>
          </cell>
          <cell r="S111">
            <v>0</v>
          </cell>
          <cell r="T111">
            <v>0</v>
          </cell>
          <cell r="U111">
            <v>0</v>
          </cell>
          <cell r="V111">
            <v>0</v>
          </cell>
          <cell r="W111">
            <v>0</v>
          </cell>
          <cell r="X111">
            <v>4710</v>
          </cell>
          <cell r="Y111" t="str">
            <v>m</v>
          </cell>
          <cell r="Z111">
            <v>13.48</v>
          </cell>
          <cell r="AB111">
            <v>63490.8</v>
          </cell>
        </row>
        <row r="112">
          <cell r="B112" t="str">
            <v>C2_16</v>
          </cell>
          <cell r="D112" t="str">
            <v>bm</v>
          </cell>
          <cell r="E112" t="str">
            <v>40mm dia. GI pipe laying works</v>
          </cell>
          <cell r="I112">
            <v>0</v>
          </cell>
          <cell r="J112">
            <v>0</v>
          </cell>
          <cell r="K112">
            <v>0</v>
          </cell>
          <cell r="L112">
            <v>0</v>
          </cell>
          <cell r="M112">
            <v>0</v>
          </cell>
          <cell r="N112">
            <v>0</v>
          </cell>
          <cell r="O112">
            <v>0</v>
          </cell>
          <cell r="P112">
            <v>0</v>
          </cell>
          <cell r="Q112">
            <v>12</v>
          </cell>
          <cell r="R112">
            <v>0</v>
          </cell>
          <cell r="S112">
            <v>0</v>
          </cell>
          <cell r="T112">
            <v>0</v>
          </cell>
          <cell r="U112">
            <v>0</v>
          </cell>
          <cell r="V112">
            <v>0</v>
          </cell>
          <cell r="W112">
            <v>0</v>
          </cell>
          <cell r="X112">
            <v>12</v>
          </cell>
          <cell r="Y112" t="str">
            <v>m</v>
          </cell>
          <cell r="Z112">
            <v>25.44</v>
          </cell>
          <cell r="AB112">
            <v>305.27999999999997</v>
          </cell>
        </row>
        <row r="113">
          <cell r="B113" t="str">
            <v>C2_17</v>
          </cell>
          <cell r="D113" t="str">
            <v>bn</v>
          </cell>
          <cell r="E113" t="str">
            <v>50mm dia. GI pipe laying works</v>
          </cell>
          <cell r="I113">
            <v>0</v>
          </cell>
          <cell r="J113">
            <v>0</v>
          </cell>
          <cell r="K113">
            <v>0</v>
          </cell>
          <cell r="L113">
            <v>0</v>
          </cell>
          <cell r="M113">
            <v>0</v>
          </cell>
          <cell r="N113">
            <v>0</v>
          </cell>
          <cell r="O113">
            <v>0</v>
          </cell>
          <cell r="P113">
            <v>0</v>
          </cell>
          <cell r="Q113">
            <v>12</v>
          </cell>
          <cell r="R113">
            <v>0</v>
          </cell>
          <cell r="S113">
            <v>0</v>
          </cell>
          <cell r="T113">
            <v>0</v>
          </cell>
          <cell r="U113">
            <v>0</v>
          </cell>
          <cell r="V113">
            <v>0</v>
          </cell>
          <cell r="W113">
            <v>0</v>
          </cell>
          <cell r="X113">
            <v>12</v>
          </cell>
          <cell r="Y113" t="str">
            <v>m</v>
          </cell>
          <cell r="Z113">
            <v>25.44</v>
          </cell>
          <cell r="AB113">
            <v>305.27999999999997</v>
          </cell>
        </row>
        <row r="114">
          <cell r="B114" t="str">
            <v>C2_18</v>
          </cell>
          <cell r="D114" t="str">
            <v>bo</v>
          </cell>
          <cell r="E114" t="str">
            <v>63mm dia. GI pipe laying works</v>
          </cell>
          <cell r="I114">
            <v>0</v>
          </cell>
          <cell r="J114">
            <v>0</v>
          </cell>
          <cell r="K114">
            <v>0</v>
          </cell>
          <cell r="L114">
            <v>0</v>
          </cell>
          <cell r="M114">
            <v>0</v>
          </cell>
          <cell r="N114">
            <v>0</v>
          </cell>
          <cell r="O114">
            <v>0</v>
          </cell>
          <cell r="P114">
            <v>0</v>
          </cell>
          <cell r="Q114">
            <v>12</v>
          </cell>
          <cell r="R114">
            <v>0</v>
          </cell>
          <cell r="S114">
            <v>0</v>
          </cell>
          <cell r="T114">
            <v>0</v>
          </cell>
          <cell r="U114">
            <v>0</v>
          </cell>
          <cell r="V114">
            <v>0</v>
          </cell>
          <cell r="W114">
            <v>0</v>
          </cell>
          <cell r="X114">
            <v>12</v>
          </cell>
          <cell r="Y114" t="str">
            <v>m</v>
          </cell>
          <cell r="Z114">
            <v>33.96</v>
          </cell>
          <cell r="AB114">
            <v>407.52</v>
          </cell>
        </row>
        <row r="115">
          <cell r="B115" t="str">
            <v>C2_19</v>
          </cell>
          <cell r="D115" t="str">
            <v>bp</v>
          </cell>
          <cell r="E115" t="str">
            <v>75mm dia. GI pipe laying works</v>
          </cell>
          <cell r="I115">
            <v>0</v>
          </cell>
          <cell r="J115">
            <v>0</v>
          </cell>
          <cell r="K115">
            <v>0</v>
          </cell>
          <cell r="L115">
            <v>0</v>
          </cell>
          <cell r="M115">
            <v>0</v>
          </cell>
          <cell r="N115">
            <v>0</v>
          </cell>
          <cell r="O115">
            <v>0</v>
          </cell>
          <cell r="P115">
            <v>0</v>
          </cell>
          <cell r="Q115">
            <v>12</v>
          </cell>
          <cell r="R115">
            <v>0</v>
          </cell>
          <cell r="S115">
            <v>0</v>
          </cell>
          <cell r="T115">
            <v>0</v>
          </cell>
          <cell r="U115">
            <v>0</v>
          </cell>
          <cell r="V115">
            <v>0</v>
          </cell>
          <cell r="W115">
            <v>0</v>
          </cell>
          <cell r="X115">
            <v>12</v>
          </cell>
          <cell r="Y115" t="str">
            <v>m</v>
          </cell>
          <cell r="Z115">
            <v>33.96</v>
          </cell>
          <cell r="AB115">
            <v>407.52</v>
          </cell>
        </row>
        <row r="116">
          <cell r="B116" t="str">
            <v>C2_20</v>
          </cell>
          <cell r="D116" t="str">
            <v>bq</v>
          </cell>
          <cell r="E116" t="str">
            <v>100mm dia. GI pipe laying works</v>
          </cell>
          <cell r="I116">
            <v>0</v>
          </cell>
          <cell r="J116">
            <v>0</v>
          </cell>
          <cell r="K116">
            <v>0</v>
          </cell>
          <cell r="L116">
            <v>0</v>
          </cell>
          <cell r="M116">
            <v>0</v>
          </cell>
          <cell r="N116">
            <v>0</v>
          </cell>
          <cell r="O116">
            <v>0</v>
          </cell>
          <cell r="P116">
            <v>0</v>
          </cell>
          <cell r="Q116">
            <v>126</v>
          </cell>
          <cell r="R116">
            <v>0</v>
          </cell>
          <cell r="S116">
            <v>0</v>
          </cell>
          <cell r="T116">
            <v>0</v>
          </cell>
          <cell r="U116">
            <v>0</v>
          </cell>
          <cell r="V116">
            <v>0</v>
          </cell>
          <cell r="W116">
            <v>0</v>
          </cell>
          <cell r="X116">
            <v>126</v>
          </cell>
          <cell r="Y116" t="str">
            <v>m</v>
          </cell>
          <cell r="Z116">
            <v>42.48</v>
          </cell>
          <cell r="AB116">
            <v>5352.48</v>
          </cell>
        </row>
        <row r="117">
          <cell r="B117" t="str">
            <v>C2_21</v>
          </cell>
          <cell r="D117" t="str">
            <v>br</v>
          </cell>
          <cell r="E117" t="str">
            <v>125mm dia. GI pipe laying works</v>
          </cell>
          <cell r="I117">
            <v>0</v>
          </cell>
          <cell r="J117">
            <v>0</v>
          </cell>
          <cell r="K117">
            <v>0</v>
          </cell>
          <cell r="L117">
            <v>0</v>
          </cell>
          <cell r="M117">
            <v>0</v>
          </cell>
          <cell r="N117">
            <v>0</v>
          </cell>
          <cell r="O117">
            <v>0</v>
          </cell>
          <cell r="P117">
            <v>0</v>
          </cell>
          <cell r="Q117">
            <v>66</v>
          </cell>
          <cell r="R117">
            <v>0</v>
          </cell>
          <cell r="S117">
            <v>0</v>
          </cell>
          <cell r="T117">
            <v>0</v>
          </cell>
          <cell r="U117">
            <v>0</v>
          </cell>
          <cell r="V117">
            <v>0</v>
          </cell>
          <cell r="W117">
            <v>0</v>
          </cell>
          <cell r="X117">
            <v>66</v>
          </cell>
          <cell r="Y117" t="str">
            <v>m</v>
          </cell>
          <cell r="Z117">
            <v>51.65</v>
          </cell>
          <cell r="AB117">
            <v>3408.9</v>
          </cell>
        </row>
        <row r="118">
          <cell r="B118" t="str">
            <v>C2_22</v>
          </cell>
          <cell r="D118" t="str">
            <v>bs</v>
          </cell>
          <cell r="E118" t="str">
            <v>150mm dia. GI pipe laying works</v>
          </cell>
          <cell r="I118">
            <v>0</v>
          </cell>
          <cell r="J118">
            <v>0</v>
          </cell>
          <cell r="K118">
            <v>0</v>
          </cell>
          <cell r="L118">
            <v>0</v>
          </cell>
          <cell r="M118">
            <v>0</v>
          </cell>
          <cell r="N118">
            <v>0</v>
          </cell>
          <cell r="O118">
            <v>0</v>
          </cell>
          <cell r="P118">
            <v>0</v>
          </cell>
          <cell r="Q118">
            <v>30</v>
          </cell>
          <cell r="R118">
            <v>0</v>
          </cell>
          <cell r="S118">
            <v>0</v>
          </cell>
          <cell r="T118">
            <v>0</v>
          </cell>
          <cell r="U118">
            <v>0</v>
          </cell>
          <cell r="V118">
            <v>0</v>
          </cell>
          <cell r="W118">
            <v>0</v>
          </cell>
          <cell r="X118">
            <v>30</v>
          </cell>
          <cell r="Y118" t="str">
            <v>m</v>
          </cell>
          <cell r="Z118">
            <v>62.76</v>
          </cell>
          <cell r="AB118">
            <v>1882.8</v>
          </cell>
        </row>
        <row r="119">
          <cell r="B119" t="str">
            <v>C2_24</v>
          </cell>
          <cell r="E119" t="str">
            <v xml:space="preserve">200mm dia DI pipe laying works </v>
          </cell>
          <cell r="I119">
            <v>0</v>
          </cell>
          <cell r="J119">
            <v>0</v>
          </cell>
          <cell r="K119">
            <v>0</v>
          </cell>
          <cell r="L119">
            <v>450</v>
          </cell>
          <cell r="M119">
            <v>0</v>
          </cell>
          <cell r="N119">
            <v>0</v>
          </cell>
          <cell r="O119">
            <v>0</v>
          </cell>
          <cell r="P119">
            <v>0</v>
          </cell>
          <cell r="Q119">
            <v>0</v>
          </cell>
          <cell r="R119">
            <v>0</v>
          </cell>
          <cell r="S119">
            <v>0</v>
          </cell>
          <cell r="T119">
            <v>0</v>
          </cell>
          <cell r="U119">
            <v>0</v>
          </cell>
          <cell r="V119">
            <v>0</v>
          </cell>
          <cell r="W119">
            <v>0</v>
          </cell>
          <cell r="X119">
            <v>450</v>
          </cell>
          <cell r="Y119" t="str">
            <v>m</v>
          </cell>
          <cell r="Z119">
            <v>188.28</v>
          </cell>
          <cell r="AB119">
            <v>84726</v>
          </cell>
        </row>
        <row r="120">
          <cell r="B120" t="str">
            <v>C2_23</v>
          </cell>
          <cell r="E120" t="str">
            <v>250mm dia DI pipe laying works</v>
          </cell>
          <cell r="I120">
            <v>0</v>
          </cell>
          <cell r="J120">
            <v>0</v>
          </cell>
          <cell r="K120">
            <v>0</v>
          </cell>
          <cell r="L120">
            <v>200</v>
          </cell>
          <cell r="M120">
            <v>0</v>
          </cell>
          <cell r="N120">
            <v>0</v>
          </cell>
          <cell r="O120">
            <v>0</v>
          </cell>
          <cell r="P120">
            <v>0</v>
          </cell>
          <cell r="Q120">
            <v>0</v>
          </cell>
          <cell r="R120">
            <v>0</v>
          </cell>
          <cell r="S120">
            <v>0</v>
          </cell>
          <cell r="T120">
            <v>0</v>
          </cell>
          <cell r="U120">
            <v>0</v>
          </cell>
          <cell r="V120">
            <v>0</v>
          </cell>
          <cell r="W120">
            <v>0</v>
          </cell>
          <cell r="X120">
            <v>200</v>
          </cell>
          <cell r="Y120" t="str">
            <v>m</v>
          </cell>
          <cell r="Z120">
            <v>376.56</v>
          </cell>
          <cell r="AB120">
            <v>75312</v>
          </cell>
        </row>
        <row r="121">
          <cell r="B121" t="str">
            <v>C2_25</v>
          </cell>
          <cell r="D121" t="str">
            <v>bt</v>
          </cell>
          <cell r="E121" t="str">
            <v>PIPE HDPE-250/4</v>
          </cell>
          <cell r="F121" t="str">
            <v>HDPE Pipe of 250mm dia. and 4 kgf/sqcm pressure rating</v>
          </cell>
          <cell r="I121">
            <v>0</v>
          </cell>
          <cell r="J121">
            <v>0</v>
          </cell>
          <cell r="K121">
            <v>0</v>
          </cell>
          <cell r="L121">
            <v>0</v>
          </cell>
          <cell r="M121">
            <v>0</v>
          </cell>
          <cell r="N121">
            <v>0</v>
          </cell>
          <cell r="O121">
            <v>0</v>
          </cell>
          <cell r="P121">
            <v>0</v>
          </cell>
          <cell r="Q121">
            <v>53</v>
          </cell>
          <cell r="R121">
            <v>0</v>
          </cell>
          <cell r="S121">
            <v>0</v>
          </cell>
          <cell r="T121">
            <v>0</v>
          </cell>
          <cell r="U121">
            <v>0</v>
          </cell>
          <cell r="V121">
            <v>0</v>
          </cell>
          <cell r="W121">
            <v>0</v>
          </cell>
          <cell r="X121">
            <v>53</v>
          </cell>
          <cell r="Y121" t="str">
            <v>m</v>
          </cell>
          <cell r="Z121">
            <v>1221.8699999999999</v>
          </cell>
          <cell r="AB121">
            <v>64759.11</v>
          </cell>
        </row>
        <row r="122">
          <cell r="B122" t="str">
            <v>C2_26</v>
          </cell>
          <cell r="D122" t="str">
            <v>bu</v>
          </cell>
          <cell r="E122" t="str">
            <v>PIPE HDPE-250/6</v>
          </cell>
          <cell r="F122" t="str">
            <v>HDPE Pipe of 250mm dia. and 6 kgf/sqcm pressure rating</v>
          </cell>
          <cell r="I122">
            <v>0</v>
          </cell>
          <cell r="J122">
            <v>0</v>
          </cell>
          <cell r="K122">
            <v>0</v>
          </cell>
          <cell r="L122">
            <v>0</v>
          </cell>
          <cell r="M122">
            <v>0</v>
          </cell>
          <cell r="N122">
            <v>0</v>
          </cell>
          <cell r="O122">
            <v>0</v>
          </cell>
          <cell r="P122">
            <v>0</v>
          </cell>
          <cell r="Q122">
            <v>32</v>
          </cell>
          <cell r="R122">
            <v>0</v>
          </cell>
          <cell r="S122">
            <v>0</v>
          </cell>
          <cell r="T122">
            <v>0</v>
          </cell>
          <cell r="U122">
            <v>0</v>
          </cell>
          <cell r="V122">
            <v>0</v>
          </cell>
          <cell r="W122">
            <v>0</v>
          </cell>
          <cell r="X122">
            <v>32</v>
          </cell>
          <cell r="Y122" t="str">
            <v>m</v>
          </cell>
          <cell r="Z122">
            <v>1734.45</v>
          </cell>
          <cell r="AB122">
            <v>55502.400000000001</v>
          </cell>
        </row>
        <row r="123">
          <cell r="B123" t="str">
            <v>C2_27</v>
          </cell>
          <cell r="D123" t="str">
            <v>bv</v>
          </cell>
          <cell r="E123" t="str">
            <v>PIPE HDPE-225/4</v>
          </cell>
          <cell r="F123" t="str">
            <v>HDPE Pipe of 225mm dia. and 4 kgf/sqcm pressure rating</v>
          </cell>
          <cell r="I123">
            <v>0</v>
          </cell>
          <cell r="J123">
            <v>0</v>
          </cell>
          <cell r="K123">
            <v>0</v>
          </cell>
          <cell r="L123">
            <v>0</v>
          </cell>
          <cell r="M123">
            <v>0</v>
          </cell>
          <cell r="N123">
            <v>0</v>
          </cell>
          <cell r="O123">
            <v>0</v>
          </cell>
          <cell r="P123">
            <v>0</v>
          </cell>
          <cell r="Q123">
            <v>998</v>
          </cell>
          <cell r="R123">
            <v>0</v>
          </cell>
          <cell r="S123">
            <v>0</v>
          </cell>
          <cell r="T123">
            <v>0</v>
          </cell>
          <cell r="U123">
            <v>0</v>
          </cell>
          <cell r="V123">
            <v>0</v>
          </cell>
          <cell r="W123">
            <v>0</v>
          </cell>
          <cell r="X123">
            <v>998</v>
          </cell>
          <cell r="Y123" t="str">
            <v>m</v>
          </cell>
          <cell r="Z123">
            <v>990.18</v>
          </cell>
          <cell r="AB123">
            <v>988199.64</v>
          </cell>
        </row>
        <row r="124">
          <cell r="B124" t="str">
            <v>C2_28</v>
          </cell>
          <cell r="D124" t="str">
            <v>bw</v>
          </cell>
          <cell r="E124" t="str">
            <v>PIPE HDPE-225/6</v>
          </cell>
          <cell r="F124" t="str">
            <v>HDPE Pipe of 225mm dia. and 6 kgf/sqcm pressure rating</v>
          </cell>
          <cell r="I124">
            <v>0</v>
          </cell>
          <cell r="J124">
            <v>0</v>
          </cell>
          <cell r="K124">
            <v>0</v>
          </cell>
          <cell r="L124">
            <v>0</v>
          </cell>
          <cell r="M124">
            <v>0</v>
          </cell>
          <cell r="N124">
            <v>0</v>
          </cell>
          <cell r="O124">
            <v>0</v>
          </cell>
          <cell r="P124">
            <v>0</v>
          </cell>
          <cell r="Q124">
            <v>2608</v>
          </cell>
          <cell r="R124">
            <v>0</v>
          </cell>
          <cell r="S124">
            <v>0</v>
          </cell>
          <cell r="T124">
            <v>0</v>
          </cell>
          <cell r="U124">
            <v>0</v>
          </cell>
          <cell r="V124">
            <v>0</v>
          </cell>
          <cell r="W124">
            <v>0</v>
          </cell>
          <cell r="X124">
            <v>2608</v>
          </cell>
          <cell r="Y124" t="str">
            <v>m</v>
          </cell>
          <cell r="Z124">
            <v>1402.35</v>
          </cell>
          <cell r="AB124">
            <v>3657328.8</v>
          </cell>
        </row>
        <row r="125">
          <cell r="B125" t="str">
            <v>C2_29</v>
          </cell>
          <cell r="D125" t="str">
            <v>bx</v>
          </cell>
          <cell r="E125" t="str">
            <v>PIPE HDPE-180/4</v>
          </cell>
          <cell r="F125" t="str">
            <v>HDPE Pipe of 180mm dia. and 4 kgf/sqcm pressure rating</v>
          </cell>
          <cell r="I125">
            <v>0</v>
          </cell>
          <cell r="J125">
            <v>0</v>
          </cell>
          <cell r="K125">
            <v>0</v>
          </cell>
          <cell r="L125">
            <v>0</v>
          </cell>
          <cell r="M125">
            <v>0</v>
          </cell>
          <cell r="N125">
            <v>0</v>
          </cell>
          <cell r="O125">
            <v>0</v>
          </cell>
          <cell r="P125">
            <v>0</v>
          </cell>
          <cell r="Q125">
            <v>578</v>
          </cell>
          <cell r="R125">
            <v>0</v>
          </cell>
          <cell r="S125">
            <v>0</v>
          </cell>
          <cell r="T125">
            <v>0</v>
          </cell>
          <cell r="U125">
            <v>0</v>
          </cell>
          <cell r="V125">
            <v>0</v>
          </cell>
          <cell r="W125">
            <v>0</v>
          </cell>
          <cell r="X125">
            <v>578</v>
          </cell>
          <cell r="Y125" t="str">
            <v>m</v>
          </cell>
          <cell r="Z125">
            <v>633.34</v>
          </cell>
          <cell r="AB125">
            <v>366070.52</v>
          </cell>
        </row>
        <row r="126">
          <cell r="B126" t="str">
            <v>C2_30</v>
          </cell>
          <cell r="D126" t="str">
            <v>by</v>
          </cell>
          <cell r="E126" t="str">
            <v>PIPE HDPE-180/6</v>
          </cell>
          <cell r="F126" t="str">
            <v>HDPE Pipe of 180mm dia. and 6 kgf/sqcm pressure rating</v>
          </cell>
          <cell r="I126">
            <v>0</v>
          </cell>
          <cell r="J126">
            <v>0</v>
          </cell>
          <cell r="K126">
            <v>0</v>
          </cell>
          <cell r="L126">
            <v>0</v>
          </cell>
          <cell r="M126">
            <v>0</v>
          </cell>
          <cell r="N126">
            <v>0</v>
          </cell>
          <cell r="O126">
            <v>0</v>
          </cell>
          <cell r="P126">
            <v>0</v>
          </cell>
          <cell r="Q126">
            <v>752</v>
          </cell>
          <cell r="R126">
            <v>0</v>
          </cell>
          <cell r="S126">
            <v>0</v>
          </cell>
          <cell r="T126">
            <v>0</v>
          </cell>
          <cell r="U126">
            <v>0</v>
          </cell>
          <cell r="V126">
            <v>0</v>
          </cell>
          <cell r="W126">
            <v>0</v>
          </cell>
          <cell r="X126">
            <v>752</v>
          </cell>
          <cell r="Y126" t="str">
            <v>m</v>
          </cell>
          <cell r="Z126">
            <v>904.4</v>
          </cell>
          <cell r="AB126">
            <v>680108.8</v>
          </cell>
        </row>
        <row r="127">
          <cell r="B127" t="str">
            <v>C2_31</v>
          </cell>
          <cell r="D127" t="str">
            <v>bz</v>
          </cell>
          <cell r="E127" t="str">
            <v>PIPE HDPE-160/6</v>
          </cell>
          <cell r="F127" t="str">
            <v>HDPE Pipe of 160mm dia. and 6 kgf/sqcm pressure rating</v>
          </cell>
          <cell r="I127">
            <v>0</v>
          </cell>
          <cell r="J127">
            <v>0</v>
          </cell>
          <cell r="K127">
            <v>0</v>
          </cell>
          <cell r="L127">
            <v>0</v>
          </cell>
          <cell r="M127">
            <v>0</v>
          </cell>
          <cell r="N127">
            <v>0</v>
          </cell>
          <cell r="O127">
            <v>0</v>
          </cell>
          <cell r="P127">
            <v>0</v>
          </cell>
          <cell r="Q127">
            <v>2289</v>
          </cell>
          <cell r="R127">
            <v>0</v>
          </cell>
          <cell r="S127">
            <v>0</v>
          </cell>
          <cell r="T127">
            <v>0</v>
          </cell>
          <cell r="U127">
            <v>0</v>
          </cell>
          <cell r="V127">
            <v>0</v>
          </cell>
          <cell r="W127">
            <v>0</v>
          </cell>
          <cell r="X127">
            <v>2289</v>
          </cell>
          <cell r="Y127" t="str">
            <v>m</v>
          </cell>
          <cell r="Z127">
            <v>712.21</v>
          </cell>
          <cell r="AB127">
            <v>1630248.69</v>
          </cell>
        </row>
        <row r="128">
          <cell r="B128" t="str">
            <v>C2_32</v>
          </cell>
          <cell r="D128" t="str">
            <v>ca</v>
          </cell>
          <cell r="E128" t="str">
            <v>PIPE HDPE-140/4</v>
          </cell>
          <cell r="F128" t="str">
            <v>HDPE Pipe of 140mm dia. and 4 kgf/sqcm pressure rating</v>
          </cell>
          <cell r="I128">
            <v>0</v>
          </cell>
          <cell r="J128">
            <v>0</v>
          </cell>
          <cell r="K128">
            <v>0</v>
          </cell>
          <cell r="L128">
            <v>0</v>
          </cell>
          <cell r="M128">
            <v>0</v>
          </cell>
          <cell r="N128">
            <v>0</v>
          </cell>
          <cell r="O128">
            <v>0</v>
          </cell>
          <cell r="P128">
            <v>0</v>
          </cell>
          <cell r="Q128">
            <v>1474</v>
          </cell>
          <cell r="R128">
            <v>0</v>
          </cell>
          <cell r="S128">
            <v>0</v>
          </cell>
          <cell r="T128">
            <v>0</v>
          </cell>
          <cell r="U128">
            <v>0</v>
          </cell>
          <cell r="V128">
            <v>0</v>
          </cell>
          <cell r="W128">
            <v>0</v>
          </cell>
          <cell r="X128">
            <v>1474</v>
          </cell>
          <cell r="Y128" t="str">
            <v>m</v>
          </cell>
          <cell r="Z128">
            <v>385.83</v>
          </cell>
          <cell r="AB128">
            <v>568713.42000000004</v>
          </cell>
        </row>
        <row r="129">
          <cell r="B129" t="str">
            <v>C2_33</v>
          </cell>
          <cell r="D129" t="str">
            <v>cb</v>
          </cell>
          <cell r="E129" t="str">
            <v>PIPE HDPE-140/6</v>
          </cell>
          <cell r="F129" t="str">
            <v>HDPE Pipe of 140mm dia. and 6 kgf/sqcm pressure rating</v>
          </cell>
          <cell r="I129">
            <v>0</v>
          </cell>
          <cell r="J129">
            <v>0</v>
          </cell>
          <cell r="K129">
            <v>0</v>
          </cell>
          <cell r="L129">
            <v>0</v>
          </cell>
          <cell r="M129">
            <v>0</v>
          </cell>
          <cell r="N129">
            <v>0</v>
          </cell>
          <cell r="O129">
            <v>0</v>
          </cell>
          <cell r="P129">
            <v>0</v>
          </cell>
          <cell r="Q129">
            <v>7121</v>
          </cell>
          <cell r="R129">
            <v>0</v>
          </cell>
          <cell r="S129">
            <v>0</v>
          </cell>
          <cell r="T129">
            <v>0</v>
          </cell>
          <cell r="U129">
            <v>0</v>
          </cell>
          <cell r="V129">
            <v>0</v>
          </cell>
          <cell r="W129">
            <v>0</v>
          </cell>
          <cell r="X129">
            <v>7121</v>
          </cell>
          <cell r="Y129" t="str">
            <v>m</v>
          </cell>
          <cell r="Z129">
            <v>551.95000000000005</v>
          </cell>
          <cell r="AB129">
            <v>3930435.95</v>
          </cell>
        </row>
        <row r="130">
          <cell r="B130" t="str">
            <v>C2_34</v>
          </cell>
          <cell r="D130" t="str">
            <v>cc</v>
          </cell>
          <cell r="E130" t="str">
            <v>PIPE HDPE-125/6</v>
          </cell>
          <cell r="F130" t="str">
            <v>HDPE Pipe of 125mm dia. and 6 kgf/sqcm pressure rating</v>
          </cell>
          <cell r="I130">
            <v>0</v>
          </cell>
          <cell r="J130">
            <v>0</v>
          </cell>
          <cell r="K130">
            <v>0</v>
          </cell>
          <cell r="L130">
            <v>0</v>
          </cell>
          <cell r="M130">
            <v>0</v>
          </cell>
          <cell r="N130">
            <v>0</v>
          </cell>
          <cell r="O130">
            <v>0</v>
          </cell>
          <cell r="P130">
            <v>0</v>
          </cell>
          <cell r="Q130">
            <v>7227</v>
          </cell>
          <cell r="R130">
            <v>0</v>
          </cell>
          <cell r="S130">
            <v>0</v>
          </cell>
          <cell r="T130">
            <v>0</v>
          </cell>
          <cell r="U130">
            <v>0</v>
          </cell>
          <cell r="V130">
            <v>0</v>
          </cell>
          <cell r="W130">
            <v>0</v>
          </cell>
          <cell r="X130">
            <v>7227</v>
          </cell>
          <cell r="Y130" t="str">
            <v>m</v>
          </cell>
          <cell r="Z130">
            <v>437.96</v>
          </cell>
          <cell r="AB130">
            <v>3165136.92</v>
          </cell>
        </row>
        <row r="131">
          <cell r="B131" t="str">
            <v>C2_35</v>
          </cell>
          <cell r="D131" t="str">
            <v>cd</v>
          </cell>
          <cell r="E131" t="str">
            <v>PIPE HDPE-110/6</v>
          </cell>
          <cell r="F131" t="str">
            <v>HDPE Pipe of 110mm dia. and 6 kgf/sqcm pressure rating</v>
          </cell>
          <cell r="I131">
            <v>0</v>
          </cell>
          <cell r="J131">
            <v>0</v>
          </cell>
          <cell r="K131">
            <v>0</v>
          </cell>
          <cell r="L131">
            <v>0</v>
          </cell>
          <cell r="M131">
            <v>0</v>
          </cell>
          <cell r="N131">
            <v>0</v>
          </cell>
          <cell r="O131">
            <v>0</v>
          </cell>
          <cell r="P131">
            <v>0</v>
          </cell>
          <cell r="Q131">
            <v>5883</v>
          </cell>
          <cell r="R131">
            <v>0</v>
          </cell>
          <cell r="S131">
            <v>0</v>
          </cell>
          <cell r="T131">
            <v>0</v>
          </cell>
          <cell r="U131">
            <v>0</v>
          </cell>
          <cell r="V131">
            <v>0</v>
          </cell>
          <cell r="W131">
            <v>0</v>
          </cell>
          <cell r="X131">
            <v>5883</v>
          </cell>
          <cell r="Y131" t="str">
            <v>m</v>
          </cell>
          <cell r="Z131">
            <v>338.48</v>
          </cell>
          <cell r="AB131">
            <v>1991277.84</v>
          </cell>
        </row>
        <row r="132">
          <cell r="B132" t="str">
            <v>C2_36</v>
          </cell>
          <cell r="D132" t="str">
            <v>ce</v>
          </cell>
          <cell r="E132" t="str">
            <v>PIPE HDPE-90/6</v>
          </cell>
          <cell r="F132" t="str">
            <v>HDPE Pipe of 90mm dia. and 6 kgf/sqcm pressure rating</v>
          </cell>
          <cell r="I132">
            <v>0</v>
          </cell>
          <cell r="J132">
            <v>0</v>
          </cell>
          <cell r="K132">
            <v>0</v>
          </cell>
          <cell r="L132">
            <v>0</v>
          </cell>
          <cell r="M132">
            <v>0</v>
          </cell>
          <cell r="N132">
            <v>0</v>
          </cell>
          <cell r="O132">
            <v>0</v>
          </cell>
          <cell r="P132">
            <v>0</v>
          </cell>
          <cell r="Q132">
            <v>4808</v>
          </cell>
          <cell r="R132">
            <v>0</v>
          </cell>
          <cell r="S132">
            <v>0</v>
          </cell>
          <cell r="T132">
            <v>0</v>
          </cell>
          <cell r="U132">
            <v>0</v>
          </cell>
          <cell r="V132">
            <v>0</v>
          </cell>
          <cell r="W132">
            <v>0</v>
          </cell>
          <cell r="X132">
            <v>4808</v>
          </cell>
          <cell r="Y132" t="str">
            <v>m</v>
          </cell>
          <cell r="Z132">
            <v>228.09</v>
          </cell>
          <cell r="AB132">
            <v>1096656.72</v>
          </cell>
        </row>
        <row r="133">
          <cell r="B133" t="str">
            <v>C2_37</v>
          </cell>
          <cell r="D133" t="str">
            <v>cf</v>
          </cell>
          <cell r="E133" t="str">
            <v>PIPE HDPE-75/6</v>
          </cell>
          <cell r="F133" t="str">
            <v>HDPE Pipe of 75mm dia. and 6 kgf/sqcm pressure rating</v>
          </cell>
          <cell r="I133">
            <v>0</v>
          </cell>
          <cell r="J133">
            <v>0</v>
          </cell>
          <cell r="K133">
            <v>0</v>
          </cell>
          <cell r="L133">
            <v>0</v>
          </cell>
          <cell r="M133">
            <v>0</v>
          </cell>
          <cell r="N133">
            <v>0</v>
          </cell>
          <cell r="O133">
            <v>0</v>
          </cell>
          <cell r="P133">
            <v>0</v>
          </cell>
          <cell r="Q133">
            <v>4898</v>
          </cell>
          <cell r="R133">
            <v>0</v>
          </cell>
          <cell r="S133">
            <v>0</v>
          </cell>
          <cell r="T133">
            <v>0</v>
          </cell>
          <cell r="U133">
            <v>0</v>
          </cell>
          <cell r="V133">
            <v>0</v>
          </cell>
          <cell r="W133">
            <v>0</v>
          </cell>
          <cell r="X133">
            <v>4898</v>
          </cell>
          <cell r="Y133" t="str">
            <v>m</v>
          </cell>
          <cell r="Z133">
            <v>158.4</v>
          </cell>
          <cell r="AB133">
            <v>775843.2</v>
          </cell>
        </row>
        <row r="134">
          <cell r="B134" t="str">
            <v>C2_38</v>
          </cell>
          <cell r="D134" t="str">
            <v>cg</v>
          </cell>
          <cell r="E134" t="str">
            <v>PIPE HDPE-75/4</v>
          </cell>
          <cell r="F134" t="str">
            <v>HDPE Pipe of 75mm dia. and 4 kgf/sqcm pressure rating</v>
          </cell>
          <cell r="I134">
            <v>0</v>
          </cell>
          <cell r="J134">
            <v>0</v>
          </cell>
          <cell r="K134">
            <v>0</v>
          </cell>
          <cell r="L134">
            <v>0</v>
          </cell>
          <cell r="M134">
            <v>0</v>
          </cell>
          <cell r="N134">
            <v>0</v>
          </cell>
          <cell r="O134">
            <v>0</v>
          </cell>
          <cell r="P134">
            <v>0</v>
          </cell>
          <cell r="Q134">
            <v>473</v>
          </cell>
          <cell r="R134">
            <v>0</v>
          </cell>
          <cell r="S134">
            <v>0</v>
          </cell>
          <cell r="T134">
            <v>0</v>
          </cell>
          <cell r="U134">
            <v>0</v>
          </cell>
          <cell r="V134">
            <v>0</v>
          </cell>
          <cell r="W134">
            <v>0</v>
          </cell>
          <cell r="X134">
            <v>473</v>
          </cell>
          <cell r="Y134" t="str">
            <v>m</v>
          </cell>
          <cell r="Z134">
            <v>112.51</v>
          </cell>
          <cell r="AB134">
            <v>53217.23</v>
          </cell>
        </row>
        <row r="135">
          <cell r="B135" t="str">
            <v>C2_39</v>
          </cell>
          <cell r="D135" t="str">
            <v>ch</v>
          </cell>
          <cell r="E135" t="str">
            <v>PIPE HDPE-63/6</v>
          </cell>
          <cell r="F135" t="str">
            <v>HDPE Pipe of 63mm dia. and 6 kgf/sqcm pressure rating</v>
          </cell>
          <cell r="I135">
            <v>0</v>
          </cell>
          <cell r="J135">
            <v>0</v>
          </cell>
          <cell r="K135">
            <v>0</v>
          </cell>
          <cell r="L135">
            <v>0</v>
          </cell>
          <cell r="M135">
            <v>0</v>
          </cell>
          <cell r="N135">
            <v>0</v>
          </cell>
          <cell r="O135">
            <v>0</v>
          </cell>
          <cell r="P135">
            <v>0</v>
          </cell>
          <cell r="Q135">
            <v>4710</v>
          </cell>
          <cell r="R135">
            <v>0</v>
          </cell>
          <cell r="S135">
            <v>0</v>
          </cell>
          <cell r="T135">
            <v>0</v>
          </cell>
          <cell r="U135">
            <v>0</v>
          </cell>
          <cell r="V135">
            <v>0</v>
          </cell>
          <cell r="W135">
            <v>0</v>
          </cell>
          <cell r="X135">
            <v>4710</v>
          </cell>
          <cell r="Y135" t="str">
            <v>m</v>
          </cell>
          <cell r="Z135">
            <v>113.05</v>
          </cell>
          <cell r="AB135">
            <v>532465.5</v>
          </cell>
        </row>
        <row r="136">
          <cell r="B136" t="str">
            <v>C2_40</v>
          </cell>
          <cell r="D136" t="str">
            <v>ck</v>
          </cell>
          <cell r="E136" t="str">
            <v>PIPE GI-40 (M)</v>
          </cell>
          <cell r="F136" t="str">
            <v>GI Pipe of 40mm dia. (medium)</v>
          </cell>
          <cell r="I136">
            <v>0</v>
          </cell>
          <cell r="J136">
            <v>0</v>
          </cell>
          <cell r="K136">
            <v>0</v>
          </cell>
          <cell r="L136">
            <v>0</v>
          </cell>
          <cell r="M136">
            <v>0</v>
          </cell>
          <cell r="N136">
            <v>0</v>
          </cell>
          <cell r="O136">
            <v>0</v>
          </cell>
          <cell r="P136">
            <v>0</v>
          </cell>
          <cell r="Q136">
            <v>12</v>
          </cell>
          <cell r="R136">
            <v>0</v>
          </cell>
          <cell r="S136">
            <v>0</v>
          </cell>
          <cell r="T136">
            <v>0</v>
          </cell>
          <cell r="U136">
            <v>0</v>
          </cell>
          <cell r="V136">
            <v>0</v>
          </cell>
          <cell r="W136">
            <v>0</v>
          </cell>
          <cell r="X136">
            <v>12</v>
          </cell>
          <cell r="Y136" t="str">
            <v>m</v>
          </cell>
          <cell r="Z136">
            <v>250</v>
          </cell>
          <cell r="AB136">
            <v>3000</v>
          </cell>
        </row>
        <row r="137">
          <cell r="B137" t="str">
            <v>C2_41</v>
          </cell>
          <cell r="D137" t="str">
            <v>cl</v>
          </cell>
          <cell r="E137" t="str">
            <v>PIPE GI-50 (M)</v>
          </cell>
          <cell r="F137" t="str">
            <v>GI Pipe of 50mm dia. (medium)</v>
          </cell>
          <cell r="I137">
            <v>0</v>
          </cell>
          <cell r="J137">
            <v>0</v>
          </cell>
          <cell r="K137">
            <v>0</v>
          </cell>
          <cell r="L137">
            <v>0</v>
          </cell>
          <cell r="M137">
            <v>0</v>
          </cell>
          <cell r="N137">
            <v>0</v>
          </cell>
          <cell r="O137">
            <v>0</v>
          </cell>
          <cell r="P137">
            <v>0</v>
          </cell>
          <cell r="Q137">
            <v>12</v>
          </cell>
          <cell r="R137">
            <v>0</v>
          </cell>
          <cell r="S137">
            <v>0</v>
          </cell>
          <cell r="T137">
            <v>0</v>
          </cell>
          <cell r="U137">
            <v>0</v>
          </cell>
          <cell r="V137">
            <v>0</v>
          </cell>
          <cell r="W137">
            <v>0</v>
          </cell>
          <cell r="X137">
            <v>12</v>
          </cell>
          <cell r="Y137" t="str">
            <v>m</v>
          </cell>
          <cell r="Z137">
            <v>344.83</v>
          </cell>
          <cell r="AB137">
            <v>4137.96</v>
          </cell>
        </row>
        <row r="138">
          <cell r="B138" t="str">
            <v>C2_42</v>
          </cell>
          <cell r="D138" t="str">
            <v>cm</v>
          </cell>
          <cell r="E138" t="str">
            <v>PIPE GI-63 (M)</v>
          </cell>
          <cell r="F138" t="str">
            <v>GI Pipe of 65mm dia. (medium)</v>
          </cell>
          <cell r="I138">
            <v>0</v>
          </cell>
          <cell r="J138">
            <v>0</v>
          </cell>
          <cell r="K138">
            <v>0</v>
          </cell>
          <cell r="L138">
            <v>0</v>
          </cell>
          <cell r="M138">
            <v>0</v>
          </cell>
          <cell r="N138">
            <v>0</v>
          </cell>
          <cell r="O138">
            <v>0</v>
          </cell>
          <cell r="P138">
            <v>0</v>
          </cell>
          <cell r="Q138">
            <v>12</v>
          </cell>
          <cell r="R138">
            <v>0</v>
          </cell>
          <cell r="S138">
            <v>0</v>
          </cell>
          <cell r="T138">
            <v>0</v>
          </cell>
          <cell r="U138">
            <v>0</v>
          </cell>
          <cell r="V138">
            <v>0</v>
          </cell>
          <cell r="W138">
            <v>0</v>
          </cell>
          <cell r="X138">
            <v>12</v>
          </cell>
          <cell r="Y138" t="str">
            <v>m</v>
          </cell>
          <cell r="Z138">
            <v>441.66</v>
          </cell>
          <cell r="AB138">
            <v>5299.92</v>
          </cell>
        </row>
        <row r="139">
          <cell r="B139" t="str">
            <v>C2_43</v>
          </cell>
          <cell r="D139" t="str">
            <v>cn</v>
          </cell>
          <cell r="E139" t="str">
            <v>PIPE GI-75 (M)</v>
          </cell>
          <cell r="F139" t="str">
            <v>GI Pipe of 80mm dia. (medium)</v>
          </cell>
          <cell r="I139">
            <v>0</v>
          </cell>
          <cell r="J139">
            <v>0</v>
          </cell>
          <cell r="K139">
            <v>0</v>
          </cell>
          <cell r="L139">
            <v>0</v>
          </cell>
          <cell r="M139">
            <v>0</v>
          </cell>
          <cell r="N139">
            <v>0</v>
          </cell>
          <cell r="O139">
            <v>0</v>
          </cell>
          <cell r="P139">
            <v>0</v>
          </cell>
          <cell r="Q139">
            <v>12</v>
          </cell>
          <cell r="R139">
            <v>0</v>
          </cell>
          <cell r="S139">
            <v>0</v>
          </cell>
          <cell r="T139">
            <v>0</v>
          </cell>
          <cell r="U139">
            <v>0</v>
          </cell>
          <cell r="V139">
            <v>0</v>
          </cell>
          <cell r="W139">
            <v>0</v>
          </cell>
          <cell r="X139">
            <v>12</v>
          </cell>
          <cell r="Y139" t="str">
            <v>m</v>
          </cell>
          <cell r="Z139">
            <v>566.66</v>
          </cell>
          <cell r="AB139">
            <v>6799.92</v>
          </cell>
        </row>
        <row r="140">
          <cell r="B140" t="str">
            <v>C2_44</v>
          </cell>
          <cell r="C140" t="str">
            <v>H-140/4</v>
          </cell>
          <cell r="D140" t="str">
            <v>n</v>
          </cell>
          <cell r="E140" t="str">
            <v>PIPE GI-100 (M)</v>
          </cell>
          <cell r="F140" t="str">
            <v>GI Pipe of 100mm dia. (medium)</v>
          </cell>
          <cell r="I140">
            <v>0</v>
          </cell>
          <cell r="J140">
            <v>0</v>
          </cell>
          <cell r="K140">
            <v>9</v>
          </cell>
          <cell r="L140">
            <v>0</v>
          </cell>
          <cell r="M140">
            <v>0</v>
          </cell>
          <cell r="N140">
            <v>0</v>
          </cell>
          <cell r="O140">
            <v>0</v>
          </cell>
          <cell r="P140">
            <v>0</v>
          </cell>
          <cell r="Q140">
            <v>126</v>
          </cell>
          <cell r="R140">
            <v>0</v>
          </cell>
          <cell r="S140">
            <v>0</v>
          </cell>
          <cell r="T140">
            <v>0</v>
          </cell>
          <cell r="U140">
            <v>0</v>
          </cell>
          <cell r="V140">
            <v>0</v>
          </cell>
          <cell r="W140">
            <v>0</v>
          </cell>
          <cell r="X140">
            <v>135</v>
          </cell>
          <cell r="Y140" t="str">
            <v>m</v>
          </cell>
          <cell r="Z140">
            <v>806.66</v>
          </cell>
          <cell r="AB140">
            <v>108899.1</v>
          </cell>
        </row>
        <row r="141">
          <cell r="B141" t="str">
            <v>C2_45</v>
          </cell>
          <cell r="D141" t="str">
            <v>co</v>
          </cell>
          <cell r="E141" t="str">
            <v>PIPE GI-125 (M)</v>
          </cell>
          <cell r="F141" t="str">
            <v>GI Pipe of 125mm dia. (medium)</v>
          </cell>
          <cell r="I141">
            <v>0</v>
          </cell>
          <cell r="J141">
            <v>0</v>
          </cell>
          <cell r="K141">
            <v>0</v>
          </cell>
          <cell r="L141">
            <v>0</v>
          </cell>
          <cell r="M141">
            <v>0</v>
          </cell>
          <cell r="N141">
            <v>0</v>
          </cell>
          <cell r="O141">
            <v>0</v>
          </cell>
          <cell r="P141">
            <v>0</v>
          </cell>
          <cell r="Q141">
            <v>66</v>
          </cell>
          <cell r="R141">
            <v>0</v>
          </cell>
          <cell r="S141">
            <v>0</v>
          </cell>
          <cell r="T141">
            <v>0</v>
          </cell>
          <cell r="U141">
            <v>0</v>
          </cell>
          <cell r="V141">
            <v>0</v>
          </cell>
          <cell r="W141">
            <v>0</v>
          </cell>
          <cell r="X141">
            <v>66</v>
          </cell>
          <cell r="Y141" t="str">
            <v>m</v>
          </cell>
          <cell r="Z141">
            <v>1210</v>
          </cell>
          <cell r="AB141">
            <v>79860</v>
          </cell>
        </row>
        <row r="142">
          <cell r="B142" t="str">
            <v>C2_46</v>
          </cell>
          <cell r="C142" t="str">
            <v>H-125/6</v>
          </cell>
          <cell r="D142" t="str">
            <v>m</v>
          </cell>
          <cell r="E142" t="str">
            <v>PIPE GI-150 (M)</v>
          </cell>
          <cell r="F142" t="str">
            <v>GI Pipe of 150mm dia. (medium)</v>
          </cell>
          <cell r="I142">
            <v>0</v>
          </cell>
          <cell r="J142">
            <v>0</v>
          </cell>
          <cell r="K142">
            <v>1.8</v>
          </cell>
          <cell r="L142">
            <v>0</v>
          </cell>
          <cell r="M142">
            <v>0</v>
          </cell>
          <cell r="N142">
            <v>0</v>
          </cell>
          <cell r="O142">
            <v>0</v>
          </cell>
          <cell r="P142">
            <v>0</v>
          </cell>
          <cell r="Q142">
            <v>30</v>
          </cell>
          <cell r="R142">
            <v>0</v>
          </cell>
          <cell r="S142">
            <v>0</v>
          </cell>
          <cell r="T142">
            <v>0</v>
          </cell>
          <cell r="U142">
            <v>0</v>
          </cell>
          <cell r="V142">
            <v>0</v>
          </cell>
          <cell r="W142">
            <v>0</v>
          </cell>
          <cell r="X142">
            <v>31.8</v>
          </cell>
          <cell r="Y142" t="str">
            <v>m</v>
          </cell>
          <cell r="Z142">
            <v>1815</v>
          </cell>
          <cell r="AB142">
            <v>57717</v>
          </cell>
        </row>
        <row r="143">
          <cell r="B143" t="str">
            <v>C2_47</v>
          </cell>
          <cell r="E143" t="str">
            <v>PIPE DI-200</v>
          </cell>
          <cell r="F143" t="str">
            <v>DI Pipe of 200mm dia. (K9 spigot Joint 75% Flange Joint 25%)</v>
          </cell>
          <cell r="I143">
            <v>0</v>
          </cell>
          <cell r="J143">
            <v>0</v>
          </cell>
          <cell r="K143">
            <v>0</v>
          </cell>
          <cell r="L143">
            <v>450</v>
          </cell>
          <cell r="M143">
            <v>0</v>
          </cell>
          <cell r="N143">
            <v>0</v>
          </cell>
          <cell r="O143">
            <v>0</v>
          </cell>
          <cell r="P143">
            <v>0</v>
          </cell>
          <cell r="Q143">
            <v>0</v>
          </cell>
          <cell r="R143">
            <v>0</v>
          </cell>
          <cell r="S143">
            <v>0</v>
          </cell>
          <cell r="T143">
            <v>0</v>
          </cell>
          <cell r="U143">
            <v>0</v>
          </cell>
          <cell r="V143">
            <v>0</v>
          </cell>
          <cell r="W143">
            <v>0</v>
          </cell>
          <cell r="X143">
            <v>450</v>
          </cell>
          <cell r="Y143" t="str">
            <v>m</v>
          </cell>
          <cell r="Z143">
            <v>2376</v>
          </cell>
          <cell r="AB143">
            <v>1069200</v>
          </cell>
        </row>
        <row r="144">
          <cell r="B144" t="str">
            <v>C2_48</v>
          </cell>
          <cell r="E144" t="str">
            <v>PIPE DI-250</v>
          </cell>
          <cell r="F144" t="str">
            <v>DI Pipe of 250mm dia. (K9 spigot Joint 75% Flange Joint 25%)</v>
          </cell>
          <cell r="I144">
            <v>0</v>
          </cell>
          <cell r="J144">
            <v>0</v>
          </cell>
          <cell r="K144">
            <v>0</v>
          </cell>
          <cell r="L144">
            <v>200</v>
          </cell>
          <cell r="M144">
            <v>0</v>
          </cell>
          <cell r="N144">
            <v>0</v>
          </cell>
          <cell r="O144">
            <v>0</v>
          </cell>
          <cell r="P144">
            <v>0</v>
          </cell>
          <cell r="Q144">
            <v>0</v>
          </cell>
          <cell r="R144">
            <v>0</v>
          </cell>
          <cell r="S144">
            <v>0</v>
          </cell>
          <cell r="T144">
            <v>0</v>
          </cell>
          <cell r="U144">
            <v>0</v>
          </cell>
          <cell r="V144">
            <v>0</v>
          </cell>
          <cell r="W144">
            <v>0</v>
          </cell>
          <cell r="X144">
            <v>200</v>
          </cell>
          <cell r="Y144" t="str">
            <v>m</v>
          </cell>
          <cell r="Z144">
            <v>3168</v>
          </cell>
          <cell r="AB144">
            <v>633600</v>
          </cell>
        </row>
        <row r="145">
          <cell r="B145" t="str">
            <v>C2_49</v>
          </cell>
          <cell r="D145" t="str">
            <v>ad</v>
          </cell>
          <cell r="E145" t="str">
            <v>15mm dia. GI pipe laying works (with pipe)</v>
          </cell>
          <cell r="F145" t="str">
            <v>15mm dia. GI pipe work in the building including supply of pipe</v>
          </cell>
          <cell r="I145">
            <v>0</v>
          </cell>
          <cell r="J145">
            <v>0</v>
          </cell>
          <cell r="K145">
            <v>0</v>
          </cell>
          <cell r="L145">
            <v>0</v>
          </cell>
          <cell r="M145">
            <v>0</v>
          </cell>
          <cell r="N145">
            <v>0</v>
          </cell>
          <cell r="O145">
            <v>15</v>
          </cell>
          <cell r="P145">
            <v>0</v>
          </cell>
          <cell r="Q145">
            <v>0</v>
          </cell>
          <cell r="R145">
            <v>0</v>
          </cell>
          <cell r="S145">
            <v>0</v>
          </cell>
          <cell r="T145">
            <v>0</v>
          </cell>
          <cell r="U145">
            <v>0</v>
          </cell>
          <cell r="V145">
            <v>0</v>
          </cell>
          <cell r="W145">
            <v>28</v>
          </cell>
          <cell r="X145">
            <v>43</v>
          </cell>
          <cell r="Y145" t="str">
            <v>m</v>
          </cell>
          <cell r="Z145">
            <v>97.12</v>
          </cell>
          <cell r="AB145">
            <v>4176.16</v>
          </cell>
        </row>
        <row r="146">
          <cell r="B146" t="str">
            <v>C2_50</v>
          </cell>
          <cell r="D146" t="str">
            <v>ae</v>
          </cell>
          <cell r="E146" t="str">
            <v>20mm dia. GI pipe laying works (with Pipe)</v>
          </cell>
          <cell r="F146" t="str">
            <v>20mm dia. GI pipe work in the building including supply of pipe</v>
          </cell>
          <cell r="I146">
            <v>0</v>
          </cell>
          <cell r="J146">
            <v>0</v>
          </cell>
          <cell r="K146">
            <v>0</v>
          </cell>
          <cell r="L146">
            <v>0</v>
          </cell>
          <cell r="M146">
            <v>0</v>
          </cell>
          <cell r="N146">
            <v>0</v>
          </cell>
          <cell r="O146">
            <v>6</v>
          </cell>
          <cell r="P146">
            <v>0</v>
          </cell>
          <cell r="Q146">
            <v>0</v>
          </cell>
          <cell r="R146">
            <v>0</v>
          </cell>
          <cell r="S146">
            <v>0</v>
          </cell>
          <cell r="T146">
            <v>0</v>
          </cell>
          <cell r="U146">
            <v>0</v>
          </cell>
          <cell r="V146">
            <v>0</v>
          </cell>
          <cell r="W146">
            <v>28</v>
          </cell>
          <cell r="X146">
            <v>34</v>
          </cell>
          <cell r="Y146" t="str">
            <v>m</v>
          </cell>
          <cell r="Z146">
            <v>122.12</v>
          </cell>
          <cell r="AB146">
            <v>4152.08</v>
          </cell>
        </row>
        <row r="147">
          <cell r="B147" t="str">
            <v>C2_51</v>
          </cell>
          <cell r="D147" t="str">
            <v>ai</v>
          </cell>
          <cell r="E147" t="str">
            <v>PVC Pipe 110mm</v>
          </cell>
          <cell r="F147" t="str">
            <v>PVC Pipe (110mm) laying work in the building including supply of pipe</v>
          </cell>
          <cell r="I147">
            <v>0</v>
          </cell>
          <cell r="J147">
            <v>0</v>
          </cell>
          <cell r="K147">
            <v>0</v>
          </cell>
          <cell r="L147">
            <v>0</v>
          </cell>
          <cell r="M147">
            <v>0</v>
          </cell>
          <cell r="N147">
            <v>0</v>
          </cell>
          <cell r="O147">
            <v>3</v>
          </cell>
          <cell r="P147">
            <v>0</v>
          </cell>
          <cell r="Q147">
            <v>0</v>
          </cell>
          <cell r="R147">
            <v>0</v>
          </cell>
          <cell r="S147">
            <v>0</v>
          </cell>
          <cell r="T147">
            <v>0</v>
          </cell>
          <cell r="U147">
            <v>0</v>
          </cell>
          <cell r="V147">
            <v>0</v>
          </cell>
          <cell r="W147">
            <v>24</v>
          </cell>
          <cell r="X147">
            <v>27</v>
          </cell>
          <cell r="Y147" t="str">
            <v>Rm</v>
          </cell>
          <cell r="Z147">
            <v>100</v>
          </cell>
          <cell r="AB147">
            <v>2700</v>
          </cell>
        </row>
        <row r="148">
          <cell r="B148" t="str">
            <v>C2_52</v>
          </cell>
          <cell r="D148" t="str">
            <v>aj</v>
          </cell>
          <cell r="E148" t="str">
            <v>PVC Pipe 75mm</v>
          </cell>
          <cell r="F148" t="str">
            <v>PVC Pipe (75mm) laying work in the building including supply of pipe</v>
          </cell>
          <cell r="I148">
            <v>0</v>
          </cell>
          <cell r="J148">
            <v>0</v>
          </cell>
          <cell r="K148">
            <v>0</v>
          </cell>
          <cell r="L148">
            <v>0</v>
          </cell>
          <cell r="M148">
            <v>0</v>
          </cell>
          <cell r="N148">
            <v>0</v>
          </cell>
          <cell r="O148">
            <v>18</v>
          </cell>
          <cell r="P148">
            <v>0</v>
          </cell>
          <cell r="Q148">
            <v>0</v>
          </cell>
          <cell r="R148">
            <v>0</v>
          </cell>
          <cell r="S148">
            <v>0</v>
          </cell>
          <cell r="T148">
            <v>0</v>
          </cell>
          <cell r="U148">
            <v>0</v>
          </cell>
          <cell r="V148">
            <v>0</v>
          </cell>
          <cell r="W148">
            <v>36</v>
          </cell>
          <cell r="X148">
            <v>54</v>
          </cell>
          <cell r="Y148" t="str">
            <v>Rm</v>
          </cell>
          <cell r="Z148">
            <v>75</v>
          </cell>
          <cell r="AB148">
            <v>4050</v>
          </cell>
        </row>
        <row r="149">
          <cell r="B149" t="str">
            <v>C2_53</v>
          </cell>
          <cell r="D149" t="str">
            <v>ak</v>
          </cell>
          <cell r="E149" t="str">
            <v>PVC Pipe 50mm</v>
          </cell>
          <cell r="F149" t="str">
            <v>PVC Pipe (50mm) laying work in the building including supply of pipe</v>
          </cell>
          <cell r="I149">
            <v>0</v>
          </cell>
          <cell r="J149">
            <v>0</v>
          </cell>
          <cell r="K149">
            <v>0</v>
          </cell>
          <cell r="L149">
            <v>0</v>
          </cell>
          <cell r="M149">
            <v>0</v>
          </cell>
          <cell r="N149">
            <v>0</v>
          </cell>
          <cell r="O149">
            <v>5</v>
          </cell>
          <cell r="P149">
            <v>0</v>
          </cell>
          <cell r="Q149">
            <v>0</v>
          </cell>
          <cell r="R149">
            <v>0</v>
          </cell>
          <cell r="S149">
            <v>0</v>
          </cell>
          <cell r="T149">
            <v>0</v>
          </cell>
          <cell r="U149">
            <v>0</v>
          </cell>
          <cell r="V149">
            <v>0</v>
          </cell>
          <cell r="W149">
            <v>24</v>
          </cell>
          <cell r="X149">
            <v>29</v>
          </cell>
          <cell r="Y149" t="str">
            <v>Rm</v>
          </cell>
          <cell r="Z149">
            <v>50</v>
          </cell>
          <cell r="AB149">
            <v>1450</v>
          </cell>
        </row>
        <row r="150">
          <cell r="B150" t="str">
            <v>C2_54</v>
          </cell>
          <cell r="E150" t="str">
            <v>25mm dia. GI pipe laying works (with Pipe)</v>
          </cell>
          <cell r="F150" t="str">
            <v>25mm dia. GI pipe work in the building including supply of pipe</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8</v>
          </cell>
          <cell r="X150">
            <v>8</v>
          </cell>
          <cell r="Y150" t="str">
            <v>m</v>
          </cell>
          <cell r="Z150">
            <v>185.87</v>
          </cell>
          <cell r="AB150">
            <v>1486.96</v>
          </cell>
        </row>
        <row r="151">
          <cell r="B151" t="str">
            <v>C2_55</v>
          </cell>
          <cell r="E151" t="str">
            <v>H Connection of PVC pipe 110mm</v>
          </cell>
          <cell r="F151" t="str">
            <v>H Connection of PVC pipe 110mm as per drawing in Building</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18</v>
          </cell>
          <cell r="X151">
            <v>18</v>
          </cell>
          <cell r="Y151" t="str">
            <v>No</v>
          </cell>
          <cell r="Z151">
            <v>230</v>
          </cell>
          <cell r="AB151">
            <v>4140</v>
          </cell>
        </row>
        <row r="152">
          <cell r="E152" t="str">
            <v>Fittings</v>
          </cell>
        </row>
        <row r="153">
          <cell r="B153" t="str">
            <v>C3_1</v>
          </cell>
          <cell r="D153" t="str">
            <v>cv</v>
          </cell>
          <cell r="E153" t="str">
            <v>Double Flange Conc. Tee (300mm x 200mm DI)</v>
          </cell>
          <cell r="F153" t="str">
            <v>Double Flange Conc. Tee (300mm x 200mm DI)</v>
          </cell>
          <cell r="I153">
            <v>0</v>
          </cell>
          <cell r="J153">
            <v>0</v>
          </cell>
          <cell r="K153">
            <v>0</v>
          </cell>
          <cell r="L153">
            <v>0</v>
          </cell>
          <cell r="M153">
            <v>0</v>
          </cell>
          <cell r="N153">
            <v>0</v>
          </cell>
          <cell r="O153">
            <v>0</v>
          </cell>
          <cell r="P153">
            <v>0</v>
          </cell>
          <cell r="Q153">
            <v>0</v>
          </cell>
          <cell r="R153">
            <v>0</v>
          </cell>
          <cell r="S153">
            <v>0</v>
          </cell>
          <cell r="T153">
            <v>0</v>
          </cell>
          <cell r="U153">
            <v>2</v>
          </cell>
          <cell r="V153">
            <v>0</v>
          </cell>
          <cell r="W153">
            <v>0</v>
          </cell>
          <cell r="X153">
            <v>2</v>
          </cell>
          <cell r="Y153" t="str">
            <v>No</v>
          </cell>
          <cell r="Z153">
            <v>5493.3539999999994</v>
          </cell>
          <cell r="AB153">
            <v>10986.71</v>
          </cell>
        </row>
        <row r="154">
          <cell r="B154" t="str">
            <v>C3_2</v>
          </cell>
          <cell r="D154" t="str">
            <v>cw</v>
          </cell>
          <cell r="E154" t="str">
            <v>Double Flange Tail Piece (200mm DI)</v>
          </cell>
          <cell r="F154" t="str">
            <v>Double Flange Tail Piece (200mm DI)</v>
          </cell>
          <cell r="I154">
            <v>0</v>
          </cell>
          <cell r="J154">
            <v>0</v>
          </cell>
          <cell r="K154">
            <v>0</v>
          </cell>
          <cell r="L154">
            <v>0</v>
          </cell>
          <cell r="M154">
            <v>0</v>
          </cell>
          <cell r="N154">
            <v>0</v>
          </cell>
          <cell r="O154">
            <v>0</v>
          </cell>
          <cell r="P154">
            <v>0</v>
          </cell>
          <cell r="Q154">
            <v>0</v>
          </cell>
          <cell r="R154">
            <v>0</v>
          </cell>
          <cell r="S154">
            <v>0</v>
          </cell>
          <cell r="T154">
            <v>0</v>
          </cell>
          <cell r="U154">
            <v>13</v>
          </cell>
          <cell r="V154">
            <v>0</v>
          </cell>
          <cell r="W154">
            <v>0</v>
          </cell>
          <cell r="X154">
            <v>13</v>
          </cell>
          <cell r="Y154" t="str">
            <v>No</v>
          </cell>
          <cell r="Z154">
            <v>3818.3879999999995</v>
          </cell>
          <cell r="AB154">
            <v>49639.040000000001</v>
          </cell>
        </row>
        <row r="155">
          <cell r="B155" t="str">
            <v>C3_3</v>
          </cell>
          <cell r="D155" t="str">
            <v>cx</v>
          </cell>
          <cell r="E155" t="str">
            <v>Flange Tail Piece (200mm DI)</v>
          </cell>
          <cell r="F155" t="str">
            <v>Flange Tail Piece (200mm DI)</v>
          </cell>
          <cell r="I155">
            <v>0</v>
          </cell>
          <cell r="J155">
            <v>0</v>
          </cell>
          <cell r="K155">
            <v>0</v>
          </cell>
          <cell r="L155">
            <v>0</v>
          </cell>
          <cell r="M155">
            <v>0</v>
          </cell>
          <cell r="N155">
            <v>0</v>
          </cell>
          <cell r="O155">
            <v>0</v>
          </cell>
          <cell r="P155">
            <v>0</v>
          </cell>
          <cell r="Q155">
            <v>0</v>
          </cell>
          <cell r="R155">
            <v>0</v>
          </cell>
          <cell r="S155">
            <v>0</v>
          </cell>
          <cell r="T155">
            <v>0</v>
          </cell>
          <cell r="U155">
            <v>25</v>
          </cell>
          <cell r="V155">
            <v>0</v>
          </cell>
          <cell r="W155">
            <v>0</v>
          </cell>
          <cell r="X155">
            <v>25</v>
          </cell>
          <cell r="Y155" t="str">
            <v>No</v>
          </cell>
          <cell r="Z155">
            <v>3818.3879999999995</v>
          </cell>
          <cell r="AB155">
            <v>95459.7</v>
          </cell>
        </row>
        <row r="156">
          <cell r="B156" t="str">
            <v>C3_4</v>
          </cell>
          <cell r="D156" t="str">
            <v>cy</v>
          </cell>
          <cell r="E156" t="str">
            <v>Flange Tail Piece (300mm DI)</v>
          </cell>
          <cell r="F156" t="str">
            <v>Flange Tail Piece (300mm DI)</v>
          </cell>
          <cell r="I156">
            <v>0</v>
          </cell>
          <cell r="J156">
            <v>0</v>
          </cell>
          <cell r="K156">
            <v>0</v>
          </cell>
          <cell r="L156">
            <v>0</v>
          </cell>
          <cell r="M156">
            <v>0</v>
          </cell>
          <cell r="N156">
            <v>0</v>
          </cell>
          <cell r="O156">
            <v>0</v>
          </cell>
          <cell r="P156">
            <v>0</v>
          </cell>
          <cell r="Q156">
            <v>0</v>
          </cell>
          <cell r="R156">
            <v>0</v>
          </cell>
          <cell r="S156">
            <v>0</v>
          </cell>
          <cell r="T156">
            <v>0</v>
          </cell>
          <cell r="U156">
            <v>3</v>
          </cell>
          <cell r="V156">
            <v>0</v>
          </cell>
          <cell r="W156">
            <v>0</v>
          </cell>
          <cell r="X156">
            <v>3</v>
          </cell>
          <cell r="Y156" t="str">
            <v>No</v>
          </cell>
          <cell r="Z156">
            <v>6408.2579999999998</v>
          </cell>
          <cell r="AB156">
            <v>19224.77</v>
          </cell>
        </row>
        <row r="157">
          <cell r="B157" t="str">
            <v>C3_5</v>
          </cell>
          <cell r="D157" t="str">
            <v>cz</v>
          </cell>
          <cell r="E157" t="str">
            <v>Double Flange Bend (200mm DI)</v>
          </cell>
          <cell r="F157" t="str">
            <v>Double Flange Bend (200mm DI)</v>
          </cell>
          <cell r="I157">
            <v>0</v>
          </cell>
          <cell r="J157">
            <v>0</v>
          </cell>
          <cell r="K157">
            <v>0</v>
          </cell>
          <cell r="L157">
            <v>0</v>
          </cell>
          <cell r="M157">
            <v>0</v>
          </cell>
          <cell r="N157">
            <v>0</v>
          </cell>
          <cell r="O157">
            <v>0</v>
          </cell>
          <cell r="P157">
            <v>0</v>
          </cell>
          <cell r="Q157">
            <v>0</v>
          </cell>
          <cell r="R157">
            <v>0</v>
          </cell>
          <cell r="S157">
            <v>0</v>
          </cell>
          <cell r="T157">
            <v>0</v>
          </cell>
          <cell r="U157">
            <v>12</v>
          </cell>
          <cell r="V157">
            <v>0</v>
          </cell>
          <cell r="W157">
            <v>0</v>
          </cell>
          <cell r="X157">
            <v>12</v>
          </cell>
          <cell r="Y157" t="str">
            <v>No</v>
          </cell>
          <cell r="Z157">
            <v>4020.39</v>
          </cell>
          <cell r="AB157">
            <v>48244.68</v>
          </cell>
        </row>
        <row r="158">
          <cell r="B158" t="str">
            <v>C3_6</v>
          </cell>
          <cell r="D158" t="str">
            <v>da</v>
          </cell>
          <cell r="E158" t="str">
            <v>Flanged Tee (200mm DI)</v>
          </cell>
          <cell r="F158" t="str">
            <v>Flanged Tee (200mm DI)</v>
          </cell>
          <cell r="I158">
            <v>0</v>
          </cell>
          <cell r="J158">
            <v>0</v>
          </cell>
          <cell r="K158">
            <v>0</v>
          </cell>
          <cell r="L158">
            <v>0</v>
          </cell>
          <cell r="M158">
            <v>0</v>
          </cell>
          <cell r="N158">
            <v>0</v>
          </cell>
          <cell r="O158">
            <v>0</v>
          </cell>
          <cell r="P158">
            <v>0</v>
          </cell>
          <cell r="Q158">
            <v>0</v>
          </cell>
          <cell r="R158">
            <v>0</v>
          </cell>
          <cell r="S158">
            <v>0</v>
          </cell>
          <cell r="T158">
            <v>0</v>
          </cell>
          <cell r="U158">
            <v>4</v>
          </cell>
          <cell r="V158">
            <v>0</v>
          </cell>
          <cell r="W158">
            <v>0</v>
          </cell>
          <cell r="X158">
            <v>4</v>
          </cell>
          <cell r="Y158" t="str">
            <v>No</v>
          </cell>
          <cell r="Z158">
            <v>5659.2</v>
          </cell>
          <cell r="AB158">
            <v>22636.799999999999</v>
          </cell>
        </row>
        <row r="159">
          <cell r="B159" t="str">
            <v>C3_7</v>
          </cell>
          <cell r="D159" t="str">
            <v>db</v>
          </cell>
          <cell r="E159" t="str">
            <v>Flanged Tee (250mm DI)</v>
          </cell>
          <cell r="F159" t="str">
            <v>Flanged Tee (250mm DI)</v>
          </cell>
          <cell r="I159">
            <v>0</v>
          </cell>
          <cell r="J159">
            <v>0</v>
          </cell>
          <cell r="K159">
            <v>0</v>
          </cell>
          <cell r="L159">
            <v>0</v>
          </cell>
          <cell r="M159">
            <v>0</v>
          </cell>
          <cell r="N159">
            <v>0</v>
          </cell>
          <cell r="O159">
            <v>0</v>
          </cell>
          <cell r="P159">
            <v>0</v>
          </cell>
          <cell r="Q159">
            <v>0</v>
          </cell>
          <cell r="R159">
            <v>0</v>
          </cell>
          <cell r="S159">
            <v>0</v>
          </cell>
          <cell r="T159">
            <v>0</v>
          </cell>
          <cell r="U159">
            <v>1</v>
          </cell>
          <cell r="V159">
            <v>0</v>
          </cell>
          <cell r="W159">
            <v>0</v>
          </cell>
          <cell r="X159">
            <v>1</v>
          </cell>
          <cell r="Y159" t="str">
            <v>No</v>
          </cell>
          <cell r="Z159">
            <v>8559.5400000000009</v>
          </cell>
          <cell r="AB159">
            <v>8559.5400000000009</v>
          </cell>
        </row>
        <row r="160">
          <cell r="B160" t="str">
            <v>C3_8</v>
          </cell>
          <cell r="D160" t="str">
            <v>de</v>
          </cell>
          <cell r="E160" t="str">
            <v>Mechanical Coupling (200mm DI)</v>
          </cell>
          <cell r="F160" t="str">
            <v>Mechanical Coupling (200mm DI)</v>
          </cell>
          <cell r="I160">
            <v>0</v>
          </cell>
          <cell r="J160">
            <v>0</v>
          </cell>
          <cell r="K160">
            <v>0</v>
          </cell>
          <cell r="L160">
            <v>0</v>
          </cell>
          <cell r="M160">
            <v>0</v>
          </cell>
          <cell r="N160">
            <v>0</v>
          </cell>
          <cell r="O160">
            <v>0</v>
          </cell>
          <cell r="P160">
            <v>0</v>
          </cell>
          <cell r="Q160">
            <v>0</v>
          </cell>
          <cell r="R160">
            <v>0</v>
          </cell>
          <cell r="S160">
            <v>0</v>
          </cell>
          <cell r="T160">
            <v>0</v>
          </cell>
          <cell r="U160">
            <v>19</v>
          </cell>
          <cell r="V160">
            <v>0</v>
          </cell>
          <cell r="W160">
            <v>0</v>
          </cell>
          <cell r="X160">
            <v>19</v>
          </cell>
          <cell r="Y160" t="str">
            <v>No</v>
          </cell>
          <cell r="Z160">
            <v>4008.6</v>
          </cell>
          <cell r="AB160">
            <v>76163.399999999994</v>
          </cell>
        </row>
        <row r="161">
          <cell r="B161" t="str">
            <v>C3_9</v>
          </cell>
          <cell r="D161" t="str">
            <v>df</v>
          </cell>
          <cell r="E161" t="str">
            <v>Mechanical Coupling (250mm DI)</v>
          </cell>
          <cell r="F161" t="str">
            <v>Mechanical Coupling (250mm DI)</v>
          </cell>
          <cell r="I161">
            <v>0</v>
          </cell>
          <cell r="J161">
            <v>0</v>
          </cell>
          <cell r="K161">
            <v>0</v>
          </cell>
          <cell r="L161">
            <v>0</v>
          </cell>
          <cell r="M161">
            <v>0</v>
          </cell>
          <cell r="N161">
            <v>0</v>
          </cell>
          <cell r="O161">
            <v>0</v>
          </cell>
          <cell r="P161">
            <v>0</v>
          </cell>
          <cell r="Q161">
            <v>0</v>
          </cell>
          <cell r="R161">
            <v>0</v>
          </cell>
          <cell r="S161">
            <v>0</v>
          </cell>
          <cell r="T161">
            <v>0</v>
          </cell>
          <cell r="U161">
            <v>1</v>
          </cell>
          <cell r="V161">
            <v>0</v>
          </cell>
          <cell r="W161">
            <v>0</v>
          </cell>
          <cell r="X161">
            <v>1</v>
          </cell>
          <cell r="Y161" t="str">
            <v>No</v>
          </cell>
          <cell r="Z161">
            <v>4833.8999999999996</v>
          </cell>
          <cell r="AB161">
            <v>4833.8999999999996</v>
          </cell>
        </row>
        <row r="162">
          <cell r="B162" t="str">
            <v>C3_10</v>
          </cell>
          <cell r="D162" t="str">
            <v>dg</v>
          </cell>
          <cell r="E162" t="str">
            <v>Double Flange Conc. Taper (250mmx200mm DI)</v>
          </cell>
          <cell r="F162" t="str">
            <v>Double Flange Conc. Taper (250mmx200mm DI)</v>
          </cell>
          <cell r="I162">
            <v>0</v>
          </cell>
          <cell r="J162">
            <v>0</v>
          </cell>
          <cell r="K162">
            <v>0</v>
          </cell>
          <cell r="L162">
            <v>0</v>
          </cell>
          <cell r="M162">
            <v>0</v>
          </cell>
          <cell r="N162">
            <v>0</v>
          </cell>
          <cell r="O162">
            <v>0</v>
          </cell>
          <cell r="P162">
            <v>0</v>
          </cell>
          <cell r="Q162">
            <v>0</v>
          </cell>
          <cell r="R162">
            <v>0</v>
          </cell>
          <cell r="S162">
            <v>0</v>
          </cell>
          <cell r="T162">
            <v>0</v>
          </cell>
          <cell r="U162">
            <v>2</v>
          </cell>
          <cell r="V162">
            <v>0</v>
          </cell>
          <cell r="W162">
            <v>0</v>
          </cell>
          <cell r="X162">
            <v>2</v>
          </cell>
          <cell r="Y162" t="str">
            <v>No</v>
          </cell>
          <cell r="Z162">
            <v>4577.7950000000001</v>
          </cell>
          <cell r="AB162">
            <v>9155.59</v>
          </cell>
        </row>
        <row r="163">
          <cell r="B163" t="str">
            <v>C3_11</v>
          </cell>
          <cell r="D163" t="str">
            <v>dh</v>
          </cell>
          <cell r="E163" t="str">
            <v>Flange Tail Piece (250mm DI)</v>
          </cell>
          <cell r="F163" t="str">
            <v>Flange Tail Piece (250mm DI)</v>
          </cell>
          <cell r="I163">
            <v>0</v>
          </cell>
          <cell r="J163">
            <v>0</v>
          </cell>
          <cell r="K163">
            <v>0</v>
          </cell>
          <cell r="L163">
            <v>0</v>
          </cell>
          <cell r="M163">
            <v>0</v>
          </cell>
          <cell r="N163">
            <v>0</v>
          </cell>
          <cell r="O163">
            <v>0</v>
          </cell>
          <cell r="P163">
            <v>0</v>
          </cell>
          <cell r="Q163">
            <v>0</v>
          </cell>
          <cell r="R163">
            <v>0</v>
          </cell>
          <cell r="S163">
            <v>0</v>
          </cell>
          <cell r="T163">
            <v>0</v>
          </cell>
          <cell r="U163">
            <v>1</v>
          </cell>
          <cell r="V163">
            <v>0</v>
          </cell>
          <cell r="W163">
            <v>0</v>
          </cell>
          <cell r="X163">
            <v>1</v>
          </cell>
          <cell r="Y163" t="str">
            <v>No</v>
          </cell>
          <cell r="Z163">
            <v>5274.7444257095522</v>
          </cell>
          <cell r="AB163">
            <v>5274.74</v>
          </cell>
        </row>
        <row r="164">
          <cell r="B164" t="str">
            <v>C3_12</v>
          </cell>
          <cell r="D164" t="str">
            <v>di</v>
          </cell>
          <cell r="E164" t="str">
            <v>Elbow (50mm HDPE)</v>
          </cell>
          <cell r="F164" t="str">
            <v>Elbow (50mm HDPE)</v>
          </cell>
          <cell r="I164">
            <v>0</v>
          </cell>
          <cell r="J164">
            <v>0</v>
          </cell>
          <cell r="K164">
            <v>0</v>
          </cell>
          <cell r="L164">
            <v>0</v>
          </cell>
          <cell r="M164">
            <v>0</v>
          </cell>
          <cell r="N164">
            <v>0</v>
          </cell>
          <cell r="O164">
            <v>0</v>
          </cell>
          <cell r="P164">
            <v>0</v>
          </cell>
          <cell r="Q164">
            <v>0</v>
          </cell>
          <cell r="R164">
            <v>0</v>
          </cell>
          <cell r="S164">
            <v>0</v>
          </cell>
          <cell r="T164">
            <v>0</v>
          </cell>
          <cell r="U164">
            <v>3</v>
          </cell>
          <cell r="V164">
            <v>0</v>
          </cell>
          <cell r="W164">
            <v>0</v>
          </cell>
          <cell r="X164">
            <v>3</v>
          </cell>
          <cell r="Y164" t="str">
            <v>No</v>
          </cell>
          <cell r="Z164">
            <v>75</v>
          </cell>
          <cell r="AB164">
            <v>225</v>
          </cell>
        </row>
        <row r="165">
          <cell r="B165" t="str">
            <v>C3_13</v>
          </cell>
          <cell r="D165" t="str">
            <v>dj</v>
          </cell>
          <cell r="E165" t="str">
            <v>Elbow (90mm HDPE)</v>
          </cell>
          <cell r="F165" t="str">
            <v>Elbow (90mm HDPE)</v>
          </cell>
          <cell r="I165">
            <v>0</v>
          </cell>
          <cell r="J165">
            <v>0</v>
          </cell>
          <cell r="K165">
            <v>0</v>
          </cell>
          <cell r="L165">
            <v>0</v>
          </cell>
          <cell r="M165">
            <v>0</v>
          </cell>
          <cell r="N165">
            <v>0</v>
          </cell>
          <cell r="O165">
            <v>0</v>
          </cell>
          <cell r="P165">
            <v>0</v>
          </cell>
          <cell r="Q165">
            <v>0</v>
          </cell>
          <cell r="R165">
            <v>0</v>
          </cell>
          <cell r="S165">
            <v>0</v>
          </cell>
          <cell r="T165">
            <v>0</v>
          </cell>
          <cell r="U165">
            <v>3</v>
          </cell>
          <cell r="V165">
            <v>0</v>
          </cell>
          <cell r="W165">
            <v>0</v>
          </cell>
          <cell r="X165">
            <v>3</v>
          </cell>
          <cell r="Y165" t="str">
            <v>No</v>
          </cell>
          <cell r="Z165">
            <v>165</v>
          </cell>
          <cell r="AB165">
            <v>495</v>
          </cell>
        </row>
        <row r="166">
          <cell r="B166" t="str">
            <v>C3_14</v>
          </cell>
          <cell r="D166" t="str">
            <v>dk</v>
          </cell>
          <cell r="E166" t="str">
            <v>Elbow (125mm HDPE)</v>
          </cell>
          <cell r="F166" t="str">
            <v>Elbow (125mm HDPE)</v>
          </cell>
          <cell r="I166">
            <v>0</v>
          </cell>
          <cell r="J166">
            <v>0</v>
          </cell>
          <cell r="K166">
            <v>0</v>
          </cell>
          <cell r="L166">
            <v>0</v>
          </cell>
          <cell r="M166">
            <v>0</v>
          </cell>
          <cell r="N166">
            <v>0</v>
          </cell>
          <cell r="O166">
            <v>0</v>
          </cell>
          <cell r="P166">
            <v>0</v>
          </cell>
          <cell r="Q166">
            <v>0</v>
          </cell>
          <cell r="R166">
            <v>0</v>
          </cell>
          <cell r="S166">
            <v>0</v>
          </cell>
          <cell r="T166">
            <v>0</v>
          </cell>
          <cell r="U166">
            <v>2</v>
          </cell>
          <cell r="V166">
            <v>0</v>
          </cell>
          <cell r="W166">
            <v>0</v>
          </cell>
          <cell r="X166">
            <v>2</v>
          </cell>
          <cell r="Y166" t="str">
            <v>No</v>
          </cell>
          <cell r="Z166">
            <v>385</v>
          </cell>
          <cell r="AB166">
            <v>770</v>
          </cell>
        </row>
        <row r="167">
          <cell r="B167" t="str">
            <v>C3_15</v>
          </cell>
          <cell r="D167" t="str">
            <v>dl</v>
          </cell>
          <cell r="E167" t="str">
            <v>Elbow (140mm HDPE)</v>
          </cell>
          <cell r="F167" t="str">
            <v>Elbow (140mm HDPE)</v>
          </cell>
          <cell r="I167">
            <v>0</v>
          </cell>
          <cell r="J167">
            <v>0</v>
          </cell>
          <cell r="K167">
            <v>0</v>
          </cell>
          <cell r="L167">
            <v>0</v>
          </cell>
          <cell r="M167">
            <v>0</v>
          </cell>
          <cell r="N167">
            <v>0</v>
          </cell>
          <cell r="O167">
            <v>0</v>
          </cell>
          <cell r="P167">
            <v>0</v>
          </cell>
          <cell r="Q167">
            <v>0</v>
          </cell>
          <cell r="R167">
            <v>0</v>
          </cell>
          <cell r="S167">
            <v>0</v>
          </cell>
          <cell r="T167">
            <v>0</v>
          </cell>
          <cell r="U167">
            <v>4</v>
          </cell>
          <cell r="V167">
            <v>0</v>
          </cell>
          <cell r="W167">
            <v>0</v>
          </cell>
          <cell r="X167">
            <v>4</v>
          </cell>
          <cell r="Y167" t="str">
            <v>No</v>
          </cell>
          <cell r="Z167">
            <v>495</v>
          </cell>
          <cell r="AB167">
            <v>1980</v>
          </cell>
        </row>
        <row r="168">
          <cell r="B168" t="str">
            <v>C3_16</v>
          </cell>
          <cell r="D168" t="str">
            <v>dm</v>
          </cell>
          <cell r="E168" t="str">
            <v>Elbow (160mm HDPE)</v>
          </cell>
          <cell r="F168" t="str">
            <v>Elbow (160mm HDPE)</v>
          </cell>
          <cell r="I168">
            <v>0</v>
          </cell>
          <cell r="J168">
            <v>0</v>
          </cell>
          <cell r="K168">
            <v>0</v>
          </cell>
          <cell r="L168">
            <v>0</v>
          </cell>
          <cell r="M168">
            <v>0</v>
          </cell>
          <cell r="N168">
            <v>0</v>
          </cell>
          <cell r="O168">
            <v>0</v>
          </cell>
          <cell r="P168">
            <v>0</v>
          </cell>
          <cell r="Q168">
            <v>0</v>
          </cell>
          <cell r="R168">
            <v>0</v>
          </cell>
          <cell r="S168">
            <v>0</v>
          </cell>
          <cell r="T168">
            <v>0</v>
          </cell>
          <cell r="U168">
            <v>2</v>
          </cell>
          <cell r="V168">
            <v>0</v>
          </cell>
          <cell r="W168">
            <v>0</v>
          </cell>
          <cell r="X168">
            <v>2</v>
          </cell>
          <cell r="Y168" t="str">
            <v>No</v>
          </cell>
          <cell r="Z168">
            <v>825</v>
          </cell>
          <cell r="AB168">
            <v>1650</v>
          </cell>
        </row>
        <row r="169">
          <cell r="B169" t="str">
            <v>C3_17</v>
          </cell>
          <cell r="D169" t="str">
            <v>dn</v>
          </cell>
          <cell r="E169" t="str">
            <v>Elbow (80mm (HDPE)</v>
          </cell>
          <cell r="F169" t="str">
            <v>Elbow (80mm (HDPE)</v>
          </cell>
          <cell r="I169">
            <v>0</v>
          </cell>
          <cell r="J169">
            <v>0</v>
          </cell>
          <cell r="K169">
            <v>0</v>
          </cell>
          <cell r="L169">
            <v>0</v>
          </cell>
          <cell r="M169">
            <v>0</v>
          </cell>
          <cell r="N169">
            <v>0</v>
          </cell>
          <cell r="O169">
            <v>0</v>
          </cell>
          <cell r="P169">
            <v>0</v>
          </cell>
          <cell r="Q169">
            <v>0</v>
          </cell>
          <cell r="R169">
            <v>0</v>
          </cell>
          <cell r="S169">
            <v>0</v>
          </cell>
          <cell r="T169">
            <v>0</v>
          </cell>
          <cell r="U169">
            <v>2</v>
          </cell>
          <cell r="V169">
            <v>0</v>
          </cell>
          <cell r="W169">
            <v>0</v>
          </cell>
          <cell r="X169">
            <v>2</v>
          </cell>
          <cell r="Y169" t="str">
            <v>No</v>
          </cell>
          <cell r="Z169">
            <v>1320</v>
          </cell>
          <cell r="AB169">
            <v>2640</v>
          </cell>
        </row>
        <row r="170">
          <cell r="B170" t="str">
            <v>C3_18</v>
          </cell>
          <cell r="D170" t="str">
            <v>do</v>
          </cell>
          <cell r="E170" t="str">
            <v>Elbow (250mm HDPE)</v>
          </cell>
          <cell r="F170" t="str">
            <v>Elbow (250mm HDPE)</v>
          </cell>
          <cell r="I170">
            <v>0</v>
          </cell>
          <cell r="J170">
            <v>0</v>
          </cell>
          <cell r="K170">
            <v>0</v>
          </cell>
          <cell r="L170">
            <v>0</v>
          </cell>
          <cell r="M170">
            <v>0</v>
          </cell>
          <cell r="N170">
            <v>0</v>
          </cell>
          <cell r="O170">
            <v>0</v>
          </cell>
          <cell r="P170">
            <v>0</v>
          </cell>
          <cell r="Q170">
            <v>0</v>
          </cell>
          <cell r="R170">
            <v>0</v>
          </cell>
          <cell r="S170">
            <v>0</v>
          </cell>
          <cell r="T170">
            <v>0</v>
          </cell>
          <cell r="U170">
            <v>2</v>
          </cell>
          <cell r="V170">
            <v>0</v>
          </cell>
          <cell r="W170">
            <v>0</v>
          </cell>
          <cell r="X170">
            <v>2</v>
          </cell>
          <cell r="Y170" t="str">
            <v>No</v>
          </cell>
          <cell r="Z170">
            <v>1540</v>
          </cell>
          <cell r="AB170">
            <v>3080</v>
          </cell>
        </row>
        <row r="171">
          <cell r="B171" t="str">
            <v>C3_19</v>
          </cell>
          <cell r="D171" t="str">
            <v>dp</v>
          </cell>
          <cell r="E171" t="str">
            <v>Equal Tee (50mm HDPE)</v>
          </cell>
          <cell r="F171" t="str">
            <v>Equal Tee (50mm HDPE)</v>
          </cell>
          <cell r="I171">
            <v>0</v>
          </cell>
          <cell r="J171">
            <v>0</v>
          </cell>
          <cell r="K171">
            <v>0</v>
          </cell>
          <cell r="L171">
            <v>0</v>
          </cell>
          <cell r="M171">
            <v>0</v>
          </cell>
          <cell r="N171">
            <v>0</v>
          </cell>
          <cell r="O171">
            <v>0</v>
          </cell>
          <cell r="P171">
            <v>0</v>
          </cell>
          <cell r="Q171">
            <v>0</v>
          </cell>
          <cell r="R171">
            <v>0</v>
          </cell>
          <cell r="S171">
            <v>0</v>
          </cell>
          <cell r="T171">
            <v>0</v>
          </cell>
          <cell r="U171">
            <v>6</v>
          </cell>
          <cell r="V171">
            <v>0</v>
          </cell>
          <cell r="W171">
            <v>0</v>
          </cell>
          <cell r="X171">
            <v>6</v>
          </cell>
          <cell r="Y171" t="str">
            <v>No</v>
          </cell>
          <cell r="Z171">
            <v>75</v>
          </cell>
          <cell r="AB171">
            <v>450</v>
          </cell>
        </row>
        <row r="172">
          <cell r="B172" t="str">
            <v>C3_20</v>
          </cell>
          <cell r="D172" t="str">
            <v>dq</v>
          </cell>
          <cell r="E172" t="str">
            <v>Equal Tee (63mm HDPE)</v>
          </cell>
          <cell r="F172" t="str">
            <v>Equal Tee (63mm HDPE)</v>
          </cell>
          <cell r="I172">
            <v>0</v>
          </cell>
          <cell r="J172">
            <v>0</v>
          </cell>
          <cell r="K172">
            <v>0</v>
          </cell>
          <cell r="L172">
            <v>0</v>
          </cell>
          <cell r="M172">
            <v>0</v>
          </cell>
          <cell r="N172">
            <v>0</v>
          </cell>
          <cell r="O172">
            <v>0</v>
          </cell>
          <cell r="P172">
            <v>0</v>
          </cell>
          <cell r="Q172">
            <v>0</v>
          </cell>
          <cell r="R172">
            <v>0</v>
          </cell>
          <cell r="S172">
            <v>0</v>
          </cell>
          <cell r="T172">
            <v>0</v>
          </cell>
          <cell r="U172">
            <v>10</v>
          </cell>
          <cell r="V172">
            <v>0</v>
          </cell>
          <cell r="W172">
            <v>0</v>
          </cell>
          <cell r="X172">
            <v>10</v>
          </cell>
          <cell r="Y172" t="str">
            <v>No</v>
          </cell>
          <cell r="Z172">
            <v>100</v>
          </cell>
          <cell r="AB172">
            <v>1000</v>
          </cell>
        </row>
        <row r="173">
          <cell r="B173" t="str">
            <v>C3_21</v>
          </cell>
          <cell r="D173" t="str">
            <v>dr</v>
          </cell>
          <cell r="E173" t="str">
            <v>Equal Tee (75mm HDPE)</v>
          </cell>
          <cell r="F173" t="str">
            <v>Equal Tee (75mm HDPE)</v>
          </cell>
          <cell r="I173">
            <v>0</v>
          </cell>
          <cell r="J173">
            <v>0</v>
          </cell>
          <cell r="K173">
            <v>0</v>
          </cell>
          <cell r="L173">
            <v>0</v>
          </cell>
          <cell r="M173">
            <v>0</v>
          </cell>
          <cell r="N173">
            <v>0</v>
          </cell>
          <cell r="O173">
            <v>0</v>
          </cell>
          <cell r="P173">
            <v>0</v>
          </cell>
          <cell r="Q173">
            <v>0</v>
          </cell>
          <cell r="R173">
            <v>0</v>
          </cell>
          <cell r="S173">
            <v>0</v>
          </cell>
          <cell r="T173">
            <v>0</v>
          </cell>
          <cell r="U173">
            <v>6</v>
          </cell>
          <cell r="V173">
            <v>0</v>
          </cell>
          <cell r="W173">
            <v>0</v>
          </cell>
          <cell r="X173">
            <v>6</v>
          </cell>
          <cell r="Y173" t="str">
            <v>No</v>
          </cell>
          <cell r="Z173">
            <v>150</v>
          </cell>
          <cell r="AB173">
            <v>900</v>
          </cell>
        </row>
        <row r="174">
          <cell r="B174" t="str">
            <v>C3_22</v>
          </cell>
          <cell r="D174" t="str">
            <v>ds</v>
          </cell>
          <cell r="E174" t="str">
            <v>Equal Tee (90mm HDPE)</v>
          </cell>
          <cell r="F174" t="str">
            <v>Equal Tee (90mm HDPE)</v>
          </cell>
          <cell r="I174">
            <v>0</v>
          </cell>
          <cell r="J174">
            <v>0</v>
          </cell>
          <cell r="K174">
            <v>0</v>
          </cell>
          <cell r="L174">
            <v>0</v>
          </cell>
          <cell r="M174">
            <v>0</v>
          </cell>
          <cell r="N174">
            <v>0</v>
          </cell>
          <cell r="O174">
            <v>0</v>
          </cell>
          <cell r="P174">
            <v>0</v>
          </cell>
          <cell r="Q174">
            <v>0</v>
          </cell>
          <cell r="R174">
            <v>0</v>
          </cell>
          <cell r="S174">
            <v>0</v>
          </cell>
          <cell r="T174">
            <v>0</v>
          </cell>
          <cell r="U174">
            <v>19</v>
          </cell>
          <cell r="V174">
            <v>0</v>
          </cell>
          <cell r="W174">
            <v>0</v>
          </cell>
          <cell r="X174">
            <v>19</v>
          </cell>
          <cell r="Y174" t="str">
            <v>No</v>
          </cell>
          <cell r="Z174">
            <v>200</v>
          </cell>
          <cell r="AB174">
            <v>3800</v>
          </cell>
        </row>
        <row r="175">
          <cell r="B175" t="str">
            <v>C3_23</v>
          </cell>
          <cell r="D175" t="str">
            <v>dt</v>
          </cell>
          <cell r="E175" t="str">
            <v>Equal Tee (110mm HDPE)</v>
          </cell>
          <cell r="F175" t="str">
            <v>Equal Tee (110mm HDPE)</v>
          </cell>
          <cell r="I175">
            <v>0</v>
          </cell>
          <cell r="J175">
            <v>0</v>
          </cell>
          <cell r="K175">
            <v>0</v>
          </cell>
          <cell r="L175">
            <v>0</v>
          </cell>
          <cell r="M175">
            <v>0</v>
          </cell>
          <cell r="N175">
            <v>0</v>
          </cell>
          <cell r="O175">
            <v>0</v>
          </cell>
          <cell r="P175">
            <v>0</v>
          </cell>
          <cell r="Q175">
            <v>0</v>
          </cell>
          <cell r="R175">
            <v>0</v>
          </cell>
          <cell r="S175">
            <v>0</v>
          </cell>
          <cell r="T175">
            <v>0</v>
          </cell>
          <cell r="U175">
            <v>18</v>
          </cell>
          <cell r="V175">
            <v>0</v>
          </cell>
          <cell r="W175">
            <v>0</v>
          </cell>
          <cell r="X175">
            <v>18</v>
          </cell>
          <cell r="Y175" t="str">
            <v>No</v>
          </cell>
          <cell r="Z175">
            <v>250</v>
          </cell>
          <cell r="AB175">
            <v>4500</v>
          </cell>
        </row>
        <row r="176">
          <cell r="B176" t="str">
            <v>C3_24</v>
          </cell>
          <cell r="D176" t="str">
            <v>du</v>
          </cell>
          <cell r="E176" t="str">
            <v>Equal Tee (125mm HDPE)</v>
          </cell>
          <cell r="F176" t="str">
            <v>Equal Tee (125mm HDPE)</v>
          </cell>
          <cell r="I176">
            <v>0</v>
          </cell>
          <cell r="J176">
            <v>0</v>
          </cell>
          <cell r="K176">
            <v>0</v>
          </cell>
          <cell r="L176">
            <v>0</v>
          </cell>
          <cell r="M176">
            <v>0</v>
          </cell>
          <cell r="N176">
            <v>0</v>
          </cell>
          <cell r="O176">
            <v>0</v>
          </cell>
          <cell r="P176">
            <v>0</v>
          </cell>
          <cell r="Q176">
            <v>0</v>
          </cell>
          <cell r="R176">
            <v>0</v>
          </cell>
          <cell r="S176">
            <v>0</v>
          </cell>
          <cell r="T176">
            <v>0</v>
          </cell>
          <cell r="U176">
            <v>21</v>
          </cell>
          <cell r="V176">
            <v>0</v>
          </cell>
          <cell r="W176">
            <v>0</v>
          </cell>
          <cell r="X176">
            <v>21</v>
          </cell>
          <cell r="Y176" t="str">
            <v>No</v>
          </cell>
          <cell r="Z176">
            <v>250</v>
          </cell>
          <cell r="AB176">
            <v>5250</v>
          </cell>
        </row>
        <row r="177">
          <cell r="B177" t="str">
            <v>C3_25</v>
          </cell>
          <cell r="D177" t="str">
            <v>dv</v>
          </cell>
          <cell r="E177" t="str">
            <v>Equal Tee (140mm HDPE)</v>
          </cell>
          <cell r="F177" t="str">
            <v>Equal Tee (140mm HDPE)</v>
          </cell>
          <cell r="I177">
            <v>0</v>
          </cell>
          <cell r="J177">
            <v>0</v>
          </cell>
          <cell r="K177">
            <v>0</v>
          </cell>
          <cell r="L177">
            <v>0</v>
          </cell>
          <cell r="M177">
            <v>0</v>
          </cell>
          <cell r="N177">
            <v>0</v>
          </cell>
          <cell r="O177">
            <v>0</v>
          </cell>
          <cell r="P177">
            <v>0</v>
          </cell>
          <cell r="Q177">
            <v>0</v>
          </cell>
          <cell r="R177">
            <v>0</v>
          </cell>
          <cell r="S177">
            <v>0</v>
          </cell>
          <cell r="T177">
            <v>0</v>
          </cell>
          <cell r="U177">
            <v>18</v>
          </cell>
          <cell r="V177">
            <v>0</v>
          </cell>
          <cell r="W177">
            <v>0</v>
          </cell>
          <cell r="X177">
            <v>18</v>
          </cell>
          <cell r="Y177" t="str">
            <v>No</v>
          </cell>
          <cell r="Z177">
            <v>660</v>
          </cell>
          <cell r="AB177">
            <v>11880</v>
          </cell>
        </row>
        <row r="178">
          <cell r="B178" t="str">
            <v>C3_26</v>
          </cell>
          <cell r="D178" t="str">
            <v>dw</v>
          </cell>
          <cell r="E178" t="str">
            <v>Equal Tee (160mm HDPE)</v>
          </cell>
          <cell r="F178" t="str">
            <v>Equal Tee (160mm HDPE)</v>
          </cell>
          <cell r="I178">
            <v>0</v>
          </cell>
          <cell r="J178">
            <v>0</v>
          </cell>
          <cell r="K178">
            <v>0</v>
          </cell>
          <cell r="L178">
            <v>0</v>
          </cell>
          <cell r="M178">
            <v>0</v>
          </cell>
          <cell r="N178">
            <v>0</v>
          </cell>
          <cell r="O178">
            <v>0</v>
          </cell>
          <cell r="P178">
            <v>0</v>
          </cell>
          <cell r="Q178">
            <v>0</v>
          </cell>
          <cell r="R178">
            <v>0</v>
          </cell>
          <cell r="S178">
            <v>0</v>
          </cell>
          <cell r="T178">
            <v>0</v>
          </cell>
          <cell r="U178">
            <v>13</v>
          </cell>
          <cell r="V178">
            <v>0</v>
          </cell>
          <cell r="W178">
            <v>0</v>
          </cell>
          <cell r="X178">
            <v>13</v>
          </cell>
          <cell r="Y178" t="str">
            <v>No</v>
          </cell>
          <cell r="Z178">
            <v>880</v>
          </cell>
          <cell r="AB178">
            <v>11440</v>
          </cell>
        </row>
        <row r="179">
          <cell r="B179" t="str">
            <v>C3_27</v>
          </cell>
          <cell r="D179" t="str">
            <v>dx</v>
          </cell>
          <cell r="E179" t="str">
            <v>Equal Tee (180mm HDPE)</v>
          </cell>
          <cell r="F179" t="str">
            <v>Equal Tee (180mm HDPE)</v>
          </cell>
          <cell r="I179">
            <v>0</v>
          </cell>
          <cell r="J179">
            <v>0</v>
          </cell>
          <cell r="K179">
            <v>0</v>
          </cell>
          <cell r="L179">
            <v>0</v>
          </cell>
          <cell r="M179">
            <v>0</v>
          </cell>
          <cell r="N179">
            <v>0</v>
          </cell>
          <cell r="O179">
            <v>0</v>
          </cell>
          <cell r="P179">
            <v>0</v>
          </cell>
          <cell r="Q179">
            <v>0</v>
          </cell>
          <cell r="R179">
            <v>0</v>
          </cell>
          <cell r="S179">
            <v>0</v>
          </cell>
          <cell r="T179">
            <v>0</v>
          </cell>
          <cell r="U179">
            <v>3</v>
          </cell>
          <cell r="V179">
            <v>0</v>
          </cell>
          <cell r="W179">
            <v>0</v>
          </cell>
          <cell r="X179">
            <v>3</v>
          </cell>
          <cell r="Y179" t="str">
            <v>No</v>
          </cell>
          <cell r="Z179">
            <v>1320</v>
          </cell>
          <cell r="AB179">
            <v>3960</v>
          </cell>
        </row>
        <row r="180">
          <cell r="B180" t="str">
            <v>C3_28</v>
          </cell>
          <cell r="E180" t="str">
            <v>Equal Tee (250mm HDPE)</v>
          </cell>
          <cell r="F180" t="str">
            <v>Equal Tee (250mm HDPE)</v>
          </cell>
          <cell r="I180">
            <v>0</v>
          </cell>
          <cell r="J180">
            <v>0</v>
          </cell>
          <cell r="K180">
            <v>0</v>
          </cell>
          <cell r="L180">
            <v>0</v>
          </cell>
          <cell r="M180">
            <v>0</v>
          </cell>
          <cell r="N180">
            <v>0</v>
          </cell>
          <cell r="O180">
            <v>0</v>
          </cell>
          <cell r="P180">
            <v>0</v>
          </cell>
          <cell r="Q180">
            <v>0</v>
          </cell>
          <cell r="R180">
            <v>0</v>
          </cell>
          <cell r="S180">
            <v>0</v>
          </cell>
          <cell r="T180">
            <v>0</v>
          </cell>
          <cell r="U180">
            <v>10</v>
          </cell>
          <cell r="V180">
            <v>0</v>
          </cell>
          <cell r="W180">
            <v>0</v>
          </cell>
          <cell r="X180">
            <v>10</v>
          </cell>
          <cell r="Y180" t="str">
            <v>No</v>
          </cell>
          <cell r="Z180">
            <v>2640</v>
          </cell>
          <cell r="AB180">
            <v>26400</v>
          </cell>
        </row>
        <row r="181">
          <cell r="B181" t="str">
            <v>C3_29</v>
          </cell>
          <cell r="E181" t="str">
            <v>Flange (32mm/25mm HDPE/GI)</v>
          </cell>
          <cell r="F181" t="str">
            <v>Flange (32mm/25mm HDPE/GI)</v>
          </cell>
          <cell r="I181">
            <v>0</v>
          </cell>
          <cell r="J181">
            <v>0</v>
          </cell>
          <cell r="K181">
            <v>0</v>
          </cell>
          <cell r="L181">
            <v>0</v>
          </cell>
          <cell r="M181">
            <v>0</v>
          </cell>
          <cell r="N181">
            <v>0</v>
          </cell>
          <cell r="O181">
            <v>0</v>
          </cell>
          <cell r="P181">
            <v>0</v>
          </cell>
          <cell r="Q181">
            <v>0</v>
          </cell>
          <cell r="R181">
            <v>0</v>
          </cell>
          <cell r="S181">
            <v>0</v>
          </cell>
          <cell r="T181">
            <v>0</v>
          </cell>
          <cell r="U181">
            <v>6</v>
          </cell>
          <cell r="V181">
            <v>0</v>
          </cell>
          <cell r="W181">
            <v>0</v>
          </cell>
          <cell r="X181">
            <v>6</v>
          </cell>
          <cell r="Y181" t="str">
            <v>No</v>
          </cell>
          <cell r="Z181">
            <v>356</v>
          </cell>
          <cell r="AB181">
            <v>2136</v>
          </cell>
        </row>
        <row r="182">
          <cell r="B182" t="str">
            <v>C3_30</v>
          </cell>
          <cell r="E182" t="str">
            <v>Flange (40mm/32mm HDPE/GI)</v>
          </cell>
          <cell r="F182" t="str">
            <v>Flange (40mm/32mm HDPE/GI)</v>
          </cell>
          <cell r="I182">
            <v>0</v>
          </cell>
          <cell r="J182">
            <v>0</v>
          </cell>
          <cell r="K182">
            <v>0</v>
          </cell>
          <cell r="L182">
            <v>0</v>
          </cell>
          <cell r="M182">
            <v>0</v>
          </cell>
          <cell r="N182">
            <v>0</v>
          </cell>
          <cell r="O182">
            <v>0</v>
          </cell>
          <cell r="P182">
            <v>0</v>
          </cell>
          <cell r="Q182">
            <v>0</v>
          </cell>
          <cell r="R182">
            <v>0</v>
          </cell>
          <cell r="S182">
            <v>0</v>
          </cell>
          <cell r="T182">
            <v>0</v>
          </cell>
          <cell r="U182">
            <v>39</v>
          </cell>
          <cell r="V182">
            <v>0</v>
          </cell>
          <cell r="W182">
            <v>0</v>
          </cell>
          <cell r="X182">
            <v>39</v>
          </cell>
          <cell r="Y182" t="str">
            <v>No</v>
          </cell>
          <cell r="Z182">
            <v>451</v>
          </cell>
          <cell r="AB182">
            <v>17589</v>
          </cell>
        </row>
        <row r="183">
          <cell r="B183" t="str">
            <v>C3_31</v>
          </cell>
          <cell r="E183" t="str">
            <v>Flange (50mm/40mm HDPE/GI)</v>
          </cell>
          <cell r="F183" t="str">
            <v>Flange (50mm/40mm HDPE/GI)</v>
          </cell>
          <cell r="I183">
            <v>0</v>
          </cell>
          <cell r="J183">
            <v>0</v>
          </cell>
          <cell r="K183">
            <v>0</v>
          </cell>
          <cell r="L183">
            <v>0</v>
          </cell>
          <cell r="M183">
            <v>0</v>
          </cell>
          <cell r="N183">
            <v>0</v>
          </cell>
          <cell r="O183">
            <v>0</v>
          </cell>
          <cell r="P183">
            <v>0</v>
          </cell>
          <cell r="Q183">
            <v>0</v>
          </cell>
          <cell r="R183">
            <v>0</v>
          </cell>
          <cell r="S183">
            <v>0</v>
          </cell>
          <cell r="T183">
            <v>0</v>
          </cell>
          <cell r="U183">
            <v>20</v>
          </cell>
          <cell r="V183">
            <v>0</v>
          </cell>
          <cell r="W183">
            <v>0</v>
          </cell>
          <cell r="X183">
            <v>20</v>
          </cell>
          <cell r="Y183" t="str">
            <v>No</v>
          </cell>
          <cell r="Z183">
            <v>506</v>
          </cell>
          <cell r="AB183">
            <v>10120</v>
          </cell>
        </row>
        <row r="184">
          <cell r="B184" t="str">
            <v>C3_32</v>
          </cell>
          <cell r="E184" t="str">
            <v>Flange (63mm/50mm HDPE/GI)</v>
          </cell>
          <cell r="F184" t="str">
            <v>Flange (63mm/50mm HDPE/GI)</v>
          </cell>
          <cell r="I184">
            <v>0</v>
          </cell>
          <cell r="J184">
            <v>0</v>
          </cell>
          <cell r="K184">
            <v>0</v>
          </cell>
          <cell r="L184">
            <v>0</v>
          </cell>
          <cell r="M184">
            <v>0</v>
          </cell>
          <cell r="N184">
            <v>0</v>
          </cell>
          <cell r="O184">
            <v>0</v>
          </cell>
          <cell r="P184">
            <v>0</v>
          </cell>
          <cell r="Q184">
            <v>0</v>
          </cell>
          <cell r="R184">
            <v>0</v>
          </cell>
          <cell r="S184">
            <v>0</v>
          </cell>
          <cell r="T184">
            <v>0</v>
          </cell>
          <cell r="U184">
            <v>50</v>
          </cell>
          <cell r="V184">
            <v>0</v>
          </cell>
          <cell r="W184">
            <v>0</v>
          </cell>
          <cell r="X184">
            <v>50</v>
          </cell>
          <cell r="Y184" t="str">
            <v>No</v>
          </cell>
          <cell r="Z184">
            <v>500</v>
          </cell>
          <cell r="AB184">
            <v>25000</v>
          </cell>
        </row>
        <row r="185">
          <cell r="B185" t="str">
            <v>C3_33</v>
          </cell>
          <cell r="E185" t="str">
            <v>Flange (75mm/50mm HDPE/GI)</v>
          </cell>
          <cell r="F185" t="str">
            <v>Flange (75mm/50mm HDPE/GI)</v>
          </cell>
          <cell r="I185">
            <v>0</v>
          </cell>
          <cell r="J185">
            <v>0</v>
          </cell>
          <cell r="K185">
            <v>0</v>
          </cell>
          <cell r="L185">
            <v>0</v>
          </cell>
          <cell r="M185">
            <v>0</v>
          </cell>
          <cell r="N185">
            <v>0</v>
          </cell>
          <cell r="O185">
            <v>0</v>
          </cell>
          <cell r="P185">
            <v>0</v>
          </cell>
          <cell r="Q185">
            <v>0</v>
          </cell>
          <cell r="R185">
            <v>0</v>
          </cell>
          <cell r="S185">
            <v>0</v>
          </cell>
          <cell r="T185">
            <v>0</v>
          </cell>
          <cell r="U185">
            <v>26</v>
          </cell>
          <cell r="V185">
            <v>0</v>
          </cell>
          <cell r="W185">
            <v>0</v>
          </cell>
          <cell r="X185">
            <v>26</v>
          </cell>
          <cell r="Y185" t="str">
            <v>No</v>
          </cell>
          <cell r="Z185">
            <v>1608</v>
          </cell>
          <cell r="AB185">
            <v>41808</v>
          </cell>
        </row>
        <row r="186">
          <cell r="B186" t="str">
            <v>C3_34</v>
          </cell>
          <cell r="E186" t="str">
            <v>Flange (100mm/75mm HDPE/GI)</v>
          </cell>
          <cell r="F186" t="str">
            <v>Flange (100mm/75mm HDPE/GI)</v>
          </cell>
          <cell r="I186">
            <v>0</v>
          </cell>
          <cell r="J186">
            <v>0</v>
          </cell>
          <cell r="K186">
            <v>0</v>
          </cell>
          <cell r="L186">
            <v>0</v>
          </cell>
          <cell r="M186">
            <v>0</v>
          </cell>
          <cell r="N186">
            <v>0</v>
          </cell>
          <cell r="O186">
            <v>0</v>
          </cell>
          <cell r="P186">
            <v>0</v>
          </cell>
          <cell r="Q186">
            <v>0</v>
          </cell>
          <cell r="R186">
            <v>0</v>
          </cell>
          <cell r="S186">
            <v>0</v>
          </cell>
          <cell r="T186">
            <v>0</v>
          </cell>
          <cell r="U186">
            <v>42</v>
          </cell>
          <cell r="V186">
            <v>0</v>
          </cell>
          <cell r="W186">
            <v>0</v>
          </cell>
          <cell r="X186">
            <v>42</v>
          </cell>
          <cell r="Y186" t="str">
            <v>No</v>
          </cell>
          <cell r="Z186">
            <v>1000</v>
          </cell>
          <cell r="AB186">
            <v>42000</v>
          </cell>
        </row>
        <row r="187">
          <cell r="B187" t="str">
            <v>C3_35</v>
          </cell>
          <cell r="E187" t="str">
            <v>Flange (150mm/100mm HDPE/GI)</v>
          </cell>
          <cell r="F187" t="str">
            <v>Flange (150mm/100mm HDPE/GI)</v>
          </cell>
          <cell r="I187">
            <v>0</v>
          </cell>
          <cell r="J187">
            <v>0</v>
          </cell>
          <cell r="K187">
            <v>0</v>
          </cell>
          <cell r="L187">
            <v>0</v>
          </cell>
          <cell r="M187">
            <v>0</v>
          </cell>
          <cell r="N187">
            <v>0</v>
          </cell>
          <cell r="O187">
            <v>0</v>
          </cell>
          <cell r="P187">
            <v>0</v>
          </cell>
          <cell r="Q187">
            <v>0</v>
          </cell>
          <cell r="R187">
            <v>0</v>
          </cell>
          <cell r="S187">
            <v>0</v>
          </cell>
          <cell r="T187">
            <v>0</v>
          </cell>
          <cell r="U187">
            <v>5</v>
          </cell>
          <cell r="V187">
            <v>0</v>
          </cell>
          <cell r="W187">
            <v>0</v>
          </cell>
          <cell r="X187">
            <v>5</v>
          </cell>
          <cell r="Y187" t="str">
            <v>No</v>
          </cell>
          <cell r="Z187">
            <v>1500</v>
          </cell>
          <cell r="AB187">
            <v>7500</v>
          </cell>
        </row>
        <row r="188">
          <cell r="B188" t="str">
            <v>C3_36</v>
          </cell>
          <cell r="E188" t="str">
            <v>Flange (200mm/150mm HDPE/GI)</v>
          </cell>
          <cell r="F188" t="str">
            <v>Flange (200mm/150mm HDPE/GI)</v>
          </cell>
          <cell r="I188">
            <v>0</v>
          </cell>
          <cell r="J188">
            <v>0</v>
          </cell>
          <cell r="K188">
            <v>0</v>
          </cell>
          <cell r="L188">
            <v>0</v>
          </cell>
          <cell r="M188">
            <v>0</v>
          </cell>
          <cell r="N188">
            <v>0</v>
          </cell>
          <cell r="O188">
            <v>0</v>
          </cell>
          <cell r="P188">
            <v>0</v>
          </cell>
          <cell r="Q188">
            <v>0</v>
          </cell>
          <cell r="R188">
            <v>0</v>
          </cell>
          <cell r="S188">
            <v>0</v>
          </cell>
          <cell r="T188">
            <v>0</v>
          </cell>
          <cell r="U188">
            <v>9</v>
          </cell>
          <cell r="V188">
            <v>0</v>
          </cell>
          <cell r="W188">
            <v>0</v>
          </cell>
          <cell r="X188">
            <v>9</v>
          </cell>
          <cell r="Y188" t="str">
            <v>No</v>
          </cell>
          <cell r="Z188">
            <v>2250</v>
          </cell>
          <cell r="AB188">
            <v>20250</v>
          </cell>
        </row>
        <row r="189">
          <cell r="B189" t="str">
            <v>C3_37</v>
          </cell>
          <cell r="E189" t="str">
            <v>Flange (150mm GI)</v>
          </cell>
          <cell r="F189" t="str">
            <v>Flange (150mm GI)</v>
          </cell>
          <cell r="I189">
            <v>0</v>
          </cell>
          <cell r="J189">
            <v>0</v>
          </cell>
          <cell r="K189">
            <v>0</v>
          </cell>
          <cell r="L189">
            <v>0</v>
          </cell>
          <cell r="M189">
            <v>0</v>
          </cell>
          <cell r="N189">
            <v>0</v>
          </cell>
          <cell r="O189">
            <v>0</v>
          </cell>
          <cell r="P189">
            <v>0</v>
          </cell>
          <cell r="Q189">
            <v>0</v>
          </cell>
          <cell r="R189">
            <v>0</v>
          </cell>
          <cell r="S189">
            <v>0</v>
          </cell>
          <cell r="T189">
            <v>0</v>
          </cell>
          <cell r="U189">
            <v>3</v>
          </cell>
          <cell r="V189">
            <v>0</v>
          </cell>
          <cell r="W189">
            <v>0</v>
          </cell>
          <cell r="X189">
            <v>3</v>
          </cell>
          <cell r="Y189" t="str">
            <v>No</v>
          </cell>
          <cell r="Z189">
            <v>1500</v>
          </cell>
          <cell r="AB189">
            <v>4500</v>
          </cell>
        </row>
        <row r="190">
          <cell r="B190" t="str">
            <v>C3_38</v>
          </cell>
          <cell r="E190" t="str">
            <v>Gate Valve (32mm Gun Metal)</v>
          </cell>
          <cell r="F190" t="str">
            <v>Gate Valve (32mm Gun Metal)</v>
          </cell>
          <cell r="I190">
            <v>0</v>
          </cell>
          <cell r="J190">
            <v>0</v>
          </cell>
          <cell r="K190">
            <v>0</v>
          </cell>
          <cell r="L190">
            <v>0</v>
          </cell>
          <cell r="M190">
            <v>0</v>
          </cell>
          <cell r="N190">
            <v>0</v>
          </cell>
          <cell r="O190">
            <v>0</v>
          </cell>
          <cell r="P190">
            <v>0</v>
          </cell>
          <cell r="Q190">
            <v>0</v>
          </cell>
          <cell r="R190">
            <v>0</v>
          </cell>
          <cell r="S190">
            <v>0</v>
          </cell>
          <cell r="T190">
            <v>0</v>
          </cell>
          <cell r="U190">
            <v>5</v>
          </cell>
          <cell r="V190">
            <v>0</v>
          </cell>
          <cell r="W190">
            <v>0</v>
          </cell>
          <cell r="X190">
            <v>5</v>
          </cell>
          <cell r="Y190" t="str">
            <v>No</v>
          </cell>
          <cell r="Z190">
            <v>772.5</v>
          </cell>
          <cell r="AB190">
            <v>3862.5</v>
          </cell>
        </row>
        <row r="191">
          <cell r="B191" t="str">
            <v>C3_39</v>
          </cell>
          <cell r="E191" t="str">
            <v>Gate Valve (40mm Gun Metal)</v>
          </cell>
          <cell r="F191" t="str">
            <v>Gate Valve (40mm Gun Metal)</v>
          </cell>
          <cell r="I191">
            <v>0</v>
          </cell>
          <cell r="J191">
            <v>0</v>
          </cell>
          <cell r="K191">
            <v>0</v>
          </cell>
          <cell r="L191">
            <v>0</v>
          </cell>
          <cell r="M191">
            <v>0</v>
          </cell>
          <cell r="N191">
            <v>0</v>
          </cell>
          <cell r="O191">
            <v>0</v>
          </cell>
          <cell r="P191">
            <v>0</v>
          </cell>
          <cell r="Q191">
            <v>0</v>
          </cell>
          <cell r="R191">
            <v>0</v>
          </cell>
          <cell r="S191">
            <v>0</v>
          </cell>
          <cell r="T191">
            <v>0</v>
          </cell>
          <cell r="U191">
            <v>19</v>
          </cell>
          <cell r="V191">
            <v>0</v>
          </cell>
          <cell r="W191">
            <v>0</v>
          </cell>
          <cell r="X191">
            <v>19</v>
          </cell>
          <cell r="Y191" t="str">
            <v>No</v>
          </cell>
          <cell r="Z191">
            <v>900</v>
          </cell>
          <cell r="AB191">
            <v>17100</v>
          </cell>
        </row>
        <row r="192">
          <cell r="B192" t="str">
            <v>C3_40</v>
          </cell>
          <cell r="E192" t="str">
            <v>Gate Valve (50mm Gun Metal)</v>
          </cell>
          <cell r="F192" t="str">
            <v>Gate Valve (50mm Gun Metal)</v>
          </cell>
          <cell r="I192">
            <v>0</v>
          </cell>
          <cell r="J192">
            <v>0</v>
          </cell>
          <cell r="K192">
            <v>0</v>
          </cell>
          <cell r="L192">
            <v>0</v>
          </cell>
          <cell r="M192">
            <v>0</v>
          </cell>
          <cell r="N192">
            <v>0</v>
          </cell>
          <cell r="O192">
            <v>0</v>
          </cell>
          <cell r="P192">
            <v>0</v>
          </cell>
          <cell r="Q192">
            <v>0</v>
          </cell>
          <cell r="R192">
            <v>0</v>
          </cell>
          <cell r="S192">
            <v>0</v>
          </cell>
          <cell r="T192">
            <v>0</v>
          </cell>
          <cell r="U192">
            <v>10</v>
          </cell>
          <cell r="V192">
            <v>0</v>
          </cell>
          <cell r="W192">
            <v>0</v>
          </cell>
          <cell r="X192">
            <v>10</v>
          </cell>
          <cell r="Y192" t="str">
            <v>No</v>
          </cell>
          <cell r="Z192">
            <v>1800</v>
          </cell>
          <cell r="AB192">
            <v>18000</v>
          </cell>
        </row>
        <row r="193">
          <cell r="B193" t="str">
            <v>C3_41</v>
          </cell>
          <cell r="E193" t="str">
            <v>Gate Valve (75mm Gun Metal)</v>
          </cell>
          <cell r="F193" t="str">
            <v>Gate Valve (75mm Gun Metal)</v>
          </cell>
          <cell r="I193">
            <v>0</v>
          </cell>
          <cell r="J193">
            <v>0</v>
          </cell>
          <cell r="K193">
            <v>0</v>
          </cell>
          <cell r="L193">
            <v>0</v>
          </cell>
          <cell r="M193">
            <v>0</v>
          </cell>
          <cell r="N193">
            <v>0</v>
          </cell>
          <cell r="O193">
            <v>0</v>
          </cell>
          <cell r="P193">
            <v>0</v>
          </cell>
          <cell r="Q193">
            <v>0</v>
          </cell>
          <cell r="R193">
            <v>0</v>
          </cell>
          <cell r="S193">
            <v>0</v>
          </cell>
          <cell r="T193">
            <v>0</v>
          </cell>
          <cell r="U193">
            <v>14</v>
          </cell>
          <cell r="V193">
            <v>0</v>
          </cell>
          <cell r="W193">
            <v>0</v>
          </cell>
          <cell r="X193">
            <v>14</v>
          </cell>
          <cell r="Y193" t="str">
            <v>No</v>
          </cell>
          <cell r="Z193">
            <v>4100</v>
          </cell>
          <cell r="AB193">
            <v>57400</v>
          </cell>
        </row>
        <row r="194">
          <cell r="B194" t="str">
            <v>C3_42</v>
          </cell>
          <cell r="E194" t="str">
            <v>Gate Valve (100mm Gun Metal)</v>
          </cell>
          <cell r="F194" t="str">
            <v>Gate Valve (100mm Gun Metal)</v>
          </cell>
          <cell r="I194">
            <v>0</v>
          </cell>
          <cell r="J194">
            <v>0</v>
          </cell>
          <cell r="K194">
            <v>0</v>
          </cell>
          <cell r="L194">
            <v>0</v>
          </cell>
          <cell r="M194">
            <v>0</v>
          </cell>
          <cell r="N194">
            <v>0</v>
          </cell>
          <cell r="O194">
            <v>0</v>
          </cell>
          <cell r="P194">
            <v>0</v>
          </cell>
          <cell r="Q194">
            <v>0</v>
          </cell>
          <cell r="R194">
            <v>0</v>
          </cell>
          <cell r="S194">
            <v>0</v>
          </cell>
          <cell r="T194">
            <v>0</v>
          </cell>
          <cell r="U194">
            <v>27</v>
          </cell>
          <cell r="V194">
            <v>0</v>
          </cell>
          <cell r="W194">
            <v>0</v>
          </cell>
          <cell r="X194">
            <v>27</v>
          </cell>
          <cell r="Y194" t="str">
            <v>No</v>
          </cell>
          <cell r="Z194">
            <v>8200</v>
          </cell>
          <cell r="AB194">
            <v>221400</v>
          </cell>
        </row>
        <row r="195">
          <cell r="B195" t="str">
            <v>C3_43</v>
          </cell>
          <cell r="E195" t="str">
            <v>Sluice Valve (150mm)</v>
          </cell>
          <cell r="F195" t="str">
            <v>Sluice Valve (150mm)</v>
          </cell>
          <cell r="I195">
            <v>0</v>
          </cell>
          <cell r="J195">
            <v>0</v>
          </cell>
          <cell r="K195">
            <v>0</v>
          </cell>
          <cell r="L195">
            <v>0</v>
          </cell>
          <cell r="M195">
            <v>0</v>
          </cell>
          <cell r="N195">
            <v>0</v>
          </cell>
          <cell r="O195">
            <v>0</v>
          </cell>
          <cell r="P195">
            <v>0</v>
          </cell>
          <cell r="Q195">
            <v>0</v>
          </cell>
          <cell r="R195">
            <v>0</v>
          </cell>
          <cell r="S195">
            <v>0</v>
          </cell>
          <cell r="T195">
            <v>0</v>
          </cell>
          <cell r="U195">
            <v>3</v>
          </cell>
          <cell r="V195">
            <v>0</v>
          </cell>
          <cell r="W195">
            <v>0</v>
          </cell>
          <cell r="X195">
            <v>3</v>
          </cell>
          <cell r="Y195" t="str">
            <v>No</v>
          </cell>
          <cell r="Z195">
            <v>35000</v>
          </cell>
          <cell r="AB195">
            <v>105000</v>
          </cell>
        </row>
        <row r="196">
          <cell r="B196" t="str">
            <v>C3_44</v>
          </cell>
          <cell r="E196" t="str">
            <v>Sluice Valve (200mm)</v>
          </cell>
          <cell r="F196" t="str">
            <v>Sluice Valve (200mm)</v>
          </cell>
          <cell r="I196">
            <v>0</v>
          </cell>
          <cell r="J196">
            <v>0</v>
          </cell>
          <cell r="K196">
            <v>0</v>
          </cell>
          <cell r="L196">
            <v>0</v>
          </cell>
          <cell r="M196">
            <v>0</v>
          </cell>
          <cell r="N196">
            <v>0</v>
          </cell>
          <cell r="O196">
            <v>0</v>
          </cell>
          <cell r="P196">
            <v>0</v>
          </cell>
          <cell r="Q196">
            <v>0</v>
          </cell>
          <cell r="R196">
            <v>0</v>
          </cell>
          <cell r="S196">
            <v>0</v>
          </cell>
          <cell r="T196">
            <v>0</v>
          </cell>
          <cell r="U196">
            <v>10</v>
          </cell>
          <cell r="V196">
            <v>0</v>
          </cell>
          <cell r="W196">
            <v>0</v>
          </cell>
          <cell r="X196">
            <v>10</v>
          </cell>
          <cell r="Y196" t="str">
            <v>No</v>
          </cell>
          <cell r="Z196">
            <v>38782.61</v>
          </cell>
          <cell r="AB196">
            <v>387826.1</v>
          </cell>
        </row>
        <row r="197">
          <cell r="B197" t="str">
            <v>C3_45</v>
          </cell>
          <cell r="E197" t="str">
            <v>Bulk Meter (200mm)</v>
          </cell>
          <cell r="F197" t="str">
            <v>Bulk Meter (200mm)</v>
          </cell>
          <cell r="I197">
            <v>0</v>
          </cell>
          <cell r="J197">
            <v>0</v>
          </cell>
          <cell r="K197">
            <v>0</v>
          </cell>
          <cell r="L197">
            <v>0</v>
          </cell>
          <cell r="M197">
            <v>0</v>
          </cell>
          <cell r="N197">
            <v>0</v>
          </cell>
          <cell r="O197">
            <v>0</v>
          </cell>
          <cell r="P197">
            <v>0</v>
          </cell>
          <cell r="Q197">
            <v>0</v>
          </cell>
          <cell r="R197">
            <v>0</v>
          </cell>
          <cell r="S197">
            <v>0</v>
          </cell>
          <cell r="T197">
            <v>0</v>
          </cell>
          <cell r="U197">
            <v>2</v>
          </cell>
          <cell r="V197">
            <v>0</v>
          </cell>
          <cell r="W197">
            <v>0</v>
          </cell>
          <cell r="X197">
            <v>2</v>
          </cell>
          <cell r="Y197" t="str">
            <v>No</v>
          </cell>
          <cell r="Z197">
            <v>20940</v>
          </cell>
          <cell r="AB197">
            <v>41880</v>
          </cell>
        </row>
        <row r="198">
          <cell r="B198" t="str">
            <v>C3_46</v>
          </cell>
          <cell r="E198" t="str">
            <v>Union (15mm GI)</v>
          </cell>
          <cell r="F198" t="str">
            <v>Union (15mm GI)</v>
          </cell>
          <cell r="I198">
            <v>0</v>
          </cell>
          <cell r="J198">
            <v>0</v>
          </cell>
          <cell r="K198">
            <v>0</v>
          </cell>
          <cell r="L198">
            <v>0</v>
          </cell>
          <cell r="M198">
            <v>0</v>
          </cell>
          <cell r="N198">
            <v>0</v>
          </cell>
          <cell r="O198">
            <v>0</v>
          </cell>
          <cell r="P198">
            <v>0</v>
          </cell>
          <cell r="Q198">
            <v>0</v>
          </cell>
          <cell r="R198">
            <v>0</v>
          </cell>
          <cell r="S198">
            <v>0</v>
          </cell>
          <cell r="T198">
            <v>0</v>
          </cell>
          <cell r="U198">
            <v>2</v>
          </cell>
          <cell r="V198">
            <v>0</v>
          </cell>
          <cell r="W198">
            <v>0</v>
          </cell>
          <cell r="X198">
            <v>2</v>
          </cell>
          <cell r="Y198" t="str">
            <v>No</v>
          </cell>
          <cell r="Z198">
            <v>47</v>
          </cell>
          <cell r="AB198">
            <v>94</v>
          </cell>
        </row>
        <row r="199">
          <cell r="B199" t="str">
            <v>C3_48</v>
          </cell>
          <cell r="E199" t="str">
            <v>Cross (50mmx50mmx50mm GI)</v>
          </cell>
          <cell r="F199" t="str">
            <v>Cross (50mmx50mmx50mm GI)</v>
          </cell>
          <cell r="I199">
            <v>0</v>
          </cell>
          <cell r="J199">
            <v>0</v>
          </cell>
          <cell r="K199">
            <v>0</v>
          </cell>
          <cell r="L199">
            <v>0</v>
          </cell>
          <cell r="M199">
            <v>0</v>
          </cell>
          <cell r="N199">
            <v>0</v>
          </cell>
          <cell r="O199">
            <v>0</v>
          </cell>
          <cell r="P199">
            <v>0</v>
          </cell>
          <cell r="Q199">
            <v>0</v>
          </cell>
          <cell r="R199">
            <v>0</v>
          </cell>
          <cell r="S199">
            <v>0</v>
          </cell>
          <cell r="T199">
            <v>0</v>
          </cell>
          <cell r="U199">
            <v>50</v>
          </cell>
          <cell r="V199">
            <v>0</v>
          </cell>
          <cell r="W199">
            <v>0</v>
          </cell>
          <cell r="X199">
            <v>50</v>
          </cell>
          <cell r="Y199" t="str">
            <v>No</v>
          </cell>
          <cell r="Z199">
            <v>287</v>
          </cell>
          <cell r="AB199">
            <v>14350</v>
          </cell>
        </row>
        <row r="200">
          <cell r="B200" t="str">
            <v>C3_49</v>
          </cell>
          <cell r="E200" t="str">
            <v>Unequal Tee (50mmx15mmx50mm GI)</v>
          </cell>
          <cell r="F200" t="str">
            <v>Unequal Tee (50mmx15mmx50mm GI)</v>
          </cell>
          <cell r="I200">
            <v>0</v>
          </cell>
          <cell r="J200">
            <v>0</v>
          </cell>
          <cell r="K200">
            <v>0</v>
          </cell>
          <cell r="L200">
            <v>0</v>
          </cell>
          <cell r="M200">
            <v>0</v>
          </cell>
          <cell r="N200">
            <v>0</v>
          </cell>
          <cell r="O200">
            <v>0</v>
          </cell>
          <cell r="P200">
            <v>0</v>
          </cell>
          <cell r="Q200">
            <v>0</v>
          </cell>
          <cell r="R200">
            <v>0</v>
          </cell>
          <cell r="S200">
            <v>0</v>
          </cell>
          <cell r="T200">
            <v>0</v>
          </cell>
          <cell r="U200">
            <v>400</v>
          </cell>
          <cell r="V200">
            <v>0</v>
          </cell>
          <cell r="W200">
            <v>0</v>
          </cell>
          <cell r="X200">
            <v>400</v>
          </cell>
          <cell r="Y200" t="str">
            <v>No</v>
          </cell>
          <cell r="Z200">
            <v>213</v>
          </cell>
          <cell r="AB200">
            <v>85200</v>
          </cell>
        </row>
        <row r="201">
          <cell r="B201" t="str">
            <v>C3_50</v>
          </cell>
          <cell r="E201" t="str">
            <v>Equal Tee (15mm GI)</v>
          </cell>
          <cell r="F201" t="str">
            <v>Equal Tee (15mm GI)</v>
          </cell>
          <cell r="I201">
            <v>0</v>
          </cell>
          <cell r="J201">
            <v>0</v>
          </cell>
          <cell r="K201">
            <v>0</v>
          </cell>
          <cell r="L201">
            <v>0</v>
          </cell>
          <cell r="M201">
            <v>0</v>
          </cell>
          <cell r="N201">
            <v>0</v>
          </cell>
          <cell r="O201">
            <v>0</v>
          </cell>
          <cell r="P201">
            <v>0</v>
          </cell>
          <cell r="Q201">
            <v>0</v>
          </cell>
          <cell r="R201">
            <v>0</v>
          </cell>
          <cell r="S201">
            <v>0</v>
          </cell>
          <cell r="T201">
            <v>0</v>
          </cell>
          <cell r="U201">
            <v>2</v>
          </cell>
          <cell r="V201">
            <v>0</v>
          </cell>
          <cell r="W201">
            <v>0</v>
          </cell>
          <cell r="X201">
            <v>2</v>
          </cell>
          <cell r="Y201" t="str">
            <v>No</v>
          </cell>
          <cell r="Z201">
            <v>20</v>
          </cell>
          <cell r="AB201">
            <v>40</v>
          </cell>
        </row>
        <row r="202">
          <cell r="B202" t="str">
            <v>C3_51</v>
          </cell>
          <cell r="E202" t="str">
            <v>Plug (50mm GI)</v>
          </cell>
          <cell r="F202" t="str">
            <v>Plug (50mm GI)</v>
          </cell>
          <cell r="I202">
            <v>0</v>
          </cell>
          <cell r="J202">
            <v>0</v>
          </cell>
          <cell r="K202">
            <v>0</v>
          </cell>
          <cell r="L202">
            <v>0</v>
          </cell>
          <cell r="M202">
            <v>0</v>
          </cell>
          <cell r="N202">
            <v>0</v>
          </cell>
          <cell r="O202">
            <v>0</v>
          </cell>
          <cell r="P202">
            <v>0</v>
          </cell>
          <cell r="Q202">
            <v>0</v>
          </cell>
          <cell r="R202">
            <v>0</v>
          </cell>
          <cell r="S202">
            <v>0</v>
          </cell>
          <cell r="T202">
            <v>0</v>
          </cell>
          <cell r="U202">
            <v>150</v>
          </cell>
          <cell r="V202">
            <v>0</v>
          </cell>
          <cell r="W202">
            <v>0</v>
          </cell>
          <cell r="X202">
            <v>150</v>
          </cell>
          <cell r="Y202" t="str">
            <v>No</v>
          </cell>
          <cell r="Z202">
            <v>46</v>
          </cell>
          <cell r="AB202">
            <v>6900</v>
          </cell>
        </row>
        <row r="203">
          <cell r="B203" t="str">
            <v>C3_52</v>
          </cell>
          <cell r="E203" t="str">
            <v>Nipple (15mm GI)</v>
          </cell>
          <cell r="F203" t="str">
            <v>Nipple (15mm GI)</v>
          </cell>
          <cell r="I203">
            <v>0</v>
          </cell>
          <cell r="J203">
            <v>0</v>
          </cell>
          <cell r="K203">
            <v>0</v>
          </cell>
          <cell r="L203">
            <v>0</v>
          </cell>
          <cell r="M203">
            <v>0</v>
          </cell>
          <cell r="N203">
            <v>0</v>
          </cell>
          <cell r="O203">
            <v>0</v>
          </cell>
          <cell r="P203">
            <v>0</v>
          </cell>
          <cell r="Q203">
            <v>0</v>
          </cell>
          <cell r="R203">
            <v>0</v>
          </cell>
          <cell r="S203">
            <v>0</v>
          </cell>
          <cell r="T203">
            <v>0</v>
          </cell>
          <cell r="U203">
            <v>4</v>
          </cell>
          <cell r="V203">
            <v>0</v>
          </cell>
          <cell r="W203">
            <v>0</v>
          </cell>
          <cell r="X203">
            <v>4</v>
          </cell>
          <cell r="Y203" t="str">
            <v>No</v>
          </cell>
          <cell r="Z203">
            <v>24</v>
          </cell>
          <cell r="AB203">
            <v>96</v>
          </cell>
        </row>
        <row r="204">
          <cell r="B204" t="str">
            <v>C3_53</v>
          </cell>
          <cell r="E204" t="str">
            <v>Nipple (32mm GI)</v>
          </cell>
          <cell r="F204" t="str">
            <v>Nipple (32mm GI)</v>
          </cell>
          <cell r="I204">
            <v>0</v>
          </cell>
          <cell r="J204">
            <v>0</v>
          </cell>
          <cell r="K204">
            <v>0</v>
          </cell>
          <cell r="L204">
            <v>0</v>
          </cell>
          <cell r="M204">
            <v>0</v>
          </cell>
          <cell r="N204">
            <v>0</v>
          </cell>
          <cell r="O204">
            <v>0</v>
          </cell>
          <cell r="P204">
            <v>0</v>
          </cell>
          <cell r="Q204">
            <v>0</v>
          </cell>
          <cell r="R204">
            <v>0</v>
          </cell>
          <cell r="S204">
            <v>0</v>
          </cell>
          <cell r="T204">
            <v>0</v>
          </cell>
          <cell r="U204">
            <v>9</v>
          </cell>
          <cell r="V204">
            <v>0</v>
          </cell>
          <cell r="W204">
            <v>0</v>
          </cell>
          <cell r="X204">
            <v>9</v>
          </cell>
          <cell r="Y204" t="str">
            <v>No</v>
          </cell>
          <cell r="Z204">
            <v>40</v>
          </cell>
          <cell r="AB204">
            <v>360</v>
          </cell>
        </row>
        <row r="205">
          <cell r="B205" t="str">
            <v>C3_54</v>
          </cell>
          <cell r="E205" t="str">
            <v>Nipple (40mm GI)</v>
          </cell>
          <cell r="F205" t="str">
            <v>Nipple (40mm GI)</v>
          </cell>
          <cell r="I205">
            <v>0</v>
          </cell>
          <cell r="J205">
            <v>0</v>
          </cell>
          <cell r="K205">
            <v>0</v>
          </cell>
          <cell r="L205">
            <v>0</v>
          </cell>
          <cell r="M205">
            <v>0</v>
          </cell>
          <cell r="N205">
            <v>0</v>
          </cell>
          <cell r="O205">
            <v>0</v>
          </cell>
          <cell r="P205">
            <v>0</v>
          </cell>
          <cell r="Q205">
            <v>0</v>
          </cell>
          <cell r="R205">
            <v>0</v>
          </cell>
          <cell r="S205">
            <v>0</v>
          </cell>
          <cell r="T205">
            <v>0</v>
          </cell>
          <cell r="U205">
            <v>39</v>
          </cell>
          <cell r="V205">
            <v>0</v>
          </cell>
          <cell r="W205">
            <v>0</v>
          </cell>
          <cell r="X205">
            <v>39</v>
          </cell>
          <cell r="Y205" t="str">
            <v>No</v>
          </cell>
          <cell r="Z205">
            <v>55</v>
          </cell>
          <cell r="AB205">
            <v>2145</v>
          </cell>
        </row>
        <row r="206">
          <cell r="B206" t="str">
            <v>C3_55</v>
          </cell>
          <cell r="E206" t="str">
            <v>Nipple (50mm GI)</v>
          </cell>
          <cell r="F206" t="str">
            <v>Nipple (50mm GI)</v>
          </cell>
          <cell r="I206">
            <v>0</v>
          </cell>
          <cell r="J206">
            <v>0</v>
          </cell>
          <cell r="K206">
            <v>0</v>
          </cell>
          <cell r="L206">
            <v>0</v>
          </cell>
          <cell r="M206">
            <v>0</v>
          </cell>
          <cell r="N206">
            <v>0</v>
          </cell>
          <cell r="O206">
            <v>0</v>
          </cell>
          <cell r="P206">
            <v>0</v>
          </cell>
          <cell r="Q206">
            <v>0</v>
          </cell>
          <cell r="R206">
            <v>0</v>
          </cell>
          <cell r="S206">
            <v>0</v>
          </cell>
          <cell r="T206">
            <v>0</v>
          </cell>
          <cell r="U206">
            <v>445</v>
          </cell>
          <cell r="V206">
            <v>0</v>
          </cell>
          <cell r="W206">
            <v>0</v>
          </cell>
          <cell r="X206">
            <v>445</v>
          </cell>
          <cell r="Y206" t="str">
            <v>No</v>
          </cell>
          <cell r="Z206">
            <v>75</v>
          </cell>
          <cell r="AB206">
            <v>33375</v>
          </cell>
        </row>
        <row r="207">
          <cell r="B207" t="str">
            <v>C3_56</v>
          </cell>
          <cell r="E207" t="str">
            <v>Nipple (75mm GI)</v>
          </cell>
          <cell r="F207" t="str">
            <v>Nipple (75mm GI)</v>
          </cell>
          <cell r="I207">
            <v>0</v>
          </cell>
          <cell r="J207">
            <v>0</v>
          </cell>
          <cell r="K207">
            <v>0</v>
          </cell>
          <cell r="L207">
            <v>0</v>
          </cell>
          <cell r="M207">
            <v>0</v>
          </cell>
          <cell r="N207">
            <v>0</v>
          </cell>
          <cell r="O207">
            <v>0</v>
          </cell>
          <cell r="P207">
            <v>0</v>
          </cell>
          <cell r="Q207">
            <v>0</v>
          </cell>
          <cell r="R207">
            <v>0</v>
          </cell>
          <cell r="S207">
            <v>0</v>
          </cell>
          <cell r="T207">
            <v>0</v>
          </cell>
          <cell r="U207">
            <v>27</v>
          </cell>
          <cell r="V207">
            <v>0</v>
          </cell>
          <cell r="W207">
            <v>0</v>
          </cell>
          <cell r="X207">
            <v>27</v>
          </cell>
          <cell r="Y207" t="str">
            <v>No</v>
          </cell>
          <cell r="Z207">
            <v>150</v>
          </cell>
          <cell r="AB207">
            <v>4050</v>
          </cell>
        </row>
        <row r="208">
          <cell r="B208" t="str">
            <v>C3_57</v>
          </cell>
          <cell r="E208" t="str">
            <v>Nipple (100mm GI)</v>
          </cell>
          <cell r="F208" t="str">
            <v>Nipple (100mm GI)</v>
          </cell>
          <cell r="I208">
            <v>0</v>
          </cell>
          <cell r="J208">
            <v>0</v>
          </cell>
          <cell r="K208">
            <v>0</v>
          </cell>
          <cell r="L208">
            <v>0</v>
          </cell>
          <cell r="M208">
            <v>0</v>
          </cell>
          <cell r="N208">
            <v>0</v>
          </cell>
          <cell r="O208">
            <v>0</v>
          </cell>
          <cell r="P208">
            <v>0</v>
          </cell>
          <cell r="Q208">
            <v>0</v>
          </cell>
          <cell r="R208">
            <v>0</v>
          </cell>
          <cell r="S208">
            <v>0</v>
          </cell>
          <cell r="T208">
            <v>0</v>
          </cell>
          <cell r="U208">
            <v>45</v>
          </cell>
          <cell r="V208">
            <v>0</v>
          </cell>
          <cell r="W208">
            <v>0</v>
          </cell>
          <cell r="X208">
            <v>45</v>
          </cell>
          <cell r="Y208" t="str">
            <v>No</v>
          </cell>
          <cell r="Z208">
            <v>210</v>
          </cell>
          <cell r="AB208">
            <v>9450</v>
          </cell>
        </row>
        <row r="209">
          <cell r="B209" t="str">
            <v>C3_58</v>
          </cell>
          <cell r="E209" t="str">
            <v>Nipple (150mm GI)</v>
          </cell>
          <cell r="F209" t="str">
            <v>Nipple (150mm GI)</v>
          </cell>
          <cell r="I209">
            <v>0</v>
          </cell>
          <cell r="J209">
            <v>0</v>
          </cell>
          <cell r="K209">
            <v>0</v>
          </cell>
          <cell r="L209">
            <v>0</v>
          </cell>
          <cell r="M209">
            <v>0</v>
          </cell>
          <cell r="N209">
            <v>0</v>
          </cell>
          <cell r="O209">
            <v>0</v>
          </cell>
          <cell r="P209">
            <v>0</v>
          </cell>
          <cell r="Q209">
            <v>0</v>
          </cell>
          <cell r="R209">
            <v>0</v>
          </cell>
          <cell r="S209">
            <v>0</v>
          </cell>
          <cell r="T209">
            <v>0</v>
          </cell>
          <cell r="U209">
            <v>5</v>
          </cell>
          <cell r="V209">
            <v>0</v>
          </cell>
          <cell r="W209">
            <v>0</v>
          </cell>
          <cell r="X209">
            <v>5</v>
          </cell>
          <cell r="Y209" t="str">
            <v>No</v>
          </cell>
          <cell r="Z209">
            <v>315</v>
          </cell>
          <cell r="AB209">
            <v>1575</v>
          </cell>
        </row>
        <row r="210">
          <cell r="B210" t="str">
            <v>C3_59</v>
          </cell>
          <cell r="E210" t="str">
            <v>Reducer (50mmx40mm HDPE)</v>
          </cell>
          <cell r="F210" t="str">
            <v>Reducer (50mmx40mm HDPE)</v>
          </cell>
          <cell r="I210">
            <v>0</v>
          </cell>
          <cell r="J210">
            <v>0</v>
          </cell>
          <cell r="K210">
            <v>0</v>
          </cell>
          <cell r="L210">
            <v>0</v>
          </cell>
          <cell r="M210">
            <v>0</v>
          </cell>
          <cell r="N210">
            <v>0</v>
          </cell>
          <cell r="O210">
            <v>0</v>
          </cell>
          <cell r="P210">
            <v>0</v>
          </cell>
          <cell r="Q210">
            <v>0</v>
          </cell>
          <cell r="R210">
            <v>0</v>
          </cell>
          <cell r="S210">
            <v>0</v>
          </cell>
          <cell r="T210">
            <v>0</v>
          </cell>
          <cell r="U210">
            <v>4</v>
          </cell>
          <cell r="V210">
            <v>0</v>
          </cell>
          <cell r="W210">
            <v>0</v>
          </cell>
          <cell r="X210">
            <v>4</v>
          </cell>
          <cell r="Y210" t="str">
            <v>No</v>
          </cell>
          <cell r="Z210">
            <v>75</v>
          </cell>
          <cell r="AB210">
            <v>300</v>
          </cell>
        </row>
        <row r="211">
          <cell r="B211" t="str">
            <v>C3_60</v>
          </cell>
          <cell r="E211" t="str">
            <v>Reducer (63mmx40mm HDPE)</v>
          </cell>
          <cell r="F211" t="str">
            <v>Reducer (63mmx40mm HDPE)</v>
          </cell>
          <cell r="I211">
            <v>0</v>
          </cell>
          <cell r="J211">
            <v>0</v>
          </cell>
          <cell r="K211">
            <v>0</v>
          </cell>
          <cell r="L211">
            <v>0</v>
          </cell>
          <cell r="M211">
            <v>0</v>
          </cell>
          <cell r="N211">
            <v>0</v>
          </cell>
          <cell r="O211">
            <v>0</v>
          </cell>
          <cell r="P211">
            <v>0</v>
          </cell>
          <cell r="Q211">
            <v>0</v>
          </cell>
          <cell r="R211">
            <v>0</v>
          </cell>
          <cell r="S211">
            <v>0</v>
          </cell>
          <cell r="T211">
            <v>0</v>
          </cell>
          <cell r="U211">
            <v>3</v>
          </cell>
          <cell r="V211">
            <v>0</v>
          </cell>
          <cell r="W211">
            <v>0</v>
          </cell>
          <cell r="X211">
            <v>3</v>
          </cell>
          <cell r="Y211" t="str">
            <v>No</v>
          </cell>
          <cell r="Z211">
            <v>57.2</v>
          </cell>
          <cell r="AB211">
            <v>171.6</v>
          </cell>
        </row>
        <row r="212">
          <cell r="B212" t="str">
            <v>C3_61</v>
          </cell>
          <cell r="E212" t="str">
            <v>Reducer (63mmx50mm HDPE)</v>
          </cell>
          <cell r="F212" t="str">
            <v>Reducer (63mmx50mm HDPE)</v>
          </cell>
          <cell r="I212">
            <v>0</v>
          </cell>
          <cell r="J212">
            <v>0</v>
          </cell>
          <cell r="K212">
            <v>0</v>
          </cell>
          <cell r="L212">
            <v>0</v>
          </cell>
          <cell r="M212">
            <v>0</v>
          </cell>
          <cell r="N212">
            <v>0</v>
          </cell>
          <cell r="O212">
            <v>0</v>
          </cell>
          <cell r="P212">
            <v>0</v>
          </cell>
          <cell r="Q212">
            <v>0</v>
          </cell>
          <cell r="R212">
            <v>0</v>
          </cell>
          <cell r="S212">
            <v>0</v>
          </cell>
          <cell r="T212">
            <v>0</v>
          </cell>
          <cell r="U212">
            <v>14</v>
          </cell>
          <cell r="V212">
            <v>0</v>
          </cell>
          <cell r="W212">
            <v>0</v>
          </cell>
          <cell r="X212">
            <v>14</v>
          </cell>
          <cell r="Y212" t="str">
            <v>No</v>
          </cell>
          <cell r="Z212">
            <v>100</v>
          </cell>
          <cell r="AB212">
            <v>1400</v>
          </cell>
        </row>
        <row r="213">
          <cell r="B213" t="str">
            <v>C3_62</v>
          </cell>
          <cell r="E213" t="str">
            <v>Reducer (75mmx40mm HDPE)</v>
          </cell>
          <cell r="F213" t="str">
            <v>Reducer (75mmx40mm HDPE)</v>
          </cell>
          <cell r="I213">
            <v>0</v>
          </cell>
          <cell r="J213">
            <v>0</v>
          </cell>
          <cell r="K213">
            <v>0</v>
          </cell>
          <cell r="L213">
            <v>0</v>
          </cell>
          <cell r="M213">
            <v>0</v>
          </cell>
          <cell r="N213">
            <v>0</v>
          </cell>
          <cell r="O213">
            <v>0</v>
          </cell>
          <cell r="P213">
            <v>0</v>
          </cell>
          <cell r="Q213">
            <v>0</v>
          </cell>
          <cell r="R213">
            <v>0</v>
          </cell>
          <cell r="S213">
            <v>0</v>
          </cell>
          <cell r="T213">
            <v>0</v>
          </cell>
          <cell r="U213">
            <v>2</v>
          </cell>
          <cell r="V213">
            <v>0</v>
          </cell>
          <cell r="W213">
            <v>0</v>
          </cell>
          <cell r="X213">
            <v>2</v>
          </cell>
          <cell r="Y213" t="str">
            <v>No</v>
          </cell>
          <cell r="Z213">
            <v>88</v>
          </cell>
          <cell r="AB213">
            <v>176</v>
          </cell>
        </row>
        <row r="214">
          <cell r="B214" t="str">
            <v>C3_63</v>
          </cell>
          <cell r="E214" t="str">
            <v>Reducer (75mmx50mm HDPE)</v>
          </cell>
          <cell r="F214" t="str">
            <v>Reducer (75mmx50mm HDPE)</v>
          </cell>
          <cell r="I214">
            <v>0</v>
          </cell>
          <cell r="J214">
            <v>0</v>
          </cell>
          <cell r="K214">
            <v>0</v>
          </cell>
          <cell r="L214">
            <v>0</v>
          </cell>
          <cell r="M214">
            <v>0</v>
          </cell>
          <cell r="N214">
            <v>0</v>
          </cell>
          <cell r="O214">
            <v>0</v>
          </cell>
          <cell r="P214">
            <v>0</v>
          </cell>
          <cell r="Q214">
            <v>0</v>
          </cell>
          <cell r="R214">
            <v>0</v>
          </cell>
          <cell r="S214">
            <v>0</v>
          </cell>
          <cell r="T214">
            <v>0</v>
          </cell>
          <cell r="U214">
            <v>4</v>
          </cell>
          <cell r="V214">
            <v>0</v>
          </cell>
          <cell r="W214">
            <v>0</v>
          </cell>
          <cell r="X214">
            <v>4</v>
          </cell>
          <cell r="Y214" t="str">
            <v>No</v>
          </cell>
          <cell r="Z214">
            <v>93.5</v>
          </cell>
          <cell r="AB214">
            <v>374</v>
          </cell>
        </row>
        <row r="215">
          <cell r="B215" t="str">
            <v>C3_64</v>
          </cell>
          <cell r="E215" t="str">
            <v>Reducer (75mmx63mm HDPE)</v>
          </cell>
          <cell r="F215" t="str">
            <v>Reducer (75mmx63mm HDPE)</v>
          </cell>
          <cell r="I215">
            <v>0</v>
          </cell>
          <cell r="J215">
            <v>0</v>
          </cell>
          <cell r="K215">
            <v>0</v>
          </cell>
          <cell r="L215">
            <v>0</v>
          </cell>
          <cell r="M215">
            <v>0</v>
          </cell>
          <cell r="N215">
            <v>0</v>
          </cell>
          <cell r="O215">
            <v>0</v>
          </cell>
          <cell r="P215">
            <v>0</v>
          </cell>
          <cell r="Q215">
            <v>0</v>
          </cell>
          <cell r="R215">
            <v>0</v>
          </cell>
          <cell r="S215">
            <v>0</v>
          </cell>
          <cell r="T215">
            <v>0</v>
          </cell>
          <cell r="U215">
            <v>10</v>
          </cell>
          <cell r="V215">
            <v>0</v>
          </cell>
          <cell r="W215">
            <v>0</v>
          </cell>
          <cell r="X215">
            <v>10</v>
          </cell>
          <cell r="Y215" t="str">
            <v>No</v>
          </cell>
          <cell r="Z215">
            <v>150</v>
          </cell>
          <cell r="AB215">
            <v>1500</v>
          </cell>
        </row>
        <row r="216">
          <cell r="B216" t="str">
            <v>C3_65</v>
          </cell>
          <cell r="E216" t="str">
            <v>Reducer (90mmx40mm HDPE)</v>
          </cell>
          <cell r="F216" t="str">
            <v>Reducer (90mmx40mm HDPE)</v>
          </cell>
          <cell r="I216">
            <v>0</v>
          </cell>
          <cell r="J216">
            <v>0</v>
          </cell>
          <cell r="K216">
            <v>0</v>
          </cell>
          <cell r="L216">
            <v>0</v>
          </cell>
          <cell r="M216">
            <v>0</v>
          </cell>
          <cell r="N216">
            <v>0</v>
          </cell>
          <cell r="O216">
            <v>0</v>
          </cell>
          <cell r="P216">
            <v>0</v>
          </cell>
          <cell r="Q216">
            <v>0</v>
          </cell>
          <cell r="R216">
            <v>0</v>
          </cell>
          <cell r="S216">
            <v>0</v>
          </cell>
          <cell r="T216">
            <v>0</v>
          </cell>
          <cell r="U216">
            <v>3</v>
          </cell>
          <cell r="V216">
            <v>0</v>
          </cell>
          <cell r="W216">
            <v>0</v>
          </cell>
          <cell r="X216">
            <v>3</v>
          </cell>
          <cell r="Y216" t="str">
            <v>No</v>
          </cell>
          <cell r="Z216">
            <v>110</v>
          </cell>
          <cell r="AB216">
            <v>330</v>
          </cell>
        </row>
        <row r="217">
          <cell r="B217" t="str">
            <v>C3_66</v>
          </cell>
          <cell r="E217" t="str">
            <v>Reducer (90mmx50mm HDPE)</v>
          </cell>
          <cell r="F217" t="str">
            <v>Reducer (90mmx50mm HDPE)</v>
          </cell>
          <cell r="I217">
            <v>0</v>
          </cell>
          <cell r="J217">
            <v>0</v>
          </cell>
          <cell r="K217">
            <v>0</v>
          </cell>
          <cell r="L217">
            <v>0</v>
          </cell>
          <cell r="M217">
            <v>0</v>
          </cell>
          <cell r="N217">
            <v>0</v>
          </cell>
          <cell r="O217">
            <v>0</v>
          </cell>
          <cell r="P217">
            <v>0</v>
          </cell>
          <cell r="Q217">
            <v>0</v>
          </cell>
          <cell r="R217">
            <v>0</v>
          </cell>
          <cell r="S217">
            <v>0</v>
          </cell>
          <cell r="T217">
            <v>0</v>
          </cell>
          <cell r="U217">
            <v>11</v>
          </cell>
          <cell r="V217">
            <v>0</v>
          </cell>
          <cell r="W217">
            <v>0</v>
          </cell>
          <cell r="X217">
            <v>11</v>
          </cell>
          <cell r="Y217" t="str">
            <v>No</v>
          </cell>
          <cell r="Z217">
            <v>110</v>
          </cell>
          <cell r="AB217">
            <v>1210</v>
          </cell>
        </row>
        <row r="218">
          <cell r="B218" t="str">
            <v>C3_67</v>
          </cell>
          <cell r="E218" t="str">
            <v>Reducer (90mmx63mm HDPE)</v>
          </cell>
          <cell r="F218" t="str">
            <v>Reducer (90mmx63mm HDPE)</v>
          </cell>
          <cell r="I218">
            <v>0</v>
          </cell>
          <cell r="J218">
            <v>0</v>
          </cell>
          <cell r="K218">
            <v>0</v>
          </cell>
          <cell r="L218">
            <v>0</v>
          </cell>
          <cell r="M218">
            <v>0</v>
          </cell>
          <cell r="N218">
            <v>0</v>
          </cell>
          <cell r="O218">
            <v>0</v>
          </cell>
          <cell r="P218">
            <v>0</v>
          </cell>
          <cell r="Q218">
            <v>0</v>
          </cell>
          <cell r="R218">
            <v>0</v>
          </cell>
          <cell r="S218">
            <v>0</v>
          </cell>
          <cell r="T218">
            <v>0</v>
          </cell>
          <cell r="U218">
            <v>6</v>
          </cell>
          <cell r="V218">
            <v>0</v>
          </cell>
          <cell r="W218">
            <v>0</v>
          </cell>
          <cell r="X218">
            <v>6</v>
          </cell>
          <cell r="Y218" t="str">
            <v>No</v>
          </cell>
          <cell r="Z218">
            <v>110</v>
          </cell>
          <cell r="AB218">
            <v>660</v>
          </cell>
        </row>
        <row r="219">
          <cell r="B219" t="str">
            <v>C3_68</v>
          </cell>
          <cell r="E219" t="str">
            <v>Reducer (90mmx75mm HDPE)</v>
          </cell>
          <cell r="F219" t="str">
            <v>Reducer (90mmx75mm HDPE)</v>
          </cell>
          <cell r="I219">
            <v>0</v>
          </cell>
          <cell r="J219">
            <v>0</v>
          </cell>
          <cell r="K219">
            <v>0</v>
          </cell>
          <cell r="L219">
            <v>0</v>
          </cell>
          <cell r="M219">
            <v>0</v>
          </cell>
          <cell r="N219">
            <v>0</v>
          </cell>
          <cell r="O219">
            <v>0</v>
          </cell>
          <cell r="P219">
            <v>0</v>
          </cell>
          <cell r="Q219">
            <v>0</v>
          </cell>
          <cell r="R219">
            <v>0</v>
          </cell>
          <cell r="S219">
            <v>0</v>
          </cell>
          <cell r="T219">
            <v>0</v>
          </cell>
          <cell r="U219">
            <v>5</v>
          </cell>
          <cell r="V219">
            <v>0</v>
          </cell>
          <cell r="W219">
            <v>0</v>
          </cell>
          <cell r="X219">
            <v>5</v>
          </cell>
          <cell r="Y219" t="str">
            <v>No</v>
          </cell>
          <cell r="Z219">
            <v>200</v>
          </cell>
          <cell r="AB219">
            <v>1000</v>
          </cell>
        </row>
        <row r="220">
          <cell r="B220" t="str">
            <v>C3_69</v>
          </cell>
          <cell r="E220" t="str">
            <v>Reducer (110mmx50mm HDPE)</v>
          </cell>
          <cell r="F220" t="str">
            <v>Reducer (110mmx50mm HDPE)</v>
          </cell>
          <cell r="I220">
            <v>0</v>
          </cell>
          <cell r="J220">
            <v>0</v>
          </cell>
          <cell r="K220">
            <v>0</v>
          </cell>
          <cell r="L220">
            <v>0</v>
          </cell>
          <cell r="M220">
            <v>0</v>
          </cell>
          <cell r="N220">
            <v>0</v>
          </cell>
          <cell r="O220">
            <v>0</v>
          </cell>
          <cell r="P220">
            <v>0</v>
          </cell>
          <cell r="Q220">
            <v>0</v>
          </cell>
          <cell r="R220">
            <v>0</v>
          </cell>
          <cell r="S220">
            <v>0</v>
          </cell>
          <cell r="T220">
            <v>0</v>
          </cell>
          <cell r="U220">
            <v>9</v>
          </cell>
          <cell r="V220">
            <v>0</v>
          </cell>
          <cell r="W220">
            <v>0</v>
          </cell>
          <cell r="X220">
            <v>9</v>
          </cell>
          <cell r="Y220" t="str">
            <v>No</v>
          </cell>
          <cell r="Z220">
            <v>121</v>
          </cell>
          <cell r="AB220">
            <v>1089</v>
          </cell>
        </row>
        <row r="221">
          <cell r="B221" t="str">
            <v>C3_70</v>
          </cell>
          <cell r="E221" t="str">
            <v>Reducer (110mmx63mm HDPE)</v>
          </cell>
          <cell r="F221" t="str">
            <v>Reducer (110mmx63mm HDPE)</v>
          </cell>
          <cell r="I221">
            <v>0</v>
          </cell>
          <cell r="J221">
            <v>0</v>
          </cell>
          <cell r="K221">
            <v>0</v>
          </cell>
          <cell r="L221">
            <v>0</v>
          </cell>
          <cell r="M221">
            <v>0</v>
          </cell>
          <cell r="N221">
            <v>0</v>
          </cell>
          <cell r="O221">
            <v>0</v>
          </cell>
          <cell r="P221">
            <v>0</v>
          </cell>
          <cell r="Q221">
            <v>0</v>
          </cell>
          <cell r="R221">
            <v>0</v>
          </cell>
          <cell r="S221">
            <v>0</v>
          </cell>
          <cell r="T221">
            <v>0</v>
          </cell>
          <cell r="U221">
            <v>6</v>
          </cell>
          <cell r="V221">
            <v>0</v>
          </cell>
          <cell r="W221">
            <v>0</v>
          </cell>
          <cell r="X221">
            <v>6</v>
          </cell>
          <cell r="Y221" t="str">
            <v>No</v>
          </cell>
          <cell r="Z221">
            <v>148.5</v>
          </cell>
          <cell r="AB221">
            <v>891</v>
          </cell>
        </row>
        <row r="222">
          <cell r="B222" t="str">
            <v>C3_71</v>
          </cell>
          <cell r="E222" t="str">
            <v>Reducer (110mmx75mm HDPE)</v>
          </cell>
          <cell r="F222" t="str">
            <v>Reducer (110mmx75mm HDPE)</v>
          </cell>
          <cell r="I222">
            <v>0</v>
          </cell>
          <cell r="J222">
            <v>0</v>
          </cell>
          <cell r="K222">
            <v>0</v>
          </cell>
          <cell r="L222">
            <v>0</v>
          </cell>
          <cell r="M222">
            <v>0</v>
          </cell>
          <cell r="N222">
            <v>0</v>
          </cell>
          <cell r="O222">
            <v>0</v>
          </cell>
          <cell r="P222">
            <v>0</v>
          </cell>
          <cell r="Q222">
            <v>0</v>
          </cell>
          <cell r="R222">
            <v>0</v>
          </cell>
          <cell r="S222">
            <v>0</v>
          </cell>
          <cell r="T222">
            <v>0</v>
          </cell>
          <cell r="U222">
            <v>3</v>
          </cell>
          <cell r="V222">
            <v>0</v>
          </cell>
          <cell r="W222">
            <v>0</v>
          </cell>
          <cell r="X222">
            <v>3</v>
          </cell>
          <cell r="Y222" t="str">
            <v>No</v>
          </cell>
          <cell r="Z222">
            <v>154</v>
          </cell>
          <cell r="AB222">
            <v>462</v>
          </cell>
        </row>
        <row r="223">
          <cell r="B223" t="str">
            <v>C3_72</v>
          </cell>
          <cell r="E223" t="str">
            <v>Reducer (110mmx90mm HDPE)</v>
          </cell>
          <cell r="F223" t="str">
            <v>Reducer (110mmx90mm HDPE)</v>
          </cell>
          <cell r="I223">
            <v>0</v>
          </cell>
          <cell r="J223">
            <v>0</v>
          </cell>
          <cell r="K223">
            <v>0</v>
          </cell>
          <cell r="L223">
            <v>0</v>
          </cell>
          <cell r="M223">
            <v>0</v>
          </cell>
          <cell r="N223">
            <v>0</v>
          </cell>
          <cell r="O223">
            <v>0</v>
          </cell>
          <cell r="P223">
            <v>0</v>
          </cell>
          <cell r="Q223">
            <v>0</v>
          </cell>
          <cell r="R223">
            <v>0</v>
          </cell>
          <cell r="S223">
            <v>0</v>
          </cell>
          <cell r="T223">
            <v>0</v>
          </cell>
          <cell r="U223">
            <v>5</v>
          </cell>
          <cell r="V223">
            <v>0</v>
          </cell>
          <cell r="W223">
            <v>0</v>
          </cell>
          <cell r="X223">
            <v>5</v>
          </cell>
          <cell r="Y223" t="str">
            <v>No</v>
          </cell>
          <cell r="Z223">
            <v>210</v>
          </cell>
          <cell r="AB223">
            <v>1050</v>
          </cell>
        </row>
        <row r="224">
          <cell r="B224" t="str">
            <v>C3_73</v>
          </cell>
          <cell r="E224" t="str">
            <v>Reducer (125mmx110mm HDPE)</v>
          </cell>
          <cell r="F224" t="str">
            <v>Reducer (125mmx110mm HDPE)</v>
          </cell>
          <cell r="I224">
            <v>0</v>
          </cell>
          <cell r="J224">
            <v>0</v>
          </cell>
          <cell r="K224">
            <v>0</v>
          </cell>
          <cell r="L224">
            <v>0</v>
          </cell>
          <cell r="M224">
            <v>0</v>
          </cell>
          <cell r="N224">
            <v>0</v>
          </cell>
          <cell r="O224">
            <v>0</v>
          </cell>
          <cell r="P224">
            <v>0</v>
          </cell>
          <cell r="Q224">
            <v>0</v>
          </cell>
          <cell r="R224">
            <v>0</v>
          </cell>
          <cell r="S224">
            <v>0</v>
          </cell>
          <cell r="T224">
            <v>0</v>
          </cell>
          <cell r="U224">
            <v>19</v>
          </cell>
          <cell r="V224">
            <v>0</v>
          </cell>
          <cell r="W224">
            <v>0</v>
          </cell>
          <cell r="X224">
            <v>19</v>
          </cell>
          <cell r="Y224" t="str">
            <v>No</v>
          </cell>
          <cell r="Z224">
            <v>250</v>
          </cell>
          <cell r="AB224">
            <v>4750</v>
          </cell>
        </row>
        <row r="225">
          <cell r="B225" t="str">
            <v>C3_74</v>
          </cell>
          <cell r="E225" t="str">
            <v>Reducer (125mmx50mm HDPE)</v>
          </cell>
          <cell r="F225" t="str">
            <v>Reducer (125mmx50mm HDPE)</v>
          </cell>
          <cell r="I225">
            <v>0</v>
          </cell>
          <cell r="J225">
            <v>0</v>
          </cell>
          <cell r="K225">
            <v>0</v>
          </cell>
          <cell r="L225">
            <v>0</v>
          </cell>
          <cell r="M225">
            <v>0</v>
          </cell>
          <cell r="N225">
            <v>0</v>
          </cell>
          <cell r="O225">
            <v>0</v>
          </cell>
          <cell r="P225">
            <v>0</v>
          </cell>
          <cell r="Q225">
            <v>0</v>
          </cell>
          <cell r="R225">
            <v>0</v>
          </cell>
          <cell r="S225">
            <v>0</v>
          </cell>
          <cell r="T225">
            <v>0</v>
          </cell>
          <cell r="U225">
            <v>8</v>
          </cell>
          <cell r="V225">
            <v>0</v>
          </cell>
          <cell r="W225">
            <v>0</v>
          </cell>
          <cell r="X225">
            <v>8</v>
          </cell>
          <cell r="Y225" t="str">
            <v>No</v>
          </cell>
          <cell r="Z225">
            <v>375</v>
          </cell>
          <cell r="AB225">
            <v>3000</v>
          </cell>
        </row>
        <row r="226">
          <cell r="B226" t="str">
            <v>C3_75</v>
          </cell>
          <cell r="E226" t="str">
            <v>Reducer (125mmx63mm HDPE)</v>
          </cell>
          <cell r="F226" t="str">
            <v>Reducer (125mmx63mm HDPE)</v>
          </cell>
          <cell r="I226">
            <v>0</v>
          </cell>
          <cell r="J226">
            <v>0</v>
          </cell>
          <cell r="K226">
            <v>0</v>
          </cell>
          <cell r="L226">
            <v>0</v>
          </cell>
          <cell r="M226">
            <v>0</v>
          </cell>
          <cell r="N226">
            <v>0</v>
          </cell>
          <cell r="O226">
            <v>0</v>
          </cell>
          <cell r="P226">
            <v>0</v>
          </cell>
          <cell r="Q226">
            <v>0</v>
          </cell>
          <cell r="R226">
            <v>0</v>
          </cell>
          <cell r="S226">
            <v>0</v>
          </cell>
          <cell r="T226">
            <v>0</v>
          </cell>
          <cell r="U226">
            <v>5</v>
          </cell>
          <cell r="V226">
            <v>0</v>
          </cell>
          <cell r="W226">
            <v>0</v>
          </cell>
          <cell r="X226">
            <v>5</v>
          </cell>
          <cell r="Y226" t="str">
            <v>No</v>
          </cell>
          <cell r="Z226">
            <v>275</v>
          </cell>
          <cell r="AB226">
            <v>1375</v>
          </cell>
        </row>
        <row r="227">
          <cell r="B227" t="str">
            <v>C3_76</v>
          </cell>
          <cell r="E227" t="str">
            <v>Reducer (125mmx75mm HDPE)</v>
          </cell>
          <cell r="F227" t="str">
            <v>Reducer (125mmx75mm HDPE)</v>
          </cell>
          <cell r="I227">
            <v>0</v>
          </cell>
          <cell r="J227">
            <v>0</v>
          </cell>
          <cell r="K227">
            <v>0</v>
          </cell>
          <cell r="L227">
            <v>0</v>
          </cell>
          <cell r="M227">
            <v>0</v>
          </cell>
          <cell r="N227">
            <v>0</v>
          </cell>
          <cell r="O227">
            <v>0</v>
          </cell>
          <cell r="P227">
            <v>0</v>
          </cell>
          <cell r="Q227">
            <v>0</v>
          </cell>
          <cell r="R227">
            <v>0</v>
          </cell>
          <cell r="S227">
            <v>0</v>
          </cell>
          <cell r="T227">
            <v>0</v>
          </cell>
          <cell r="U227">
            <v>3</v>
          </cell>
          <cell r="V227">
            <v>0</v>
          </cell>
          <cell r="W227">
            <v>0</v>
          </cell>
          <cell r="X227">
            <v>3</v>
          </cell>
          <cell r="Y227" t="str">
            <v>No</v>
          </cell>
          <cell r="Z227">
            <v>275</v>
          </cell>
          <cell r="AB227">
            <v>825</v>
          </cell>
        </row>
        <row r="228">
          <cell r="B228" t="str">
            <v>C3_77</v>
          </cell>
          <cell r="E228" t="str">
            <v>Reducer (125mmx90mm HDPE)</v>
          </cell>
          <cell r="F228" t="str">
            <v>Reducer (125mmx90mm HDPE)</v>
          </cell>
          <cell r="I228">
            <v>0</v>
          </cell>
          <cell r="J228">
            <v>0</v>
          </cell>
          <cell r="K228">
            <v>0</v>
          </cell>
          <cell r="L228">
            <v>0</v>
          </cell>
          <cell r="M228">
            <v>0</v>
          </cell>
          <cell r="N228">
            <v>0</v>
          </cell>
          <cell r="O228">
            <v>0</v>
          </cell>
          <cell r="P228">
            <v>0</v>
          </cell>
          <cell r="Q228">
            <v>0</v>
          </cell>
          <cell r="R228">
            <v>0</v>
          </cell>
          <cell r="S228">
            <v>0</v>
          </cell>
          <cell r="T228">
            <v>0</v>
          </cell>
          <cell r="U228">
            <v>3</v>
          </cell>
          <cell r="V228">
            <v>0</v>
          </cell>
          <cell r="W228">
            <v>0</v>
          </cell>
          <cell r="X228">
            <v>3</v>
          </cell>
          <cell r="Y228" t="str">
            <v>No</v>
          </cell>
          <cell r="Z228">
            <v>302.5</v>
          </cell>
          <cell r="AB228">
            <v>907.5</v>
          </cell>
        </row>
        <row r="229">
          <cell r="B229" t="str">
            <v>C3_78</v>
          </cell>
          <cell r="E229" t="str">
            <v>Reducer (140mmx110mm HDPE)</v>
          </cell>
          <cell r="F229" t="str">
            <v>Reducer (140mmx110mm HDPE)</v>
          </cell>
          <cell r="I229">
            <v>0</v>
          </cell>
          <cell r="J229">
            <v>0</v>
          </cell>
          <cell r="K229">
            <v>0</v>
          </cell>
          <cell r="L229">
            <v>0</v>
          </cell>
          <cell r="M229">
            <v>0</v>
          </cell>
          <cell r="N229">
            <v>0</v>
          </cell>
          <cell r="O229">
            <v>0</v>
          </cell>
          <cell r="P229">
            <v>0</v>
          </cell>
          <cell r="Q229">
            <v>0</v>
          </cell>
          <cell r="R229">
            <v>0</v>
          </cell>
          <cell r="S229">
            <v>0</v>
          </cell>
          <cell r="T229">
            <v>0</v>
          </cell>
          <cell r="U229">
            <v>17</v>
          </cell>
          <cell r="V229">
            <v>0</v>
          </cell>
          <cell r="W229">
            <v>0</v>
          </cell>
          <cell r="X229">
            <v>17</v>
          </cell>
          <cell r="Y229" t="str">
            <v>No</v>
          </cell>
          <cell r="Z229">
            <v>363</v>
          </cell>
          <cell r="AB229">
            <v>6171</v>
          </cell>
        </row>
        <row r="230">
          <cell r="B230" t="str">
            <v>C3_79</v>
          </cell>
          <cell r="E230" t="str">
            <v>Reducer (140mmx125mm HDPE)</v>
          </cell>
          <cell r="F230" t="str">
            <v>Reducer (140mmx125mm HDPE)</v>
          </cell>
          <cell r="I230">
            <v>0</v>
          </cell>
          <cell r="J230">
            <v>0</v>
          </cell>
          <cell r="K230">
            <v>0</v>
          </cell>
          <cell r="L230">
            <v>0</v>
          </cell>
          <cell r="M230">
            <v>0</v>
          </cell>
          <cell r="N230">
            <v>0</v>
          </cell>
          <cell r="O230">
            <v>0</v>
          </cell>
          <cell r="P230">
            <v>0</v>
          </cell>
          <cell r="Q230">
            <v>0</v>
          </cell>
          <cell r="R230">
            <v>0</v>
          </cell>
          <cell r="S230">
            <v>0</v>
          </cell>
          <cell r="T230">
            <v>0</v>
          </cell>
          <cell r="U230">
            <v>4</v>
          </cell>
          <cell r="V230">
            <v>0</v>
          </cell>
          <cell r="W230">
            <v>0</v>
          </cell>
          <cell r="X230">
            <v>4</v>
          </cell>
          <cell r="Y230" t="str">
            <v>No</v>
          </cell>
          <cell r="Z230">
            <v>363</v>
          </cell>
          <cell r="AB230">
            <v>1452</v>
          </cell>
        </row>
        <row r="231">
          <cell r="B231" t="str">
            <v>C3_80</v>
          </cell>
          <cell r="E231" t="str">
            <v>Reducer (140mmx40mm HDPE)</v>
          </cell>
          <cell r="F231" t="str">
            <v>Reducer (140mmx40mm HDPE)</v>
          </cell>
          <cell r="I231">
            <v>0</v>
          </cell>
          <cell r="J231">
            <v>0</v>
          </cell>
          <cell r="K231">
            <v>0</v>
          </cell>
          <cell r="L231">
            <v>0</v>
          </cell>
          <cell r="M231">
            <v>0</v>
          </cell>
          <cell r="N231">
            <v>0</v>
          </cell>
          <cell r="O231">
            <v>0</v>
          </cell>
          <cell r="P231">
            <v>0</v>
          </cell>
          <cell r="Q231">
            <v>0</v>
          </cell>
          <cell r="R231">
            <v>0</v>
          </cell>
          <cell r="S231">
            <v>0</v>
          </cell>
          <cell r="T231">
            <v>0</v>
          </cell>
          <cell r="U231">
            <v>4</v>
          </cell>
          <cell r="V231">
            <v>0</v>
          </cell>
          <cell r="W231">
            <v>0</v>
          </cell>
          <cell r="X231">
            <v>4</v>
          </cell>
          <cell r="Y231" t="str">
            <v>No</v>
          </cell>
          <cell r="Z231">
            <v>418</v>
          </cell>
          <cell r="AB231">
            <v>1672</v>
          </cell>
        </row>
        <row r="232">
          <cell r="B232" t="str">
            <v>C3_81</v>
          </cell>
          <cell r="E232" t="str">
            <v>Reducer (140mmx50mm HDPE)</v>
          </cell>
          <cell r="F232" t="str">
            <v>Reducer (140mmx50mm HDPE)</v>
          </cell>
          <cell r="I232">
            <v>0</v>
          </cell>
          <cell r="J232">
            <v>0</v>
          </cell>
          <cell r="K232">
            <v>0</v>
          </cell>
          <cell r="L232">
            <v>0</v>
          </cell>
          <cell r="M232">
            <v>0</v>
          </cell>
          <cell r="N232">
            <v>0</v>
          </cell>
          <cell r="O232">
            <v>0</v>
          </cell>
          <cell r="P232">
            <v>0</v>
          </cell>
          <cell r="Q232">
            <v>0</v>
          </cell>
          <cell r="R232">
            <v>0</v>
          </cell>
          <cell r="S232">
            <v>0</v>
          </cell>
          <cell r="T232">
            <v>0</v>
          </cell>
          <cell r="U232">
            <v>5</v>
          </cell>
          <cell r="V232">
            <v>0</v>
          </cell>
          <cell r="W232">
            <v>0</v>
          </cell>
          <cell r="X232">
            <v>5</v>
          </cell>
          <cell r="Y232" t="str">
            <v>No</v>
          </cell>
          <cell r="Z232">
            <v>423.5</v>
          </cell>
          <cell r="AB232">
            <v>2117.5</v>
          </cell>
        </row>
        <row r="233">
          <cell r="B233" t="str">
            <v>C3_82</v>
          </cell>
          <cell r="E233" t="str">
            <v>Reducer (140mmx63mm HDPE)</v>
          </cell>
          <cell r="F233" t="str">
            <v>Reducer (140mmx63mm HDPE)</v>
          </cell>
          <cell r="I233">
            <v>0</v>
          </cell>
          <cell r="J233">
            <v>0</v>
          </cell>
          <cell r="K233">
            <v>0</v>
          </cell>
          <cell r="L233">
            <v>0</v>
          </cell>
          <cell r="M233">
            <v>0</v>
          </cell>
          <cell r="N233">
            <v>0</v>
          </cell>
          <cell r="O233">
            <v>0</v>
          </cell>
          <cell r="P233">
            <v>0</v>
          </cell>
          <cell r="Q233">
            <v>0</v>
          </cell>
          <cell r="R233">
            <v>0</v>
          </cell>
          <cell r="S233">
            <v>0</v>
          </cell>
          <cell r="T233">
            <v>0</v>
          </cell>
          <cell r="U233">
            <v>3</v>
          </cell>
          <cell r="V233">
            <v>0</v>
          </cell>
          <cell r="W233">
            <v>0</v>
          </cell>
          <cell r="X233">
            <v>3</v>
          </cell>
          <cell r="Y233" t="str">
            <v>No</v>
          </cell>
          <cell r="Z233">
            <v>480</v>
          </cell>
          <cell r="AB233">
            <v>1440</v>
          </cell>
        </row>
        <row r="234">
          <cell r="B234" t="str">
            <v>C3_83</v>
          </cell>
          <cell r="E234" t="str">
            <v>Reducer (140mmx75mm HDPE)</v>
          </cell>
          <cell r="F234" t="str">
            <v>Reducer (140mmx75mm HDPE)</v>
          </cell>
          <cell r="I234">
            <v>0</v>
          </cell>
          <cell r="J234">
            <v>0</v>
          </cell>
          <cell r="K234">
            <v>0</v>
          </cell>
          <cell r="L234">
            <v>0</v>
          </cell>
          <cell r="M234">
            <v>0</v>
          </cell>
          <cell r="N234">
            <v>0</v>
          </cell>
          <cell r="O234">
            <v>0</v>
          </cell>
          <cell r="P234">
            <v>0</v>
          </cell>
          <cell r="Q234">
            <v>0</v>
          </cell>
          <cell r="R234">
            <v>0</v>
          </cell>
          <cell r="S234">
            <v>0</v>
          </cell>
          <cell r="T234">
            <v>0</v>
          </cell>
          <cell r="U234">
            <v>3</v>
          </cell>
          <cell r="V234">
            <v>0</v>
          </cell>
          <cell r="W234">
            <v>0</v>
          </cell>
          <cell r="X234">
            <v>3</v>
          </cell>
          <cell r="Y234" t="str">
            <v>No</v>
          </cell>
          <cell r="Z234">
            <v>330</v>
          </cell>
          <cell r="AB234">
            <v>990</v>
          </cell>
        </row>
        <row r="235">
          <cell r="B235" t="str">
            <v>C3_84</v>
          </cell>
          <cell r="E235" t="str">
            <v>Reducer (140mmx90mm HDPE)</v>
          </cell>
          <cell r="F235" t="str">
            <v>Reducer (140mmx90mm HDPE)</v>
          </cell>
          <cell r="I235">
            <v>0</v>
          </cell>
          <cell r="J235">
            <v>0</v>
          </cell>
          <cell r="K235">
            <v>0</v>
          </cell>
          <cell r="L235">
            <v>0</v>
          </cell>
          <cell r="M235">
            <v>0</v>
          </cell>
          <cell r="N235">
            <v>0</v>
          </cell>
          <cell r="O235">
            <v>0</v>
          </cell>
          <cell r="P235">
            <v>0</v>
          </cell>
          <cell r="Q235">
            <v>0</v>
          </cell>
          <cell r="R235">
            <v>0</v>
          </cell>
          <cell r="S235">
            <v>0</v>
          </cell>
          <cell r="T235">
            <v>0</v>
          </cell>
          <cell r="U235">
            <v>2</v>
          </cell>
          <cell r="V235">
            <v>0</v>
          </cell>
          <cell r="W235">
            <v>0</v>
          </cell>
          <cell r="X235">
            <v>2</v>
          </cell>
          <cell r="Y235" t="str">
            <v>No</v>
          </cell>
          <cell r="Z235">
            <v>363</v>
          </cell>
          <cell r="AB235">
            <v>726</v>
          </cell>
        </row>
        <row r="236">
          <cell r="B236" t="str">
            <v>C3_85</v>
          </cell>
          <cell r="E236" t="str">
            <v>Reducer (160mmx110mm HDPE)</v>
          </cell>
          <cell r="F236" t="str">
            <v>Reducer (160mmx110mm HDPE)</v>
          </cell>
          <cell r="I236">
            <v>0</v>
          </cell>
          <cell r="J236">
            <v>0</v>
          </cell>
          <cell r="K236">
            <v>0</v>
          </cell>
          <cell r="L236">
            <v>0</v>
          </cell>
          <cell r="M236">
            <v>0</v>
          </cell>
          <cell r="N236">
            <v>0</v>
          </cell>
          <cell r="O236">
            <v>0</v>
          </cell>
          <cell r="P236">
            <v>0</v>
          </cell>
          <cell r="Q236">
            <v>0</v>
          </cell>
          <cell r="R236">
            <v>0</v>
          </cell>
          <cell r="S236">
            <v>0</v>
          </cell>
          <cell r="T236">
            <v>0</v>
          </cell>
          <cell r="U236">
            <v>3</v>
          </cell>
          <cell r="V236">
            <v>0</v>
          </cell>
          <cell r="W236">
            <v>0</v>
          </cell>
          <cell r="X236">
            <v>3</v>
          </cell>
          <cell r="Y236" t="str">
            <v>No</v>
          </cell>
          <cell r="Z236">
            <v>456.5</v>
          </cell>
          <cell r="AB236">
            <v>1369.5</v>
          </cell>
        </row>
        <row r="237">
          <cell r="B237" t="str">
            <v>C3_86</v>
          </cell>
          <cell r="E237" t="str">
            <v>Reducer (160mmx125mm HDPE)</v>
          </cell>
          <cell r="F237" t="str">
            <v>Reducer (160mmx125mm HDPE)</v>
          </cell>
          <cell r="I237">
            <v>0</v>
          </cell>
          <cell r="J237">
            <v>0</v>
          </cell>
          <cell r="K237">
            <v>0</v>
          </cell>
          <cell r="L237">
            <v>0</v>
          </cell>
          <cell r="M237">
            <v>0</v>
          </cell>
          <cell r="N237">
            <v>0</v>
          </cell>
          <cell r="O237">
            <v>0</v>
          </cell>
          <cell r="P237">
            <v>0</v>
          </cell>
          <cell r="Q237">
            <v>0</v>
          </cell>
          <cell r="R237">
            <v>0</v>
          </cell>
          <cell r="S237">
            <v>0</v>
          </cell>
          <cell r="T237">
            <v>0</v>
          </cell>
          <cell r="U237">
            <v>5</v>
          </cell>
          <cell r="V237">
            <v>0</v>
          </cell>
          <cell r="W237">
            <v>0</v>
          </cell>
          <cell r="X237">
            <v>5</v>
          </cell>
          <cell r="Y237" t="str">
            <v>No</v>
          </cell>
          <cell r="Z237">
            <v>456.5</v>
          </cell>
          <cell r="AB237">
            <v>2282.5</v>
          </cell>
        </row>
        <row r="238">
          <cell r="B238" t="str">
            <v>C3_87</v>
          </cell>
          <cell r="E238" t="str">
            <v>Reducer (160mmx140mm HDPE)</v>
          </cell>
          <cell r="F238" t="str">
            <v>Reducer (160mmx140mm HDPE)</v>
          </cell>
          <cell r="I238">
            <v>0</v>
          </cell>
          <cell r="J238">
            <v>0</v>
          </cell>
          <cell r="K238">
            <v>0</v>
          </cell>
          <cell r="L238">
            <v>0</v>
          </cell>
          <cell r="M238">
            <v>0</v>
          </cell>
          <cell r="N238">
            <v>0</v>
          </cell>
          <cell r="O238">
            <v>0</v>
          </cell>
          <cell r="P238">
            <v>0</v>
          </cell>
          <cell r="Q238">
            <v>0</v>
          </cell>
          <cell r="R238">
            <v>0</v>
          </cell>
          <cell r="S238">
            <v>0</v>
          </cell>
          <cell r="T238">
            <v>0</v>
          </cell>
          <cell r="U238">
            <v>2</v>
          </cell>
          <cell r="V238">
            <v>0</v>
          </cell>
          <cell r="W238">
            <v>0</v>
          </cell>
          <cell r="X238">
            <v>2</v>
          </cell>
          <cell r="Y238" t="str">
            <v>No</v>
          </cell>
          <cell r="Z238">
            <v>471.9</v>
          </cell>
          <cell r="AB238">
            <v>943.8</v>
          </cell>
        </row>
        <row r="239">
          <cell r="B239" t="str">
            <v>C3_88</v>
          </cell>
          <cell r="E239" t="str">
            <v>Reducer (160mmx90mm HDPE)</v>
          </cell>
          <cell r="F239" t="str">
            <v>Reducer (160mmx90mm HDPE)</v>
          </cell>
          <cell r="I239">
            <v>0</v>
          </cell>
          <cell r="J239">
            <v>0</v>
          </cell>
          <cell r="K239">
            <v>0</v>
          </cell>
          <cell r="L239">
            <v>0</v>
          </cell>
          <cell r="M239">
            <v>0</v>
          </cell>
          <cell r="N239">
            <v>0</v>
          </cell>
          <cell r="O239">
            <v>0</v>
          </cell>
          <cell r="P239">
            <v>0</v>
          </cell>
          <cell r="Q239">
            <v>0</v>
          </cell>
          <cell r="R239">
            <v>0</v>
          </cell>
          <cell r="S239">
            <v>0</v>
          </cell>
          <cell r="T239">
            <v>0</v>
          </cell>
          <cell r="U239">
            <v>2</v>
          </cell>
          <cell r="V239">
            <v>0</v>
          </cell>
          <cell r="W239">
            <v>0</v>
          </cell>
          <cell r="X239">
            <v>2</v>
          </cell>
          <cell r="Y239" t="str">
            <v>No</v>
          </cell>
          <cell r="Z239">
            <v>423.5</v>
          </cell>
          <cell r="AB239">
            <v>847</v>
          </cell>
        </row>
        <row r="240">
          <cell r="B240" t="str">
            <v>C3_89</v>
          </cell>
          <cell r="E240" t="str">
            <v>Reducer (160mmx63mm HDPE)</v>
          </cell>
          <cell r="F240" t="str">
            <v>Reducer (160mmx63mm HDPE)</v>
          </cell>
          <cell r="I240">
            <v>0</v>
          </cell>
          <cell r="J240">
            <v>0</v>
          </cell>
          <cell r="K240">
            <v>0</v>
          </cell>
          <cell r="L240">
            <v>0</v>
          </cell>
          <cell r="M240">
            <v>0</v>
          </cell>
          <cell r="N240">
            <v>0</v>
          </cell>
          <cell r="O240">
            <v>0</v>
          </cell>
          <cell r="P240">
            <v>0</v>
          </cell>
          <cell r="Q240">
            <v>0</v>
          </cell>
          <cell r="R240">
            <v>0</v>
          </cell>
          <cell r="S240">
            <v>0</v>
          </cell>
          <cell r="T240">
            <v>0</v>
          </cell>
          <cell r="U240">
            <v>4</v>
          </cell>
          <cell r="V240">
            <v>0</v>
          </cell>
          <cell r="W240">
            <v>0</v>
          </cell>
          <cell r="X240">
            <v>4</v>
          </cell>
          <cell r="Y240" t="str">
            <v>No</v>
          </cell>
          <cell r="Z240">
            <v>363</v>
          </cell>
          <cell r="AB240">
            <v>1452</v>
          </cell>
        </row>
        <row r="241">
          <cell r="B241" t="str">
            <v>C3_90</v>
          </cell>
          <cell r="E241" t="str">
            <v>Reducer (160mmx50mm HDPE)</v>
          </cell>
          <cell r="F241" t="str">
            <v>Reducer (160mmx50mm HDPE)</v>
          </cell>
          <cell r="I241">
            <v>0</v>
          </cell>
          <cell r="J241">
            <v>0</v>
          </cell>
          <cell r="K241">
            <v>0</v>
          </cell>
          <cell r="L241">
            <v>0</v>
          </cell>
          <cell r="M241">
            <v>0</v>
          </cell>
          <cell r="N241">
            <v>0</v>
          </cell>
          <cell r="O241">
            <v>0</v>
          </cell>
          <cell r="P241">
            <v>0</v>
          </cell>
          <cell r="Q241">
            <v>0</v>
          </cell>
          <cell r="R241">
            <v>0</v>
          </cell>
          <cell r="S241">
            <v>0</v>
          </cell>
          <cell r="T241">
            <v>0</v>
          </cell>
          <cell r="U241">
            <v>5</v>
          </cell>
          <cell r="V241">
            <v>0</v>
          </cell>
          <cell r="W241">
            <v>0</v>
          </cell>
          <cell r="X241">
            <v>5</v>
          </cell>
          <cell r="Y241" t="str">
            <v>No</v>
          </cell>
          <cell r="Z241">
            <v>463</v>
          </cell>
          <cell r="AB241">
            <v>2315</v>
          </cell>
        </row>
        <row r="242">
          <cell r="B242" t="str">
            <v>C3_91</v>
          </cell>
          <cell r="E242" t="str">
            <v>Reducer (180mmx160mm HDPE)</v>
          </cell>
          <cell r="F242" t="str">
            <v>Reducer (180mmx160mm HDPE)</v>
          </cell>
          <cell r="I242">
            <v>0</v>
          </cell>
          <cell r="J242">
            <v>0</v>
          </cell>
          <cell r="K242">
            <v>0</v>
          </cell>
          <cell r="L242">
            <v>0</v>
          </cell>
          <cell r="M242">
            <v>0</v>
          </cell>
          <cell r="N242">
            <v>0</v>
          </cell>
          <cell r="O242">
            <v>0</v>
          </cell>
          <cell r="P242">
            <v>0</v>
          </cell>
          <cell r="Q242">
            <v>0</v>
          </cell>
          <cell r="R242">
            <v>0</v>
          </cell>
          <cell r="S242">
            <v>0</v>
          </cell>
          <cell r="T242">
            <v>0</v>
          </cell>
          <cell r="U242">
            <v>3</v>
          </cell>
          <cell r="V242">
            <v>0</v>
          </cell>
          <cell r="W242">
            <v>0</v>
          </cell>
          <cell r="X242">
            <v>3</v>
          </cell>
          <cell r="Y242" t="str">
            <v>No</v>
          </cell>
          <cell r="Z242">
            <v>726</v>
          </cell>
          <cell r="AB242">
            <v>2178</v>
          </cell>
        </row>
        <row r="243">
          <cell r="B243" t="str">
            <v>C3_92</v>
          </cell>
          <cell r="E243" t="str">
            <v>Reducer (180mmx90mm HDPE)</v>
          </cell>
          <cell r="F243" t="str">
            <v>Reducer (180mmx90mm HDPE)</v>
          </cell>
          <cell r="I243">
            <v>0</v>
          </cell>
          <cell r="J243">
            <v>0</v>
          </cell>
          <cell r="K243">
            <v>0</v>
          </cell>
          <cell r="L243">
            <v>0</v>
          </cell>
          <cell r="M243">
            <v>0</v>
          </cell>
          <cell r="N243">
            <v>0</v>
          </cell>
          <cell r="O243">
            <v>0</v>
          </cell>
          <cell r="P243">
            <v>0</v>
          </cell>
          <cell r="Q243">
            <v>0</v>
          </cell>
          <cell r="R243">
            <v>0</v>
          </cell>
          <cell r="S243">
            <v>0</v>
          </cell>
          <cell r="T243">
            <v>0</v>
          </cell>
          <cell r="U243">
            <v>3</v>
          </cell>
          <cell r="V243">
            <v>0</v>
          </cell>
          <cell r="W243">
            <v>0</v>
          </cell>
          <cell r="X243">
            <v>3</v>
          </cell>
          <cell r="Y243" t="str">
            <v>No</v>
          </cell>
          <cell r="Z243">
            <v>484</v>
          </cell>
          <cell r="AB243">
            <v>1452</v>
          </cell>
        </row>
        <row r="244">
          <cell r="B244" t="str">
            <v>C3_93</v>
          </cell>
          <cell r="E244" t="str">
            <v>Reducer (225mmx110mm HDPE)</v>
          </cell>
          <cell r="F244" t="str">
            <v>Reducer (225mmx110mm HDPE)</v>
          </cell>
          <cell r="I244">
            <v>0</v>
          </cell>
          <cell r="J244">
            <v>0</v>
          </cell>
          <cell r="K244">
            <v>0</v>
          </cell>
          <cell r="L244">
            <v>0</v>
          </cell>
          <cell r="M244">
            <v>0</v>
          </cell>
          <cell r="N244">
            <v>0</v>
          </cell>
          <cell r="O244">
            <v>0</v>
          </cell>
          <cell r="P244">
            <v>0</v>
          </cell>
          <cell r="Q244">
            <v>0</v>
          </cell>
          <cell r="R244">
            <v>0</v>
          </cell>
          <cell r="S244">
            <v>0</v>
          </cell>
          <cell r="T244">
            <v>0</v>
          </cell>
          <cell r="U244">
            <v>2</v>
          </cell>
          <cell r="V244">
            <v>0</v>
          </cell>
          <cell r="W244">
            <v>0</v>
          </cell>
          <cell r="X244">
            <v>2</v>
          </cell>
          <cell r="Y244" t="str">
            <v>No</v>
          </cell>
          <cell r="Z244">
            <v>797.5</v>
          </cell>
          <cell r="AB244">
            <v>1595</v>
          </cell>
        </row>
        <row r="245">
          <cell r="B245" t="str">
            <v>C3_94</v>
          </cell>
          <cell r="E245" t="str">
            <v>Reducer (225mmx140mm HDPE)</v>
          </cell>
          <cell r="F245" t="str">
            <v>Reducer (225mmx140mm HDPE)</v>
          </cell>
          <cell r="I245">
            <v>0</v>
          </cell>
          <cell r="J245">
            <v>0</v>
          </cell>
          <cell r="K245">
            <v>0</v>
          </cell>
          <cell r="L245">
            <v>0</v>
          </cell>
          <cell r="M245">
            <v>0</v>
          </cell>
          <cell r="N245">
            <v>0</v>
          </cell>
          <cell r="O245">
            <v>0</v>
          </cell>
          <cell r="P245">
            <v>0</v>
          </cell>
          <cell r="Q245">
            <v>0</v>
          </cell>
          <cell r="R245">
            <v>0</v>
          </cell>
          <cell r="S245">
            <v>0</v>
          </cell>
          <cell r="T245">
            <v>0</v>
          </cell>
          <cell r="U245">
            <v>2</v>
          </cell>
          <cell r="V245">
            <v>0</v>
          </cell>
          <cell r="W245">
            <v>0</v>
          </cell>
          <cell r="X245">
            <v>2</v>
          </cell>
          <cell r="Y245" t="str">
            <v>No</v>
          </cell>
          <cell r="Z245">
            <v>819.5</v>
          </cell>
          <cell r="AB245">
            <v>1639</v>
          </cell>
        </row>
        <row r="246">
          <cell r="B246" t="str">
            <v>C3_95</v>
          </cell>
          <cell r="E246" t="str">
            <v>Reducer (250mmx160mm HDPE)</v>
          </cell>
          <cell r="F246" t="str">
            <v>Reducer (250mmx160mm HDPE)</v>
          </cell>
          <cell r="I246">
            <v>0</v>
          </cell>
          <cell r="J246">
            <v>0</v>
          </cell>
          <cell r="K246">
            <v>0</v>
          </cell>
          <cell r="L246">
            <v>0</v>
          </cell>
          <cell r="M246">
            <v>0</v>
          </cell>
          <cell r="N246">
            <v>0</v>
          </cell>
          <cell r="O246">
            <v>0</v>
          </cell>
          <cell r="P246">
            <v>0</v>
          </cell>
          <cell r="Q246">
            <v>0</v>
          </cell>
          <cell r="R246">
            <v>0</v>
          </cell>
          <cell r="S246">
            <v>0</v>
          </cell>
          <cell r="T246">
            <v>0</v>
          </cell>
          <cell r="U246">
            <v>5</v>
          </cell>
          <cell r="V246">
            <v>0</v>
          </cell>
          <cell r="W246">
            <v>0</v>
          </cell>
          <cell r="X246">
            <v>5</v>
          </cell>
          <cell r="Y246" t="str">
            <v>No</v>
          </cell>
          <cell r="Z246">
            <v>1028.5</v>
          </cell>
          <cell r="AB246">
            <v>5142.5</v>
          </cell>
        </row>
        <row r="247">
          <cell r="B247" t="str">
            <v>C3_96</v>
          </cell>
          <cell r="E247" t="str">
            <v>Reducer (250mmx225mm HDPE)</v>
          </cell>
          <cell r="F247" t="str">
            <v>Reducer (250mmx225mm HDPE)</v>
          </cell>
          <cell r="I247">
            <v>0</v>
          </cell>
          <cell r="J247">
            <v>0</v>
          </cell>
          <cell r="K247">
            <v>0</v>
          </cell>
          <cell r="L247">
            <v>0</v>
          </cell>
          <cell r="M247">
            <v>0</v>
          </cell>
          <cell r="N247">
            <v>0</v>
          </cell>
          <cell r="O247">
            <v>0</v>
          </cell>
          <cell r="P247">
            <v>0</v>
          </cell>
          <cell r="Q247">
            <v>0</v>
          </cell>
          <cell r="R247">
            <v>0</v>
          </cell>
          <cell r="S247">
            <v>0</v>
          </cell>
          <cell r="T247">
            <v>0</v>
          </cell>
          <cell r="U247">
            <v>10</v>
          </cell>
          <cell r="V247">
            <v>0</v>
          </cell>
          <cell r="W247">
            <v>0</v>
          </cell>
          <cell r="X247">
            <v>10</v>
          </cell>
          <cell r="Y247" t="str">
            <v>No</v>
          </cell>
          <cell r="Z247">
            <v>1028.5</v>
          </cell>
          <cell r="AB247">
            <v>10285</v>
          </cell>
        </row>
        <row r="248">
          <cell r="B248" t="str">
            <v>C3_97</v>
          </cell>
          <cell r="E248" t="str">
            <v>Reducer (250mmx110mm HDPE)</v>
          </cell>
          <cell r="F248" t="str">
            <v>Reducer (250mmx110mm HDPE)</v>
          </cell>
          <cell r="I248">
            <v>0</v>
          </cell>
          <cell r="J248">
            <v>0</v>
          </cell>
          <cell r="K248">
            <v>0</v>
          </cell>
          <cell r="L248">
            <v>0</v>
          </cell>
          <cell r="M248">
            <v>0</v>
          </cell>
          <cell r="N248">
            <v>0</v>
          </cell>
          <cell r="O248">
            <v>0</v>
          </cell>
          <cell r="P248">
            <v>0</v>
          </cell>
          <cell r="Q248">
            <v>0</v>
          </cell>
          <cell r="R248">
            <v>0</v>
          </cell>
          <cell r="S248">
            <v>0</v>
          </cell>
          <cell r="T248">
            <v>0</v>
          </cell>
          <cell r="U248">
            <v>6</v>
          </cell>
          <cell r="V248">
            <v>0</v>
          </cell>
          <cell r="W248">
            <v>0</v>
          </cell>
          <cell r="X248">
            <v>6</v>
          </cell>
          <cell r="Y248" t="str">
            <v>No</v>
          </cell>
          <cell r="Z248">
            <v>968</v>
          </cell>
          <cell r="AB248">
            <v>5808</v>
          </cell>
        </row>
        <row r="249">
          <cell r="B249" t="str">
            <v>C3_98</v>
          </cell>
          <cell r="E249" t="str">
            <v>Saddle (140mmx32mm)</v>
          </cell>
          <cell r="F249" t="str">
            <v>Saddle (140mmx32mm)</v>
          </cell>
          <cell r="I249">
            <v>0</v>
          </cell>
          <cell r="J249">
            <v>0</v>
          </cell>
          <cell r="K249">
            <v>0</v>
          </cell>
          <cell r="L249">
            <v>0</v>
          </cell>
          <cell r="M249">
            <v>0</v>
          </cell>
          <cell r="N249">
            <v>0</v>
          </cell>
          <cell r="O249">
            <v>0</v>
          </cell>
          <cell r="P249">
            <v>0</v>
          </cell>
          <cell r="Q249">
            <v>0</v>
          </cell>
          <cell r="R249">
            <v>0</v>
          </cell>
          <cell r="S249">
            <v>0</v>
          </cell>
          <cell r="T249">
            <v>0</v>
          </cell>
          <cell r="U249">
            <v>3</v>
          </cell>
          <cell r="V249">
            <v>0</v>
          </cell>
          <cell r="W249">
            <v>0</v>
          </cell>
          <cell r="X249">
            <v>3</v>
          </cell>
          <cell r="Y249" t="str">
            <v>No</v>
          </cell>
          <cell r="Z249">
            <v>250</v>
          </cell>
          <cell r="AB249">
            <v>750</v>
          </cell>
        </row>
        <row r="250">
          <cell r="B250" t="str">
            <v>C3_99</v>
          </cell>
          <cell r="E250" t="str">
            <v>Pipe Piece of different size as per site requirement (15mm GI)</v>
          </cell>
          <cell r="F250" t="str">
            <v>Pipe Piece of different size as per site requirement (15mm GI)</v>
          </cell>
          <cell r="I250">
            <v>0</v>
          </cell>
          <cell r="J250">
            <v>0</v>
          </cell>
          <cell r="K250">
            <v>0</v>
          </cell>
          <cell r="L250">
            <v>0</v>
          </cell>
          <cell r="M250">
            <v>0</v>
          </cell>
          <cell r="N250">
            <v>0</v>
          </cell>
          <cell r="O250">
            <v>0</v>
          </cell>
          <cell r="P250">
            <v>0</v>
          </cell>
          <cell r="Q250">
            <v>0</v>
          </cell>
          <cell r="R250">
            <v>0</v>
          </cell>
          <cell r="S250">
            <v>0</v>
          </cell>
          <cell r="T250">
            <v>0</v>
          </cell>
          <cell r="U250">
            <v>13.8</v>
          </cell>
          <cell r="V250">
            <v>0</v>
          </cell>
          <cell r="W250">
            <v>0</v>
          </cell>
          <cell r="X250">
            <v>13.8</v>
          </cell>
          <cell r="Y250" t="str">
            <v>m</v>
          </cell>
          <cell r="Z250">
            <v>100</v>
          </cell>
          <cell r="AB250">
            <v>1380</v>
          </cell>
        </row>
        <row r="251">
          <cell r="B251" t="str">
            <v>C3_100</v>
          </cell>
          <cell r="E251" t="str">
            <v>Pipe Piece of different size as per site requirement (200mm DI)</v>
          </cell>
          <cell r="F251" t="str">
            <v>Pipe Piece of different size as per site requirement (200mm DI)</v>
          </cell>
          <cell r="I251">
            <v>0</v>
          </cell>
          <cell r="J251">
            <v>0</v>
          </cell>
          <cell r="K251">
            <v>0</v>
          </cell>
          <cell r="L251">
            <v>0</v>
          </cell>
          <cell r="M251">
            <v>0</v>
          </cell>
          <cell r="N251">
            <v>0</v>
          </cell>
          <cell r="O251">
            <v>0</v>
          </cell>
          <cell r="P251">
            <v>0</v>
          </cell>
          <cell r="Q251">
            <v>0</v>
          </cell>
          <cell r="R251">
            <v>0</v>
          </cell>
          <cell r="S251">
            <v>0</v>
          </cell>
          <cell r="T251">
            <v>0</v>
          </cell>
          <cell r="U251">
            <v>20</v>
          </cell>
          <cell r="V251">
            <v>0</v>
          </cell>
          <cell r="W251">
            <v>0</v>
          </cell>
          <cell r="X251">
            <v>20</v>
          </cell>
          <cell r="Y251" t="str">
            <v>m</v>
          </cell>
          <cell r="Z251">
            <v>2376</v>
          </cell>
          <cell r="AB251">
            <v>47520</v>
          </cell>
        </row>
        <row r="252">
          <cell r="B252" t="str">
            <v>C3_101</v>
          </cell>
          <cell r="E252" t="str">
            <v>Surface plate with flanged elbow assemble complete set</v>
          </cell>
          <cell r="F252" t="str">
            <v>Surface plate with flanged elbow assemble complete set</v>
          </cell>
          <cell r="I252">
            <v>0</v>
          </cell>
          <cell r="J252">
            <v>0</v>
          </cell>
          <cell r="K252">
            <v>0</v>
          </cell>
          <cell r="L252">
            <v>0</v>
          </cell>
          <cell r="M252">
            <v>0</v>
          </cell>
          <cell r="N252">
            <v>0</v>
          </cell>
          <cell r="O252">
            <v>0</v>
          </cell>
          <cell r="P252">
            <v>0</v>
          </cell>
          <cell r="Q252">
            <v>0</v>
          </cell>
          <cell r="R252">
            <v>0</v>
          </cell>
          <cell r="S252">
            <v>0</v>
          </cell>
          <cell r="T252">
            <v>0</v>
          </cell>
          <cell r="U252">
            <v>3</v>
          </cell>
          <cell r="V252">
            <v>0</v>
          </cell>
          <cell r="W252">
            <v>0</v>
          </cell>
          <cell r="X252">
            <v>3</v>
          </cell>
          <cell r="Y252" t="str">
            <v>set</v>
          </cell>
          <cell r="Z252">
            <v>18000</v>
          </cell>
          <cell r="AB252">
            <v>54000</v>
          </cell>
        </row>
        <row r="253">
          <cell r="B253" t="str">
            <v>C3_102</v>
          </cell>
          <cell r="E253" t="str">
            <v>Companion flange for well head</v>
          </cell>
          <cell r="F253" t="str">
            <v>Companion flange for well head</v>
          </cell>
          <cell r="I253">
            <v>0</v>
          </cell>
          <cell r="J253">
            <v>0</v>
          </cell>
          <cell r="K253">
            <v>0</v>
          </cell>
          <cell r="L253">
            <v>0</v>
          </cell>
          <cell r="M253">
            <v>0</v>
          </cell>
          <cell r="N253">
            <v>0</v>
          </cell>
          <cell r="O253">
            <v>0</v>
          </cell>
          <cell r="P253">
            <v>0</v>
          </cell>
          <cell r="Q253">
            <v>0</v>
          </cell>
          <cell r="R253">
            <v>0</v>
          </cell>
          <cell r="S253">
            <v>0</v>
          </cell>
          <cell r="T253">
            <v>0</v>
          </cell>
          <cell r="U253">
            <v>3</v>
          </cell>
          <cell r="V253">
            <v>0</v>
          </cell>
          <cell r="W253">
            <v>0</v>
          </cell>
          <cell r="X253">
            <v>3</v>
          </cell>
          <cell r="Y253" t="str">
            <v>set</v>
          </cell>
          <cell r="Z253">
            <v>6000</v>
          </cell>
          <cell r="AB253">
            <v>18000</v>
          </cell>
        </row>
        <row r="254">
          <cell r="B254" t="str">
            <v>C3_103</v>
          </cell>
          <cell r="E254" t="str">
            <v>Rubber expansion joint (standard spool type) or equivalent with ANSI</v>
          </cell>
          <cell r="F254" t="str">
            <v>Rubber expansion joint (standard spool type) or equivalent with ANSI</v>
          </cell>
          <cell r="I254">
            <v>0</v>
          </cell>
          <cell r="J254">
            <v>0</v>
          </cell>
          <cell r="K254">
            <v>0</v>
          </cell>
          <cell r="L254">
            <v>0</v>
          </cell>
          <cell r="M254">
            <v>0</v>
          </cell>
          <cell r="N254">
            <v>0</v>
          </cell>
          <cell r="O254">
            <v>0</v>
          </cell>
          <cell r="P254">
            <v>0</v>
          </cell>
          <cell r="Q254">
            <v>0</v>
          </cell>
          <cell r="R254">
            <v>0</v>
          </cell>
          <cell r="S254">
            <v>0</v>
          </cell>
          <cell r="T254">
            <v>0</v>
          </cell>
          <cell r="U254">
            <v>3</v>
          </cell>
          <cell r="V254">
            <v>0</v>
          </cell>
          <cell r="W254">
            <v>0</v>
          </cell>
          <cell r="X254">
            <v>3</v>
          </cell>
          <cell r="Y254" t="str">
            <v>No</v>
          </cell>
          <cell r="Z254">
            <v>8000</v>
          </cell>
          <cell r="AB254">
            <v>24000</v>
          </cell>
        </row>
        <row r="255">
          <cell r="B255" t="str">
            <v>C3_104</v>
          </cell>
          <cell r="E255" t="str">
            <v>Non-return valve, swing check stainless steel- TRIM (200 mm dia)</v>
          </cell>
          <cell r="F255" t="str">
            <v>Non-return valve, swing check stainless steel- TRIM (200 mm dia)</v>
          </cell>
          <cell r="I255">
            <v>0</v>
          </cell>
          <cell r="J255">
            <v>0</v>
          </cell>
          <cell r="K255">
            <v>0</v>
          </cell>
          <cell r="L255">
            <v>0</v>
          </cell>
          <cell r="M255">
            <v>0</v>
          </cell>
          <cell r="N255">
            <v>0</v>
          </cell>
          <cell r="O255">
            <v>0</v>
          </cell>
          <cell r="P255">
            <v>0</v>
          </cell>
          <cell r="Q255">
            <v>0</v>
          </cell>
          <cell r="R255">
            <v>0</v>
          </cell>
          <cell r="S255">
            <v>0</v>
          </cell>
          <cell r="T255">
            <v>0</v>
          </cell>
          <cell r="U255">
            <v>3</v>
          </cell>
          <cell r="V255">
            <v>0</v>
          </cell>
          <cell r="W255">
            <v>0</v>
          </cell>
          <cell r="X255">
            <v>3</v>
          </cell>
          <cell r="Y255" t="str">
            <v>No</v>
          </cell>
          <cell r="Z255">
            <v>24000</v>
          </cell>
          <cell r="AB255">
            <v>72000</v>
          </cell>
        </row>
        <row r="256">
          <cell r="B256" t="str">
            <v>C3_105</v>
          </cell>
          <cell r="E256" t="str">
            <v>Pressure gauge complete with pipe and isolating cock valve and adjustable snubber 1/2" dia. Range: 1-25 kg/cm2</v>
          </cell>
          <cell r="F256" t="str">
            <v>Pressure gauge complete with pipe and isolating cock valve and adjustable snubber 1/2" dia. Range: 1-25 kg/cm2</v>
          </cell>
          <cell r="I256">
            <v>0</v>
          </cell>
          <cell r="J256">
            <v>0</v>
          </cell>
          <cell r="K256">
            <v>0</v>
          </cell>
          <cell r="L256">
            <v>0</v>
          </cell>
          <cell r="M256">
            <v>0</v>
          </cell>
          <cell r="N256">
            <v>0</v>
          </cell>
          <cell r="O256">
            <v>0</v>
          </cell>
          <cell r="P256">
            <v>0</v>
          </cell>
          <cell r="Q256">
            <v>0</v>
          </cell>
          <cell r="R256">
            <v>0</v>
          </cell>
          <cell r="S256">
            <v>0</v>
          </cell>
          <cell r="T256">
            <v>0</v>
          </cell>
          <cell r="U256">
            <v>3</v>
          </cell>
          <cell r="V256">
            <v>0</v>
          </cell>
          <cell r="W256">
            <v>0</v>
          </cell>
          <cell r="X256">
            <v>3</v>
          </cell>
          <cell r="Y256" t="str">
            <v>No</v>
          </cell>
          <cell r="Z256">
            <v>6000</v>
          </cell>
          <cell r="AB256">
            <v>18000</v>
          </cell>
        </row>
        <row r="257">
          <cell r="B257" t="str">
            <v>C3_106</v>
          </cell>
          <cell r="E257" t="str">
            <v>Air vacuum valve complete with pipe and isolating cock valve 1 1/2" dia carbon steel</v>
          </cell>
          <cell r="F257" t="str">
            <v>Air vacuum valve complete with pipe and isolating cock valve 1 1/2" dia carbon steel</v>
          </cell>
          <cell r="I257">
            <v>0</v>
          </cell>
          <cell r="J257">
            <v>0</v>
          </cell>
          <cell r="K257">
            <v>0</v>
          </cell>
          <cell r="L257">
            <v>0</v>
          </cell>
          <cell r="M257">
            <v>0</v>
          </cell>
          <cell r="N257">
            <v>0</v>
          </cell>
          <cell r="O257">
            <v>0</v>
          </cell>
          <cell r="P257">
            <v>0</v>
          </cell>
          <cell r="Q257">
            <v>0</v>
          </cell>
          <cell r="R257">
            <v>0</v>
          </cell>
          <cell r="S257">
            <v>0</v>
          </cell>
          <cell r="T257">
            <v>0</v>
          </cell>
          <cell r="U257">
            <v>3</v>
          </cell>
          <cell r="V257">
            <v>0</v>
          </cell>
          <cell r="W257">
            <v>0</v>
          </cell>
          <cell r="X257">
            <v>3</v>
          </cell>
          <cell r="Y257" t="str">
            <v>set</v>
          </cell>
          <cell r="Z257">
            <v>25240.32</v>
          </cell>
          <cell r="AB257">
            <v>75720.960000000006</v>
          </cell>
        </row>
        <row r="258">
          <cell r="B258" t="str">
            <v>C3_107</v>
          </cell>
          <cell r="E258" t="str">
            <v>200mm dia. Sluice valve with flanged tail piece, adopters, nuts, bolts, rubber washer etc. complete set</v>
          </cell>
          <cell r="F258" t="str">
            <v>200mm dia. Sluice valve with flanged tail piece, adopters, nuts, bolts, rubber washer etc. complete set</v>
          </cell>
          <cell r="I258">
            <v>0</v>
          </cell>
          <cell r="J258">
            <v>0</v>
          </cell>
          <cell r="K258">
            <v>0</v>
          </cell>
          <cell r="L258">
            <v>0</v>
          </cell>
          <cell r="M258">
            <v>0</v>
          </cell>
          <cell r="N258">
            <v>0</v>
          </cell>
          <cell r="O258">
            <v>0</v>
          </cell>
          <cell r="P258">
            <v>0</v>
          </cell>
          <cell r="Q258">
            <v>0</v>
          </cell>
          <cell r="R258">
            <v>0</v>
          </cell>
          <cell r="S258">
            <v>0</v>
          </cell>
          <cell r="T258">
            <v>0</v>
          </cell>
          <cell r="U258">
            <v>6</v>
          </cell>
          <cell r="V258">
            <v>0</v>
          </cell>
          <cell r="W258">
            <v>0</v>
          </cell>
          <cell r="X258">
            <v>6</v>
          </cell>
          <cell r="Y258" t="str">
            <v>No</v>
          </cell>
          <cell r="Z258">
            <v>42000</v>
          </cell>
          <cell r="AB258">
            <v>252000</v>
          </cell>
        </row>
        <row r="259">
          <cell r="B259" t="str">
            <v>C3_108</v>
          </cell>
          <cell r="E259" t="str">
            <v>DI single flange tail piece (200mm dia x 1m)</v>
          </cell>
          <cell r="F259" t="str">
            <v>DI single flange tail piece (200mm dia x 1m)</v>
          </cell>
          <cell r="I259">
            <v>0</v>
          </cell>
          <cell r="J259">
            <v>0</v>
          </cell>
          <cell r="K259">
            <v>0</v>
          </cell>
          <cell r="L259">
            <v>0</v>
          </cell>
          <cell r="M259">
            <v>0</v>
          </cell>
          <cell r="N259">
            <v>0</v>
          </cell>
          <cell r="O259">
            <v>0</v>
          </cell>
          <cell r="P259">
            <v>0</v>
          </cell>
          <cell r="Q259">
            <v>0</v>
          </cell>
          <cell r="R259">
            <v>0</v>
          </cell>
          <cell r="S259">
            <v>0</v>
          </cell>
          <cell r="T259">
            <v>0</v>
          </cell>
          <cell r="U259">
            <v>7</v>
          </cell>
          <cell r="V259">
            <v>0</v>
          </cell>
          <cell r="W259">
            <v>0</v>
          </cell>
          <cell r="X259">
            <v>7</v>
          </cell>
          <cell r="Y259" t="str">
            <v>No</v>
          </cell>
          <cell r="Z259">
            <v>4500</v>
          </cell>
          <cell r="AB259">
            <v>31500</v>
          </cell>
        </row>
        <row r="260">
          <cell r="B260" t="str">
            <v>C3_109</v>
          </cell>
          <cell r="E260" t="str">
            <v>DI mechanical coupling with rubber rings (200mm dia)</v>
          </cell>
          <cell r="F260" t="str">
            <v>DI mechanical coupling with rubber rings (200mm dia)</v>
          </cell>
          <cell r="I260">
            <v>0</v>
          </cell>
          <cell r="J260">
            <v>0</v>
          </cell>
          <cell r="K260">
            <v>0</v>
          </cell>
          <cell r="L260">
            <v>0</v>
          </cell>
          <cell r="M260">
            <v>0</v>
          </cell>
          <cell r="N260">
            <v>0</v>
          </cell>
          <cell r="O260">
            <v>0</v>
          </cell>
          <cell r="P260">
            <v>0</v>
          </cell>
          <cell r="Q260">
            <v>0</v>
          </cell>
          <cell r="R260">
            <v>0</v>
          </cell>
          <cell r="S260">
            <v>0</v>
          </cell>
          <cell r="T260">
            <v>0</v>
          </cell>
          <cell r="U260">
            <v>6</v>
          </cell>
          <cell r="V260">
            <v>0</v>
          </cell>
          <cell r="W260">
            <v>0</v>
          </cell>
          <cell r="X260">
            <v>6</v>
          </cell>
          <cell r="Y260" t="str">
            <v>No</v>
          </cell>
          <cell r="Z260">
            <v>9838.08</v>
          </cell>
          <cell r="AB260">
            <v>59028.480000000003</v>
          </cell>
        </row>
        <row r="261">
          <cell r="B261" t="str">
            <v>C3_110</v>
          </cell>
          <cell r="E261" t="str">
            <v>DI flanged socket - 200mm dia x 1m</v>
          </cell>
          <cell r="F261" t="str">
            <v>DI flanged socket - 200mm dia x 1m</v>
          </cell>
          <cell r="I261">
            <v>0</v>
          </cell>
          <cell r="J261">
            <v>0</v>
          </cell>
          <cell r="K261">
            <v>0</v>
          </cell>
          <cell r="L261">
            <v>0</v>
          </cell>
          <cell r="M261">
            <v>0</v>
          </cell>
          <cell r="N261">
            <v>0</v>
          </cell>
          <cell r="O261">
            <v>0</v>
          </cell>
          <cell r="P261">
            <v>0</v>
          </cell>
          <cell r="Q261">
            <v>0</v>
          </cell>
          <cell r="R261">
            <v>0</v>
          </cell>
          <cell r="S261">
            <v>0</v>
          </cell>
          <cell r="T261">
            <v>0</v>
          </cell>
          <cell r="U261">
            <v>3</v>
          </cell>
          <cell r="V261">
            <v>0</v>
          </cell>
          <cell r="W261">
            <v>0</v>
          </cell>
          <cell r="X261">
            <v>3</v>
          </cell>
          <cell r="Y261" t="str">
            <v>No</v>
          </cell>
          <cell r="Z261">
            <v>3306.24</v>
          </cell>
          <cell r="AB261">
            <v>9918.7199999999993</v>
          </cell>
        </row>
        <row r="262">
          <cell r="B262" t="str">
            <v>C3_111</v>
          </cell>
          <cell r="E262" t="str">
            <v>DI flanged bend 90 deg. - 200mm dia</v>
          </cell>
          <cell r="F262" t="str">
            <v>DI flanged bend 90 deg. - 200mm dia</v>
          </cell>
          <cell r="I262">
            <v>0</v>
          </cell>
          <cell r="J262">
            <v>0</v>
          </cell>
          <cell r="K262">
            <v>0</v>
          </cell>
          <cell r="L262">
            <v>0</v>
          </cell>
          <cell r="M262">
            <v>0</v>
          </cell>
          <cell r="N262">
            <v>0</v>
          </cell>
          <cell r="O262">
            <v>0</v>
          </cell>
          <cell r="P262">
            <v>0</v>
          </cell>
          <cell r="Q262">
            <v>0</v>
          </cell>
          <cell r="R262">
            <v>0</v>
          </cell>
          <cell r="S262">
            <v>0</v>
          </cell>
          <cell r="T262">
            <v>0</v>
          </cell>
          <cell r="U262">
            <v>6</v>
          </cell>
          <cell r="V262">
            <v>0</v>
          </cell>
          <cell r="W262">
            <v>0</v>
          </cell>
          <cell r="X262">
            <v>6</v>
          </cell>
          <cell r="Y262" t="str">
            <v>No</v>
          </cell>
          <cell r="Z262">
            <v>5160.96</v>
          </cell>
          <cell r="AB262">
            <v>30965.759999999998</v>
          </cell>
        </row>
        <row r="263">
          <cell r="B263" t="str">
            <v>C3_112</v>
          </cell>
          <cell r="E263" t="str">
            <v>DI socket bend 90 deg. - 200mm dia</v>
          </cell>
          <cell r="F263" t="str">
            <v>DI socket bend 90 deg. - 200mm dia</v>
          </cell>
          <cell r="I263">
            <v>0</v>
          </cell>
          <cell r="J263">
            <v>0</v>
          </cell>
          <cell r="K263">
            <v>0</v>
          </cell>
          <cell r="L263">
            <v>0</v>
          </cell>
          <cell r="M263">
            <v>0</v>
          </cell>
          <cell r="N263">
            <v>0</v>
          </cell>
          <cell r="O263">
            <v>0</v>
          </cell>
          <cell r="P263">
            <v>0</v>
          </cell>
          <cell r="Q263">
            <v>0</v>
          </cell>
          <cell r="R263">
            <v>0</v>
          </cell>
          <cell r="S263">
            <v>0</v>
          </cell>
          <cell r="T263">
            <v>0</v>
          </cell>
          <cell r="U263">
            <v>6</v>
          </cell>
          <cell r="V263">
            <v>0</v>
          </cell>
          <cell r="W263">
            <v>0</v>
          </cell>
          <cell r="X263">
            <v>6</v>
          </cell>
          <cell r="Y263" t="str">
            <v>No</v>
          </cell>
          <cell r="Z263">
            <v>3467.52</v>
          </cell>
          <cell r="AB263">
            <v>20805.12</v>
          </cell>
        </row>
        <row r="264">
          <cell r="B264" t="str">
            <v>C3_113</v>
          </cell>
          <cell r="E264" t="str">
            <v>DI flanged tee - 200mmx200mmx200mm</v>
          </cell>
          <cell r="F264" t="str">
            <v>DI flanged tee - 200mmx200mmx200mm</v>
          </cell>
          <cell r="I264">
            <v>0</v>
          </cell>
          <cell r="J264">
            <v>0</v>
          </cell>
          <cell r="K264">
            <v>0</v>
          </cell>
          <cell r="L264">
            <v>0</v>
          </cell>
          <cell r="M264">
            <v>0</v>
          </cell>
          <cell r="N264">
            <v>0</v>
          </cell>
          <cell r="O264">
            <v>0</v>
          </cell>
          <cell r="P264">
            <v>0</v>
          </cell>
          <cell r="Q264">
            <v>0</v>
          </cell>
          <cell r="R264">
            <v>0</v>
          </cell>
          <cell r="S264">
            <v>0</v>
          </cell>
          <cell r="T264">
            <v>0</v>
          </cell>
          <cell r="U264">
            <v>4</v>
          </cell>
          <cell r="V264">
            <v>0</v>
          </cell>
          <cell r="W264">
            <v>0</v>
          </cell>
          <cell r="X264">
            <v>4</v>
          </cell>
          <cell r="Y264" t="str">
            <v>No</v>
          </cell>
          <cell r="Z264">
            <v>7660.8</v>
          </cell>
          <cell r="AB264">
            <v>30643.200000000001</v>
          </cell>
        </row>
        <row r="265">
          <cell r="B265" t="str">
            <v>C3_114</v>
          </cell>
          <cell r="E265" t="str">
            <v>DI Double flanged pipe (4m long 200mm dia)</v>
          </cell>
          <cell r="F265" t="str">
            <v>DI Double flanged pipe (4m long 200mm dia)</v>
          </cell>
          <cell r="I265">
            <v>0</v>
          </cell>
          <cell r="J265">
            <v>0</v>
          </cell>
          <cell r="K265">
            <v>0</v>
          </cell>
          <cell r="L265">
            <v>0</v>
          </cell>
          <cell r="M265">
            <v>0</v>
          </cell>
          <cell r="N265">
            <v>0</v>
          </cell>
          <cell r="O265">
            <v>0</v>
          </cell>
          <cell r="P265">
            <v>0</v>
          </cell>
          <cell r="Q265">
            <v>0</v>
          </cell>
          <cell r="R265">
            <v>0</v>
          </cell>
          <cell r="S265">
            <v>0</v>
          </cell>
          <cell r="T265">
            <v>0</v>
          </cell>
          <cell r="U265">
            <v>3</v>
          </cell>
          <cell r="V265">
            <v>0</v>
          </cell>
          <cell r="W265">
            <v>0</v>
          </cell>
          <cell r="X265">
            <v>3</v>
          </cell>
          <cell r="Y265" t="str">
            <v>No</v>
          </cell>
          <cell r="Z265">
            <v>12902.4</v>
          </cell>
          <cell r="AB265">
            <v>38707.199999999997</v>
          </cell>
        </row>
        <row r="266">
          <cell r="B266" t="str">
            <v>C3_115</v>
          </cell>
          <cell r="E266" t="str">
            <v>Double socket 90 deg bend - 200mm dia</v>
          </cell>
          <cell r="F266" t="str">
            <v>Double socket 90 deg bend - 200mm dia</v>
          </cell>
          <cell r="I266">
            <v>0</v>
          </cell>
          <cell r="J266">
            <v>0</v>
          </cell>
          <cell r="K266">
            <v>0</v>
          </cell>
          <cell r="L266">
            <v>0</v>
          </cell>
          <cell r="M266">
            <v>0</v>
          </cell>
          <cell r="N266">
            <v>0</v>
          </cell>
          <cell r="O266">
            <v>0</v>
          </cell>
          <cell r="P266">
            <v>0</v>
          </cell>
          <cell r="Q266">
            <v>0</v>
          </cell>
          <cell r="R266">
            <v>0</v>
          </cell>
          <cell r="S266">
            <v>0</v>
          </cell>
          <cell r="T266">
            <v>0</v>
          </cell>
          <cell r="U266">
            <v>2</v>
          </cell>
          <cell r="V266">
            <v>0</v>
          </cell>
          <cell r="W266">
            <v>0</v>
          </cell>
          <cell r="X266">
            <v>2</v>
          </cell>
          <cell r="Y266" t="str">
            <v>No</v>
          </cell>
          <cell r="Z266">
            <v>5483.52</v>
          </cell>
          <cell r="AB266">
            <v>10967.04</v>
          </cell>
        </row>
        <row r="267">
          <cell r="B267" t="str">
            <v>C3_116</v>
          </cell>
          <cell r="E267" t="str">
            <v>DI 150mm 45 deg bend</v>
          </cell>
          <cell r="F267" t="str">
            <v>DI 150mm 45 deg bend</v>
          </cell>
          <cell r="I267">
            <v>0</v>
          </cell>
          <cell r="J267">
            <v>0</v>
          </cell>
          <cell r="K267">
            <v>0</v>
          </cell>
          <cell r="L267">
            <v>0</v>
          </cell>
          <cell r="M267">
            <v>0</v>
          </cell>
          <cell r="N267">
            <v>0</v>
          </cell>
          <cell r="O267">
            <v>0</v>
          </cell>
          <cell r="P267">
            <v>0</v>
          </cell>
          <cell r="Q267">
            <v>0</v>
          </cell>
          <cell r="R267">
            <v>0</v>
          </cell>
          <cell r="S267">
            <v>0</v>
          </cell>
          <cell r="T267">
            <v>0</v>
          </cell>
          <cell r="U267">
            <v>6</v>
          </cell>
          <cell r="V267">
            <v>0</v>
          </cell>
          <cell r="W267">
            <v>0</v>
          </cell>
          <cell r="X267">
            <v>6</v>
          </cell>
          <cell r="Y267" t="str">
            <v>No</v>
          </cell>
          <cell r="Z267">
            <v>5000</v>
          </cell>
          <cell r="AB267">
            <v>30000</v>
          </cell>
        </row>
        <row r="271">
          <cell r="B271" t="str">
            <v>C3_120</v>
          </cell>
          <cell r="E271" t="str">
            <v>Elbow (15mm GI)</v>
          </cell>
          <cell r="F271" t="str">
            <v>Elbow (15mm GI)</v>
          </cell>
          <cell r="U271">
            <v>4</v>
          </cell>
          <cell r="X271">
            <v>4</v>
          </cell>
          <cell r="Y271" t="str">
            <v>No</v>
          </cell>
          <cell r="Z271">
            <v>28</v>
          </cell>
          <cell r="AB271">
            <v>112</v>
          </cell>
        </row>
        <row r="272">
          <cell r="B272" t="str">
            <v>C3_121</v>
          </cell>
          <cell r="D272" t="str">
            <v>cq</v>
          </cell>
          <cell r="E272" t="str">
            <v>Supply and Installation of Valve Box</v>
          </cell>
          <cell r="F272" t="str">
            <v>Supply and Installation of Valve Box as per drawing, specification and as directed by the Engineer</v>
          </cell>
          <cell r="I272">
            <v>0</v>
          </cell>
          <cell r="J272">
            <v>0</v>
          </cell>
          <cell r="K272">
            <v>0</v>
          </cell>
          <cell r="L272">
            <v>0</v>
          </cell>
          <cell r="M272">
            <v>0</v>
          </cell>
          <cell r="N272">
            <v>0</v>
          </cell>
          <cell r="O272">
            <v>0</v>
          </cell>
          <cell r="P272">
            <v>0</v>
          </cell>
          <cell r="Q272">
            <v>0</v>
          </cell>
          <cell r="R272">
            <v>31</v>
          </cell>
          <cell r="S272">
            <v>0</v>
          </cell>
          <cell r="T272">
            <v>0</v>
          </cell>
          <cell r="U272">
            <v>0</v>
          </cell>
          <cell r="V272">
            <v>0</v>
          </cell>
          <cell r="W272">
            <v>0</v>
          </cell>
          <cell r="X272">
            <v>31</v>
          </cell>
          <cell r="Y272" t="str">
            <v>No</v>
          </cell>
          <cell r="Z272">
            <v>2500</v>
          </cell>
          <cell r="AB272">
            <v>77500</v>
          </cell>
        </row>
        <row r="273">
          <cell r="B273" t="str">
            <v>C3_122</v>
          </cell>
          <cell r="D273" t="str">
            <v>af</v>
          </cell>
          <cell r="E273" t="str">
            <v>20mm Gate Valve with fitting</v>
          </cell>
          <cell r="F273" t="str">
            <v>20mm Gun Metal Gate valve with all accessory fittings for building sanitary work as per drawing and as directed by the Engineer</v>
          </cell>
          <cell r="I273">
            <v>0</v>
          </cell>
          <cell r="J273">
            <v>0</v>
          </cell>
          <cell r="K273">
            <v>0</v>
          </cell>
          <cell r="L273">
            <v>0</v>
          </cell>
          <cell r="M273">
            <v>0</v>
          </cell>
          <cell r="N273">
            <v>0</v>
          </cell>
          <cell r="O273">
            <v>1</v>
          </cell>
          <cell r="P273">
            <v>0</v>
          </cell>
          <cell r="Q273">
            <v>0</v>
          </cell>
          <cell r="R273">
            <v>0</v>
          </cell>
          <cell r="S273">
            <v>0</v>
          </cell>
          <cell r="T273">
            <v>0</v>
          </cell>
          <cell r="U273">
            <v>0</v>
          </cell>
          <cell r="V273">
            <v>0</v>
          </cell>
          <cell r="W273">
            <v>4</v>
          </cell>
          <cell r="X273">
            <v>5</v>
          </cell>
          <cell r="Y273" t="str">
            <v>No</v>
          </cell>
          <cell r="Z273">
            <v>250</v>
          </cell>
          <cell r="AB273">
            <v>1250</v>
          </cell>
        </row>
        <row r="274">
          <cell r="B274" t="str">
            <v>C3_123</v>
          </cell>
          <cell r="E274" t="str">
            <v>25mm Gate Valve with fitting</v>
          </cell>
          <cell r="F274" t="str">
            <v>25mm Gun Metal Gate valve with all accessory fittings for building sanitary work as per drawing and as directed by the Engineer</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2</v>
          </cell>
          <cell r="X274">
            <v>2</v>
          </cell>
          <cell r="Y274" t="str">
            <v>No</v>
          </cell>
          <cell r="Z274">
            <v>400</v>
          </cell>
          <cell r="AB274">
            <v>800</v>
          </cell>
        </row>
        <row r="275">
          <cell r="B275" t="str">
            <v>C3_124</v>
          </cell>
          <cell r="D275" t="str">
            <v>ag</v>
          </cell>
          <cell r="E275" t="str">
            <v>Chrome Plate (CP) 15mm taps</v>
          </cell>
          <cell r="F275" t="str">
            <v>15mm Chrome Plated tap with all accessory fittings for building sanitary work as per drawing and as directed by the Engineer</v>
          </cell>
          <cell r="I275">
            <v>0</v>
          </cell>
          <cell r="J275">
            <v>0</v>
          </cell>
          <cell r="K275">
            <v>0</v>
          </cell>
          <cell r="L275">
            <v>0</v>
          </cell>
          <cell r="M275">
            <v>0</v>
          </cell>
          <cell r="N275">
            <v>0</v>
          </cell>
          <cell r="O275">
            <v>2</v>
          </cell>
          <cell r="P275">
            <v>0</v>
          </cell>
          <cell r="Q275">
            <v>0</v>
          </cell>
          <cell r="R275">
            <v>0</v>
          </cell>
          <cell r="S275">
            <v>0</v>
          </cell>
          <cell r="T275">
            <v>0</v>
          </cell>
          <cell r="U275">
            <v>0</v>
          </cell>
          <cell r="V275">
            <v>0</v>
          </cell>
          <cell r="W275">
            <v>18</v>
          </cell>
          <cell r="X275">
            <v>20</v>
          </cell>
          <cell r="Y275" t="str">
            <v>No</v>
          </cell>
          <cell r="Z275">
            <v>250</v>
          </cell>
          <cell r="AB275">
            <v>5000</v>
          </cell>
        </row>
        <row r="276">
          <cell r="B276" t="str">
            <v>C3_125</v>
          </cell>
          <cell r="E276" t="str">
            <v>Water Meter</v>
          </cell>
          <cell r="F276" t="str">
            <v>Supply of Standard water meter operating with volumetric Rotary-piston principal with 1/2" diameter inlet and outlet pipe as per Clause 5.2.6 and other related clause of the Specification</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t="str">
            <v>No</v>
          </cell>
          <cell r="Z276">
            <v>1100</v>
          </cell>
          <cell r="AB276">
            <v>0</v>
          </cell>
        </row>
        <row r="277">
          <cell r="D277" t="str">
            <v>D Electro-mechanical Work</v>
          </cell>
          <cell r="X277">
            <v>0</v>
          </cell>
        </row>
        <row r="278">
          <cell r="D278" t="str">
            <v>D1 : Transformer and Transmission Line Work</v>
          </cell>
          <cell r="X278">
            <v>0</v>
          </cell>
        </row>
        <row r="279">
          <cell r="B279" t="str">
            <v>D1_1</v>
          </cell>
          <cell r="C279" t="str">
            <v>17.2.b.7.4</v>
          </cell>
          <cell r="D279">
            <v>48.5</v>
          </cell>
          <cell r="E279" t="str">
            <v>Supply, Installation and commissioning of Transformer including HT line with following materials in coordination with the Nepal Electricity Authority with complete required accessories as follows.</v>
          </cell>
          <cell r="F279" t="str">
            <v>Supply, Installation and commissioning of transformer including HT line with following materials in coordination and compliance with the Nepal Electricity Authority with complete required accessories as follows (Specification Clause 3, 4 and 5).</v>
          </cell>
          <cell r="I279">
            <v>1</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1</v>
          </cell>
          <cell r="Y279" t="str">
            <v>Job</v>
          </cell>
          <cell r="Z279">
            <v>850000</v>
          </cell>
          <cell r="AB279">
            <v>850000</v>
          </cell>
        </row>
        <row r="280">
          <cell r="B280" t="str">
            <v>D1_2</v>
          </cell>
          <cell r="C280" t="str">
            <v>17.2.b.7.4</v>
          </cell>
          <cell r="D280">
            <v>48.6</v>
          </cell>
          <cell r="E280" t="str">
            <v>100 KVA Transformer-1 no</v>
          </cell>
          <cell r="F280" t="str">
            <v>100 KVA Transformer</v>
          </cell>
          <cell r="I280">
            <v>1</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1</v>
          </cell>
          <cell r="Y280" t="str">
            <v>No</v>
          </cell>
          <cell r="Z280">
            <v>0</v>
          </cell>
          <cell r="AB280">
            <v>0</v>
          </cell>
        </row>
        <row r="281">
          <cell r="B281" t="str">
            <v>D1_3</v>
          </cell>
          <cell r="C281" t="str">
            <v>17.2.b.7.4</v>
          </cell>
          <cell r="D281">
            <v>48.7</v>
          </cell>
          <cell r="E281" t="str">
            <v>9 m Steel Pole-9 Nos</v>
          </cell>
          <cell r="F281" t="str">
            <v>9 m Steel Pole</v>
          </cell>
          <cell r="I281">
            <v>9</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9</v>
          </cell>
          <cell r="Y281" t="str">
            <v>No</v>
          </cell>
          <cell r="Z281">
            <v>0</v>
          </cell>
          <cell r="AB281">
            <v>0</v>
          </cell>
        </row>
        <row r="282">
          <cell r="B282" t="str">
            <v>D1_4</v>
          </cell>
          <cell r="D282">
            <v>49</v>
          </cell>
          <cell r="E282" t="str">
            <v>5 x 2 x 2 A Bracket-12 Nos</v>
          </cell>
          <cell r="F282" t="str">
            <v>5 x 2 x 2 A Bracket</v>
          </cell>
          <cell r="I282">
            <v>12</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12</v>
          </cell>
          <cell r="Y282" t="str">
            <v>No</v>
          </cell>
          <cell r="Z282">
            <v>0</v>
          </cell>
          <cell r="AB282">
            <v>0</v>
          </cell>
        </row>
        <row r="283">
          <cell r="B283" t="str">
            <v>D1_5</v>
          </cell>
          <cell r="D283">
            <v>50</v>
          </cell>
          <cell r="E283" t="str">
            <v>4 x 2 x 2 Cross Arm-21 Nos</v>
          </cell>
          <cell r="F283" t="str">
            <v>4 x 2 x 2 Cross Arm</v>
          </cell>
          <cell r="I283">
            <v>21</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21</v>
          </cell>
          <cell r="Y283" t="str">
            <v>No</v>
          </cell>
          <cell r="Z283">
            <v>0</v>
          </cell>
          <cell r="AB283">
            <v>0</v>
          </cell>
        </row>
        <row r="284">
          <cell r="B284" t="str">
            <v>D1_6</v>
          </cell>
          <cell r="D284">
            <v>51</v>
          </cell>
          <cell r="E284" t="str">
            <v>1 x 2 x 2 Top Bracket-2 Nos</v>
          </cell>
          <cell r="F284" t="str">
            <v>1 x 2 x 2 Top Bracket</v>
          </cell>
          <cell r="I284">
            <v>2</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2</v>
          </cell>
          <cell r="Y284" t="str">
            <v>No</v>
          </cell>
          <cell r="Z284">
            <v>0</v>
          </cell>
          <cell r="AB284">
            <v>0</v>
          </cell>
        </row>
        <row r="285">
          <cell r="B285" t="str">
            <v>D1_7</v>
          </cell>
          <cell r="D285">
            <v>52</v>
          </cell>
          <cell r="E285" t="str">
            <v>11 KV Disc Insulator-48 Nos</v>
          </cell>
          <cell r="F285" t="str">
            <v>11 KV Disc Insulator</v>
          </cell>
          <cell r="I285">
            <v>48</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48</v>
          </cell>
          <cell r="Y285" t="str">
            <v>No</v>
          </cell>
          <cell r="Z285">
            <v>0</v>
          </cell>
          <cell r="AB285">
            <v>0</v>
          </cell>
        </row>
        <row r="286">
          <cell r="B286" t="str">
            <v>D1_8</v>
          </cell>
          <cell r="D286">
            <v>53</v>
          </cell>
          <cell r="E286" t="str">
            <v>11 KV Pin Insulator-105 Nos</v>
          </cell>
          <cell r="F286" t="str">
            <v>11 KV Pin Insulator</v>
          </cell>
          <cell r="I286">
            <v>105</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105</v>
          </cell>
          <cell r="Y286" t="str">
            <v>No</v>
          </cell>
          <cell r="Z286">
            <v>0</v>
          </cell>
          <cell r="AB286">
            <v>0</v>
          </cell>
        </row>
        <row r="287">
          <cell r="B287" t="str">
            <v>D1_9</v>
          </cell>
          <cell r="D287">
            <v>54</v>
          </cell>
          <cell r="E287" t="str">
            <v>Transformer Tower Set-2 set</v>
          </cell>
          <cell r="F287" t="str">
            <v>Transformer Tower Set</v>
          </cell>
          <cell r="I287">
            <v>2</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2</v>
          </cell>
          <cell r="Y287" t="str">
            <v>set</v>
          </cell>
          <cell r="Z287">
            <v>0</v>
          </cell>
          <cell r="AB287">
            <v>0</v>
          </cell>
        </row>
        <row r="288">
          <cell r="B288" t="str">
            <v>D1_10</v>
          </cell>
          <cell r="D288">
            <v>55</v>
          </cell>
          <cell r="E288" t="str">
            <v>Earthing set-3 set</v>
          </cell>
          <cell r="F288" t="str">
            <v>Earthing set</v>
          </cell>
          <cell r="I288">
            <v>3</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3</v>
          </cell>
          <cell r="Y288" t="str">
            <v>set</v>
          </cell>
          <cell r="Z288">
            <v>0</v>
          </cell>
          <cell r="AB288">
            <v>0</v>
          </cell>
        </row>
        <row r="289">
          <cell r="B289" t="str">
            <v>D1_11</v>
          </cell>
          <cell r="D289">
            <v>56</v>
          </cell>
          <cell r="E289" t="str">
            <v>11 KV Drop Out Fuse-1 set</v>
          </cell>
          <cell r="F289" t="str">
            <v>11 KV Drop Out Fuse</v>
          </cell>
          <cell r="I289">
            <v>1</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1</v>
          </cell>
          <cell r="Y289" t="str">
            <v>set</v>
          </cell>
          <cell r="Z289">
            <v>0</v>
          </cell>
          <cell r="AB289">
            <v>0</v>
          </cell>
        </row>
        <row r="290">
          <cell r="B290" t="str">
            <v>D1_12</v>
          </cell>
          <cell r="D290">
            <v>57</v>
          </cell>
          <cell r="E290" t="str">
            <v>11 KV Lightening Arrestor-2 Nos</v>
          </cell>
          <cell r="F290" t="str">
            <v>11 KV Lightening Arrestor</v>
          </cell>
          <cell r="I290">
            <v>2</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2</v>
          </cell>
          <cell r="Y290" t="str">
            <v>No</v>
          </cell>
          <cell r="Z290">
            <v>0</v>
          </cell>
          <cell r="AB290">
            <v>0</v>
          </cell>
        </row>
        <row r="291">
          <cell r="B291" t="str">
            <v>D1_13</v>
          </cell>
          <cell r="D291">
            <v>58</v>
          </cell>
          <cell r="E291" t="str">
            <v>Stay Set-11 Nos</v>
          </cell>
          <cell r="F291" t="str">
            <v>Stay Set</v>
          </cell>
          <cell r="I291">
            <v>11</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11</v>
          </cell>
          <cell r="Y291" t="str">
            <v>No</v>
          </cell>
          <cell r="Z291">
            <v>0</v>
          </cell>
          <cell r="AB291">
            <v>0</v>
          </cell>
        </row>
        <row r="292">
          <cell r="B292" t="str">
            <v>D1_14</v>
          </cell>
          <cell r="D292">
            <v>59</v>
          </cell>
          <cell r="E292" t="str">
            <v>Stay Wire-42 kgs</v>
          </cell>
          <cell r="F292" t="str">
            <v>Stay Wire</v>
          </cell>
          <cell r="I292">
            <v>42</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42</v>
          </cell>
          <cell r="Y292" t="str">
            <v>kg</v>
          </cell>
          <cell r="Z292">
            <v>0</v>
          </cell>
          <cell r="AB292">
            <v>0</v>
          </cell>
        </row>
        <row r="293">
          <cell r="B293" t="str">
            <v>D1_15</v>
          </cell>
          <cell r="D293">
            <v>60</v>
          </cell>
          <cell r="E293" t="str">
            <v>0.03 ACSR-495 m</v>
          </cell>
          <cell r="F293" t="str">
            <v>0.03 ACSR</v>
          </cell>
          <cell r="I293">
            <v>495</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495</v>
          </cell>
          <cell r="Y293" t="str">
            <v>m</v>
          </cell>
          <cell r="Z293">
            <v>0</v>
          </cell>
          <cell r="AB293">
            <v>0</v>
          </cell>
        </row>
        <row r="294">
          <cell r="B294" t="str">
            <v>D1_16</v>
          </cell>
          <cell r="D294">
            <v>61</v>
          </cell>
          <cell r="E294" t="str">
            <v>Stay Insulator-22 Nos</v>
          </cell>
          <cell r="F294" t="str">
            <v>Stay Insulator</v>
          </cell>
          <cell r="I294">
            <v>22</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22</v>
          </cell>
          <cell r="Y294" t="str">
            <v>No</v>
          </cell>
          <cell r="Z294">
            <v>0</v>
          </cell>
          <cell r="AB294">
            <v>0</v>
          </cell>
        </row>
        <row r="295">
          <cell r="B295" t="str">
            <v>D1_17</v>
          </cell>
          <cell r="D295">
            <v>62</v>
          </cell>
          <cell r="E295" t="str">
            <v>LV Distribution Board-1 Nos</v>
          </cell>
          <cell r="F295" t="str">
            <v>LV Distribution Board</v>
          </cell>
          <cell r="I295">
            <v>1</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1</v>
          </cell>
          <cell r="Y295" t="str">
            <v>No</v>
          </cell>
          <cell r="Z295">
            <v>0</v>
          </cell>
          <cell r="AB295">
            <v>0</v>
          </cell>
        </row>
        <row r="296">
          <cell r="B296" t="str">
            <v>D1_18</v>
          </cell>
          <cell r="D296">
            <v>63</v>
          </cell>
          <cell r="E296" t="str">
            <v>150 A TPN MCCB-1 Nos</v>
          </cell>
          <cell r="F296" t="str">
            <v>150 A TPN MCCB</v>
          </cell>
          <cell r="I296">
            <v>1</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1</v>
          </cell>
          <cell r="Y296" t="str">
            <v>No</v>
          </cell>
          <cell r="Z296">
            <v>0</v>
          </cell>
          <cell r="AB296">
            <v>0</v>
          </cell>
        </row>
        <row r="297">
          <cell r="B297" t="str">
            <v>D1_19</v>
          </cell>
          <cell r="D297">
            <v>64</v>
          </cell>
          <cell r="E297" t="str">
            <v>L/V , 4 core 70 SQ. mm Al armored cable-12 m</v>
          </cell>
          <cell r="F297" t="str">
            <v>L/V , 4 core 70 SQ. mm Al armored cable</v>
          </cell>
          <cell r="I297">
            <v>12</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12</v>
          </cell>
          <cell r="Y297" t="str">
            <v>m</v>
          </cell>
          <cell r="Z297">
            <v>0</v>
          </cell>
          <cell r="AB297">
            <v>0</v>
          </cell>
        </row>
        <row r="298">
          <cell r="B298" t="str">
            <v>D1_20</v>
          </cell>
          <cell r="D298">
            <v>65</v>
          </cell>
          <cell r="E298" t="str">
            <v>Cable Shoe-8 Nos</v>
          </cell>
          <cell r="F298" t="str">
            <v>Cable Shoe</v>
          </cell>
          <cell r="I298">
            <v>8</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8</v>
          </cell>
          <cell r="Y298" t="str">
            <v>No</v>
          </cell>
          <cell r="Z298">
            <v>0</v>
          </cell>
          <cell r="AB298">
            <v>0</v>
          </cell>
        </row>
        <row r="299">
          <cell r="B299" t="str">
            <v>D1_21</v>
          </cell>
          <cell r="D299">
            <v>66</v>
          </cell>
          <cell r="E299" t="str">
            <v>and other necessary accessories for the completion of Transformer and HT line work</v>
          </cell>
          <cell r="F299" t="str">
            <v>Other necessary accessories for the completion of Transformer and HT line work</v>
          </cell>
          <cell r="I299" t="str">
            <v>LS</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t="str">
            <v>LS</v>
          </cell>
          <cell r="Z299">
            <v>0</v>
          </cell>
          <cell r="AB299">
            <v>0</v>
          </cell>
        </row>
        <row r="300">
          <cell r="B300" t="str">
            <v>D1_22</v>
          </cell>
          <cell r="D300">
            <v>70</v>
          </cell>
          <cell r="E300" t="str">
            <v>Supply, Installation and Commissioning of 100 KVA, 50Hz. Stand by diesel generator including reserve diesel tank of 1000 liter, MS steel platform for diesel tank erection, fire extinguisher (ABC powder type), all wiring necessary for running the pump (Cla</v>
          </cell>
          <cell r="F300" t="str">
            <v>Supply, Installation and Commissioning of 100 KVA, 50Hz. Stand by diesel generator including reserve diesel tank of 1000 liter, MS steel platform for diesel tank erection, fire extinguisher (ABC powder type), all wiring necessary for running the pump (Cla</v>
          </cell>
          <cell r="I300">
            <v>1</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1</v>
          </cell>
          <cell r="Y300" t="str">
            <v>sets</v>
          </cell>
          <cell r="Z300">
            <v>755000</v>
          </cell>
          <cell r="AB300">
            <v>755000</v>
          </cell>
        </row>
        <row r="301">
          <cell r="D301" t="str">
            <v>D2 : Electrification Work (Building)</v>
          </cell>
          <cell r="X301">
            <v>0</v>
          </cell>
        </row>
        <row r="302">
          <cell r="B302" t="str">
            <v>D2_1</v>
          </cell>
          <cell r="D302" t="str">
            <v>s</v>
          </cell>
          <cell r="E302" t="str">
            <v xml:space="preserve">Supply, installation and commissioning  of Main Distribution Board (MDB) </v>
          </cell>
          <cell r="F302" t="str">
            <v>Supply, installation and commissioning  of Main Distribution Board including MCBs (MDB) wall mounting concealed type, dust and vermin proof made of 16 SWG mild steel sheet cubical with double cover covering the MCB with the locking arrangement as per draw</v>
          </cell>
          <cell r="I302">
            <v>0</v>
          </cell>
          <cell r="J302">
            <v>0</v>
          </cell>
          <cell r="K302">
            <v>0</v>
          </cell>
          <cell r="L302">
            <v>0</v>
          </cell>
          <cell r="M302">
            <v>0</v>
          </cell>
          <cell r="N302">
            <v>1</v>
          </cell>
          <cell r="O302">
            <v>1</v>
          </cell>
          <cell r="P302">
            <v>0</v>
          </cell>
          <cell r="Q302">
            <v>0</v>
          </cell>
          <cell r="R302">
            <v>0</v>
          </cell>
          <cell r="S302">
            <v>0</v>
          </cell>
          <cell r="T302">
            <v>0</v>
          </cell>
          <cell r="U302">
            <v>0</v>
          </cell>
          <cell r="V302">
            <v>0</v>
          </cell>
          <cell r="W302">
            <v>0</v>
          </cell>
          <cell r="X302">
            <v>2</v>
          </cell>
          <cell r="Y302" t="str">
            <v>No</v>
          </cell>
          <cell r="Z302">
            <v>6000</v>
          </cell>
          <cell r="AB302">
            <v>12000</v>
          </cell>
        </row>
        <row r="303">
          <cell r="B303" t="str">
            <v>D2_2</v>
          </cell>
          <cell r="D303" t="str">
            <v>t</v>
          </cell>
          <cell r="E303" t="str">
            <v xml:space="preserve">Supply and installation of light point wiring from DB to various points with2 Nos of 3/22 PVC insulated copper wire through 20 mm internal dia HDPE conduit concealed via junction box as per drawing and specification including the cost of switch and metal </v>
          </cell>
          <cell r="F303" t="str">
            <v xml:space="preserve">Supply and installation of light point wiring from DB to various points with2 Nos of 3/22 PVC insulated copper wire through 20 mm internal dia HDPE conduit concealed via junction box as per drawing and specification including the cost of switch and metal </v>
          </cell>
          <cell r="I303">
            <v>0</v>
          </cell>
          <cell r="J303">
            <v>0</v>
          </cell>
          <cell r="K303">
            <v>0</v>
          </cell>
          <cell r="L303">
            <v>0</v>
          </cell>
          <cell r="M303">
            <v>0</v>
          </cell>
          <cell r="N303">
            <v>17</v>
          </cell>
          <cell r="O303">
            <v>17</v>
          </cell>
          <cell r="P303">
            <v>0</v>
          </cell>
          <cell r="Q303">
            <v>0</v>
          </cell>
          <cell r="R303">
            <v>0</v>
          </cell>
          <cell r="S303">
            <v>0</v>
          </cell>
          <cell r="T303">
            <v>0</v>
          </cell>
          <cell r="U303">
            <v>0</v>
          </cell>
          <cell r="V303">
            <v>0</v>
          </cell>
          <cell r="W303">
            <v>0</v>
          </cell>
          <cell r="X303">
            <v>34</v>
          </cell>
          <cell r="Y303" t="str">
            <v>No</v>
          </cell>
          <cell r="Z303">
            <v>500</v>
          </cell>
          <cell r="AB303">
            <v>17000</v>
          </cell>
        </row>
        <row r="304">
          <cell r="B304" t="str">
            <v>D2_3</v>
          </cell>
          <cell r="D304" t="str">
            <v>u</v>
          </cell>
          <cell r="E304" t="str">
            <v>Supply and installation of  3 pin (15 A) socket point including wiring all complete as per drawing and specification (Specification Clause 4)</v>
          </cell>
          <cell r="F304" t="str">
            <v>Supply and installation of  3 pin (15 A) socket point including wiring all complete as per drawing and specification (Specification Clause 4)</v>
          </cell>
          <cell r="I304">
            <v>0</v>
          </cell>
          <cell r="J304">
            <v>0</v>
          </cell>
          <cell r="K304">
            <v>0</v>
          </cell>
          <cell r="L304">
            <v>0</v>
          </cell>
          <cell r="M304">
            <v>0</v>
          </cell>
          <cell r="N304">
            <v>7</v>
          </cell>
          <cell r="O304">
            <v>7</v>
          </cell>
          <cell r="P304">
            <v>0</v>
          </cell>
          <cell r="Q304">
            <v>0</v>
          </cell>
          <cell r="R304">
            <v>0</v>
          </cell>
          <cell r="S304">
            <v>0</v>
          </cell>
          <cell r="T304">
            <v>0</v>
          </cell>
          <cell r="U304">
            <v>0</v>
          </cell>
          <cell r="V304">
            <v>0</v>
          </cell>
          <cell r="W304">
            <v>0</v>
          </cell>
          <cell r="X304">
            <v>14</v>
          </cell>
          <cell r="Y304" t="str">
            <v>No</v>
          </cell>
          <cell r="Z304">
            <v>750</v>
          </cell>
          <cell r="AB304">
            <v>10500</v>
          </cell>
        </row>
        <row r="305">
          <cell r="B305" t="str">
            <v>D2_4</v>
          </cell>
          <cell r="D305" t="str">
            <v>v</v>
          </cell>
          <cell r="E305" t="str">
            <v>Supply and installation of  2 pin (5 A) socket point including wiring all complete as per drawing and specification (Specification Clause 4)</v>
          </cell>
          <cell r="F305" t="str">
            <v>Supply and installation of  2 pin (5 A) socket point including wiring all complete as per drawing and specification (Specification Clause 4)</v>
          </cell>
          <cell r="I305">
            <v>0</v>
          </cell>
          <cell r="J305">
            <v>0</v>
          </cell>
          <cell r="K305">
            <v>0</v>
          </cell>
          <cell r="L305">
            <v>0</v>
          </cell>
          <cell r="M305">
            <v>0</v>
          </cell>
          <cell r="N305">
            <v>2</v>
          </cell>
          <cell r="O305">
            <v>2</v>
          </cell>
          <cell r="P305">
            <v>0</v>
          </cell>
          <cell r="Q305">
            <v>0</v>
          </cell>
          <cell r="R305">
            <v>0</v>
          </cell>
          <cell r="S305">
            <v>0</v>
          </cell>
          <cell r="T305">
            <v>0</v>
          </cell>
          <cell r="U305">
            <v>0</v>
          </cell>
          <cell r="V305">
            <v>0</v>
          </cell>
          <cell r="W305">
            <v>0</v>
          </cell>
          <cell r="X305">
            <v>4</v>
          </cell>
          <cell r="Y305" t="str">
            <v>No</v>
          </cell>
          <cell r="Z305">
            <v>450</v>
          </cell>
          <cell r="AB305">
            <v>1800</v>
          </cell>
        </row>
        <row r="306">
          <cell r="B306" t="str">
            <v>D2_5</v>
          </cell>
          <cell r="D306" t="str">
            <v>w</v>
          </cell>
          <cell r="E306" t="str">
            <v>Supply and installation of 9'' sweep  exhaust fan as per drawing and specification including GI sheet boxing. (Specification Clause 4)</v>
          </cell>
          <cell r="F306" t="str">
            <v>Supply and installation of 9'' sweep  exhaust fan as per drawing and specification including GI sheet boxing. (Specification Clause 4)</v>
          </cell>
          <cell r="I306">
            <v>0</v>
          </cell>
          <cell r="J306">
            <v>0</v>
          </cell>
          <cell r="K306">
            <v>0</v>
          </cell>
          <cell r="L306">
            <v>0</v>
          </cell>
          <cell r="M306">
            <v>0</v>
          </cell>
          <cell r="N306">
            <v>2</v>
          </cell>
          <cell r="O306">
            <v>2</v>
          </cell>
          <cell r="P306">
            <v>0</v>
          </cell>
          <cell r="Q306">
            <v>0</v>
          </cell>
          <cell r="R306">
            <v>0</v>
          </cell>
          <cell r="S306">
            <v>0</v>
          </cell>
          <cell r="T306">
            <v>0</v>
          </cell>
          <cell r="U306">
            <v>0</v>
          </cell>
          <cell r="V306">
            <v>0</v>
          </cell>
          <cell r="W306">
            <v>0</v>
          </cell>
          <cell r="X306">
            <v>4</v>
          </cell>
          <cell r="Y306" t="str">
            <v>No</v>
          </cell>
          <cell r="Z306">
            <v>2200</v>
          </cell>
          <cell r="AB306">
            <v>8800</v>
          </cell>
        </row>
        <row r="307">
          <cell r="B307" t="str">
            <v>D2_6</v>
          </cell>
          <cell r="D307" t="str">
            <v>x</v>
          </cell>
          <cell r="E307" t="str">
            <v>Supply and installation of 42'' sweep  ceiling fan as per drawing and specification including GI sheet boxing. (Specification Clause 4)</v>
          </cell>
          <cell r="F307" t="str">
            <v>Supply and installation of 42'' sweep  ceiling fan as per drawing and specification including GI sheet boxing. (Specification Clause 4)</v>
          </cell>
          <cell r="I307">
            <v>0</v>
          </cell>
          <cell r="J307">
            <v>0</v>
          </cell>
          <cell r="K307">
            <v>0</v>
          </cell>
          <cell r="L307">
            <v>0</v>
          </cell>
          <cell r="M307">
            <v>0</v>
          </cell>
          <cell r="N307">
            <v>2</v>
          </cell>
          <cell r="O307">
            <v>2</v>
          </cell>
          <cell r="P307">
            <v>0</v>
          </cell>
          <cell r="Q307">
            <v>0</v>
          </cell>
          <cell r="R307">
            <v>0</v>
          </cell>
          <cell r="S307">
            <v>0</v>
          </cell>
          <cell r="T307">
            <v>0</v>
          </cell>
          <cell r="U307">
            <v>0</v>
          </cell>
          <cell r="V307">
            <v>0</v>
          </cell>
          <cell r="W307">
            <v>0</v>
          </cell>
          <cell r="X307">
            <v>4</v>
          </cell>
          <cell r="Y307" t="str">
            <v>No</v>
          </cell>
          <cell r="Z307">
            <v>2700</v>
          </cell>
          <cell r="AB307">
            <v>10800</v>
          </cell>
        </row>
        <row r="308">
          <cell r="B308" t="str">
            <v>D2_7</v>
          </cell>
          <cell r="D308" t="str">
            <v>y</v>
          </cell>
          <cell r="E308" t="str">
            <v>Supply and installation of earth electrode made of 30cm x 30cm x 3mmcopper plate including 8 SWG bare copper wire connection to DB's. (Specification Clause 4)</v>
          </cell>
          <cell r="F308" t="str">
            <v>Supply and installation of earth electrode made of 30cm x 30cm x 3mmcopper plate including 8 SWG bare copper wire connection to DB's. (Specification Clause 4)</v>
          </cell>
          <cell r="I308">
            <v>0</v>
          </cell>
          <cell r="J308">
            <v>0</v>
          </cell>
          <cell r="K308">
            <v>0</v>
          </cell>
          <cell r="L308">
            <v>0</v>
          </cell>
          <cell r="M308">
            <v>0</v>
          </cell>
          <cell r="N308">
            <v>1</v>
          </cell>
          <cell r="O308">
            <v>1</v>
          </cell>
          <cell r="P308">
            <v>0</v>
          </cell>
          <cell r="Q308">
            <v>0</v>
          </cell>
          <cell r="R308">
            <v>0</v>
          </cell>
          <cell r="S308">
            <v>0</v>
          </cell>
          <cell r="T308">
            <v>0</v>
          </cell>
          <cell r="U308">
            <v>0</v>
          </cell>
          <cell r="V308">
            <v>0</v>
          </cell>
          <cell r="W308">
            <v>0</v>
          </cell>
          <cell r="X308">
            <v>2</v>
          </cell>
          <cell r="Y308" t="str">
            <v>Set</v>
          </cell>
          <cell r="Z308">
            <v>4500</v>
          </cell>
          <cell r="AB308">
            <v>9000</v>
          </cell>
        </row>
        <row r="309">
          <cell r="B309" t="str">
            <v>D2_8</v>
          </cell>
          <cell r="D309" t="str">
            <v>z</v>
          </cell>
          <cell r="E309" t="str">
            <v>Chiseling, laying conduits cables the main line distribution from MDB to Floor DBs with 2 x 7/16 size cable in 20 mm HDPE conduit. (Specification Clause 4)</v>
          </cell>
          <cell r="F309" t="str">
            <v>Chiseling, laying conduits cables the main line distribution from MDB to Floor DBs with 2 x 7/16 size cable in 20 mm HDPE conduit. (Specification Clause 4)</v>
          </cell>
          <cell r="I309">
            <v>0</v>
          </cell>
          <cell r="J309">
            <v>0</v>
          </cell>
          <cell r="K309">
            <v>0</v>
          </cell>
          <cell r="L309">
            <v>0</v>
          </cell>
          <cell r="M309">
            <v>0</v>
          </cell>
          <cell r="N309">
            <v>7</v>
          </cell>
          <cell r="O309">
            <v>7</v>
          </cell>
          <cell r="P309">
            <v>0</v>
          </cell>
          <cell r="Q309">
            <v>0</v>
          </cell>
          <cell r="R309">
            <v>0</v>
          </cell>
          <cell r="S309">
            <v>0</v>
          </cell>
          <cell r="T309">
            <v>0</v>
          </cell>
          <cell r="U309">
            <v>0</v>
          </cell>
          <cell r="V309">
            <v>0</v>
          </cell>
          <cell r="W309">
            <v>0</v>
          </cell>
          <cell r="X309">
            <v>14</v>
          </cell>
          <cell r="Y309" t="str">
            <v>Job</v>
          </cell>
          <cell r="Z309">
            <v>1000</v>
          </cell>
          <cell r="AB309">
            <v>14000</v>
          </cell>
        </row>
        <row r="310">
          <cell r="D310" t="str">
            <v>D3 : Submerssible pump and related electrical works</v>
          </cell>
          <cell r="X310">
            <v>0</v>
          </cell>
        </row>
        <row r="311">
          <cell r="B311" t="str">
            <v>D3_1</v>
          </cell>
          <cell r="C311" t="str">
            <v>17.2.a.4.6</v>
          </cell>
          <cell r="D311">
            <v>47.1</v>
          </cell>
          <cell r="E311" t="str">
            <v>Supply and Installation of Submersible pump complete and all accessories; (Conforming ISO 9001:1987) for 18 lps discharge and 85m total pumping head (20 KW Pump)</v>
          </cell>
          <cell r="F311" t="str">
            <v>Supply and Installation of Submersible pump complete and all accessories; (Conforming ISO 9001:1987) for 18 lps discharge and 85m total pumping head (20 KW Pump)</v>
          </cell>
          <cell r="I311">
            <v>3</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3</v>
          </cell>
          <cell r="Y311" t="str">
            <v>Nos</v>
          </cell>
          <cell r="Z311">
            <v>150000</v>
          </cell>
          <cell r="AB311">
            <v>450000</v>
          </cell>
        </row>
        <row r="312">
          <cell r="B312" t="str">
            <v>D3_2</v>
          </cell>
          <cell r="C312" t="str">
            <v>17.2.b.1.6</v>
          </cell>
          <cell r="D312">
            <v>47.2</v>
          </cell>
          <cell r="E312" t="str">
            <v>Supply, installation (laid underground at depth of 750 mm including digging and backfilling) and commissioning of  Submersible cable of four core 10 sqmm core copper armored power cable from control panel to the pump properly insulated with the specificat</v>
          </cell>
          <cell r="F312" t="str">
            <v>Supply, installation (laid underground at depth of 750 mm including digging and backfilling) and commissioning of  Submersible cable of four core 10 sqmm core copper armored power cable from control panel to the pump properly insulated with the specificat</v>
          </cell>
          <cell r="I312">
            <v>750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750</v>
          </cell>
          <cell r="Y312" t="str">
            <v>m</v>
          </cell>
          <cell r="Z312">
            <v>700</v>
          </cell>
          <cell r="AB312">
            <v>525000</v>
          </cell>
        </row>
        <row r="313">
          <cell r="B313" t="str">
            <v>D3_3</v>
          </cell>
          <cell r="C313" t="str">
            <v>17.2.b.1.6</v>
          </cell>
          <cell r="D313">
            <v>47.3</v>
          </cell>
          <cell r="E313" t="str">
            <v>Main Distribution Board</v>
          </cell>
          <cell r="F313" t="str">
            <v>Main Distribution Board</v>
          </cell>
          <cell r="I313">
            <v>1</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1</v>
          </cell>
          <cell r="Y313" t="str">
            <v>sets</v>
          </cell>
          <cell r="Z313">
            <v>60000</v>
          </cell>
          <cell r="AB313">
            <v>60000</v>
          </cell>
        </row>
        <row r="314">
          <cell r="B314" t="str">
            <v>D3_4</v>
          </cell>
          <cell r="C314" t="str">
            <v>17.2.b.1.6</v>
          </cell>
          <cell r="D314">
            <v>47.4</v>
          </cell>
          <cell r="E314" t="str">
            <v>Supply, installation and testing of Main Distribution Board (MDB) Wall mounting type, dust and vermin proof made of 16 SWG mild steel sheet cubical double duco paint coat with double cover and locking arrangement as  per drawing and specification with fol</v>
          </cell>
          <cell r="F314" t="str">
            <v>Supply, installation and testing of Main Distribution Board (MDB) Wall mounting type, dust and vermin proof made of 16 SWG mild steel sheet cubical double duco paint coat with double cover and locking arrangement as  per drawing and specification with fol</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B314">
            <v>0</v>
          </cell>
        </row>
        <row r="315">
          <cell r="B315" t="str">
            <v>D3_5</v>
          </cell>
          <cell r="C315" t="str">
            <v>17.2.b.3.4</v>
          </cell>
          <cell r="D315">
            <v>47.5</v>
          </cell>
          <cell r="E315" t="str">
            <v>Incoming</v>
          </cell>
          <cell r="F315" t="str">
            <v>Incoming</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B315">
            <v>0</v>
          </cell>
        </row>
        <row r="316">
          <cell r="B316" t="str">
            <v>D3_6</v>
          </cell>
          <cell r="C316" t="str">
            <v>17.2.b.3.4</v>
          </cell>
          <cell r="D316">
            <v>47.6</v>
          </cell>
          <cell r="E316" t="str">
            <v xml:space="preserve">1x120 A, TP  MCCB (35kA) </v>
          </cell>
          <cell r="F316" t="str">
            <v xml:space="preserve">1x120 A, TP  MCCB (35kA) </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B316">
            <v>0</v>
          </cell>
        </row>
        <row r="317">
          <cell r="B317" t="str">
            <v>D3_7</v>
          </cell>
          <cell r="C317" t="str">
            <v>17.2.b.4.4</v>
          </cell>
          <cell r="D317">
            <v>47.7</v>
          </cell>
          <cell r="E317" t="str">
            <v>1x200 A, 4-pole Change over switch</v>
          </cell>
          <cell r="F317" t="str">
            <v>1x200 A, 4-pole Change over switch</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B317">
            <v>0</v>
          </cell>
        </row>
        <row r="318">
          <cell r="B318" t="str">
            <v>D3_8</v>
          </cell>
          <cell r="C318" t="str">
            <v>17.2.b.4.4</v>
          </cell>
          <cell r="D318">
            <v>47.8</v>
          </cell>
          <cell r="E318" t="str">
            <v>one set of 160 amp copper bus bars (with TPN arrangement for future expansion)</v>
          </cell>
          <cell r="F318" t="str">
            <v>one set of 160 amp copper bus bars (with TPN arrangement for future expansion)</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B318">
            <v>0</v>
          </cell>
        </row>
        <row r="319">
          <cell r="B319" t="str">
            <v>D3_9</v>
          </cell>
          <cell r="C319" t="str">
            <v>17.2.b.4.4</v>
          </cell>
          <cell r="D319">
            <v>47.9</v>
          </cell>
          <cell r="E319" t="str">
            <v>one set of earth bus bar</v>
          </cell>
          <cell r="F319" t="str">
            <v>one set of earth bus bar</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B319">
            <v>0</v>
          </cell>
        </row>
        <row r="320">
          <cell r="B320" t="str">
            <v>D3_10</v>
          </cell>
          <cell r="C320" t="str">
            <v>17.2.b.4.4</v>
          </cell>
          <cell r="D320">
            <v>48</v>
          </cell>
          <cell r="E320" t="str">
            <v>Outgoing</v>
          </cell>
          <cell r="F320" t="str">
            <v>Outgoing</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B320">
            <v>0</v>
          </cell>
        </row>
        <row r="321">
          <cell r="B321" t="str">
            <v>D3_11</v>
          </cell>
          <cell r="C321" t="str">
            <v>17.2.b.7.4</v>
          </cell>
          <cell r="D321">
            <v>48.1</v>
          </cell>
          <cell r="E321" t="str">
            <v xml:space="preserve">4 x 50 A TP MCCB (25kA) </v>
          </cell>
          <cell r="F321" t="str">
            <v xml:space="preserve">4 x 50 A TP MCCB (25kA) </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B321">
            <v>0</v>
          </cell>
        </row>
        <row r="322">
          <cell r="B322" t="str">
            <v>D3_12</v>
          </cell>
          <cell r="C322" t="str">
            <v>17.2.b.7.4</v>
          </cell>
          <cell r="D322">
            <v>48.2</v>
          </cell>
          <cell r="E322" t="str">
            <v>3 Nos of Motor starter with indicators</v>
          </cell>
          <cell r="F322" t="str">
            <v>3 Nos of Motor starter with indicators</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B322">
            <v>0</v>
          </cell>
        </row>
        <row r="323">
          <cell r="B323" t="str">
            <v>D3_13</v>
          </cell>
          <cell r="C323" t="str">
            <v>17.2.b.7.4</v>
          </cell>
          <cell r="D323">
            <v>48.3</v>
          </cell>
          <cell r="E323" t="str">
            <v>and all other accessories required for complete installation</v>
          </cell>
          <cell r="F323" t="str">
            <v>and all other accessories required for complete installation</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B323">
            <v>0</v>
          </cell>
        </row>
        <row r="324">
          <cell r="B324" t="str">
            <v>D3_14</v>
          </cell>
          <cell r="C324" t="str">
            <v>17.2.b.7.4</v>
          </cell>
          <cell r="D324">
            <v>48.4</v>
          </cell>
          <cell r="E324" t="str">
            <v>Supply, Installation and commissioning of LT line (3.5x50 sqmm copper armored cable with cable shoes at both ends from Transformer to Main DB) with complete required accessories as follows.</v>
          </cell>
          <cell r="F324" t="str">
            <v>Supply, Installation and commissioning of LT line (3.5x50 sqmm copper armored cable with cable shoes at both ends from Transformer to Main DB) with complete required accessories as follows.</v>
          </cell>
          <cell r="I324">
            <v>30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30</v>
          </cell>
          <cell r="Y324" t="str">
            <v>m</v>
          </cell>
          <cell r="Z324">
            <v>2000</v>
          </cell>
          <cell r="AB324">
            <v>60000</v>
          </cell>
        </row>
        <row r="325">
          <cell r="B325" t="str">
            <v>D3_15</v>
          </cell>
          <cell r="D325">
            <v>67</v>
          </cell>
          <cell r="E325" t="str">
            <v>Pipe works and all accessories with approximately 40m of riser pipe and as detailed in the drawing for above</v>
          </cell>
          <cell r="F325" t="str">
            <v>Pipe works and all accessories with approximately 40m of riser pipe and as detailed in the drawing for above</v>
          </cell>
          <cell r="I325">
            <v>3</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3</v>
          </cell>
          <cell r="Y325" t="str">
            <v>sets</v>
          </cell>
          <cell r="Z325">
            <v>60000</v>
          </cell>
          <cell r="AB325">
            <v>180000</v>
          </cell>
        </row>
        <row r="326">
          <cell r="B326" t="str">
            <v>D3_16</v>
          </cell>
          <cell r="D326">
            <v>68</v>
          </cell>
          <cell r="E326" t="str">
            <v>Installation, testing, and commissioning of above pump</v>
          </cell>
          <cell r="F326" t="str">
            <v>Installation, testing, and commissioning of above pump</v>
          </cell>
          <cell r="I326">
            <v>3</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3</v>
          </cell>
          <cell r="Y326" t="str">
            <v>sets</v>
          </cell>
          <cell r="Z326">
            <v>20000</v>
          </cell>
          <cell r="AB326">
            <v>60000</v>
          </cell>
        </row>
        <row r="327">
          <cell r="B327" t="str">
            <v>D3_17</v>
          </cell>
          <cell r="D327">
            <v>69</v>
          </cell>
          <cell r="E327" t="str">
            <v>Spare parts, for above pump sets to be detailed by the manufacturer</v>
          </cell>
          <cell r="F327" t="str">
            <v>Spare parts, for above pump sets to be detailed by the manufacturer</v>
          </cell>
          <cell r="I327">
            <v>3</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3</v>
          </cell>
          <cell r="Y327" t="str">
            <v>sets</v>
          </cell>
          <cell r="Z327">
            <v>10000</v>
          </cell>
          <cell r="AB327">
            <v>30000</v>
          </cell>
        </row>
        <row r="328">
          <cell r="D328" t="str">
            <v>D4 : Metal Works</v>
          </cell>
          <cell r="X328">
            <v>0</v>
          </cell>
        </row>
        <row r="329">
          <cell r="B329" t="str">
            <v>D4_1</v>
          </cell>
          <cell r="D329" t="str">
            <v>m</v>
          </cell>
          <cell r="E329" t="str">
            <v>Rolling Shutter (Installation and Painting)</v>
          </cell>
          <cell r="F329" t="str">
            <v xml:space="preserve"> M.S. rolling shutters (18 guage) for door and ventilation of approved quality and manufacture finished with two coats of enamel paint over one coats of red oxide primer including fixing in position all complete as per drawing and instruction.</v>
          </cell>
          <cell r="I329">
            <v>0</v>
          </cell>
          <cell r="J329">
            <v>0</v>
          </cell>
          <cell r="K329">
            <v>0</v>
          </cell>
          <cell r="L329">
            <v>0</v>
          </cell>
          <cell r="M329">
            <v>0</v>
          </cell>
          <cell r="N329">
            <v>4.8</v>
          </cell>
          <cell r="O329">
            <v>0</v>
          </cell>
          <cell r="P329">
            <v>0</v>
          </cell>
          <cell r="Q329">
            <v>0</v>
          </cell>
          <cell r="R329">
            <v>0</v>
          </cell>
          <cell r="S329">
            <v>0</v>
          </cell>
          <cell r="T329">
            <v>0</v>
          </cell>
          <cell r="U329">
            <v>0</v>
          </cell>
          <cell r="V329">
            <v>0</v>
          </cell>
          <cell r="W329">
            <v>0</v>
          </cell>
          <cell r="X329">
            <v>4.8</v>
          </cell>
          <cell r="Y329" t="str">
            <v>m2</v>
          </cell>
          <cell r="Z329">
            <v>1600</v>
          </cell>
          <cell r="AB329">
            <v>7680</v>
          </cell>
        </row>
        <row r="330">
          <cell r="B330" t="str">
            <v>D4_2</v>
          </cell>
          <cell r="D330" t="str">
            <v>n</v>
          </cell>
          <cell r="E330" t="str">
            <v>Fabrication of MS Grill for Windows</v>
          </cell>
          <cell r="F330" t="str">
            <v>Supply, Fabrication and Installation of MS Grill for Windows as per specification and as directed by the Engineer</v>
          </cell>
          <cell r="I330">
            <v>0</v>
          </cell>
          <cell r="J330">
            <v>0</v>
          </cell>
          <cell r="K330">
            <v>0</v>
          </cell>
          <cell r="L330">
            <v>0</v>
          </cell>
          <cell r="M330">
            <v>0</v>
          </cell>
          <cell r="N330">
            <v>164.02500000000001</v>
          </cell>
          <cell r="O330">
            <v>125.90639999999999</v>
          </cell>
          <cell r="P330">
            <v>0</v>
          </cell>
          <cell r="Q330">
            <v>0</v>
          </cell>
          <cell r="R330">
            <v>0</v>
          </cell>
          <cell r="S330">
            <v>0</v>
          </cell>
          <cell r="T330">
            <v>0</v>
          </cell>
          <cell r="U330">
            <v>0</v>
          </cell>
          <cell r="V330">
            <v>0</v>
          </cell>
          <cell r="W330">
            <v>0</v>
          </cell>
          <cell r="X330">
            <v>289.9314</v>
          </cell>
          <cell r="Y330" t="str">
            <v>Kg.</v>
          </cell>
          <cell r="Z330">
            <v>51.75</v>
          </cell>
          <cell r="AB330">
            <v>15003.95</v>
          </cell>
        </row>
        <row r="331">
          <cell r="B331" t="str">
            <v>D4_3</v>
          </cell>
          <cell r="D331" t="str">
            <v>ap</v>
          </cell>
          <cell r="E331" t="str">
            <v>Metal Works for gate and posts with one coat of primer and two coats of enamel paint</v>
          </cell>
          <cell r="F331" t="str">
            <v>Metal Works for gate and posts with one coat of primer and two coats of enamel paint as per specification, drawing and as directed by the Engineer</v>
          </cell>
          <cell r="I331">
            <v>0</v>
          </cell>
          <cell r="J331">
            <v>0</v>
          </cell>
          <cell r="K331">
            <v>0</v>
          </cell>
          <cell r="L331">
            <v>0</v>
          </cell>
          <cell r="M331">
            <v>0</v>
          </cell>
          <cell r="N331">
            <v>0</v>
          </cell>
          <cell r="O331">
            <v>0</v>
          </cell>
          <cell r="P331">
            <v>2174.7800000000002</v>
          </cell>
          <cell r="Q331">
            <v>0</v>
          </cell>
          <cell r="R331">
            <v>0</v>
          </cell>
          <cell r="S331">
            <v>0</v>
          </cell>
          <cell r="T331">
            <v>0</v>
          </cell>
          <cell r="U331">
            <v>0</v>
          </cell>
          <cell r="V331">
            <v>0</v>
          </cell>
          <cell r="W331">
            <v>0</v>
          </cell>
          <cell r="X331">
            <v>2174.7800000000002</v>
          </cell>
          <cell r="Y331" t="str">
            <v>kg</v>
          </cell>
          <cell r="Z331">
            <v>91.5</v>
          </cell>
          <cell r="AB331">
            <v>198992.37</v>
          </cell>
        </row>
        <row r="332">
          <cell r="B332" t="str">
            <v>D4_4</v>
          </cell>
          <cell r="D332" t="str">
            <v>aq</v>
          </cell>
          <cell r="E332" t="str">
            <v>Wire Mesh Fencing - 10 gauge with 3" opening hole</v>
          </cell>
          <cell r="F332" t="str">
            <v>Supply and Installation of readymade wire mesh fencing - 10 gauge heavy coated GI wire with 3" opening hole as per drawing, specification and as directed by the Engineer</v>
          </cell>
          <cell r="I332">
            <v>0</v>
          </cell>
          <cell r="J332">
            <v>0</v>
          </cell>
          <cell r="K332">
            <v>0</v>
          </cell>
          <cell r="L332">
            <v>0</v>
          </cell>
          <cell r="M332">
            <v>0</v>
          </cell>
          <cell r="N332">
            <v>0</v>
          </cell>
          <cell r="O332">
            <v>0</v>
          </cell>
          <cell r="P332">
            <v>369</v>
          </cell>
          <cell r="Q332">
            <v>0</v>
          </cell>
          <cell r="R332">
            <v>0</v>
          </cell>
          <cell r="S332">
            <v>0</v>
          </cell>
          <cell r="T332">
            <v>0</v>
          </cell>
          <cell r="U332">
            <v>0</v>
          </cell>
          <cell r="V332">
            <v>0</v>
          </cell>
          <cell r="W332">
            <v>0</v>
          </cell>
          <cell r="X332">
            <v>369</v>
          </cell>
          <cell r="Y332" t="str">
            <v>sqm</v>
          </cell>
          <cell r="Z332">
            <v>228</v>
          </cell>
          <cell r="AB332">
            <v>84132</v>
          </cell>
        </row>
        <row r="333">
          <cell r="B333" t="str">
            <v>D4_5</v>
          </cell>
          <cell r="D333" t="str">
            <v>c</v>
          </cell>
          <cell r="E333" t="str">
            <v>Manhole</v>
          </cell>
          <cell r="F333" t="str">
            <v>Supply and Installation of Metal manholes in reservoir as per drawing, specification and as directed by the Engineer</v>
          </cell>
          <cell r="I333">
            <v>0</v>
          </cell>
          <cell r="J333">
            <v>0</v>
          </cell>
          <cell r="K333">
            <v>0</v>
          </cell>
          <cell r="L333">
            <v>0</v>
          </cell>
          <cell r="M333">
            <v>4</v>
          </cell>
          <cell r="N333">
            <v>0</v>
          </cell>
          <cell r="O333">
            <v>0</v>
          </cell>
          <cell r="P333">
            <v>0</v>
          </cell>
          <cell r="Q333">
            <v>0</v>
          </cell>
          <cell r="R333">
            <v>0</v>
          </cell>
          <cell r="S333">
            <v>0</v>
          </cell>
          <cell r="T333">
            <v>0</v>
          </cell>
          <cell r="U333">
            <v>0</v>
          </cell>
          <cell r="V333">
            <v>0</v>
          </cell>
          <cell r="W333">
            <v>0</v>
          </cell>
          <cell r="X333">
            <v>4</v>
          </cell>
          <cell r="Y333" t="str">
            <v>no</v>
          </cell>
          <cell r="Z333">
            <v>5000</v>
          </cell>
          <cell r="AB333">
            <v>20000</v>
          </cell>
        </row>
        <row r="334">
          <cell r="B334" t="str">
            <v>D4_6</v>
          </cell>
          <cell r="E334" t="str">
            <v xml:space="preserve">600 mm circular metal manhole </v>
          </cell>
          <cell r="F334" t="str">
            <v>Supply and Installation of circular Metal manholes in inspection chambers as per drawing, specification and as directed by the Engineer</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8</v>
          </cell>
          <cell r="X334">
            <v>8</v>
          </cell>
          <cell r="Y334" t="str">
            <v>No</v>
          </cell>
          <cell r="Z334">
            <v>1500</v>
          </cell>
          <cell r="AB334">
            <v>12000</v>
          </cell>
        </row>
        <row r="335">
          <cell r="B335" t="str">
            <v>D4_7</v>
          </cell>
          <cell r="E335" t="str">
            <v>100mm dia. Metal cap</v>
          </cell>
          <cell r="F335" t="str">
            <v>Supply and Installation of circular Metal cap in the Valve Chambers as per drawing, specification and as directed by the Engineer</v>
          </cell>
          <cell r="I335">
            <v>0</v>
          </cell>
          <cell r="J335">
            <v>0</v>
          </cell>
          <cell r="K335">
            <v>0</v>
          </cell>
          <cell r="L335">
            <v>0</v>
          </cell>
          <cell r="M335">
            <v>0</v>
          </cell>
          <cell r="N335">
            <v>0</v>
          </cell>
          <cell r="O335">
            <v>0</v>
          </cell>
          <cell r="P335">
            <v>0</v>
          </cell>
          <cell r="Q335">
            <v>0</v>
          </cell>
          <cell r="R335">
            <v>50</v>
          </cell>
          <cell r="S335">
            <v>0</v>
          </cell>
          <cell r="T335">
            <v>0</v>
          </cell>
          <cell r="U335">
            <v>0</v>
          </cell>
          <cell r="V335">
            <v>0</v>
          </cell>
          <cell r="W335">
            <v>0</v>
          </cell>
          <cell r="X335">
            <v>50</v>
          </cell>
          <cell r="Y335" t="str">
            <v>no</v>
          </cell>
          <cell r="Z335">
            <v>700</v>
          </cell>
          <cell r="AB335">
            <v>35000</v>
          </cell>
        </row>
        <row r="336">
          <cell r="D336" t="str">
            <v>D5 : Water Treatment System</v>
          </cell>
          <cell r="X336">
            <v>0</v>
          </cell>
        </row>
        <row r="337">
          <cell r="B337" t="str">
            <v>D5_1</v>
          </cell>
          <cell r="C337" t="str">
            <v>M-109</v>
          </cell>
          <cell r="E337" t="str">
            <v>Supply, Installation and commissioning of the disinfectant dosing system as per the following specification including all civil works for plateform, foundation etc. required to complete the work as per following specification</v>
          </cell>
          <cell r="F337" t="str">
            <v>Supply, Installation and commissioning of the disinfectant dosing system as per the following specification including all civil works for plateform, foundation etc. required to complete the work as per following specification</v>
          </cell>
          <cell r="I337">
            <v>0</v>
          </cell>
          <cell r="J337">
            <v>1</v>
          </cell>
          <cell r="K337">
            <v>0</v>
          </cell>
          <cell r="L337">
            <v>0</v>
          </cell>
          <cell r="M337">
            <v>0</v>
          </cell>
          <cell r="N337">
            <v>0</v>
          </cell>
          <cell r="O337">
            <v>0</v>
          </cell>
          <cell r="P337">
            <v>0</v>
          </cell>
          <cell r="Q337">
            <v>0</v>
          </cell>
          <cell r="R337">
            <v>0</v>
          </cell>
          <cell r="S337">
            <v>0</v>
          </cell>
          <cell r="T337">
            <v>0</v>
          </cell>
          <cell r="U337">
            <v>0</v>
          </cell>
          <cell r="V337">
            <v>0</v>
          </cell>
          <cell r="W337">
            <v>0</v>
          </cell>
          <cell r="X337">
            <v>1</v>
          </cell>
          <cell r="Y337" t="str">
            <v>job</v>
          </cell>
          <cell r="Z337">
            <v>100000</v>
          </cell>
          <cell r="AB337">
            <v>100000</v>
          </cell>
        </row>
        <row r="338">
          <cell r="B338" t="str">
            <v>D5_2</v>
          </cell>
          <cell r="E338" t="str">
            <v>Treatment Plant</v>
          </cell>
          <cell r="F338" t="str">
            <v>Water Treatment Plant to remove iron and other impurities as per requirement of WHO Standard, the requirement will be defined after testing of water</v>
          </cell>
          <cell r="I338">
            <v>0</v>
          </cell>
          <cell r="J338">
            <v>1</v>
          </cell>
          <cell r="K338">
            <v>0</v>
          </cell>
          <cell r="L338">
            <v>0</v>
          </cell>
          <cell r="M338">
            <v>0</v>
          </cell>
          <cell r="N338">
            <v>0</v>
          </cell>
          <cell r="O338">
            <v>0</v>
          </cell>
          <cell r="P338">
            <v>0</v>
          </cell>
          <cell r="Q338">
            <v>0</v>
          </cell>
          <cell r="R338">
            <v>0</v>
          </cell>
          <cell r="S338">
            <v>0</v>
          </cell>
          <cell r="T338">
            <v>0</v>
          </cell>
          <cell r="U338">
            <v>0</v>
          </cell>
          <cell r="V338">
            <v>0</v>
          </cell>
          <cell r="W338">
            <v>0</v>
          </cell>
          <cell r="X338">
            <v>1</v>
          </cell>
          <cell r="Y338" t="str">
            <v>Job</v>
          </cell>
          <cell r="Z338">
            <v>3500000</v>
          </cell>
          <cell r="AB338">
            <v>3500000</v>
          </cell>
        </row>
        <row r="339">
          <cell r="C339" t="str">
            <v>M-108</v>
          </cell>
          <cell r="E339" t="str">
            <v>E. Tools</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AB339">
            <v>0</v>
          </cell>
        </row>
        <row r="340">
          <cell r="B340" t="str">
            <v>E_1</v>
          </cell>
          <cell r="E340" t="str">
            <v>Supply of following tools of approved quality (quality should be approved by Engineer)</v>
          </cell>
          <cell r="F340" t="str">
            <v>Supply of following tools of approved quality (quality should be approved by Engineer)</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AB340">
            <v>0</v>
          </cell>
        </row>
        <row r="341">
          <cell r="B341" t="str">
            <v>E_2</v>
          </cell>
          <cell r="E341" t="str">
            <v>Adjustable Wrench - 8"</v>
          </cell>
          <cell r="F341" t="str">
            <v>Adjustable Wrench - 8"</v>
          </cell>
          <cell r="I341">
            <v>0</v>
          </cell>
          <cell r="J341">
            <v>0</v>
          </cell>
          <cell r="K341">
            <v>0</v>
          </cell>
          <cell r="L341">
            <v>0</v>
          </cell>
          <cell r="M341">
            <v>0</v>
          </cell>
          <cell r="N341">
            <v>0</v>
          </cell>
          <cell r="O341">
            <v>0</v>
          </cell>
          <cell r="P341">
            <v>0</v>
          </cell>
          <cell r="Q341">
            <v>0</v>
          </cell>
          <cell r="R341">
            <v>0</v>
          </cell>
          <cell r="S341">
            <v>0</v>
          </cell>
          <cell r="T341">
            <v>0</v>
          </cell>
          <cell r="U341">
            <v>0</v>
          </cell>
          <cell r="V341">
            <v>3</v>
          </cell>
          <cell r="W341">
            <v>0</v>
          </cell>
          <cell r="X341">
            <v>3</v>
          </cell>
          <cell r="Y341" t="str">
            <v>Nos</v>
          </cell>
          <cell r="Z341">
            <v>300</v>
          </cell>
          <cell r="AB341">
            <v>900</v>
          </cell>
        </row>
        <row r="342">
          <cell r="B342" t="str">
            <v>E_3</v>
          </cell>
          <cell r="D342">
            <v>74</v>
          </cell>
          <cell r="E342" t="str">
            <v>Adjustable Wrench - 10"</v>
          </cell>
          <cell r="F342" t="str">
            <v>Adjustable Wrench - 10"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2</v>
          </cell>
          <cell r="W342">
            <v>0</v>
          </cell>
          <cell r="X342">
            <v>2</v>
          </cell>
          <cell r="Y342" t="str">
            <v>Nos</v>
          </cell>
          <cell r="Z342">
            <v>400</v>
          </cell>
          <cell r="AB342">
            <v>800</v>
          </cell>
        </row>
        <row r="343">
          <cell r="B343" t="str">
            <v>E_4</v>
          </cell>
          <cell r="D343">
            <v>75</v>
          </cell>
          <cell r="E343" t="str">
            <v>Monkey Pliers - 10"</v>
          </cell>
          <cell r="F343" t="str">
            <v>Monkey Pliers - 10"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2</v>
          </cell>
          <cell r="W343">
            <v>0</v>
          </cell>
          <cell r="X343">
            <v>2</v>
          </cell>
          <cell r="Y343" t="str">
            <v>Nos</v>
          </cell>
          <cell r="Z343">
            <v>400</v>
          </cell>
          <cell r="AB343">
            <v>800</v>
          </cell>
        </row>
        <row r="344">
          <cell r="B344" t="str">
            <v>E_5</v>
          </cell>
          <cell r="D344">
            <v>76</v>
          </cell>
          <cell r="E344" t="str">
            <v>Pipe Wrench - 14"</v>
          </cell>
          <cell r="F344" t="str">
            <v>Pipe Wrench - 14"</v>
          </cell>
          <cell r="I344">
            <v>0</v>
          </cell>
          <cell r="J344">
            <v>0</v>
          </cell>
          <cell r="K344">
            <v>0</v>
          </cell>
          <cell r="L344">
            <v>0</v>
          </cell>
          <cell r="M344">
            <v>0</v>
          </cell>
          <cell r="N344">
            <v>0</v>
          </cell>
          <cell r="O344">
            <v>0</v>
          </cell>
          <cell r="P344">
            <v>0</v>
          </cell>
          <cell r="Q344">
            <v>0</v>
          </cell>
          <cell r="R344">
            <v>0</v>
          </cell>
          <cell r="S344">
            <v>0</v>
          </cell>
          <cell r="T344">
            <v>0</v>
          </cell>
          <cell r="U344">
            <v>0</v>
          </cell>
          <cell r="V344">
            <v>2</v>
          </cell>
          <cell r="W344">
            <v>0</v>
          </cell>
          <cell r="X344">
            <v>2</v>
          </cell>
          <cell r="Y344" t="str">
            <v>Nos</v>
          </cell>
          <cell r="Z344">
            <v>1089</v>
          </cell>
          <cell r="AB344">
            <v>2178</v>
          </cell>
        </row>
        <row r="345">
          <cell r="B345" t="str">
            <v>E_6</v>
          </cell>
          <cell r="D345">
            <v>77</v>
          </cell>
          <cell r="E345" t="str">
            <v>Pipe Wrench - 18"</v>
          </cell>
          <cell r="F345" t="str">
            <v>Pipe Wrench - 18"</v>
          </cell>
          <cell r="I345">
            <v>0</v>
          </cell>
          <cell r="J345">
            <v>0</v>
          </cell>
          <cell r="K345">
            <v>0</v>
          </cell>
          <cell r="L345">
            <v>0</v>
          </cell>
          <cell r="M345">
            <v>0</v>
          </cell>
          <cell r="N345">
            <v>0</v>
          </cell>
          <cell r="O345">
            <v>0</v>
          </cell>
          <cell r="P345">
            <v>0</v>
          </cell>
          <cell r="Q345">
            <v>0</v>
          </cell>
          <cell r="R345">
            <v>0</v>
          </cell>
          <cell r="S345">
            <v>0</v>
          </cell>
          <cell r="T345">
            <v>0</v>
          </cell>
          <cell r="U345">
            <v>0</v>
          </cell>
          <cell r="V345">
            <v>2</v>
          </cell>
          <cell r="W345">
            <v>0</v>
          </cell>
          <cell r="X345">
            <v>2</v>
          </cell>
          <cell r="Y345" t="str">
            <v>Nos</v>
          </cell>
          <cell r="Z345">
            <v>1565</v>
          </cell>
          <cell r="AB345">
            <v>3130</v>
          </cell>
        </row>
        <row r="346">
          <cell r="B346" t="str">
            <v>E_7</v>
          </cell>
          <cell r="D346">
            <v>78</v>
          </cell>
          <cell r="E346" t="str">
            <v>Pipe Wrench - 24"</v>
          </cell>
          <cell r="F346" t="str">
            <v>Pipe Wrench - 24"</v>
          </cell>
          <cell r="I346">
            <v>0</v>
          </cell>
          <cell r="J346">
            <v>0</v>
          </cell>
          <cell r="K346">
            <v>0</v>
          </cell>
          <cell r="L346">
            <v>0</v>
          </cell>
          <cell r="M346">
            <v>0</v>
          </cell>
          <cell r="N346">
            <v>0</v>
          </cell>
          <cell r="O346">
            <v>0</v>
          </cell>
          <cell r="P346">
            <v>0</v>
          </cell>
          <cell r="Q346">
            <v>0</v>
          </cell>
          <cell r="R346">
            <v>0</v>
          </cell>
          <cell r="S346">
            <v>0</v>
          </cell>
          <cell r="T346">
            <v>0</v>
          </cell>
          <cell r="U346">
            <v>0</v>
          </cell>
          <cell r="V346">
            <v>2</v>
          </cell>
          <cell r="W346">
            <v>0</v>
          </cell>
          <cell r="X346">
            <v>2</v>
          </cell>
          <cell r="Y346" t="str">
            <v>Nos</v>
          </cell>
          <cell r="Z346">
            <v>3073</v>
          </cell>
          <cell r="AB346">
            <v>6146</v>
          </cell>
        </row>
        <row r="347">
          <cell r="B347" t="str">
            <v>E_8</v>
          </cell>
          <cell r="D347">
            <v>79</v>
          </cell>
          <cell r="E347" t="str">
            <v>Pipe Wrench - 36"</v>
          </cell>
          <cell r="F347" t="str">
            <v>Pipe Wrench - 36"</v>
          </cell>
          <cell r="I347">
            <v>0</v>
          </cell>
          <cell r="J347">
            <v>0</v>
          </cell>
          <cell r="K347">
            <v>0</v>
          </cell>
          <cell r="L347">
            <v>0</v>
          </cell>
          <cell r="M347">
            <v>0</v>
          </cell>
          <cell r="N347">
            <v>0</v>
          </cell>
          <cell r="O347">
            <v>0</v>
          </cell>
          <cell r="P347">
            <v>0</v>
          </cell>
          <cell r="Q347">
            <v>0</v>
          </cell>
          <cell r="R347">
            <v>0</v>
          </cell>
          <cell r="S347">
            <v>0</v>
          </cell>
          <cell r="T347">
            <v>0</v>
          </cell>
          <cell r="U347">
            <v>0</v>
          </cell>
          <cell r="V347">
            <v>2</v>
          </cell>
          <cell r="W347">
            <v>0</v>
          </cell>
          <cell r="X347">
            <v>2</v>
          </cell>
          <cell r="Y347" t="str">
            <v>Nos</v>
          </cell>
          <cell r="Z347">
            <v>8000</v>
          </cell>
          <cell r="AB347">
            <v>16000</v>
          </cell>
        </row>
        <row r="348">
          <cell r="B348" t="str">
            <v>E_9</v>
          </cell>
          <cell r="D348">
            <v>80</v>
          </cell>
          <cell r="E348" t="str">
            <v>Chain Pipe Wrench - 4"</v>
          </cell>
          <cell r="F348" t="str">
            <v>Chain Pipe Wrench - 4"</v>
          </cell>
          <cell r="I348">
            <v>0</v>
          </cell>
          <cell r="J348">
            <v>0</v>
          </cell>
          <cell r="K348">
            <v>0</v>
          </cell>
          <cell r="L348">
            <v>0</v>
          </cell>
          <cell r="M348">
            <v>0</v>
          </cell>
          <cell r="N348">
            <v>0</v>
          </cell>
          <cell r="O348">
            <v>0</v>
          </cell>
          <cell r="P348">
            <v>0</v>
          </cell>
          <cell r="Q348">
            <v>0</v>
          </cell>
          <cell r="R348">
            <v>0</v>
          </cell>
          <cell r="S348">
            <v>0</v>
          </cell>
          <cell r="T348">
            <v>0</v>
          </cell>
          <cell r="U348">
            <v>0</v>
          </cell>
          <cell r="V348">
            <v>2</v>
          </cell>
          <cell r="W348">
            <v>0</v>
          </cell>
          <cell r="X348">
            <v>2</v>
          </cell>
          <cell r="Y348" t="str">
            <v>Nos</v>
          </cell>
          <cell r="Z348">
            <v>2700</v>
          </cell>
          <cell r="AB348">
            <v>5400</v>
          </cell>
        </row>
        <row r="349">
          <cell r="B349" t="str">
            <v>E_10</v>
          </cell>
          <cell r="D349">
            <v>81</v>
          </cell>
          <cell r="E349" t="str">
            <v>Chain Pipe Wrench - 6"</v>
          </cell>
          <cell r="F349" t="str">
            <v>Chain Pipe Wrench - 6"</v>
          </cell>
          <cell r="I349">
            <v>0</v>
          </cell>
          <cell r="J349">
            <v>0</v>
          </cell>
          <cell r="K349">
            <v>0</v>
          </cell>
          <cell r="L349">
            <v>0</v>
          </cell>
          <cell r="M349">
            <v>0</v>
          </cell>
          <cell r="N349">
            <v>0</v>
          </cell>
          <cell r="O349">
            <v>0</v>
          </cell>
          <cell r="P349">
            <v>0</v>
          </cell>
          <cell r="Q349">
            <v>0</v>
          </cell>
          <cell r="R349">
            <v>0</v>
          </cell>
          <cell r="S349">
            <v>0</v>
          </cell>
          <cell r="T349">
            <v>0</v>
          </cell>
          <cell r="U349">
            <v>0</v>
          </cell>
          <cell r="V349">
            <v>2</v>
          </cell>
          <cell r="W349">
            <v>0</v>
          </cell>
          <cell r="X349">
            <v>2</v>
          </cell>
          <cell r="Y349" t="str">
            <v>Nos</v>
          </cell>
          <cell r="Z349">
            <v>3600</v>
          </cell>
          <cell r="AB349">
            <v>7200</v>
          </cell>
        </row>
        <row r="350">
          <cell r="B350" t="str">
            <v>E_11</v>
          </cell>
          <cell r="D350">
            <v>82</v>
          </cell>
          <cell r="E350" t="str">
            <v>Screw Driver</v>
          </cell>
          <cell r="F350" t="str">
            <v>Screw Driver</v>
          </cell>
          <cell r="I350">
            <v>0</v>
          </cell>
          <cell r="J350">
            <v>0</v>
          </cell>
          <cell r="K350">
            <v>0</v>
          </cell>
          <cell r="L350">
            <v>0</v>
          </cell>
          <cell r="M350">
            <v>0</v>
          </cell>
          <cell r="N350">
            <v>0</v>
          </cell>
          <cell r="O350">
            <v>0</v>
          </cell>
          <cell r="P350">
            <v>0</v>
          </cell>
          <cell r="Q350">
            <v>0</v>
          </cell>
          <cell r="R350">
            <v>0</v>
          </cell>
          <cell r="S350">
            <v>0</v>
          </cell>
          <cell r="T350">
            <v>0</v>
          </cell>
          <cell r="U350">
            <v>0</v>
          </cell>
          <cell r="V350">
            <v>4</v>
          </cell>
          <cell r="W350">
            <v>0</v>
          </cell>
          <cell r="X350">
            <v>4</v>
          </cell>
          <cell r="Y350" t="str">
            <v>set</v>
          </cell>
          <cell r="Z350">
            <v>1200</v>
          </cell>
          <cell r="AB350">
            <v>4800</v>
          </cell>
        </row>
        <row r="351">
          <cell r="B351" t="str">
            <v>E_12</v>
          </cell>
          <cell r="D351">
            <v>83</v>
          </cell>
          <cell r="E351" t="str">
            <v>Chisel - 6"</v>
          </cell>
          <cell r="F351" t="str">
            <v>Chisel - 6"</v>
          </cell>
          <cell r="I351">
            <v>0</v>
          </cell>
          <cell r="J351">
            <v>0</v>
          </cell>
          <cell r="K351">
            <v>0</v>
          </cell>
          <cell r="L351">
            <v>0</v>
          </cell>
          <cell r="M351">
            <v>0</v>
          </cell>
          <cell r="N351">
            <v>0</v>
          </cell>
          <cell r="O351">
            <v>0</v>
          </cell>
          <cell r="P351">
            <v>0</v>
          </cell>
          <cell r="Q351">
            <v>0</v>
          </cell>
          <cell r="R351">
            <v>0</v>
          </cell>
          <cell r="S351">
            <v>0</v>
          </cell>
          <cell r="T351">
            <v>0</v>
          </cell>
          <cell r="U351">
            <v>0</v>
          </cell>
          <cell r="V351">
            <v>2</v>
          </cell>
          <cell r="W351">
            <v>0</v>
          </cell>
          <cell r="X351">
            <v>2</v>
          </cell>
          <cell r="Y351" t="str">
            <v>Nos</v>
          </cell>
          <cell r="Z351">
            <v>150</v>
          </cell>
          <cell r="AB351">
            <v>300</v>
          </cell>
        </row>
        <row r="352">
          <cell r="B352" t="str">
            <v>E_13</v>
          </cell>
          <cell r="D352">
            <v>84</v>
          </cell>
          <cell r="E352" t="str">
            <v>Chisel - 8"</v>
          </cell>
          <cell r="F352" t="str">
            <v>Chisel - 8"</v>
          </cell>
          <cell r="I352">
            <v>0</v>
          </cell>
          <cell r="J352">
            <v>0</v>
          </cell>
          <cell r="K352">
            <v>0</v>
          </cell>
          <cell r="L352">
            <v>0</v>
          </cell>
          <cell r="M352">
            <v>0</v>
          </cell>
          <cell r="N352">
            <v>0</v>
          </cell>
          <cell r="O352">
            <v>0</v>
          </cell>
          <cell r="P352">
            <v>0</v>
          </cell>
          <cell r="Q352">
            <v>0</v>
          </cell>
          <cell r="R352">
            <v>0</v>
          </cell>
          <cell r="S352">
            <v>0</v>
          </cell>
          <cell r="T352">
            <v>0</v>
          </cell>
          <cell r="U352">
            <v>0</v>
          </cell>
          <cell r="V352">
            <v>2</v>
          </cell>
          <cell r="W352">
            <v>0</v>
          </cell>
          <cell r="X352">
            <v>2</v>
          </cell>
          <cell r="Y352" t="str">
            <v>Nos</v>
          </cell>
          <cell r="Z352">
            <v>200</v>
          </cell>
          <cell r="AB352">
            <v>400</v>
          </cell>
        </row>
        <row r="353">
          <cell r="B353" t="str">
            <v>E_14</v>
          </cell>
          <cell r="D353">
            <v>85</v>
          </cell>
          <cell r="E353" t="str">
            <v>Chisel - 12"</v>
          </cell>
          <cell r="F353" t="str">
            <v>Chisel - 12"</v>
          </cell>
          <cell r="I353">
            <v>0</v>
          </cell>
          <cell r="J353">
            <v>0</v>
          </cell>
          <cell r="K353">
            <v>0</v>
          </cell>
          <cell r="L353">
            <v>0</v>
          </cell>
          <cell r="M353">
            <v>0</v>
          </cell>
          <cell r="N353">
            <v>0</v>
          </cell>
          <cell r="O353">
            <v>0</v>
          </cell>
          <cell r="P353">
            <v>0</v>
          </cell>
          <cell r="Q353">
            <v>0</v>
          </cell>
          <cell r="R353">
            <v>0</v>
          </cell>
          <cell r="S353">
            <v>0</v>
          </cell>
          <cell r="T353">
            <v>0</v>
          </cell>
          <cell r="U353">
            <v>0</v>
          </cell>
          <cell r="V353">
            <v>2</v>
          </cell>
          <cell r="W353">
            <v>0</v>
          </cell>
          <cell r="X353">
            <v>2</v>
          </cell>
          <cell r="Y353" t="str">
            <v>Nos</v>
          </cell>
          <cell r="Z353">
            <v>250</v>
          </cell>
          <cell r="AB353">
            <v>500</v>
          </cell>
        </row>
        <row r="354">
          <cell r="B354" t="str">
            <v>E_15</v>
          </cell>
          <cell r="D354">
            <v>86</v>
          </cell>
          <cell r="E354" t="str">
            <v>Die Set - 1/2" - 1"</v>
          </cell>
          <cell r="F354" t="str">
            <v>Die Set - 1/2" - 1"</v>
          </cell>
          <cell r="I354">
            <v>0</v>
          </cell>
          <cell r="J354">
            <v>0</v>
          </cell>
          <cell r="K354">
            <v>0</v>
          </cell>
          <cell r="L354">
            <v>0</v>
          </cell>
          <cell r="M354">
            <v>0</v>
          </cell>
          <cell r="N354">
            <v>0</v>
          </cell>
          <cell r="O354">
            <v>0</v>
          </cell>
          <cell r="P354">
            <v>0</v>
          </cell>
          <cell r="Q354">
            <v>0</v>
          </cell>
          <cell r="R354">
            <v>0</v>
          </cell>
          <cell r="S354">
            <v>0</v>
          </cell>
          <cell r="T354">
            <v>0</v>
          </cell>
          <cell r="U354">
            <v>0</v>
          </cell>
          <cell r="V354">
            <v>2</v>
          </cell>
          <cell r="W354">
            <v>0</v>
          </cell>
          <cell r="X354">
            <v>2</v>
          </cell>
          <cell r="Y354" t="str">
            <v>set</v>
          </cell>
          <cell r="Z354">
            <v>5940</v>
          </cell>
          <cell r="AB354">
            <v>11880</v>
          </cell>
        </row>
        <row r="355">
          <cell r="B355" t="str">
            <v>E_16</v>
          </cell>
          <cell r="D355">
            <v>87</v>
          </cell>
          <cell r="E355" t="str">
            <v>Die Set - 1/4" - 2"</v>
          </cell>
          <cell r="F355" t="str">
            <v>Die Set - 1/4" - 2"</v>
          </cell>
          <cell r="I355">
            <v>0</v>
          </cell>
          <cell r="J355">
            <v>0</v>
          </cell>
          <cell r="K355">
            <v>0</v>
          </cell>
          <cell r="L355">
            <v>0</v>
          </cell>
          <cell r="M355">
            <v>0</v>
          </cell>
          <cell r="N355">
            <v>0</v>
          </cell>
          <cell r="O355">
            <v>0</v>
          </cell>
          <cell r="P355">
            <v>0</v>
          </cell>
          <cell r="Q355">
            <v>0</v>
          </cell>
          <cell r="R355">
            <v>0</v>
          </cell>
          <cell r="S355">
            <v>0</v>
          </cell>
          <cell r="T355">
            <v>0</v>
          </cell>
          <cell r="U355">
            <v>0</v>
          </cell>
          <cell r="V355">
            <v>2</v>
          </cell>
          <cell r="W355">
            <v>0</v>
          </cell>
          <cell r="X355">
            <v>2</v>
          </cell>
          <cell r="Y355" t="str">
            <v>set</v>
          </cell>
          <cell r="Z355">
            <v>8000</v>
          </cell>
          <cell r="AB355">
            <v>16000</v>
          </cell>
        </row>
        <row r="356">
          <cell r="B356" t="str">
            <v>E_17</v>
          </cell>
          <cell r="D356">
            <v>88</v>
          </cell>
          <cell r="E356" t="str">
            <v>Die Set - 2 1/2" - 5"</v>
          </cell>
          <cell r="F356" t="str">
            <v>Die Set - 2 1/2" - 5"</v>
          </cell>
          <cell r="I356">
            <v>0</v>
          </cell>
          <cell r="J356">
            <v>0</v>
          </cell>
          <cell r="K356">
            <v>0</v>
          </cell>
          <cell r="L356">
            <v>0</v>
          </cell>
          <cell r="M356">
            <v>0</v>
          </cell>
          <cell r="N356">
            <v>0</v>
          </cell>
          <cell r="O356">
            <v>0</v>
          </cell>
          <cell r="P356">
            <v>0</v>
          </cell>
          <cell r="Q356">
            <v>0</v>
          </cell>
          <cell r="R356">
            <v>0</v>
          </cell>
          <cell r="S356">
            <v>0</v>
          </cell>
          <cell r="T356">
            <v>0</v>
          </cell>
          <cell r="U356">
            <v>0</v>
          </cell>
          <cell r="V356">
            <v>2</v>
          </cell>
          <cell r="W356">
            <v>0</v>
          </cell>
          <cell r="X356">
            <v>2</v>
          </cell>
          <cell r="Y356" t="str">
            <v>set</v>
          </cell>
          <cell r="Z356">
            <v>12000</v>
          </cell>
          <cell r="AB356">
            <v>24000</v>
          </cell>
        </row>
        <row r="357">
          <cell r="B357" t="str">
            <v>E_18</v>
          </cell>
          <cell r="D357">
            <v>89</v>
          </cell>
          <cell r="E357" t="str">
            <v>Ball Pan Hammer - 1/2 kg</v>
          </cell>
          <cell r="F357" t="str">
            <v>Ball Pan Hammer - 1/2 kg</v>
          </cell>
          <cell r="I357">
            <v>0</v>
          </cell>
          <cell r="J357">
            <v>0</v>
          </cell>
          <cell r="K357">
            <v>0</v>
          </cell>
          <cell r="L357">
            <v>0</v>
          </cell>
          <cell r="M357">
            <v>0</v>
          </cell>
          <cell r="N357">
            <v>0</v>
          </cell>
          <cell r="O357">
            <v>0</v>
          </cell>
          <cell r="P357">
            <v>0</v>
          </cell>
          <cell r="Q357">
            <v>0</v>
          </cell>
          <cell r="R357">
            <v>0</v>
          </cell>
          <cell r="S357">
            <v>0</v>
          </cell>
          <cell r="T357">
            <v>0</v>
          </cell>
          <cell r="U357">
            <v>0</v>
          </cell>
          <cell r="V357">
            <v>2</v>
          </cell>
          <cell r="W357">
            <v>0</v>
          </cell>
          <cell r="X357">
            <v>2</v>
          </cell>
          <cell r="Y357" t="str">
            <v>Nos</v>
          </cell>
          <cell r="Z357">
            <v>250</v>
          </cell>
          <cell r="AB357">
            <v>500</v>
          </cell>
        </row>
        <row r="358">
          <cell r="B358" t="str">
            <v>E_19</v>
          </cell>
          <cell r="D358">
            <v>90</v>
          </cell>
          <cell r="E358" t="str">
            <v>Ball Pan Hammer - 1kg</v>
          </cell>
          <cell r="F358" t="str">
            <v>Ball Pan Hammer - 1kg</v>
          </cell>
          <cell r="I358">
            <v>0</v>
          </cell>
          <cell r="J358">
            <v>0</v>
          </cell>
          <cell r="K358">
            <v>0</v>
          </cell>
          <cell r="L358">
            <v>0</v>
          </cell>
          <cell r="M358">
            <v>0</v>
          </cell>
          <cell r="N358">
            <v>0</v>
          </cell>
          <cell r="O358">
            <v>0</v>
          </cell>
          <cell r="P358">
            <v>0</v>
          </cell>
          <cell r="Q358">
            <v>0</v>
          </cell>
          <cell r="R358">
            <v>0</v>
          </cell>
          <cell r="S358">
            <v>0</v>
          </cell>
          <cell r="T358">
            <v>0</v>
          </cell>
          <cell r="U358">
            <v>0</v>
          </cell>
          <cell r="V358">
            <v>2</v>
          </cell>
          <cell r="W358">
            <v>0</v>
          </cell>
          <cell r="X358">
            <v>2</v>
          </cell>
          <cell r="Y358" t="str">
            <v>Nos</v>
          </cell>
          <cell r="Z358">
            <v>400</v>
          </cell>
          <cell r="AB358">
            <v>800</v>
          </cell>
        </row>
        <row r="359">
          <cell r="B359" t="str">
            <v>E_20</v>
          </cell>
          <cell r="D359">
            <v>91</v>
          </cell>
          <cell r="E359" t="str">
            <v>Ratchet Die 1/2"-2"</v>
          </cell>
          <cell r="F359" t="str">
            <v>Ratchet Die 1/2"-2"</v>
          </cell>
          <cell r="I359">
            <v>0</v>
          </cell>
          <cell r="J359">
            <v>0</v>
          </cell>
          <cell r="K359">
            <v>0</v>
          </cell>
          <cell r="L359">
            <v>0</v>
          </cell>
          <cell r="M359">
            <v>0</v>
          </cell>
          <cell r="N359">
            <v>0</v>
          </cell>
          <cell r="O359">
            <v>0</v>
          </cell>
          <cell r="P359">
            <v>0</v>
          </cell>
          <cell r="Q359">
            <v>0</v>
          </cell>
          <cell r="R359">
            <v>0</v>
          </cell>
          <cell r="S359">
            <v>0</v>
          </cell>
          <cell r="T359">
            <v>0</v>
          </cell>
          <cell r="U359">
            <v>0</v>
          </cell>
          <cell r="V359">
            <v>2</v>
          </cell>
          <cell r="W359">
            <v>0</v>
          </cell>
          <cell r="X359">
            <v>2</v>
          </cell>
          <cell r="Y359" t="str">
            <v>Nos</v>
          </cell>
          <cell r="Z359">
            <v>12000</v>
          </cell>
          <cell r="AB359">
            <v>24000</v>
          </cell>
        </row>
        <row r="360">
          <cell r="B360" t="str">
            <v>E_21</v>
          </cell>
          <cell r="D360">
            <v>92</v>
          </cell>
          <cell r="E360" t="str">
            <v>Hacksaw frame with 24 number extra blades</v>
          </cell>
          <cell r="F360" t="str">
            <v>Hacksaw frame with 24 number extra blades</v>
          </cell>
          <cell r="I360">
            <v>0</v>
          </cell>
          <cell r="J360">
            <v>0</v>
          </cell>
          <cell r="K360">
            <v>0</v>
          </cell>
          <cell r="L360">
            <v>0</v>
          </cell>
          <cell r="M360">
            <v>0</v>
          </cell>
          <cell r="N360">
            <v>0</v>
          </cell>
          <cell r="O360">
            <v>0</v>
          </cell>
          <cell r="P360">
            <v>0</v>
          </cell>
          <cell r="Q360">
            <v>0</v>
          </cell>
          <cell r="R360">
            <v>0</v>
          </cell>
          <cell r="S360">
            <v>0</v>
          </cell>
          <cell r="T360">
            <v>0</v>
          </cell>
          <cell r="U360">
            <v>0</v>
          </cell>
          <cell r="V360">
            <v>5</v>
          </cell>
          <cell r="W360">
            <v>0</v>
          </cell>
          <cell r="X360">
            <v>5</v>
          </cell>
          <cell r="Y360" t="str">
            <v>set</v>
          </cell>
          <cell r="Z360">
            <v>165</v>
          </cell>
          <cell r="AB360">
            <v>825</v>
          </cell>
        </row>
        <row r="361">
          <cell r="B361" t="str">
            <v>E_22</v>
          </cell>
          <cell r="D361">
            <v>93</v>
          </cell>
          <cell r="E361" t="str">
            <v>Supply of electric pipe cutter set of standard quality for cutting of DI/GI pipe up to 300 mm diameter (quality should be approved by engineer)</v>
          </cell>
          <cell r="F361" t="str">
            <v>Supply of electric pipe cutter set of standard quality for cutting of DI/GI pipe up to 300 mm diameter (quality should be approved by engineer)</v>
          </cell>
          <cell r="I361">
            <v>0</v>
          </cell>
          <cell r="J361">
            <v>0</v>
          </cell>
          <cell r="K361">
            <v>0</v>
          </cell>
          <cell r="L361">
            <v>0</v>
          </cell>
          <cell r="M361">
            <v>0</v>
          </cell>
          <cell r="N361">
            <v>0</v>
          </cell>
          <cell r="O361">
            <v>0</v>
          </cell>
          <cell r="P361">
            <v>0</v>
          </cell>
          <cell r="Q361">
            <v>0</v>
          </cell>
          <cell r="R361">
            <v>0</v>
          </cell>
          <cell r="S361">
            <v>0</v>
          </cell>
          <cell r="T361">
            <v>0</v>
          </cell>
          <cell r="U361">
            <v>0</v>
          </cell>
          <cell r="V361">
            <v>1</v>
          </cell>
          <cell r="W361">
            <v>0</v>
          </cell>
          <cell r="X361">
            <v>1</v>
          </cell>
          <cell r="Y361" t="str">
            <v>set</v>
          </cell>
          <cell r="Z361">
            <v>15000</v>
          </cell>
          <cell r="AB361">
            <v>15000</v>
          </cell>
        </row>
        <row r="362">
          <cell r="B362" t="str">
            <v>E_23</v>
          </cell>
          <cell r="D362">
            <v>94</v>
          </cell>
          <cell r="E362" t="str">
            <v>Supply of standard mechanical jack set of approved quality for HDPE pipe cutting and joining up to 160 mm diameter (quality should be approved by engineer)</v>
          </cell>
          <cell r="F362" t="str">
            <v>Supply of standard mechanical jack set of approved quality for HDPE pipe cutting and joining up to 160 mm diameter (quality should be approved by engineer)</v>
          </cell>
          <cell r="I362">
            <v>0</v>
          </cell>
          <cell r="J362">
            <v>0</v>
          </cell>
          <cell r="K362">
            <v>0</v>
          </cell>
          <cell r="L362">
            <v>0</v>
          </cell>
          <cell r="M362">
            <v>0</v>
          </cell>
          <cell r="N362">
            <v>0</v>
          </cell>
          <cell r="O362">
            <v>0</v>
          </cell>
          <cell r="P362">
            <v>0</v>
          </cell>
          <cell r="Q362">
            <v>0</v>
          </cell>
          <cell r="R362">
            <v>0</v>
          </cell>
          <cell r="S362">
            <v>0</v>
          </cell>
          <cell r="T362">
            <v>0</v>
          </cell>
          <cell r="U362">
            <v>0</v>
          </cell>
          <cell r="V362">
            <v>1</v>
          </cell>
          <cell r="W362">
            <v>0</v>
          </cell>
          <cell r="X362">
            <v>1</v>
          </cell>
          <cell r="Y362" t="str">
            <v>set</v>
          </cell>
          <cell r="Z362">
            <v>10000</v>
          </cell>
          <cell r="AB362">
            <v>10000</v>
          </cell>
        </row>
        <row r="363">
          <cell r="B363" t="str">
            <v>E_24</v>
          </cell>
          <cell r="D363">
            <v>95</v>
          </cell>
          <cell r="E363" t="str">
            <v>Supply of standard mechanical jack set of approved quality for HDPE pipe cutting and joining up to 250 mm diameter (quality should be approved by engineer)</v>
          </cell>
          <cell r="F363" t="str">
            <v>Supply of standard mechanical jack set of approved quality for HDPE pipe cutting and joining up to 250 mm diameter (quality should be approved by engineer)</v>
          </cell>
          <cell r="I363">
            <v>0</v>
          </cell>
          <cell r="J363">
            <v>0</v>
          </cell>
          <cell r="K363">
            <v>0</v>
          </cell>
          <cell r="L363">
            <v>0</v>
          </cell>
          <cell r="M363">
            <v>0</v>
          </cell>
          <cell r="N363">
            <v>0</v>
          </cell>
          <cell r="O363">
            <v>0</v>
          </cell>
          <cell r="P363">
            <v>0</v>
          </cell>
          <cell r="Q363">
            <v>0</v>
          </cell>
          <cell r="R363">
            <v>0</v>
          </cell>
          <cell r="S363">
            <v>0</v>
          </cell>
          <cell r="T363">
            <v>0</v>
          </cell>
          <cell r="U363">
            <v>0</v>
          </cell>
          <cell r="V363">
            <v>1</v>
          </cell>
          <cell r="W363">
            <v>0</v>
          </cell>
          <cell r="X363">
            <v>1</v>
          </cell>
          <cell r="Y363" t="str">
            <v>set</v>
          </cell>
          <cell r="Z363">
            <v>15000</v>
          </cell>
          <cell r="AB363">
            <v>15000</v>
          </cell>
        </row>
        <row r="364">
          <cell r="B364" t="str">
            <v>E_25</v>
          </cell>
          <cell r="C364" t="str">
            <v>PMP</v>
          </cell>
          <cell r="D364">
            <v>96</v>
          </cell>
          <cell r="E364" t="str">
            <v>Supply of standard die set of approval quality for 15mm to 150mm GI pipes (quality should be approved by engineer)</v>
          </cell>
          <cell r="F364" t="str">
            <v>Supply of standard die set of approval quality for 15mm to 150mm GI pipes (quality should be approved by engineer)</v>
          </cell>
          <cell r="I364">
            <v>0</v>
          </cell>
          <cell r="J364">
            <v>0</v>
          </cell>
          <cell r="K364">
            <v>0</v>
          </cell>
          <cell r="L364">
            <v>0</v>
          </cell>
          <cell r="M364">
            <v>0</v>
          </cell>
          <cell r="N364">
            <v>0</v>
          </cell>
          <cell r="O364">
            <v>0</v>
          </cell>
          <cell r="P364">
            <v>0</v>
          </cell>
          <cell r="Q364">
            <v>0</v>
          </cell>
          <cell r="R364">
            <v>0</v>
          </cell>
          <cell r="S364">
            <v>0</v>
          </cell>
          <cell r="T364">
            <v>0</v>
          </cell>
          <cell r="U364">
            <v>0</v>
          </cell>
          <cell r="V364">
            <v>1</v>
          </cell>
          <cell r="W364">
            <v>0</v>
          </cell>
          <cell r="X364">
            <v>1</v>
          </cell>
          <cell r="Y364" t="str">
            <v>set</v>
          </cell>
          <cell r="Z364">
            <v>30000</v>
          </cell>
          <cell r="AB364">
            <v>30000</v>
          </cell>
        </row>
        <row r="365">
          <cell r="B365" t="str">
            <v>E_26</v>
          </cell>
          <cell r="E365" t="str">
            <v>Supply of standard pipe vice set of approved quality for 15mm to 200mm GI pipe (quality should be approved by engineer)</v>
          </cell>
          <cell r="F365" t="str">
            <v>Supply of standard pipe vice set of approved quality for 15mm to 200mm GI pipe (quality should be approved by engineer)</v>
          </cell>
          <cell r="I365">
            <v>0</v>
          </cell>
          <cell r="J365">
            <v>0</v>
          </cell>
          <cell r="K365">
            <v>0</v>
          </cell>
          <cell r="L365">
            <v>0</v>
          </cell>
          <cell r="M365">
            <v>0</v>
          </cell>
          <cell r="N365">
            <v>0</v>
          </cell>
          <cell r="O365">
            <v>0</v>
          </cell>
          <cell r="P365">
            <v>0</v>
          </cell>
          <cell r="Q365">
            <v>0</v>
          </cell>
          <cell r="R365">
            <v>0</v>
          </cell>
          <cell r="S365">
            <v>0</v>
          </cell>
          <cell r="T365">
            <v>0</v>
          </cell>
          <cell r="U365">
            <v>0</v>
          </cell>
          <cell r="V365">
            <v>1</v>
          </cell>
          <cell r="W365">
            <v>0</v>
          </cell>
          <cell r="X365">
            <v>1</v>
          </cell>
          <cell r="Y365" t="str">
            <v>set</v>
          </cell>
          <cell r="Z365">
            <v>25000</v>
          </cell>
          <cell r="AB365">
            <v>25000</v>
          </cell>
        </row>
        <row r="366">
          <cell r="B366" t="str">
            <v>E_27</v>
          </cell>
          <cell r="D366">
            <v>97</v>
          </cell>
          <cell r="E366" t="str">
            <v>Supply of standard heating plate of 6" of diameter of approved quality for HDPE pipe joining (quality should be approved by engineer)</v>
          </cell>
          <cell r="F366" t="str">
            <v>Supply of standard heating plate of 6" of diameter of approved quality for HDPE pipe joining (quality should be approved by engineer)</v>
          </cell>
          <cell r="I366">
            <v>0</v>
          </cell>
          <cell r="J366">
            <v>0</v>
          </cell>
          <cell r="K366">
            <v>0</v>
          </cell>
          <cell r="L366">
            <v>0</v>
          </cell>
          <cell r="M366">
            <v>0</v>
          </cell>
          <cell r="N366">
            <v>0</v>
          </cell>
          <cell r="O366">
            <v>0</v>
          </cell>
          <cell r="P366">
            <v>0</v>
          </cell>
          <cell r="Q366">
            <v>0</v>
          </cell>
          <cell r="R366">
            <v>0</v>
          </cell>
          <cell r="S366">
            <v>0</v>
          </cell>
          <cell r="T366">
            <v>0</v>
          </cell>
          <cell r="U366">
            <v>0</v>
          </cell>
          <cell r="V366">
            <v>1</v>
          </cell>
          <cell r="W366">
            <v>0</v>
          </cell>
          <cell r="X366">
            <v>1</v>
          </cell>
          <cell r="Y366" t="str">
            <v>set</v>
          </cell>
          <cell r="Z366">
            <v>1000</v>
          </cell>
          <cell r="AB366">
            <v>1000</v>
          </cell>
        </row>
        <row r="367">
          <cell r="B367" t="str">
            <v>E_28</v>
          </cell>
          <cell r="D367">
            <v>98</v>
          </cell>
          <cell r="E367" t="str">
            <v>Supply of standard heating plate of 12" of diameter of approved quality for HDPE pipe joining (quality should be approved by engineer)</v>
          </cell>
          <cell r="F367" t="str">
            <v>Supply of standard heating plate of 12" of diameter of approved quality for HDPE pipe joining (quality should be approved by engineer)</v>
          </cell>
          <cell r="I367">
            <v>0</v>
          </cell>
          <cell r="J367">
            <v>0</v>
          </cell>
          <cell r="K367">
            <v>0</v>
          </cell>
          <cell r="L367">
            <v>0</v>
          </cell>
          <cell r="M367">
            <v>0</v>
          </cell>
          <cell r="N367">
            <v>0</v>
          </cell>
          <cell r="O367">
            <v>0</v>
          </cell>
          <cell r="P367">
            <v>0</v>
          </cell>
          <cell r="Q367">
            <v>0</v>
          </cell>
          <cell r="R367">
            <v>0</v>
          </cell>
          <cell r="S367">
            <v>0</v>
          </cell>
          <cell r="T367">
            <v>0</v>
          </cell>
          <cell r="U367">
            <v>0</v>
          </cell>
          <cell r="V367">
            <v>1</v>
          </cell>
          <cell r="W367">
            <v>0</v>
          </cell>
          <cell r="X367">
            <v>1</v>
          </cell>
          <cell r="Y367" t="str">
            <v>set</v>
          </cell>
          <cell r="Z367">
            <v>2000</v>
          </cell>
          <cell r="AB367">
            <v>2000</v>
          </cell>
        </row>
        <row r="368">
          <cell r="B368" t="str">
            <v>E_29</v>
          </cell>
          <cell r="C368" t="str">
            <v>H-40/6</v>
          </cell>
          <cell r="D368" t="str">
            <v>c</v>
          </cell>
          <cell r="E368" t="str">
            <v>Supply of standard tool box set of approved quality for plumbing works (quality should be approved by engineer)</v>
          </cell>
          <cell r="F368" t="str">
            <v>Supply of standard tool box set of approved quality for plumbing works (quality should be approved by engineer)</v>
          </cell>
          <cell r="I368">
            <v>0</v>
          </cell>
          <cell r="J368">
            <v>0</v>
          </cell>
          <cell r="K368">
            <v>0</v>
          </cell>
          <cell r="L368">
            <v>0</v>
          </cell>
          <cell r="M368">
            <v>0</v>
          </cell>
          <cell r="N368">
            <v>0</v>
          </cell>
          <cell r="O368">
            <v>0</v>
          </cell>
          <cell r="P368">
            <v>0</v>
          </cell>
          <cell r="Q368">
            <v>0</v>
          </cell>
          <cell r="R368">
            <v>0</v>
          </cell>
          <cell r="S368">
            <v>0</v>
          </cell>
          <cell r="T368">
            <v>0</v>
          </cell>
          <cell r="U368">
            <v>0</v>
          </cell>
          <cell r="V368">
            <v>1</v>
          </cell>
          <cell r="W368">
            <v>0</v>
          </cell>
          <cell r="X368">
            <v>1</v>
          </cell>
          <cell r="Y368" t="str">
            <v>set</v>
          </cell>
          <cell r="Z368">
            <v>2000</v>
          </cell>
          <cell r="AB368">
            <v>2000</v>
          </cell>
        </row>
        <row r="369">
          <cell r="B369" t="str">
            <v>E_30</v>
          </cell>
          <cell r="C369" t="str">
            <v>H-50/6</v>
          </cell>
          <cell r="D369" t="str">
            <v>d</v>
          </cell>
          <cell r="E369" t="str">
            <v>Supply of standard chain pulley set for 3 ton lifting capacity including stainless steel chain minimum 10 meters (quality should be approved by engineer)</v>
          </cell>
          <cell r="F369" t="str">
            <v>Supply of standard chain pulley set for 3 ton lifting capacity including stainless steel chain minimum 10 meters (quality should be approved by engineer)</v>
          </cell>
          <cell r="I369">
            <v>0</v>
          </cell>
          <cell r="J369">
            <v>0</v>
          </cell>
          <cell r="K369">
            <v>0</v>
          </cell>
          <cell r="L369">
            <v>0</v>
          </cell>
          <cell r="M369">
            <v>0</v>
          </cell>
          <cell r="N369">
            <v>0</v>
          </cell>
          <cell r="O369">
            <v>0</v>
          </cell>
          <cell r="P369">
            <v>0</v>
          </cell>
          <cell r="Q369">
            <v>0</v>
          </cell>
          <cell r="R369">
            <v>0</v>
          </cell>
          <cell r="S369">
            <v>0</v>
          </cell>
          <cell r="T369">
            <v>0</v>
          </cell>
          <cell r="U369">
            <v>0</v>
          </cell>
          <cell r="V369">
            <v>1</v>
          </cell>
          <cell r="W369">
            <v>0</v>
          </cell>
          <cell r="X369">
            <v>1</v>
          </cell>
          <cell r="Y369" t="str">
            <v>set</v>
          </cell>
          <cell r="Z369">
            <v>8000</v>
          </cell>
          <cell r="AB369">
            <v>8000</v>
          </cell>
        </row>
        <row r="370">
          <cell r="B370" t="str">
            <v>E_31</v>
          </cell>
          <cell r="C370" t="str">
            <v>H-63/6</v>
          </cell>
          <cell r="D370" t="str">
            <v>e</v>
          </cell>
          <cell r="E370" t="str">
            <v>Supply of standard mechanical pipe cutter set up to 150mm of approved quality</v>
          </cell>
          <cell r="F370" t="str">
            <v>Supply of standard mechanical pipe cutter set up to 150mm of approved quality</v>
          </cell>
          <cell r="I370">
            <v>0</v>
          </cell>
          <cell r="J370">
            <v>0</v>
          </cell>
          <cell r="K370">
            <v>0</v>
          </cell>
          <cell r="L370">
            <v>0</v>
          </cell>
          <cell r="M370">
            <v>0</v>
          </cell>
          <cell r="N370">
            <v>0</v>
          </cell>
          <cell r="O370">
            <v>0</v>
          </cell>
          <cell r="P370">
            <v>0</v>
          </cell>
          <cell r="Q370">
            <v>0</v>
          </cell>
          <cell r="R370">
            <v>0</v>
          </cell>
          <cell r="S370">
            <v>0</v>
          </cell>
          <cell r="T370">
            <v>0</v>
          </cell>
          <cell r="U370">
            <v>0</v>
          </cell>
          <cell r="V370">
            <v>1</v>
          </cell>
          <cell r="W370">
            <v>0</v>
          </cell>
          <cell r="X370">
            <v>1</v>
          </cell>
          <cell r="Y370" t="str">
            <v>set</v>
          </cell>
          <cell r="Z370">
            <v>10000</v>
          </cell>
          <cell r="AB370">
            <v>10000</v>
          </cell>
        </row>
        <row r="371">
          <cell r="C371" t="str">
            <v>H-75/4</v>
          </cell>
          <cell r="D371" t="str">
            <v>f</v>
          </cell>
          <cell r="E371" t="str">
            <v>Civil Works</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AB371">
            <v>0</v>
          </cell>
        </row>
        <row r="372">
          <cell r="D372" t="str">
            <v>F Miscellaneous Items</v>
          </cell>
          <cell r="X372">
            <v>0</v>
          </cell>
        </row>
        <row r="373">
          <cell r="B373" t="str">
            <v>F_1</v>
          </cell>
          <cell r="D373" t="str">
            <v>aa</v>
          </cell>
          <cell r="E373" t="str">
            <v>25 mm Kota stone flooring on 20mm thick 1:4 mortar</v>
          </cell>
          <cell r="F373" t="str">
            <v>25 mm Kota stone flooring on 20mm thick 1:4 mortar as per Clause 2.7 and other related clause of the Specification and as directed by the Engineer</v>
          </cell>
          <cell r="I373">
            <v>0</v>
          </cell>
          <cell r="J373">
            <v>0</v>
          </cell>
          <cell r="K373">
            <v>0</v>
          </cell>
          <cell r="L373">
            <v>0</v>
          </cell>
          <cell r="M373">
            <v>0</v>
          </cell>
          <cell r="N373">
            <v>0</v>
          </cell>
          <cell r="O373">
            <v>4.5</v>
          </cell>
          <cell r="P373">
            <v>0</v>
          </cell>
          <cell r="Q373">
            <v>0</v>
          </cell>
          <cell r="R373">
            <v>0</v>
          </cell>
          <cell r="S373">
            <v>0</v>
          </cell>
          <cell r="T373">
            <v>0</v>
          </cell>
          <cell r="U373">
            <v>0</v>
          </cell>
          <cell r="V373">
            <v>0</v>
          </cell>
          <cell r="W373">
            <v>75.481536666666656</v>
          </cell>
          <cell r="X373">
            <v>79.981536666666656</v>
          </cell>
          <cell r="Y373" t="str">
            <v>sqm</v>
          </cell>
          <cell r="Z373">
            <v>1147.9100000000001</v>
          </cell>
          <cell r="AB373">
            <v>91811.61</v>
          </cell>
        </row>
        <row r="374">
          <cell r="B374" t="str">
            <v>F_2</v>
          </cell>
          <cell r="D374" t="str">
            <v>ab</v>
          </cell>
          <cell r="E374" t="str">
            <v>Porcelain glazed tiles overlay in 1:4 cement sand mortar</v>
          </cell>
          <cell r="F374" t="str">
            <v>Porcelain glazed tiles overlay in 1:4 cement sand mortar including white cement grouting as per Clause 2.6, 2.7 and other related Clause of the Specification and as directed by the Engineer</v>
          </cell>
          <cell r="I374">
            <v>0</v>
          </cell>
          <cell r="J374">
            <v>0</v>
          </cell>
          <cell r="K374">
            <v>0</v>
          </cell>
          <cell r="L374">
            <v>0</v>
          </cell>
          <cell r="M374">
            <v>0</v>
          </cell>
          <cell r="N374">
            <v>0</v>
          </cell>
          <cell r="O374">
            <v>10.08</v>
          </cell>
          <cell r="P374">
            <v>0</v>
          </cell>
          <cell r="Q374">
            <v>0</v>
          </cell>
          <cell r="R374">
            <v>0</v>
          </cell>
          <cell r="S374">
            <v>0</v>
          </cell>
          <cell r="T374">
            <v>0</v>
          </cell>
          <cell r="U374">
            <v>0</v>
          </cell>
          <cell r="V374">
            <v>0</v>
          </cell>
          <cell r="W374">
            <v>9.4499999999999993</v>
          </cell>
          <cell r="X374">
            <v>19.53</v>
          </cell>
          <cell r="Y374" t="str">
            <v>sqm</v>
          </cell>
          <cell r="Z374">
            <v>1491.59</v>
          </cell>
          <cell r="AB374">
            <v>29130.75</v>
          </cell>
        </row>
        <row r="375">
          <cell r="B375" t="str">
            <v>F_3</v>
          </cell>
          <cell r="D375" t="str">
            <v>ah</v>
          </cell>
          <cell r="E375" t="str">
            <v>Glazed Indian Type WC Set</v>
          </cell>
          <cell r="F375" t="str">
            <v>Supply and Installation of Glazed Indian Type WC Set as per Clause 2.6 and other related clause of the Specification and as directed by the Engineer</v>
          </cell>
          <cell r="I375">
            <v>0</v>
          </cell>
          <cell r="J375">
            <v>0</v>
          </cell>
          <cell r="K375">
            <v>0</v>
          </cell>
          <cell r="L375">
            <v>0</v>
          </cell>
          <cell r="M375">
            <v>0</v>
          </cell>
          <cell r="N375">
            <v>0</v>
          </cell>
          <cell r="O375">
            <v>2</v>
          </cell>
          <cell r="P375">
            <v>0</v>
          </cell>
          <cell r="Q375">
            <v>0</v>
          </cell>
          <cell r="R375">
            <v>0</v>
          </cell>
          <cell r="S375">
            <v>0</v>
          </cell>
          <cell r="T375">
            <v>0</v>
          </cell>
          <cell r="U375">
            <v>0</v>
          </cell>
          <cell r="V375">
            <v>0</v>
          </cell>
          <cell r="W375">
            <v>8</v>
          </cell>
          <cell r="X375">
            <v>10</v>
          </cell>
          <cell r="Y375" t="str">
            <v>No</v>
          </cell>
          <cell r="Z375">
            <v>750</v>
          </cell>
          <cell r="AB375">
            <v>7500</v>
          </cell>
        </row>
        <row r="376">
          <cell r="B376" t="str">
            <v>F_4</v>
          </cell>
          <cell r="D376" t="str">
            <v>al</v>
          </cell>
          <cell r="E376" t="str">
            <v>Stainless Steel Sink</v>
          </cell>
          <cell r="F376" t="str">
            <v xml:space="preserve">Supply and Installation of Stainless Steel Sink (Heavy) as per clause 2.6 and other related clause of the Specification and as directed by the Engineer </v>
          </cell>
          <cell r="I376">
            <v>0</v>
          </cell>
          <cell r="J376">
            <v>0</v>
          </cell>
          <cell r="K376">
            <v>0</v>
          </cell>
          <cell r="L376">
            <v>0</v>
          </cell>
          <cell r="M376">
            <v>0</v>
          </cell>
          <cell r="N376">
            <v>0</v>
          </cell>
          <cell r="O376">
            <v>2</v>
          </cell>
          <cell r="P376">
            <v>0</v>
          </cell>
          <cell r="Q376">
            <v>0</v>
          </cell>
          <cell r="R376">
            <v>0</v>
          </cell>
          <cell r="S376">
            <v>0</v>
          </cell>
          <cell r="T376">
            <v>0</v>
          </cell>
          <cell r="U376">
            <v>0</v>
          </cell>
          <cell r="V376">
            <v>0</v>
          </cell>
          <cell r="W376">
            <v>0</v>
          </cell>
          <cell r="X376">
            <v>2</v>
          </cell>
          <cell r="Y376" t="str">
            <v>No</v>
          </cell>
          <cell r="Z376">
            <v>3093.5</v>
          </cell>
          <cell r="AB376">
            <v>6187</v>
          </cell>
        </row>
        <row r="377">
          <cell r="B377" t="str">
            <v>F_5</v>
          </cell>
          <cell r="D377" t="str">
            <v>am</v>
          </cell>
          <cell r="E377" t="str">
            <v>Inspection Chamber</v>
          </cell>
          <cell r="F377" t="str">
            <v>Construction of Inspection Chamber as per drawing, as per Clause 2.6 and other related clause of the Specification and as directed by the Engineer</v>
          </cell>
          <cell r="I377">
            <v>0</v>
          </cell>
          <cell r="J377">
            <v>0</v>
          </cell>
          <cell r="K377">
            <v>0</v>
          </cell>
          <cell r="L377">
            <v>0</v>
          </cell>
          <cell r="M377">
            <v>0</v>
          </cell>
          <cell r="N377">
            <v>0</v>
          </cell>
          <cell r="O377">
            <v>4</v>
          </cell>
          <cell r="P377">
            <v>0</v>
          </cell>
          <cell r="Q377">
            <v>0</v>
          </cell>
          <cell r="R377">
            <v>0</v>
          </cell>
          <cell r="S377">
            <v>0</v>
          </cell>
          <cell r="T377">
            <v>0</v>
          </cell>
          <cell r="U377">
            <v>0</v>
          </cell>
          <cell r="V377">
            <v>0</v>
          </cell>
          <cell r="W377">
            <v>0</v>
          </cell>
          <cell r="X377">
            <v>4</v>
          </cell>
          <cell r="Y377" t="str">
            <v>No</v>
          </cell>
          <cell r="Z377">
            <v>1117.71</v>
          </cell>
          <cell r="AB377">
            <v>4470.84</v>
          </cell>
        </row>
        <row r="378">
          <cell r="B378" t="str">
            <v>F_6</v>
          </cell>
          <cell r="D378" t="str">
            <v>as</v>
          </cell>
          <cell r="E378" t="str">
            <v>Crossing of Pipe with black topped road cutting with reinstallation of road to the previous state</v>
          </cell>
          <cell r="F378" t="str">
            <v>Crossing of Pipe with black topped road cutting with reinstallation of road to the previous state</v>
          </cell>
          <cell r="I378">
            <v>0</v>
          </cell>
          <cell r="J378">
            <v>0</v>
          </cell>
          <cell r="K378">
            <v>0</v>
          </cell>
          <cell r="L378">
            <v>0</v>
          </cell>
          <cell r="M378">
            <v>0</v>
          </cell>
          <cell r="N378">
            <v>0</v>
          </cell>
          <cell r="O378">
            <v>0</v>
          </cell>
          <cell r="P378">
            <v>0</v>
          </cell>
          <cell r="Q378">
            <v>80</v>
          </cell>
          <cell r="R378">
            <v>0</v>
          </cell>
          <cell r="S378">
            <v>0</v>
          </cell>
          <cell r="T378">
            <v>0</v>
          </cell>
          <cell r="U378">
            <v>0</v>
          </cell>
          <cell r="V378">
            <v>0</v>
          </cell>
          <cell r="W378">
            <v>0</v>
          </cell>
          <cell r="X378">
            <v>80</v>
          </cell>
          <cell r="Y378" t="str">
            <v>sqm</v>
          </cell>
          <cell r="Z378">
            <v>1500</v>
          </cell>
          <cell r="AB378">
            <v>120000</v>
          </cell>
        </row>
        <row r="379">
          <cell r="B379" t="str">
            <v>F_7</v>
          </cell>
          <cell r="D379" t="str">
            <v>at</v>
          </cell>
          <cell r="E379" t="str">
            <v>Provisional Sum for unforeseen works change of electrical poles etc.</v>
          </cell>
          <cell r="F379" t="str">
            <v>Provisional Sum for unforeseen works like change of electrical, telephone poles, line etc.</v>
          </cell>
          <cell r="I379">
            <v>0</v>
          </cell>
          <cell r="J379">
            <v>0</v>
          </cell>
          <cell r="K379">
            <v>0</v>
          </cell>
          <cell r="L379">
            <v>0</v>
          </cell>
          <cell r="M379">
            <v>0</v>
          </cell>
          <cell r="N379">
            <v>0</v>
          </cell>
          <cell r="O379">
            <v>0</v>
          </cell>
          <cell r="P379">
            <v>0</v>
          </cell>
          <cell r="Q379" t="str">
            <v>PS</v>
          </cell>
          <cell r="R379">
            <v>0</v>
          </cell>
          <cell r="S379">
            <v>0</v>
          </cell>
          <cell r="T379">
            <v>0</v>
          </cell>
          <cell r="U379">
            <v>0</v>
          </cell>
          <cell r="V379">
            <v>0</v>
          </cell>
          <cell r="W379">
            <v>0</v>
          </cell>
          <cell r="X379">
            <v>1</v>
          </cell>
          <cell r="Y379" t="str">
            <v>Provisio nal Sum</v>
          </cell>
          <cell r="Z379">
            <v>200000</v>
          </cell>
          <cell r="AB379">
            <v>200000</v>
          </cell>
        </row>
        <row r="380">
          <cell r="B380" t="str">
            <v>F_8</v>
          </cell>
          <cell r="D380" t="str">
            <v>au</v>
          </cell>
          <cell r="E380" t="str">
            <v>Supply and Installation of Fire Hydrant</v>
          </cell>
          <cell r="F380" t="str">
            <v>Supply and installation of single outlet 80mm Cast Iron Fire Hydrant Stand-post in compliance with IS:908/75, including GM, IS: 318 LTB2 Outlet Coupling, Flange Riser, Duck Foot Bend, Surface Box, Sluice Valve, etc with necessary earth excavation, filling</v>
          </cell>
          <cell r="I380">
            <v>0</v>
          </cell>
          <cell r="J380">
            <v>0</v>
          </cell>
          <cell r="K380">
            <v>0</v>
          </cell>
          <cell r="L380">
            <v>0</v>
          </cell>
          <cell r="M380">
            <v>0</v>
          </cell>
          <cell r="N380">
            <v>0</v>
          </cell>
          <cell r="O380">
            <v>0</v>
          </cell>
          <cell r="P380">
            <v>0</v>
          </cell>
          <cell r="Q380">
            <v>6</v>
          </cell>
          <cell r="R380">
            <v>0</v>
          </cell>
          <cell r="S380">
            <v>0</v>
          </cell>
          <cell r="T380">
            <v>0</v>
          </cell>
          <cell r="U380">
            <v>0</v>
          </cell>
          <cell r="V380">
            <v>0</v>
          </cell>
          <cell r="W380">
            <v>0</v>
          </cell>
          <cell r="X380">
            <v>6</v>
          </cell>
          <cell r="Y380" t="str">
            <v>No</v>
          </cell>
          <cell r="Z380">
            <v>15000</v>
          </cell>
          <cell r="AB380">
            <v>90000</v>
          </cell>
        </row>
        <row r="381">
          <cell r="B381" t="str">
            <v>F_9</v>
          </cell>
          <cell r="E381" t="str">
            <v>Supply and Fixation of Stainless Steel Plate</v>
          </cell>
          <cell r="F381" t="str">
            <v>Supply and Fixation of Stainless Steel Plate (heavy) in the Urinal area as per clause 4.3 and other related clause of the Specification and as directed by the Engineer</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14.28</v>
          </cell>
          <cell r="X381">
            <v>14.28</v>
          </cell>
          <cell r="Y381" t="str">
            <v>Sqm</v>
          </cell>
          <cell r="Z381">
            <v>6512.9449838187702</v>
          </cell>
          <cell r="AB381">
            <v>93004.85</v>
          </cell>
        </row>
        <row r="382">
          <cell r="B382" t="str">
            <v>F_10</v>
          </cell>
          <cell r="E382" t="str">
            <v>Supply and Installation of HDPE Water Tank (1000 litre) including all fittings</v>
          </cell>
          <cell r="F382" t="str">
            <v>Supply and Installation of HDPE Water Tank (1000 litre) including all fittings</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4</v>
          </cell>
          <cell r="X382">
            <v>4</v>
          </cell>
          <cell r="Y382" t="str">
            <v>No</v>
          </cell>
          <cell r="Z382">
            <v>5000</v>
          </cell>
          <cell r="AB382">
            <v>20000</v>
          </cell>
        </row>
        <row r="383">
          <cell r="B383" t="str">
            <v>F_11</v>
          </cell>
          <cell r="E383" t="str">
            <v>Site Development</v>
          </cell>
          <cell r="F383" t="str">
            <v>Site Development Work in the Reservoir, Generator House, Guard Quarter and Boring Area</v>
          </cell>
          <cell r="I383">
            <v>0</v>
          </cell>
          <cell r="J383">
            <v>0</v>
          </cell>
          <cell r="K383">
            <v>0</v>
          </cell>
          <cell r="L383">
            <v>0</v>
          </cell>
          <cell r="M383">
            <v>0</v>
          </cell>
          <cell r="N383">
            <v>0</v>
          </cell>
          <cell r="O383">
            <v>0</v>
          </cell>
          <cell r="P383">
            <v>1</v>
          </cell>
          <cell r="Q383">
            <v>0</v>
          </cell>
          <cell r="R383">
            <v>0</v>
          </cell>
          <cell r="S383">
            <v>0</v>
          </cell>
          <cell r="T383">
            <v>0</v>
          </cell>
          <cell r="U383">
            <v>0</v>
          </cell>
          <cell r="V383">
            <v>0</v>
          </cell>
          <cell r="X383">
            <v>1</v>
          </cell>
          <cell r="Y383" t="str">
            <v>Provisio nal Sum</v>
          </cell>
          <cell r="Z383">
            <v>500000</v>
          </cell>
          <cell r="AB383">
            <v>500000</v>
          </cell>
        </row>
        <row r="384">
          <cell r="B384" t="str">
            <v>F_12</v>
          </cell>
          <cell r="E384" t="str">
            <v>Maintainance of Existing Public Toilet</v>
          </cell>
          <cell r="F384" t="str">
            <v>Maintainance of Existing Public Toilet</v>
          </cell>
          <cell r="W384">
            <v>1</v>
          </cell>
          <cell r="X384">
            <v>1</v>
          </cell>
          <cell r="Y384" t="str">
            <v>Provisio nal Sum</v>
          </cell>
          <cell r="Z384">
            <v>25000</v>
          </cell>
          <cell r="AB384">
            <v>25000</v>
          </cell>
        </row>
        <row r="385">
          <cell r="AA385" t="str">
            <v>Total</v>
          </cell>
          <cell r="AB385">
            <v>55158647.290000014</v>
          </cell>
        </row>
        <row r="403">
          <cell r="D403" t="str">
            <v>cp</v>
          </cell>
          <cell r="E403" t="str">
            <v>Supply and Installation of CI Manhole</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t="str">
            <v>No</v>
          </cell>
          <cell r="Z403">
            <v>8000</v>
          </cell>
          <cell r="AB403">
            <v>0</v>
          </cell>
        </row>
        <row r="404">
          <cell r="C404" t="str">
            <v>H-160/6</v>
          </cell>
          <cell r="D404" t="str">
            <v>p</v>
          </cell>
          <cell r="E404" t="str">
            <v xml:space="preserve">150mm dia DI pipe laying works </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t="str">
            <v>m</v>
          </cell>
          <cell r="Z404">
            <v>94.14</v>
          </cell>
          <cell r="AB404">
            <v>0</v>
          </cell>
        </row>
        <row r="405">
          <cell r="D405" t="str">
            <v>r</v>
          </cell>
          <cell r="E405" t="str">
            <v>Water Proofing Treatment( Dischtament DS)</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t="str">
            <v>sqm</v>
          </cell>
          <cell r="Z405">
            <v>451</v>
          </cell>
          <cell r="AB405">
            <v>0</v>
          </cell>
        </row>
        <row r="407">
          <cell r="D407">
            <v>71</v>
          </cell>
          <cell r="E407" t="str">
            <v>D. Disinfection System- Chlorinator</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B407">
            <v>0</v>
          </cell>
        </row>
        <row r="408">
          <cell r="V408" t="e">
            <v>#N/A</v>
          </cell>
          <cell r="W408" t="e">
            <v>#N/A</v>
          </cell>
          <cell r="X408" t="e">
            <v>#N/A</v>
          </cell>
          <cell r="Z408" t="e">
            <v>#N/A</v>
          </cell>
          <cell r="AB408">
            <v>0</v>
          </cell>
        </row>
        <row r="409">
          <cell r="V409" t="e">
            <v>#N/A</v>
          </cell>
          <cell r="W409" t="e">
            <v>#N/A</v>
          </cell>
          <cell r="X409" t="e">
            <v>#N/A</v>
          </cell>
          <cell r="Z409" t="e">
            <v>#N/A</v>
          </cell>
          <cell r="AB409">
            <v>0</v>
          </cell>
        </row>
        <row r="434">
          <cell r="AB434">
            <v>55358647.290000014</v>
          </cell>
        </row>
      </sheetData>
      <sheetData sheetId="23"/>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trict mat Rate"/>
      <sheetName val="Table of content"/>
      <sheetName val="UPVC"/>
      <sheetName val="Update Descrip (Final)"/>
      <sheetName val="Grease"/>
      <sheetName val="Reno_Main"/>
      <sheetName val="Reno_MCH"/>
      <sheetName val="Services"/>
      <sheetName val="ST-1"/>
      <sheetName val="ST-3"/>
    </sheetNames>
    <sheetDataSet>
      <sheetData sheetId="0" refreshError="1">
        <row r="6">
          <cell r="F6">
            <v>160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
      <sheetName val="CheckList"/>
      <sheetName val="Dmand 11"/>
      <sheetName val="Dmand 10"/>
      <sheetName val="Dmand 9"/>
      <sheetName val="Dmand 8"/>
      <sheetName val="Dmand 7"/>
      <sheetName val="Dmand 6"/>
      <sheetName val="Dmand 5"/>
      <sheetName val="Dmand 4"/>
      <sheetName val="Dmand 3"/>
      <sheetName val="Dmand 2"/>
      <sheetName val="Dmand 1"/>
      <sheetName val="PD-TMPLT"/>
      <sheetName val="ProfileData"/>
      <sheetName val="PipeDesign"/>
      <sheetName val="PLOT"/>
      <sheetName val="Profile"/>
      <sheetName val="FlowDiagram"/>
      <sheetName val="PipeList"/>
      <sheetName val="PipeLineWork"/>
      <sheetName val="Features"/>
      <sheetName val="T&amp;P"/>
      <sheetName val="Summary (2)"/>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ttings-Summary"/>
      <sheetName val="Scheme 1"/>
      <sheetName val="Dbase"/>
      <sheetName val="EqvSiz"/>
      <sheetName val="Scheme 11"/>
      <sheetName val="Scheme 10"/>
      <sheetName val="Scheme 9"/>
      <sheetName val="Scheme 8"/>
      <sheetName val="Scheme 7"/>
      <sheetName val="Scheme 6"/>
      <sheetName val="Scheme 5"/>
      <sheetName val="Scheme 4"/>
      <sheetName val="Scheme 3"/>
      <sheetName val="Scheme 2"/>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FTWEL"/>
      <sheetName val="Answer Report 1"/>
      <sheetName val="PD_Design"/>
      <sheetName val="Nodal Flow Cal"/>
      <sheetName val="Pop Density"/>
      <sheetName val="CD_Design"/>
      <sheetName val="ED_Design"/>
      <sheetName val="Data"/>
      <sheetName val="CONTROL PANEL"/>
      <sheetName val="District mat Rate"/>
    </sheetNames>
    <sheetDataSet>
      <sheetData sheetId="0"/>
      <sheetData sheetId="1"/>
      <sheetData sheetId="2"/>
      <sheetData sheetId="3"/>
      <sheetData sheetId="4">
        <row r="11">
          <cell r="J11">
            <v>300</v>
          </cell>
        </row>
        <row r="16">
          <cell r="K16">
            <v>300</v>
          </cell>
        </row>
        <row r="17">
          <cell r="K17">
            <v>300</v>
          </cell>
        </row>
      </sheetData>
      <sheetData sheetId="5"/>
      <sheetData sheetId="6"/>
      <sheetData sheetId="7" refreshError="1"/>
      <sheetData sheetId="8" refreshError="1"/>
      <sheetData sheetId="9"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Page"/>
      <sheetName val="hmg-cc"/>
      <sheetName val="Salient feature"/>
      <sheetName val="sum cost_All"/>
      <sheetName val="Source"/>
      <sheetName val="Pipe"/>
      <sheetName val="pip-line"/>
      <sheetName val="bar+gate"/>
      <sheetName val="CC-DC"/>
      <sheetName val="DC_3 Ch"/>
      <sheetName val="Private_Con"/>
      <sheetName val="int"/>
      <sheetName val="fe-tank"/>
      <sheetName val="PSPs"/>
      <sheetName val="vc-bpt"/>
      <sheetName val="FittingsSummary"/>
      <sheetName val="tools"/>
      <sheetName val="Entry for Rates"/>
      <sheetName val="Rates"/>
      <sheetName val="Rate-1"/>
      <sheetName val="MR"/>
      <sheetName val="Analysis"/>
      <sheetName val="truck ana"/>
      <sheetName val="fe-Rt quant"/>
      <sheetName val="Module1"/>
      <sheetName val="data"/>
      <sheetName val="Sheet1"/>
      <sheetName val="Thrust Block"/>
      <sheetName val="Pump"/>
      <sheetName val="Thrust Block (2)"/>
    </sheetNames>
    <sheetDataSet>
      <sheetData sheetId="0" refreshError="1"/>
      <sheetData sheetId="1" refreshError="1"/>
      <sheetData sheetId="2" refreshError="1"/>
      <sheetData sheetId="3" refreshError="1">
        <row r="8">
          <cell r="D8">
            <v>25000</v>
          </cell>
        </row>
        <row r="16">
          <cell r="D16">
            <v>150000</v>
          </cell>
        </row>
        <row r="18">
          <cell r="D18">
            <v>155943.49</v>
          </cell>
        </row>
        <row r="24">
          <cell r="D24">
            <v>9723.7900000000009</v>
          </cell>
          <cell r="E24">
            <v>139</v>
          </cell>
        </row>
        <row r="25">
          <cell r="D25">
            <v>79374.31</v>
          </cell>
        </row>
        <row r="26">
          <cell r="D26">
            <v>12956.91</v>
          </cell>
        </row>
        <row r="27">
          <cell r="D27">
            <v>28436.44</v>
          </cell>
        </row>
        <row r="28">
          <cell r="D28">
            <v>28436.44</v>
          </cell>
        </row>
        <row r="29">
          <cell r="D29">
            <v>43505.51</v>
          </cell>
        </row>
        <row r="33">
          <cell r="E33">
            <v>1.18</v>
          </cell>
        </row>
        <row r="34">
          <cell r="E34">
            <v>3.2</v>
          </cell>
        </row>
        <row r="35">
          <cell r="E35">
            <v>1</v>
          </cell>
        </row>
        <row r="39">
          <cell r="E39">
            <v>3.97</v>
          </cell>
        </row>
        <row r="42">
          <cell r="F42">
            <v>2275899.64</v>
          </cell>
        </row>
        <row r="43">
          <cell r="F43">
            <v>20027828.16</v>
          </cell>
        </row>
        <row r="44">
          <cell r="F44">
            <v>20106828.16</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Support block"/>
      <sheetName val="Sheet1"/>
      <sheetName val="TOC"/>
      <sheetName val="General Items"/>
      <sheetName val="SummaryCost"/>
      <sheetName val="A.2-Day works"/>
      <sheetName val="Cost intake"/>
      <sheetName val="Cost Grit Remo cha"/>
      <sheetName val="Cost Operator and Guard House"/>
      <sheetName val="Cost Shed"/>
      <sheetName val="Cost Boundry wall"/>
      <sheetName val="Cost RVT-400"/>
      <sheetName val="Cost RVT-100"/>
      <sheetName val="Cost RVT-250"/>
      <sheetName val="CostMTP"/>
      <sheetName val="Cost PST"/>
      <sheetName val="Cost HRF"/>
      <sheetName val="Cost SSF"/>
      <sheetName val="Cost Bhole &amp; Gantry"/>
      <sheetName val="Cost DTW"/>
      <sheetName val="Cost PipeVC"/>
      <sheetName val="Cost VC"/>
      <sheetName val="Cost_Connection Chamber"/>
      <sheetName val="Cost Hconn."/>
      <sheetName val="CostPipeTrenchnBF"/>
      <sheetName val="Cost pipe laying"/>
      <sheetName val="Cost Firehydrant"/>
      <sheetName val="CostTBlock1000"/>
      <sheetName val="CostPipeLayXBridge"/>
      <sheetName val="Cost_Retaining Wall"/>
      <sheetName val="CostPipeLayingXroads"/>
      <sheetName val="Cost_BPT_IC"/>
      <sheetName val="Cost of pipes"/>
      <sheetName val="Cost Fittings"/>
      <sheetName val="Cost_Fitting"/>
      <sheetName val="Cost of t&amp;p"/>
      <sheetName val="Cost Electrical"/>
      <sheetName val="CostPumpSets"/>
      <sheetName val="Qnt Grit Remov cha"/>
      <sheetName val="Qnt intake"/>
      <sheetName val="QtyShed"/>
      <sheetName val="QtyOfficeBldg."/>
      <sheetName val="QtyFencing"/>
      <sheetName val="QTY.Reservoir_400m3"/>
      <sheetName val="Qty.RVT-100"/>
      <sheetName val="Qty. RVT-250"/>
      <sheetName val="Qty MTP"/>
      <sheetName val="Qty Bhole &amp; Gantry"/>
      <sheetName val="Qty DTW"/>
      <sheetName val="Qty. SSF"/>
      <sheetName val="Qty. HRF"/>
      <sheetName val="Qty. Sedimentation"/>
      <sheetName val="Qty. VC"/>
      <sheetName val="Qty_Connection Chamber"/>
      <sheetName val="Qty.H conn."/>
      <sheetName val="Qty.Pipe Trench ExnBF"/>
      <sheetName val="Qty.HDPEPipeLnJ"/>
      <sheetName val="Qty.PIPE LAY X BRIDGE"/>
      <sheetName val="Qnt fire hydrant"/>
      <sheetName val="QtyTBlock900"/>
      <sheetName val="SSF-1B"/>
      <sheetName val="k.SSF-2"/>
      <sheetName val="l.Rad. Colt."/>
      <sheetName val="cost. sump well"/>
      <sheetName val="t.SumpWell300mm"/>
      <sheetName val="E-Opt&amp;M"/>
      <sheetName val="u.mh-450"/>
      <sheetName val="v.mh-600"/>
      <sheetName val="y.cost side drain"/>
      <sheetName val="z.apron"/>
      <sheetName val="D.1-Cost-Electrical"/>
      <sheetName val="Qty Retaining Wall"/>
      <sheetName val="Qty.PIPE LAYING ACROSS ROADS"/>
      <sheetName val="Qty. BPT_IC"/>
      <sheetName val="Qty pipes"/>
      <sheetName val="Qty_Fitting"/>
      <sheetName val="Qnntty T&amp;P"/>
      <sheetName val="Rate Analysis"/>
      <sheetName val="RAB"/>
      <sheetName val="Master Sheet"/>
      <sheetName val="QtyPumpSetsNew"/>
      <sheetName val="QtySumpWell300mm"/>
      <sheetName val="Qty. man 450 "/>
      <sheetName val="Qty. man 600"/>
      <sheetName val="Qty side drain"/>
      <sheetName val="Qty.BkDrainType1."/>
      <sheetName val="Analysis of rates"/>
      <sheetName val="Qty.SSF-2"/>
      <sheetName val="Qty.Rad.Collector"/>
      <sheetName val="Intake Gu Q"/>
      <sheetName val="Reinstatement Q"/>
      <sheetName val="PipeLine Repair Gunadi"/>
      <sheetName val="Support Block"/>
      <sheetName val="Electrical"/>
      <sheetName val="A.1 Gen. Item"/>
      <sheetName val="B. Civil works"/>
      <sheetName val="C.Supply"/>
      <sheetName val="B &amp; C"/>
      <sheetName val="D. Electro-M"/>
      <sheetName val="E. O &amp; M"/>
      <sheetName val="A.2 Day w."/>
      <sheetName val="analysis"/>
      <sheetName val="Qty.SSF-1b"/>
      <sheetName val="Qty.Sump well"/>
      <sheetName val="1.Land Dev."/>
      <sheetName val="2.Gunadi Intake"/>
      <sheetName val="3.Reinatement"/>
      <sheetName val="4.Gunadi Pipe &amp;"/>
      <sheetName val="5.Pump"/>
      <sheetName val="6. Access Road"/>
      <sheetName val="changed"/>
      <sheetName val="water lab."/>
      <sheetName val="qty.pipe gunadi"/>
      <sheetName val="qty.Intake Gunadi"/>
      <sheetName val="Qty. access road"/>
      <sheetName val="pump desig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ow r="7">
          <cell r="G7">
            <v>153.93804002589985</v>
          </cell>
        </row>
        <row r="9">
          <cell r="G9">
            <v>207.8163540349648</v>
          </cell>
        </row>
        <row r="11">
          <cell r="G11">
            <v>30.3493558300042</v>
          </cell>
        </row>
        <row r="14">
          <cell r="G14">
            <v>22.762016872503146</v>
          </cell>
        </row>
        <row r="25">
          <cell r="G25">
            <v>202.75930659731304</v>
          </cell>
        </row>
        <row r="26">
          <cell r="G26">
            <v>12562</v>
          </cell>
        </row>
        <row r="41">
          <cell r="G41">
            <v>524.22405725611839</v>
          </cell>
        </row>
        <row r="51">
          <cell r="G51">
            <v>320.406036465711</v>
          </cell>
        </row>
        <row r="55">
          <cell r="G55">
            <v>270.39687969447351</v>
          </cell>
        </row>
        <row r="58">
          <cell r="G58">
            <v>111.5943976037552</v>
          </cell>
        </row>
        <row r="59">
          <cell r="G59">
            <v>381.99127729822874</v>
          </cell>
        </row>
        <row r="64">
          <cell r="G64">
            <v>11.353715850073513</v>
          </cell>
        </row>
        <row r="65">
          <cell r="G65">
            <v>39.269908169872416</v>
          </cell>
        </row>
        <row r="66">
          <cell r="G66">
            <v>48</v>
          </cell>
        </row>
        <row r="67">
          <cell r="G67">
            <v>48</v>
          </cell>
        </row>
        <row r="68">
          <cell r="G68">
            <v>4</v>
          </cell>
        </row>
        <row r="69">
          <cell r="G69">
            <v>2</v>
          </cell>
        </row>
      </sheetData>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Total"/>
      <sheetName val="Summary of BOQ"/>
      <sheetName val="BOQ Sani"/>
      <sheetName val="BOQ-Combine (2)"/>
      <sheetName val="Chart1"/>
      <sheetName val="Cummulative  (2)"/>
      <sheetName val="Summary "/>
      <sheetName val="Day work"/>
      <sheetName val="General Item"/>
      <sheetName val="Cost Site Development"/>
      <sheetName val="Cost Guard House"/>
      <sheetName val="CostofficeBldg"/>
      <sheetName val="cost genera opera"/>
      <sheetName val="Cost Intake-1"/>
      <sheetName val="Cost Intake 2"/>
      <sheetName val="Cost  Intake 3"/>
      <sheetName val="Cost.DugInfiltration Well"/>
      <sheetName val="Cost Sump Well(10cum)"/>
      <sheetName val="cost Collection Chamber"/>
      <sheetName val="cost InterruptionChamber "/>
      <sheetName val="cost BPT RCC"/>
      <sheetName val="cost Circular cascade Aerator"/>
      <sheetName val="Cost Sedimentation tank"/>
      <sheetName val="Cost SSF"/>
      <sheetName val="Cost RSF "/>
      <sheetName val="Cost Chlorination Unit"/>
      <sheetName val="Cost Stair Cascade Aerator "/>
      <sheetName val="Cost Sedimentation tank (Bheer)"/>
      <sheetName val="Cost Sedimentation tank (Dry)"/>
      <sheetName val="Cost SSF-Dry season"/>
      <sheetName val="Cost SSFBheer lagne chhahara"/>
      <sheetName val="Chart2"/>
      <sheetName val="Cost RVT 30m3"/>
      <sheetName val="Cost 80 cum GR"/>
      <sheetName val="Cost 90 cum GR"/>
      <sheetName val="Cost 120 cum GR"/>
      <sheetName val="Cost RVT 170m3"/>
      <sheetName val="Cost 300 cum GR"/>
      <sheetName val="CostVC,AV,WC"/>
      <sheetName val="CostVB"/>
      <sheetName val="costhc"/>
      <sheetName val="cost pipe trench"/>
      <sheetName val="costplj"/>
      <sheetName val="costplar"/>
      <sheetName val="cost firehydrant"/>
      <sheetName val="costpipes"/>
      <sheetName val="cost fitting"/>
      <sheetName val="costt&amp;p"/>
      <sheetName val="cost m450"/>
      <sheetName val="cost m600"/>
      <sheetName val="cost side drain"/>
      <sheetName val="cost apron"/>
      <sheetName val="cost s15"/>
      <sheetName val="cost soak15"/>
      <sheetName val="PT Cost"/>
      <sheetName val="cost sitedev  pt"/>
      <sheetName val="cost s100"/>
      <sheetName val="costsoak100"/>
      <sheetName val="Costsldying "/>
      <sheetName val="SDB cost sitedev "/>
      <sheetName val="cost SDB soak"/>
      <sheetName val="E &amp; M cost "/>
      <sheetName val="site development"/>
      <sheetName val=" Quantityguard house"/>
      <sheetName val="QtyOfficeBldg"/>
      <sheetName val="Generaror Operator"/>
      <sheetName val="Intake-1 Qty"/>
      <sheetName val="Intake 2 Qty"/>
      <sheetName val="Intake Qty 3"/>
      <sheetName val="Qty.DugInfiltration Well"/>
      <sheetName val="Qty. Sump Well(10cum)"/>
      <sheetName val="Collection Chamber"/>
      <sheetName val="Interruption Chamber"/>
      <sheetName val="BPT RCC"/>
      <sheetName val="Circular Cascade Aerator"/>
      <sheetName val="Stair Cascade Aerator"/>
      <sheetName val="Qty Sedimentation tank "/>
      <sheetName val="Qty Sedimentation tank  (Dry)"/>
      <sheetName val="Qty Sedimentation tank  (Bheer)"/>
      <sheetName val="Slow Sand Filter new"/>
      <sheetName val="Slow Sand Filter new -Dry seaso"/>
      <sheetName val="Slow Sand Filter new (Bheer la)"/>
      <sheetName val="Roughning Filter"/>
      <sheetName val="Qty Chlorination Unit"/>
      <sheetName val="RVT 30m3 "/>
      <sheetName val="80 cum GR"/>
      <sheetName val="90 cum GR"/>
      <sheetName val="120 cum GR"/>
      <sheetName val=" 170 cum GR"/>
      <sheetName val="300 cum GR"/>
      <sheetName val="Valve Chamber"/>
      <sheetName val="Washout chamber"/>
      <sheetName val="house connection"/>
      <sheetName val="pipe laying &amp; joining"/>
      <sheetName val="pipe Trench"/>
      <sheetName val="PIPE LAYING ACROSS ROADS"/>
      <sheetName val="Qnt fire hydrant"/>
      <sheetName val="qntty pipes"/>
      <sheetName val="Pipe Data"/>
      <sheetName val="man 450 qntty"/>
      <sheetName val="man 600 qntty"/>
      <sheetName val="quantity side drain"/>
      <sheetName val="appron qntty"/>
      <sheetName val="septic tank for 15 users"/>
      <sheetName val="Soakpit 15"/>
      <sheetName val="Analysis of rates"/>
      <sheetName val="public toilet"/>
      <sheetName val="sitedev pt"/>
      <sheetName val="SEPTIC100"/>
      <sheetName val="soak quntty 100 users"/>
      <sheetName val="QTySldying"/>
      <sheetName val="SDB sitedev "/>
      <sheetName val="SDB Soakpit "/>
      <sheetName val="rate73-74"/>
      <sheetName val="DI fittings"/>
      <sheetName val="GI fittings"/>
      <sheetName val="Sheet5"/>
      <sheetName val="Transportation amount"/>
      <sheetName val="Total distance"/>
      <sheetName val="Rana Gaun"/>
      <sheetName val="Pipal Danda"/>
      <sheetName val="Mathillo thaple"/>
      <sheetName val="Tallo thaple"/>
      <sheetName val="RAM MANDIR"/>
      <sheetName val="Euri"/>
      <sheetName val="ReservoirFitting"/>
      <sheetName val="FireHydrantValve"/>
      <sheetName val="TranmissionW&amp;A"/>
      <sheetName val="TransmissionFitting"/>
      <sheetName val="QuantityValveBox"/>
      <sheetName val="DistributionW&amp;A"/>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ow r="13">
          <cell r="E13">
            <v>99.475000000000023</v>
          </cell>
        </row>
        <row r="67">
          <cell r="E67">
            <v>414.57499999999999</v>
          </cell>
        </row>
        <row r="78">
          <cell r="E78">
            <v>296.125</v>
          </cell>
        </row>
        <row r="166">
          <cell r="E166">
            <v>10715.087556</v>
          </cell>
        </row>
        <row r="181">
          <cell r="E181">
            <v>12897.012686</v>
          </cell>
        </row>
        <row r="343">
          <cell r="E343">
            <v>764.33147666666673</v>
          </cell>
        </row>
        <row r="793">
          <cell r="E793">
            <v>439.26888559999998</v>
          </cell>
        </row>
        <row r="807">
          <cell r="E807">
            <v>220.97708803999998</v>
          </cell>
        </row>
        <row r="859">
          <cell r="E859">
            <v>351.50553344000002</v>
          </cell>
        </row>
        <row r="1534">
          <cell r="E1534">
            <v>8027</v>
          </cell>
        </row>
        <row r="1593">
          <cell r="E1593">
            <v>4565</v>
          </cell>
        </row>
        <row r="2263">
          <cell r="E2263">
            <v>2605.6284620000001</v>
          </cell>
        </row>
        <row r="2318">
          <cell r="E2318">
            <v>6073.6219600000004</v>
          </cell>
        </row>
        <row r="2333">
          <cell r="E2333">
            <v>2250.1799999999998</v>
          </cell>
        </row>
      </sheetData>
      <sheetData sheetId="106"/>
      <sheetData sheetId="107"/>
      <sheetData sheetId="108"/>
      <sheetData sheetId="109"/>
      <sheetData sheetId="110"/>
      <sheetData sheetId="111"/>
      <sheetData sheetId="112"/>
      <sheetData sheetId="113">
        <row r="46">
          <cell r="O46">
            <v>452.17999999999995</v>
          </cell>
        </row>
      </sheetData>
      <sheetData sheetId="114"/>
      <sheetData sheetId="115">
        <row r="17">
          <cell r="K17">
            <v>134.09596499999998</v>
          </cell>
        </row>
        <row r="35">
          <cell r="K35">
            <v>70.278492374999985</v>
          </cell>
        </row>
      </sheetData>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Page"/>
      <sheetName val="hmg-cc"/>
      <sheetName val="Salient feature"/>
      <sheetName val="sum cost_All"/>
      <sheetName val="Source"/>
      <sheetName val="Pipe"/>
      <sheetName val="pip-line"/>
      <sheetName val="bar+gate"/>
      <sheetName val="CC-DC"/>
      <sheetName val="DC_3 Ch"/>
      <sheetName val="Private_Con"/>
      <sheetName val="int"/>
      <sheetName val="fe-tank"/>
      <sheetName val="PSPs"/>
      <sheetName val="vc-bpt"/>
      <sheetName val="Thrust Block"/>
      <sheetName val="Pump"/>
      <sheetName val="FittingsSummary"/>
      <sheetName val="tools"/>
      <sheetName val="Entry for Rates"/>
      <sheetName val="Rates"/>
      <sheetName val="Rate-1"/>
      <sheetName val="MR"/>
      <sheetName val="Analysis"/>
      <sheetName val="truck ana"/>
      <sheetName val="fe-Rt quant"/>
      <sheetName val="Module1"/>
      <sheetName val="data"/>
      <sheetName val="Sheet1"/>
    </sheetNames>
    <sheetDataSet>
      <sheetData sheetId="0" refreshError="1"/>
      <sheetData sheetId="1">
        <row r="7">
          <cell r="B7">
            <v>10978136.18</v>
          </cell>
        </row>
      </sheetData>
      <sheetData sheetId="2">
        <row r="31">
          <cell r="D31">
            <v>0.64</v>
          </cell>
        </row>
      </sheetData>
      <sheetData sheetId="3">
        <row r="8">
          <cell r="D8">
            <v>25000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14">
          <cell r="F114">
            <v>13</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2"/>
      <sheetName val="Cost-2"/>
    </sheetNames>
    <sheetDataSet>
      <sheetData sheetId="0" refreshError="1">
        <row r="10">
          <cell r="D10">
            <v>1.481111111111111</v>
          </cell>
        </row>
      </sheetData>
      <sheetData sheetId="1">
        <row r="15">
          <cell r="Q15">
            <v>71410.227544159992</v>
          </cell>
        </row>
      </sheetData>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alient feature"/>
      <sheetName val="sum cost_All"/>
      <sheetName val="COST_ALL"/>
      <sheetName val="Cost RVT-400"/>
      <sheetName val="Sump well"/>
      <sheetName val="Abstract_TRUSS"/>
      <sheetName val="Pipe Support"/>
      <sheetName val="Cost_In_1"/>
      <sheetName val="Qnty_ALL"/>
      <sheetName val="QTY.Reservoir_400m3"/>
      <sheetName val="Source"/>
      <sheetName val="Pipe-existing"/>
      <sheetName val="Pipe"/>
      <sheetName val="Qty Truss"/>
      <sheetName val="pip-line"/>
      <sheetName val="bar+gate"/>
      <sheetName val="CC-DC"/>
      <sheetName val="Private_Con"/>
      <sheetName val="Qty_in_1"/>
      <sheetName val="int"/>
      <sheetName val="fe-tank"/>
      <sheetName val="vc-bpt"/>
      <sheetName val="tools"/>
      <sheetName val="FittingsSummary"/>
      <sheetName val="Sheet2"/>
      <sheetName val="Provisional sum items"/>
      <sheetName val="abstract valuation"/>
      <sheetName val="abstract contract"/>
      <sheetName val="boq"/>
      <sheetName val="measurement sheet"/>
      <sheetName val="Estimate "/>
      <sheetName val="50 m3 reservoir (v)"/>
      <sheetName val="50 m3 reservoir"/>
      <sheetName val="Sheet3"/>
      <sheetName val="Entry for Rates"/>
      <sheetName val="Transp_1"/>
      <sheetName val="Analysis"/>
      <sheetName val="Mat-Collect_2"/>
      <sheetName val="Ext. Mat_3"/>
      <sheetName val="Rates"/>
      <sheetName val="Rate-1"/>
      <sheetName val="MR"/>
      <sheetName val="Analysis (2)"/>
      <sheetName val="truck ana"/>
      <sheetName val="fe-Rt quant"/>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88">
          <cell r="C88">
            <v>1</v>
          </cell>
          <cell r="D88" t="str">
            <v>ps</v>
          </cell>
          <cell r="G88">
            <v>1</v>
          </cell>
        </row>
        <row r="89">
          <cell r="C89">
            <v>1</v>
          </cell>
          <cell r="D89" t="str">
            <v>ps</v>
          </cell>
          <cell r="G89">
            <v>1</v>
          </cell>
        </row>
        <row r="90">
          <cell r="C90">
            <v>1</v>
          </cell>
          <cell r="D90" t="str">
            <v>ps</v>
          </cell>
          <cell r="G90">
            <v>1</v>
          </cell>
        </row>
        <row r="91">
          <cell r="C91">
            <v>1</v>
          </cell>
          <cell r="D91" t="str">
            <v>ps</v>
          </cell>
          <cell r="G91">
            <v>1</v>
          </cell>
        </row>
      </sheetData>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alient feature"/>
      <sheetName val="sum cost_All"/>
      <sheetName val="COST_ALL"/>
      <sheetName val="Cost RVT-400"/>
      <sheetName val="Sump well"/>
      <sheetName val="Abstract_TRUSS"/>
      <sheetName val="Pipe Support"/>
      <sheetName val="Cost_In_1"/>
      <sheetName val="Qnty_ALL"/>
      <sheetName val="QTY.Reservoir_400m3"/>
      <sheetName val="Source"/>
      <sheetName val="Pipe-existing"/>
      <sheetName val="Pipe"/>
      <sheetName val="Qty Truss"/>
      <sheetName val="pip-line"/>
      <sheetName val="bar+gate"/>
      <sheetName val="CC-DC"/>
      <sheetName val="Private_Con"/>
      <sheetName val="Qty_in_1"/>
      <sheetName val="int"/>
      <sheetName val="fe-tank"/>
      <sheetName val="vc-bpt"/>
      <sheetName val="tools"/>
      <sheetName val="FittingsSummary"/>
      <sheetName val="conp"/>
      <sheetName val="Sheet5"/>
      <sheetName val="Valuated abstract"/>
      <sheetName val="Detail Measurement"/>
      <sheetName val="Intake (v)"/>
      <sheetName val="ABSTRACT"/>
      <sheetName val="Estimate "/>
      <sheetName val="Intake"/>
      <sheetName val="Transp_1"/>
      <sheetName val="Entry for Rates"/>
      <sheetName val="Analysis"/>
      <sheetName val="Mat-Collect_2"/>
      <sheetName val="Ext. Mat_3"/>
      <sheetName val="Rates"/>
      <sheetName val="Rate-1"/>
      <sheetName val="MR"/>
      <sheetName val="Analysis (2)"/>
      <sheetName val="reservoir 200"/>
      <sheetName val="reservoir 150 "/>
      <sheetName val="reservoir 50"/>
      <sheetName val="abstract 1st"/>
      <sheetName val="thekka bill"/>
      <sheetName val="Sheet1"/>
      <sheetName val="sedimentation tank"/>
      <sheetName val="st quantity"/>
      <sheetName val="fencing with compound wall"/>
      <sheetName val="fencing quantity"/>
      <sheetName val="truck ana"/>
      <sheetName val="fe-Rt quant"/>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ow r="12">
          <cell r="D12">
            <v>702.79950497758148</v>
          </cell>
        </row>
        <row r="13">
          <cell r="D13">
            <v>498.83582489508672</v>
          </cell>
        </row>
        <row r="14">
          <cell r="D14">
            <v>67.516753116461658</v>
          </cell>
        </row>
        <row r="15">
          <cell r="D15">
            <v>68.389443319344906</v>
          </cell>
        </row>
        <row r="16">
          <cell r="D16">
            <v>123.75</v>
          </cell>
        </row>
        <row r="17">
          <cell r="D17">
            <v>26.596978441426781</v>
          </cell>
        </row>
        <row r="18">
          <cell r="D18">
            <v>12.39</v>
          </cell>
        </row>
        <row r="19">
          <cell r="D19">
            <v>137.95626538029487</v>
          </cell>
        </row>
        <row r="20">
          <cell r="D20">
            <v>429.34201408894114</v>
          </cell>
        </row>
        <row r="21">
          <cell r="D21">
            <v>1</v>
          </cell>
        </row>
        <row r="22">
          <cell r="D22">
            <v>15197.43411220764</v>
          </cell>
        </row>
        <row r="23">
          <cell r="D23">
            <v>0</v>
          </cell>
        </row>
        <row r="24">
          <cell r="D24">
            <v>0</v>
          </cell>
        </row>
        <row r="25">
          <cell r="D25">
            <v>0</v>
          </cell>
        </row>
        <row r="26">
          <cell r="D26">
            <v>0</v>
          </cell>
        </row>
        <row r="27">
          <cell r="D27">
            <v>0</v>
          </cell>
        </row>
        <row r="28">
          <cell r="D28">
            <v>0</v>
          </cell>
        </row>
        <row r="29">
          <cell r="D29">
            <v>0</v>
          </cell>
        </row>
        <row r="30">
          <cell r="D30">
            <v>0</v>
          </cell>
        </row>
        <row r="31">
          <cell r="D31">
            <v>0</v>
          </cell>
        </row>
        <row r="32">
          <cell r="D32">
            <v>0</v>
          </cell>
        </row>
        <row r="33">
          <cell r="D33">
            <v>0</v>
          </cell>
        </row>
        <row r="34">
          <cell r="D34">
            <v>0</v>
          </cell>
        </row>
        <row r="35">
          <cell r="D35">
            <v>0</v>
          </cell>
        </row>
        <row r="36">
          <cell r="D36">
            <v>0</v>
          </cell>
        </row>
        <row r="37">
          <cell r="D37">
            <v>0</v>
          </cell>
        </row>
        <row r="38">
          <cell r="D38">
            <v>0</v>
          </cell>
        </row>
        <row r="39">
          <cell r="D39">
            <v>0</v>
          </cell>
        </row>
        <row r="40">
          <cell r="D40">
            <v>0</v>
          </cell>
        </row>
        <row r="41">
          <cell r="D41">
            <v>0</v>
          </cell>
        </row>
        <row r="42">
          <cell r="D42">
            <v>0</v>
          </cell>
        </row>
        <row r="43">
          <cell r="D43">
            <v>0</v>
          </cell>
        </row>
        <row r="44">
          <cell r="D44">
            <v>0</v>
          </cell>
        </row>
        <row r="45">
          <cell r="D45">
            <v>0</v>
          </cell>
        </row>
        <row r="46">
          <cell r="D46">
            <v>0</v>
          </cell>
        </row>
        <row r="47">
          <cell r="D47">
            <v>0</v>
          </cell>
        </row>
        <row r="48">
          <cell r="D48">
            <v>0</v>
          </cell>
        </row>
        <row r="49">
          <cell r="D49">
            <v>0</v>
          </cell>
        </row>
        <row r="50">
          <cell r="D50">
            <v>0</v>
          </cell>
        </row>
        <row r="51">
          <cell r="D51">
            <v>0</v>
          </cell>
        </row>
        <row r="52">
          <cell r="D52">
            <v>0</v>
          </cell>
        </row>
        <row r="53">
          <cell r="D53">
            <v>0</v>
          </cell>
        </row>
        <row r="54">
          <cell r="D54">
            <v>0</v>
          </cell>
        </row>
        <row r="55">
          <cell r="D55">
            <v>0</v>
          </cell>
        </row>
        <row r="56">
          <cell r="D56">
            <v>0</v>
          </cell>
        </row>
        <row r="57">
          <cell r="D57">
            <v>0</v>
          </cell>
        </row>
        <row r="58">
          <cell r="D58">
            <v>0</v>
          </cell>
        </row>
        <row r="59">
          <cell r="D59">
            <v>0</v>
          </cell>
        </row>
        <row r="60">
          <cell r="D60">
            <v>0</v>
          </cell>
        </row>
        <row r="61">
          <cell r="D61">
            <v>0</v>
          </cell>
        </row>
        <row r="62">
          <cell r="D62">
            <v>0</v>
          </cell>
        </row>
        <row r="63">
          <cell r="D63">
            <v>0</v>
          </cell>
        </row>
        <row r="64">
          <cell r="D64">
            <v>0</v>
          </cell>
        </row>
        <row r="65">
          <cell r="D65">
            <v>0</v>
          </cell>
        </row>
        <row r="66">
          <cell r="D66">
            <v>0</v>
          </cell>
        </row>
        <row r="67">
          <cell r="D67">
            <v>0</v>
          </cell>
        </row>
        <row r="68">
          <cell r="D68">
            <v>0</v>
          </cell>
        </row>
        <row r="69">
          <cell r="D69">
            <v>0</v>
          </cell>
        </row>
        <row r="70">
          <cell r="D70"/>
        </row>
        <row r="71">
          <cell r="D71"/>
        </row>
        <row r="72">
          <cell r="D72"/>
        </row>
        <row r="73">
          <cell r="D73"/>
        </row>
        <row r="74">
          <cell r="D74"/>
        </row>
        <row r="78">
          <cell r="F78">
            <v>10000</v>
          </cell>
        </row>
        <row r="79">
          <cell r="F79">
            <v>22600</v>
          </cell>
        </row>
        <row r="80">
          <cell r="F80">
            <v>30000</v>
          </cell>
        </row>
        <row r="82">
          <cell r="F82">
            <v>35494</v>
          </cell>
        </row>
      </sheetData>
      <sheetData sheetId="46">
        <row r="84">
          <cell r="H84">
            <v>35494</v>
          </cell>
        </row>
      </sheetData>
      <sheetData sheetId="47"/>
      <sheetData sheetId="48"/>
      <sheetData sheetId="49"/>
      <sheetData sheetId="50"/>
      <sheetData sheetId="51"/>
      <sheetData sheetId="52"/>
      <sheetData sheetId="53"/>
      <sheetData sheetId="5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35.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73"/>
  <sheetViews>
    <sheetView workbookViewId="0">
      <selection sqref="A1:F1"/>
    </sheetView>
  </sheetViews>
  <sheetFormatPr defaultRowHeight="12.75"/>
  <cols>
    <col min="1" max="1" width="4.7109375" customWidth="1"/>
    <col min="2" max="2" width="40" customWidth="1"/>
    <col min="3" max="3" width="4.140625" customWidth="1"/>
    <col min="4" max="4" width="8.28515625" customWidth="1"/>
    <col min="5" max="5" width="11.7109375" customWidth="1"/>
    <col min="6" max="6" width="13.7109375" customWidth="1"/>
  </cols>
  <sheetData>
    <row r="1" spans="1:8">
      <c r="A1" s="2866" t="s">
        <v>1056</v>
      </c>
      <c r="B1" s="2866"/>
      <c r="C1" s="2866"/>
      <c r="D1" s="2866"/>
      <c r="E1" s="2866"/>
      <c r="F1" s="2866"/>
      <c r="G1" s="1"/>
      <c r="H1" s="1"/>
    </row>
    <row r="2" spans="1:8">
      <c r="A2" s="2867" t="s">
        <v>981</v>
      </c>
      <c r="B2" s="2867"/>
      <c r="C2" s="2867"/>
      <c r="D2" s="2867"/>
      <c r="E2" s="2867"/>
      <c r="F2" s="2867"/>
      <c r="G2" s="3"/>
      <c r="H2" s="3"/>
    </row>
    <row r="3" spans="1:8" ht="15.75">
      <c r="A3" s="2868" t="s">
        <v>700</v>
      </c>
      <c r="B3" s="2868"/>
      <c r="C3" s="2868"/>
      <c r="D3" s="2868"/>
      <c r="E3" s="2868"/>
      <c r="F3" s="2868"/>
      <c r="G3" s="3"/>
      <c r="H3" s="3"/>
    </row>
    <row r="4" spans="1:8" ht="16.5">
      <c r="A4" s="2869" t="s">
        <v>982</v>
      </c>
      <c r="B4" s="2869"/>
      <c r="C4" s="2869"/>
      <c r="D4" s="2869"/>
      <c r="E4" s="2869"/>
      <c r="F4" s="2869"/>
      <c r="G4" s="4"/>
      <c r="H4" s="4"/>
    </row>
    <row r="5" spans="1:8" ht="16.5">
      <c r="A5" s="189"/>
      <c r="B5" s="189"/>
      <c r="C5" s="189"/>
      <c r="D5" s="189"/>
      <c r="E5" s="189"/>
      <c r="F5" s="189"/>
      <c r="G5" s="4"/>
      <c r="H5" s="4"/>
    </row>
    <row r="6" spans="1:8" ht="25.5">
      <c r="A6" s="2865" t="s">
        <v>699</v>
      </c>
      <c r="B6" s="2865"/>
      <c r="C6" s="2865"/>
      <c r="D6" s="2865"/>
      <c r="E6" s="2865"/>
      <c r="F6" s="2865"/>
      <c r="G6" s="1"/>
      <c r="H6" s="1"/>
    </row>
    <row r="7" spans="1:8" ht="15">
      <c r="A7" s="203" t="s">
        <v>5</v>
      </c>
      <c r="G7" s="1"/>
    </row>
    <row r="8" spans="1:8" ht="15">
      <c r="A8" s="203" t="s">
        <v>6</v>
      </c>
      <c r="B8" s="285" t="s">
        <v>2845</v>
      </c>
      <c r="G8" s="1"/>
    </row>
    <row r="10" spans="1:8" ht="25.5" customHeight="1">
      <c r="A10" s="466" t="s">
        <v>961</v>
      </c>
      <c r="B10" s="466" t="s">
        <v>962</v>
      </c>
      <c r="C10" s="466" t="s">
        <v>1087</v>
      </c>
      <c r="D10" s="466" t="s">
        <v>1227</v>
      </c>
      <c r="E10" s="466"/>
      <c r="F10" s="5" t="s">
        <v>1037</v>
      </c>
    </row>
    <row r="11" spans="1:8">
      <c r="A11" s="467"/>
      <c r="B11" s="467"/>
      <c r="C11" s="467"/>
      <c r="D11" s="467"/>
      <c r="E11" s="467"/>
      <c r="F11" s="5" t="s">
        <v>687</v>
      </c>
    </row>
    <row r="12" spans="1:8">
      <c r="A12" s="207">
        <v>1</v>
      </c>
      <c r="B12" s="192" t="s">
        <v>524</v>
      </c>
      <c r="C12" s="193">
        <v>1</v>
      </c>
      <c r="D12" s="193" t="s">
        <v>525</v>
      </c>
      <c r="E12" s="194">
        <v>100000</v>
      </c>
      <c r="F12" s="194">
        <f>E12*C12</f>
        <v>100000</v>
      </c>
    </row>
    <row r="13" spans="1:8" ht="15" customHeight="1">
      <c r="A13" s="207">
        <v>2</v>
      </c>
      <c r="B13" s="208" t="s">
        <v>685</v>
      </c>
      <c r="C13" s="209">
        <v>1</v>
      </c>
      <c r="D13" s="197" t="s">
        <v>1154</v>
      </c>
      <c r="E13" s="210">
        <f>COST_ALL!$G$213</f>
        <v>493305.60000000003</v>
      </c>
      <c r="F13" s="210">
        <f t="shared" ref="F13:F28" si="0">E13*C13</f>
        <v>493305.60000000003</v>
      </c>
    </row>
    <row r="14" spans="1:8" ht="15" customHeight="1">
      <c r="A14" s="207">
        <v>3</v>
      </c>
      <c r="B14" s="196" t="s">
        <v>736</v>
      </c>
      <c r="C14" s="197">
        <v>1</v>
      </c>
      <c r="D14" s="197" t="s">
        <v>1087</v>
      </c>
      <c r="E14" s="198" t="s">
        <v>1129</v>
      </c>
      <c r="F14" s="198" t="s">
        <v>1130</v>
      </c>
    </row>
    <row r="15" spans="1:8" ht="15" customHeight="1">
      <c r="A15" s="207">
        <v>4</v>
      </c>
      <c r="B15" s="196" t="s">
        <v>1106</v>
      </c>
      <c r="C15" s="197">
        <v>1</v>
      </c>
      <c r="D15" s="197" t="s">
        <v>1087</v>
      </c>
      <c r="E15" s="198">
        <f>COST_ALL!G45</f>
        <v>2384849.5</v>
      </c>
      <c r="F15" s="198">
        <f t="shared" si="0"/>
        <v>2384849.5</v>
      </c>
    </row>
    <row r="16" spans="1:8" ht="15" customHeight="1">
      <c r="A16" s="207">
        <v>5</v>
      </c>
      <c r="B16" s="196" t="s">
        <v>1050</v>
      </c>
      <c r="C16" s="197">
        <v>1</v>
      </c>
      <c r="D16" s="197" t="s">
        <v>1087</v>
      </c>
      <c r="E16" s="198">
        <f>COST_ALL!G97</f>
        <v>3462456.35</v>
      </c>
      <c r="F16" s="198">
        <f t="shared" si="0"/>
        <v>3462456.35</v>
      </c>
    </row>
    <row r="17" spans="1:6" ht="15" customHeight="1">
      <c r="A17" s="207">
        <v>6</v>
      </c>
      <c r="B17" s="196" t="s">
        <v>1228</v>
      </c>
      <c r="C17" s="197">
        <v>1</v>
      </c>
      <c r="D17" s="197" t="s">
        <v>1087</v>
      </c>
      <c r="E17" s="198">
        <f>COST_ALL!G160</f>
        <v>10288656.300000001</v>
      </c>
      <c r="F17" s="198">
        <f t="shared" si="0"/>
        <v>10288656.300000001</v>
      </c>
    </row>
    <row r="18" spans="1:6" ht="15" customHeight="1">
      <c r="A18" s="207">
        <v>7</v>
      </c>
      <c r="B18" s="196" t="s">
        <v>1229</v>
      </c>
      <c r="C18" s="197">
        <v>1</v>
      </c>
      <c r="D18" s="197" t="s">
        <v>1087</v>
      </c>
      <c r="E18" s="198">
        <f>COST_ALL!G179</f>
        <v>24637.46</v>
      </c>
      <c r="F18" s="198">
        <f t="shared" si="0"/>
        <v>24637.46</v>
      </c>
    </row>
    <row r="19" spans="1:6" ht="15" customHeight="1">
      <c r="A19" s="207">
        <v>8</v>
      </c>
      <c r="B19" s="196" t="s">
        <v>1232</v>
      </c>
      <c r="C19" s="197">
        <v>1</v>
      </c>
      <c r="D19" s="197" t="s">
        <v>1087</v>
      </c>
      <c r="E19" s="198">
        <f>COST_ALL!G196</f>
        <v>80287.86</v>
      </c>
      <c r="F19" s="198">
        <f t="shared" si="0"/>
        <v>80287.86</v>
      </c>
    </row>
    <row r="20" spans="1:6" ht="15" customHeight="1">
      <c r="A20" s="207">
        <v>9</v>
      </c>
      <c r="B20" s="196" t="s">
        <v>1230</v>
      </c>
      <c r="C20" s="197">
        <v>1</v>
      </c>
      <c r="D20" s="197" t="s">
        <v>1154</v>
      </c>
      <c r="E20" s="198">
        <f>COST_ALL!G426</f>
        <v>3775975.56</v>
      </c>
      <c r="F20" s="198">
        <f t="shared" si="0"/>
        <v>3775975.56</v>
      </c>
    </row>
    <row r="21" spans="1:6" ht="15" customHeight="1">
      <c r="A21" s="207">
        <v>10</v>
      </c>
      <c r="B21" s="196" t="s">
        <v>1231</v>
      </c>
      <c r="C21" s="197">
        <v>1</v>
      </c>
      <c r="D21" s="197" t="s">
        <v>1154</v>
      </c>
      <c r="E21" s="198">
        <v>27334</v>
      </c>
      <c r="F21" s="198">
        <f t="shared" si="0"/>
        <v>27334</v>
      </c>
    </row>
    <row r="22" spans="1:6" ht="15" customHeight="1">
      <c r="A22" s="207">
        <v>8</v>
      </c>
      <c r="B22" s="196" t="s">
        <v>897</v>
      </c>
      <c r="C22" s="197">
        <v>1</v>
      </c>
      <c r="D22" s="197" t="s">
        <v>1087</v>
      </c>
      <c r="E22" s="198">
        <v>70000</v>
      </c>
      <c r="F22" s="198">
        <f>E22*C22</f>
        <v>70000</v>
      </c>
    </row>
    <row r="23" spans="1:6" ht="15" customHeight="1">
      <c r="A23" s="207">
        <v>11</v>
      </c>
      <c r="B23" s="196" t="s">
        <v>701</v>
      </c>
      <c r="C23" s="197"/>
      <c r="D23" s="197"/>
      <c r="E23" s="198"/>
      <c r="F23" s="198"/>
    </row>
    <row r="24" spans="1:6" ht="15" customHeight="1">
      <c r="A24" s="195"/>
      <c r="B24" s="196" t="s">
        <v>702</v>
      </c>
      <c r="C24" s="197">
        <v>1</v>
      </c>
      <c r="D24" s="197" t="s">
        <v>1154</v>
      </c>
      <c r="E24" s="198">
        <f>COST_ALL!G233</f>
        <v>3067323</v>
      </c>
      <c r="F24" s="198">
        <f t="shared" si="0"/>
        <v>3067323</v>
      </c>
    </row>
    <row r="25" spans="1:6" ht="15" customHeight="1">
      <c r="A25" s="195">
        <v>13</v>
      </c>
      <c r="B25" s="196" t="s">
        <v>895</v>
      </c>
      <c r="C25" s="197">
        <v>1</v>
      </c>
      <c r="D25" s="197" t="s">
        <v>1087</v>
      </c>
      <c r="E25" s="198">
        <f>COST_ALL!G297</f>
        <v>1251857.8800000001</v>
      </c>
      <c r="F25" s="198">
        <f>E25*C25</f>
        <v>1251857.8800000001</v>
      </c>
    </row>
    <row r="26" spans="1:6" ht="15" customHeight="1">
      <c r="A26" s="195">
        <v>12</v>
      </c>
      <c r="B26" s="196" t="s">
        <v>527</v>
      </c>
      <c r="C26" s="197">
        <v>1</v>
      </c>
      <c r="D26" s="197" t="s">
        <v>1087</v>
      </c>
      <c r="E26" s="198">
        <v>500000</v>
      </c>
      <c r="F26" s="198" t="s">
        <v>1130</v>
      </c>
    </row>
    <row r="27" spans="1:6" ht="15" customHeight="1">
      <c r="A27" s="195">
        <v>13</v>
      </c>
      <c r="B27" s="196" t="s">
        <v>686</v>
      </c>
      <c r="C27" s="197">
        <v>1</v>
      </c>
      <c r="D27" s="197" t="s">
        <v>1154</v>
      </c>
      <c r="E27" s="198">
        <f>COST_ALL!G357</f>
        <v>4519468.58</v>
      </c>
      <c r="F27" s="198">
        <f t="shared" si="0"/>
        <v>4519468.58</v>
      </c>
    </row>
    <row r="28" spans="1:6" ht="15" customHeight="1">
      <c r="A28" s="195">
        <v>14</v>
      </c>
      <c r="B28" s="196" t="s">
        <v>896</v>
      </c>
      <c r="C28" s="197">
        <v>1</v>
      </c>
      <c r="D28" s="197" t="s">
        <v>703</v>
      </c>
      <c r="E28" s="198">
        <v>94350</v>
      </c>
      <c r="F28" s="198">
        <f t="shared" si="0"/>
        <v>94350</v>
      </c>
    </row>
    <row r="29" spans="1:6" ht="15" customHeight="1">
      <c r="A29" s="7"/>
      <c r="B29" s="199" t="s">
        <v>1111</v>
      </c>
      <c r="C29" s="197"/>
      <c r="D29" s="197"/>
      <c r="E29" s="198"/>
      <c r="F29" s="468">
        <f>ROUND(SUM(F12:F28),2)</f>
        <v>29640502.09</v>
      </c>
    </row>
    <row r="30" spans="1:6" ht="15" customHeight="1">
      <c r="A30" s="7"/>
      <c r="B30" s="199" t="s">
        <v>688</v>
      </c>
      <c r="C30" s="197"/>
      <c r="D30" s="197"/>
      <c r="E30" s="198"/>
      <c r="F30" s="468">
        <f>ROUND((F29*0.025),2)</f>
        <v>741012.55</v>
      </c>
    </row>
    <row r="31" spans="1:6" ht="15" customHeight="1">
      <c r="A31" s="8"/>
      <c r="B31" s="200" t="s">
        <v>1233</v>
      </c>
      <c r="C31" s="201"/>
      <c r="D31" s="201"/>
      <c r="E31" s="202"/>
      <c r="F31" s="469">
        <f>ROUND(SUM(F29:F30),2)</f>
        <v>30381514.640000001</v>
      </c>
    </row>
    <row r="32" spans="1:6" ht="15" customHeight="1">
      <c r="B32" s="204"/>
      <c r="C32" s="205"/>
      <c r="D32" s="205"/>
      <c r="E32" s="205"/>
      <c r="F32" s="206"/>
    </row>
    <row r="33" spans="2:6" ht="15" customHeight="1"/>
    <row r="34" spans="2:6" ht="15" customHeight="1"/>
    <row r="35" spans="2:6" ht="15" customHeight="1">
      <c r="B35" s="204"/>
      <c r="C35" s="205"/>
      <c r="D35" s="205"/>
      <c r="E35" s="205"/>
      <c r="F35" s="206"/>
    </row>
    <row r="36" spans="2:6" ht="15" customHeight="1">
      <c r="B36" s="204"/>
      <c r="C36" s="205"/>
      <c r="D36" s="205"/>
      <c r="E36" s="205"/>
      <c r="F36" s="206"/>
    </row>
    <row r="37" spans="2:6" ht="15" customHeight="1">
      <c r="B37" s="204"/>
      <c r="C37" s="205"/>
      <c r="D37" s="205"/>
      <c r="E37" s="205"/>
      <c r="F37" s="206"/>
    </row>
    <row r="38" spans="2:6" ht="15" customHeight="1">
      <c r="B38" s="204"/>
      <c r="C38" s="205"/>
      <c r="D38" s="205"/>
      <c r="E38" s="205"/>
      <c r="F38" s="206"/>
    </row>
    <row r="39" spans="2:6" ht="15" customHeight="1">
      <c r="B39" s="204"/>
      <c r="C39" s="205"/>
      <c r="D39" s="205"/>
      <c r="E39" s="205"/>
      <c r="F39" s="206"/>
    </row>
    <row r="40" spans="2:6" ht="15" customHeight="1">
      <c r="B40" s="204"/>
      <c r="C40" s="205"/>
      <c r="D40" s="205"/>
      <c r="E40" s="205"/>
      <c r="F40" s="206"/>
    </row>
    <row r="41" spans="2:6" ht="15" customHeight="1">
      <c r="B41" s="204"/>
      <c r="C41" s="205"/>
      <c r="D41" s="205"/>
      <c r="E41" s="205"/>
      <c r="F41" s="206"/>
    </row>
    <row r="42" spans="2:6" ht="15" customHeight="1">
      <c r="B42" s="204"/>
      <c r="C42" s="205"/>
      <c r="D42" s="205"/>
      <c r="E42" s="205"/>
      <c r="F42" s="206"/>
    </row>
    <row r="43" spans="2:6" ht="15" customHeight="1">
      <c r="B43" s="204"/>
      <c r="C43" s="205"/>
      <c r="D43" s="205"/>
      <c r="E43" s="205"/>
      <c r="F43" s="206"/>
    </row>
    <row r="44" spans="2:6" ht="15" customHeight="1">
      <c r="B44" s="204"/>
      <c r="C44" s="205"/>
      <c r="D44" s="205"/>
      <c r="E44" s="205"/>
      <c r="F44" s="206"/>
    </row>
    <row r="45" spans="2:6" ht="15" customHeight="1">
      <c r="B45" s="204"/>
      <c r="C45" s="205"/>
      <c r="D45" s="205"/>
      <c r="E45" s="205"/>
      <c r="F45" s="206"/>
    </row>
    <row r="46" spans="2:6" ht="15" customHeight="1">
      <c r="B46" s="204"/>
      <c r="C46" s="205"/>
      <c r="D46" s="205"/>
      <c r="E46" s="205"/>
      <c r="F46" s="206"/>
    </row>
    <row r="47" spans="2:6" ht="15" customHeight="1">
      <c r="B47" s="204"/>
      <c r="C47" s="205"/>
      <c r="D47" s="205"/>
      <c r="E47" s="205"/>
      <c r="F47" s="206"/>
    </row>
    <row r="48" spans="2:6" ht="15" customHeight="1">
      <c r="B48" s="204"/>
      <c r="C48" s="205"/>
      <c r="D48" s="205"/>
      <c r="E48" s="205"/>
      <c r="F48" s="206"/>
    </row>
    <row r="49" spans="2:6" ht="15" customHeight="1">
      <c r="B49" s="204"/>
      <c r="C49" s="205"/>
      <c r="D49" s="205"/>
      <c r="E49" s="205"/>
      <c r="F49" s="206"/>
    </row>
    <row r="50" spans="2:6" ht="15" customHeight="1">
      <c r="B50" s="204"/>
      <c r="C50" s="205"/>
      <c r="D50" s="205"/>
      <c r="E50" s="205"/>
      <c r="F50" s="206"/>
    </row>
    <row r="51" spans="2:6" ht="15" customHeight="1">
      <c r="B51" s="204"/>
      <c r="C51" s="205"/>
      <c r="D51" s="205"/>
      <c r="E51" s="205"/>
      <c r="F51" s="206"/>
    </row>
    <row r="52" spans="2:6" ht="15" customHeight="1">
      <c r="B52" s="204"/>
      <c r="C52" s="205"/>
      <c r="D52" s="205"/>
      <c r="E52" s="205"/>
      <c r="F52" s="206"/>
    </row>
    <row r="53" spans="2:6" ht="15" customHeight="1">
      <c r="B53" s="204"/>
      <c r="C53" s="205"/>
      <c r="D53" s="205"/>
      <c r="E53" s="205"/>
      <c r="F53" s="206"/>
    </row>
    <row r="54" spans="2:6" ht="15" customHeight="1">
      <c r="B54" s="204"/>
      <c r="C54" s="205"/>
      <c r="D54" s="205"/>
      <c r="E54" s="205"/>
      <c r="F54" s="206"/>
    </row>
    <row r="55" spans="2:6" ht="15" customHeight="1">
      <c r="B55" s="204"/>
      <c r="C55" s="205"/>
      <c r="D55" s="205"/>
      <c r="E55" s="205"/>
      <c r="F55" s="206"/>
    </row>
    <row r="56" spans="2:6" ht="15" customHeight="1">
      <c r="B56" s="204"/>
      <c r="C56" s="205"/>
      <c r="D56" s="205"/>
      <c r="E56" s="205"/>
      <c r="F56" s="206"/>
    </row>
    <row r="69" spans="3:5">
      <c r="C69" s="190"/>
      <c r="D69" s="190"/>
      <c r="E69" s="190"/>
    </row>
    <row r="70" spans="3:5">
      <c r="C70" s="190"/>
      <c r="D70" s="190"/>
      <c r="E70" s="190"/>
    </row>
    <row r="273" ht="12.75" customHeight="1"/>
  </sheetData>
  <mergeCells count="5">
    <mergeCell ref="A6:F6"/>
    <mergeCell ref="A1:F1"/>
    <mergeCell ref="A2:F2"/>
    <mergeCell ref="A3:F3"/>
    <mergeCell ref="A4:F4"/>
  </mergeCells>
  <phoneticPr fontId="0" type="noConversion"/>
  <pageMargins left="0.94" right="0.75" top="1" bottom="1" header="0.5" footer="0.5"/>
  <pageSetup firstPageNumber="33" orientation="portrait" useFirstPageNumber="1" r:id="rId1"/>
  <headerFooter alignWithMargins="0">
    <oddFooter>&amp;C&amp;"Times New Roman,Regular"&amp;P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5"/>
  <sheetViews>
    <sheetView workbookViewId="0">
      <selection activeCell="H36" sqref="H36"/>
    </sheetView>
  </sheetViews>
  <sheetFormatPr defaultColWidth="8.85546875" defaultRowHeight="12.75"/>
  <cols>
    <col min="1" max="1" width="4.42578125" style="536" customWidth="1"/>
    <col min="2" max="2" width="41" style="536" customWidth="1"/>
    <col min="3" max="3" width="8.85546875" style="536" customWidth="1"/>
    <col min="4" max="4" width="14.28515625" style="536" customWidth="1"/>
    <col min="5" max="5" width="16.7109375" style="536" customWidth="1"/>
    <col min="6" max="6" width="15.42578125" style="536" customWidth="1"/>
    <col min="7" max="16384" width="8.85546875" style="536"/>
  </cols>
  <sheetData>
    <row r="1" spans="1:6" ht="23.25">
      <c r="A1" s="2870" t="s">
        <v>1249</v>
      </c>
      <c r="B1" s="2870"/>
      <c r="C1" s="2870"/>
      <c r="D1" s="2870"/>
      <c r="E1" s="2870"/>
      <c r="F1" s="535"/>
    </row>
    <row r="2" spans="1:6" ht="18.75">
      <c r="A2" s="537"/>
      <c r="B2" s="537"/>
      <c r="C2" s="537"/>
      <c r="D2" s="537"/>
      <c r="E2" s="537"/>
      <c r="F2" s="537"/>
    </row>
    <row r="3" spans="1:6" ht="18.75">
      <c r="A3" s="537"/>
      <c r="B3" s="538" t="s">
        <v>2857</v>
      </c>
      <c r="C3" s="537"/>
      <c r="D3" s="537"/>
      <c r="E3" s="537"/>
      <c r="F3" s="537"/>
    </row>
    <row r="4" spans="1:6" ht="15.75" customHeight="1">
      <c r="A4" s="539">
        <v>1</v>
      </c>
      <c r="B4" s="540" t="s">
        <v>1250</v>
      </c>
      <c r="C4" s="2871">
        <f>'Entry for Rates'!F4</f>
        <v>0</v>
      </c>
      <c r="D4" s="2872"/>
      <c r="E4" s="2873"/>
      <c r="F4" s="541"/>
    </row>
    <row r="5" spans="1:6" ht="15.75" customHeight="1">
      <c r="A5" s="542">
        <v>2</v>
      </c>
      <c r="B5" s="543" t="s">
        <v>1251</v>
      </c>
      <c r="C5" s="544"/>
      <c r="D5" s="545" t="s">
        <v>2854</v>
      </c>
      <c r="E5" s="545" t="s">
        <v>2854</v>
      </c>
      <c r="F5" s="546"/>
    </row>
    <row r="6" spans="1:6" ht="15">
      <c r="A6" s="542">
        <v>3</v>
      </c>
      <c r="B6" s="543" t="s">
        <v>2855</v>
      </c>
      <c r="C6" s="544"/>
      <c r="D6" s="545" t="s">
        <v>2856</v>
      </c>
      <c r="E6" s="545" t="s">
        <v>2856</v>
      </c>
      <c r="F6" s="546"/>
    </row>
    <row r="7" spans="1:6" ht="15">
      <c r="A7" s="542">
        <v>4</v>
      </c>
      <c r="B7" s="543" t="s">
        <v>1253</v>
      </c>
      <c r="C7" s="547"/>
      <c r="D7" s="548">
        <v>3</v>
      </c>
      <c r="E7" s="548">
        <v>4</v>
      </c>
      <c r="F7" s="546"/>
    </row>
    <row r="8" spans="1:6" ht="15">
      <c r="A8" s="542">
        <v>5</v>
      </c>
      <c r="B8" s="543" t="s">
        <v>1254</v>
      </c>
      <c r="C8" s="547"/>
      <c r="D8" s="549">
        <v>1</v>
      </c>
      <c r="E8" s="549">
        <v>1</v>
      </c>
      <c r="F8" s="550"/>
    </row>
    <row r="9" spans="1:6" ht="15.75">
      <c r="A9" s="551" t="s">
        <v>405</v>
      </c>
      <c r="B9" s="552" t="s">
        <v>1255</v>
      </c>
      <c r="C9" s="553" t="s">
        <v>1035</v>
      </c>
      <c r="D9" s="554" t="str">
        <f>'sum cost_All'!D3:F3</f>
        <v>Fedi (Sc-1)</v>
      </c>
      <c r="E9" s="554" t="s">
        <v>2928</v>
      </c>
      <c r="F9" s="555"/>
    </row>
    <row r="10" spans="1:6" ht="14.25">
      <c r="A10" s="556" t="s">
        <v>542</v>
      </c>
      <c r="B10" s="557" t="s">
        <v>2858</v>
      </c>
      <c r="C10" s="558"/>
      <c r="D10" s="559"/>
      <c r="E10" s="559"/>
      <c r="F10" s="560"/>
    </row>
    <row r="11" spans="1:6" ht="15" hidden="1">
      <c r="A11" s="542">
        <v>1</v>
      </c>
      <c r="B11" s="561" t="s">
        <v>1257</v>
      </c>
      <c r="C11" s="548" t="s">
        <v>1087</v>
      </c>
      <c r="D11" s="562">
        <v>133</v>
      </c>
      <c r="E11" s="562">
        <v>134</v>
      </c>
      <c r="F11" s="563"/>
    </row>
    <row r="12" spans="1:6" ht="15" hidden="1">
      <c r="A12" s="542">
        <v>2</v>
      </c>
      <c r="B12" s="561" t="s">
        <v>1258</v>
      </c>
      <c r="C12" s="548" t="s">
        <v>1087</v>
      </c>
      <c r="D12" s="562">
        <v>857</v>
      </c>
      <c r="E12" s="562">
        <v>763</v>
      </c>
      <c r="F12" s="563"/>
    </row>
    <row r="13" spans="1:6" ht="15" hidden="1">
      <c r="A13" s="542">
        <v>3</v>
      </c>
      <c r="B13" s="561" t="s">
        <v>1259</v>
      </c>
      <c r="C13" s="548" t="s">
        <v>1087</v>
      </c>
      <c r="D13" s="562">
        <f>D11*(1+1.31/100)^2</f>
        <v>136.50742413000003</v>
      </c>
      <c r="E13" s="562">
        <f>E11*(1+1.31/100)^2</f>
        <v>137.53379574000002</v>
      </c>
      <c r="F13" s="563"/>
    </row>
    <row r="14" spans="1:6" ht="15" hidden="1">
      <c r="A14" s="542">
        <v>4</v>
      </c>
      <c r="B14" s="561" t="s">
        <v>1260</v>
      </c>
      <c r="C14" s="548" t="s">
        <v>1087</v>
      </c>
      <c r="D14" s="562">
        <v>898</v>
      </c>
      <c r="E14" s="562">
        <v>788</v>
      </c>
      <c r="F14" s="563"/>
    </row>
    <row r="15" spans="1:6" ht="15" hidden="1">
      <c r="A15" s="542">
        <v>5</v>
      </c>
      <c r="B15" s="561" t="s">
        <v>1261</v>
      </c>
      <c r="C15" s="548" t="s">
        <v>1087</v>
      </c>
      <c r="D15" s="562">
        <f>D11*(1+1.31/100)^22</f>
        <v>177.09348268723537</v>
      </c>
      <c r="E15" s="562">
        <f>E11*(1+1.31/100)^22</f>
        <v>178.42501263225216</v>
      </c>
      <c r="F15" s="563"/>
    </row>
    <row r="16" spans="1:6" ht="15" hidden="1">
      <c r="A16" s="542">
        <v>6</v>
      </c>
      <c r="B16" s="561" t="s">
        <v>1262</v>
      </c>
      <c r="C16" s="548" t="s">
        <v>1087</v>
      </c>
      <c r="D16" s="562">
        <v>1155</v>
      </c>
      <c r="E16" s="562">
        <v>1023</v>
      </c>
      <c r="F16" s="563"/>
    </row>
    <row r="17" spans="1:6" ht="15">
      <c r="A17" s="542">
        <v>1</v>
      </c>
      <c r="B17" s="543" t="s">
        <v>1263</v>
      </c>
      <c r="C17" s="548" t="s">
        <v>1264</v>
      </c>
      <c r="D17" s="564">
        <v>20</v>
      </c>
      <c r="E17" s="562">
        <v>20</v>
      </c>
      <c r="F17" s="563"/>
    </row>
    <row r="18" spans="1:6" ht="15">
      <c r="A18" s="542">
        <v>2</v>
      </c>
      <c r="B18" s="543" t="s">
        <v>1265</v>
      </c>
      <c r="C18" s="548" t="s">
        <v>546</v>
      </c>
      <c r="D18" s="565">
        <v>3.5</v>
      </c>
      <c r="E18" s="565">
        <v>3.5</v>
      </c>
      <c r="F18" s="566"/>
    </row>
    <row r="19" spans="1:6" ht="15">
      <c r="A19" s="556" t="s">
        <v>551</v>
      </c>
      <c r="B19" s="557" t="s">
        <v>1266</v>
      </c>
      <c r="C19" s="558"/>
      <c r="D19" s="559"/>
      <c r="E19" s="559"/>
      <c r="F19" s="567"/>
    </row>
    <row r="20" spans="1:6" ht="15">
      <c r="A20" s="542">
        <v>1</v>
      </c>
      <c r="B20" s="543" t="s">
        <v>1267</v>
      </c>
      <c r="C20" s="568"/>
      <c r="D20" s="564" t="s">
        <v>2859</v>
      </c>
      <c r="E20" s="564" t="s">
        <v>3053</v>
      </c>
      <c r="F20" s="569"/>
    </row>
    <row r="21" spans="1:6" ht="15">
      <c r="A21" s="542">
        <f>A20+1</f>
        <v>2</v>
      </c>
      <c r="B21" s="543" t="s">
        <v>1270</v>
      </c>
      <c r="C21" s="548" t="s">
        <v>1271</v>
      </c>
      <c r="D21" s="564" t="s">
        <v>253</v>
      </c>
      <c r="E21" s="564" t="s">
        <v>253</v>
      </c>
      <c r="F21" s="570"/>
    </row>
    <row r="22" spans="1:6" ht="15">
      <c r="A22" s="542">
        <f>A21+1</f>
        <v>3</v>
      </c>
      <c r="B22" s="543" t="s">
        <v>1272</v>
      </c>
      <c r="C22" s="548" t="s">
        <v>1273</v>
      </c>
      <c r="D22" s="571">
        <v>20</v>
      </c>
      <c r="E22" s="572">
        <v>12</v>
      </c>
      <c r="F22" s="573"/>
    </row>
    <row r="23" spans="1:6" ht="15" hidden="1">
      <c r="A23" s="542">
        <f>A22+1</f>
        <v>4</v>
      </c>
      <c r="B23" s="543" t="s">
        <v>1274</v>
      </c>
      <c r="C23" s="548" t="s">
        <v>386</v>
      </c>
      <c r="D23" s="572">
        <v>1</v>
      </c>
      <c r="E23" s="572">
        <v>1.02</v>
      </c>
      <c r="F23" s="573"/>
    </row>
    <row r="24" spans="1:6" ht="15">
      <c r="A24" s="542">
        <v>4</v>
      </c>
      <c r="B24" s="543" t="s">
        <v>1275</v>
      </c>
      <c r="C24" s="548"/>
      <c r="D24" s="564" t="s">
        <v>1276</v>
      </c>
      <c r="E24" s="564" t="s">
        <v>1276</v>
      </c>
      <c r="F24" s="570"/>
    </row>
    <row r="25" spans="1:6" ht="15" hidden="1">
      <c r="A25" s="556" t="s">
        <v>1277</v>
      </c>
      <c r="B25" s="557" t="s">
        <v>1278</v>
      </c>
      <c r="C25" s="558"/>
      <c r="D25" s="559"/>
      <c r="E25" s="559"/>
      <c r="F25" s="574"/>
    </row>
    <row r="26" spans="1:6" ht="15" hidden="1">
      <c r="A26" s="542">
        <v>1</v>
      </c>
      <c r="B26" s="543" t="s">
        <v>1279</v>
      </c>
      <c r="C26" s="548" t="s">
        <v>1280</v>
      </c>
      <c r="D26" s="575">
        <v>69300</v>
      </c>
      <c r="E26" s="575">
        <v>61380</v>
      </c>
      <c r="F26" s="567"/>
    </row>
    <row r="27" spans="1:6" ht="15" hidden="1">
      <c r="A27" s="542">
        <v>3</v>
      </c>
      <c r="B27" s="543" t="s">
        <v>1281</v>
      </c>
      <c r="C27" s="548" t="s">
        <v>1280</v>
      </c>
      <c r="D27" s="575">
        <v>4320</v>
      </c>
      <c r="E27" s="575">
        <v>2000</v>
      </c>
      <c r="F27" s="567"/>
    </row>
    <row r="28" spans="1:6" ht="15" hidden="1">
      <c r="A28" s="542">
        <v>4</v>
      </c>
      <c r="B28" s="543" t="s">
        <v>1282</v>
      </c>
      <c r="C28" s="548" t="s">
        <v>1283</v>
      </c>
      <c r="D28" s="576" t="s">
        <v>963</v>
      </c>
      <c r="E28" s="576" t="s">
        <v>963</v>
      </c>
      <c r="F28" s="577"/>
    </row>
    <row r="29" spans="1:6" ht="15" hidden="1">
      <c r="A29" s="542">
        <v>5</v>
      </c>
      <c r="B29" s="543" t="s">
        <v>1284</v>
      </c>
      <c r="C29" s="548" t="s">
        <v>1285</v>
      </c>
      <c r="D29" s="575">
        <f>D26+D27</f>
        <v>73620</v>
      </c>
      <c r="E29" s="575">
        <f>E26+E27</f>
        <v>63380</v>
      </c>
      <c r="F29" s="567"/>
    </row>
    <row r="30" spans="1:6" ht="15">
      <c r="A30" s="556" t="s">
        <v>1277</v>
      </c>
      <c r="B30" s="557" t="s">
        <v>1286</v>
      </c>
      <c r="C30" s="558"/>
      <c r="D30" s="559"/>
      <c r="E30" s="559"/>
      <c r="F30" s="578"/>
    </row>
    <row r="31" spans="1:6" ht="15">
      <c r="A31" s="542">
        <v>1</v>
      </c>
      <c r="B31" s="561" t="s">
        <v>1287</v>
      </c>
      <c r="C31" s="548" t="s">
        <v>386</v>
      </c>
      <c r="D31" s="579">
        <f>'pip-line'!F18/1000</f>
        <v>0.11</v>
      </c>
      <c r="E31" s="579">
        <f>'pip-line'!F19/1000</f>
        <v>0</v>
      </c>
      <c r="F31" s="580"/>
    </row>
    <row r="32" spans="1:6" ht="15">
      <c r="A32" s="542">
        <v>2</v>
      </c>
      <c r="B32" s="561" t="s">
        <v>1288</v>
      </c>
      <c r="C32" s="548" t="s">
        <v>386</v>
      </c>
      <c r="D32" s="579">
        <f>'pip-line'!F42/1000</f>
        <v>0</v>
      </c>
      <c r="E32" s="579">
        <f>'pip-line'!F41/1000</f>
        <v>2.1749999999999998</v>
      </c>
      <c r="F32" s="580"/>
    </row>
    <row r="33" spans="1:6" ht="15" hidden="1">
      <c r="A33" s="542">
        <v>3</v>
      </c>
      <c r="B33" s="561" t="s">
        <v>1289</v>
      </c>
      <c r="C33" s="548" t="s">
        <v>1087</v>
      </c>
      <c r="D33" s="579">
        <v>2</v>
      </c>
      <c r="E33" s="579">
        <v>1</v>
      </c>
      <c r="F33" s="580"/>
    </row>
    <row r="34" spans="1:6" ht="15" hidden="1">
      <c r="A34" s="542">
        <v>4</v>
      </c>
      <c r="B34" s="543" t="s">
        <v>1290</v>
      </c>
      <c r="C34" s="548" t="s">
        <v>1087</v>
      </c>
      <c r="D34" s="564">
        <f>D33+D13</f>
        <v>138.50742413000003</v>
      </c>
      <c r="E34" s="564">
        <f t="shared" ref="E34" si="0">E33+E13</f>
        <v>138.53379574000002</v>
      </c>
      <c r="F34" s="570"/>
    </row>
    <row r="35" spans="1:6" ht="15" hidden="1">
      <c r="A35" s="542">
        <v>5</v>
      </c>
      <c r="B35" s="561" t="s">
        <v>1291</v>
      </c>
      <c r="C35" s="548" t="s">
        <v>1292</v>
      </c>
      <c r="D35" s="562" t="s">
        <v>1293</v>
      </c>
      <c r="E35" s="562" t="s">
        <v>1294</v>
      </c>
      <c r="F35" s="563"/>
    </row>
    <row r="36" spans="1:6" ht="15">
      <c r="A36" s="542">
        <v>6</v>
      </c>
      <c r="B36" s="561" t="s">
        <v>1295</v>
      </c>
      <c r="C36" s="548" t="s">
        <v>1087</v>
      </c>
      <c r="D36" s="575">
        <f>SUM('sum cost_All'!E34:E36)</f>
        <v>12</v>
      </c>
      <c r="E36" s="575">
        <f>SUM('sum cost_All'!H34:H36)</f>
        <v>6</v>
      </c>
      <c r="F36" s="567"/>
    </row>
    <row r="37" spans="1:6" ht="15">
      <c r="A37" s="542">
        <v>7</v>
      </c>
      <c r="B37" s="543" t="s">
        <v>1296</v>
      </c>
      <c r="C37" s="548" t="s">
        <v>1087</v>
      </c>
      <c r="D37" s="581" t="s">
        <v>963</v>
      </c>
      <c r="E37" s="581" t="s">
        <v>963</v>
      </c>
      <c r="F37" s="582"/>
    </row>
    <row r="38" spans="1:6" ht="15">
      <c r="A38" s="542">
        <v>8</v>
      </c>
      <c r="B38" s="543" t="s">
        <v>1297</v>
      </c>
      <c r="C38" s="548" t="s">
        <v>1087</v>
      </c>
      <c r="D38" s="581" t="s">
        <v>963</v>
      </c>
      <c r="E38" s="581" t="s">
        <v>963</v>
      </c>
      <c r="F38" s="582"/>
    </row>
    <row r="39" spans="1:6" ht="14.25">
      <c r="A39" s="556" t="s">
        <v>1298</v>
      </c>
      <c r="B39" s="557" t="s">
        <v>1299</v>
      </c>
      <c r="C39" s="558"/>
      <c r="D39" s="559"/>
      <c r="E39" s="559"/>
      <c r="F39" s="583"/>
    </row>
    <row r="40" spans="1:6" ht="29.25" customHeight="1">
      <c r="A40" s="584">
        <v>1</v>
      </c>
      <c r="B40" s="585" t="s">
        <v>1300</v>
      </c>
      <c r="C40" s="548" t="s">
        <v>1301</v>
      </c>
      <c r="D40" s="586">
        <f>'sum cost_All'!F54</f>
        <v>39436766.478777573</v>
      </c>
      <c r="E40" s="586">
        <f>'sum cost_All'!I54</f>
        <v>20106828.16</v>
      </c>
      <c r="F40" s="587"/>
    </row>
    <row r="41" spans="1:6" ht="15" hidden="1">
      <c r="A41" s="584">
        <f>A40+1</f>
        <v>2</v>
      </c>
      <c r="B41" s="561" t="s">
        <v>1302</v>
      </c>
      <c r="C41" s="548" t="s">
        <v>1301</v>
      </c>
      <c r="D41" s="565">
        <f>D40/D14</f>
        <v>43916.221023137608</v>
      </c>
      <c r="E41" s="565">
        <f>E40/E14</f>
        <v>25516.279390862943</v>
      </c>
      <c r="F41" s="587"/>
    </row>
    <row r="42" spans="1:6" ht="15" hidden="1">
      <c r="A42" s="584">
        <f>A41+1</f>
        <v>3</v>
      </c>
      <c r="B42" s="561" t="s">
        <v>1303</v>
      </c>
      <c r="C42" s="548" t="s">
        <v>1301</v>
      </c>
      <c r="D42" s="586">
        <f>D40/D16</f>
        <v>34144.386561712185</v>
      </c>
      <c r="E42" s="586">
        <f>E40/E16</f>
        <v>19654.768484848486</v>
      </c>
      <c r="F42" s="587"/>
    </row>
    <row r="43" spans="1:6" ht="15">
      <c r="A43" s="584">
        <v>2</v>
      </c>
      <c r="B43" s="561" t="s">
        <v>1304</v>
      </c>
      <c r="C43" s="548" t="s">
        <v>1301</v>
      </c>
      <c r="D43" s="586">
        <f>D40*10%</f>
        <v>3943676.6478777574</v>
      </c>
      <c r="E43" s="586">
        <v>4011500.32</v>
      </c>
      <c r="F43" s="587"/>
    </row>
    <row r="44" spans="1:6" ht="15">
      <c r="A44" s="589">
        <v>3</v>
      </c>
      <c r="B44" s="2294" t="s">
        <v>1305</v>
      </c>
      <c r="C44" s="2295" t="s">
        <v>546</v>
      </c>
      <c r="D44" s="2296">
        <v>0.1</v>
      </c>
      <c r="E44" s="2297">
        <v>10.5</v>
      </c>
      <c r="F44" s="588"/>
    </row>
    <row r="45" spans="1:6" ht="15" hidden="1">
      <c r="A45" s="2290">
        <f>A44+1</f>
        <v>4</v>
      </c>
      <c r="B45" s="2291" t="s">
        <v>1306</v>
      </c>
      <c r="C45" s="2292" t="s">
        <v>1087</v>
      </c>
      <c r="D45" s="2293"/>
      <c r="E45" s="2293"/>
      <c r="F45" s="573"/>
    </row>
  </sheetData>
  <mergeCells count="2">
    <mergeCell ref="A1:E1"/>
    <mergeCell ref="C4:E4"/>
  </mergeCells>
  <printOptions horizontalCentered="1"/>
  <pageMargins left="0.25" right="0.25" top="0.75" bottom="0.75" header="0.3" footer="0.3"/>
  <pageSetup paperSize="9" scale="87" orientation="portrait" horizontalDpi="4294967293" verticalDpi="4294967293" r:id="rId1"/>
  <headerFooter alignWithMargins="0">
    <oddFooter>&amp;C&amp;"Times New Roman,Regular"III</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63"/>
  <sheetViews>
    <sheetView workbookViewId="0">
      <selection activeCell="N15" sqref="N15"/>
    </sheetView>
  </sheetViews>
  <sheetFormatPr defaultColWidth="10.5703125" defaultRowHeight="12.75"/>
  <cols>
    <col min="1" max="1" width="3.28515625" style="536" customWidth="1"/>
    <col min="2" max="2" width="40.7109375" style="536" customWidth="1"/>
    <col min="3" max="3" width="5.7109375" style="536" customWidth="1"/>
    <col min="4" max="4" width="13.7109375" style="536" customWidth="1"/>
    <col min="5" max="5" width="7.85546875" style="536" customWidth="1"/>
    <col min="6" max="6" width="16.5703125" style="536" bestFit="1" customWidth="1"/>
    <col min="7" max="7" width="14.7109375" style="536" customWidth="1"/>
    <col min="8" max="8" width="7.28515625" style="536" customWidth="1"/>
    <col min="9" max="9" width="16.28515625" style="536" bestFit="1" customWidth="1"/>
    <col min="10" max="10" width="9.140625" style="536" customWidth="1"/>
    <col min="11" max="11" width="17.28515625" style="569" customWidth="1"/>
    <col min="12" max="16384" width="10.5703125" style="536"/>
  </cols>
  <sheetData>
    <row r="1" spans="1:11" ht="26.25">
      <c r="A1" s="2874" t="s">
        <v>1307</v>
      </c>
      <c r="B1" s="2874"/>
      <c r="C1" s="2874"/>
      <c r="D1" s="2874"/>
      <c r="E1" s="2874"/>
      <c r="F1" s="2874"/>
      <c r="G1" s="2874"/>
      <c r="H1" s="2874"/>
      <c r="I1" s="2874"/>
      <c r="J1" s="2874"/>
      <c r="K1" s="2874"/>
    </row>
    <row r="2" spans="1:11" ht="18.75" customHeight="1" thickBot="1">
      <c r="A2" s="590"/>
      <c r="B2" s="591" t="s">
        <v>2923</v>
      </c>
      <c r="C2" s="592"/>
      <c r="D2" s="592"/>
      <c r="E2" s="592"/>
      <c r="F2" s="592"/>
      <c r="G2" s="592"/>
      <c r="H2" s="592"/>
      <c r="I2" s="592"/>
      <c r="J2" s="592"/>
      <c r="K2" s="593"/>
    </row>
    <row r="3" spans="1:11" ht="15.75">
      <c r="A3" s="2877" t="s">
        <v>405</v>
      </c>
      <c r="B3" s="2879" t="s">
        <v>1308</v>
      </c>
      <c r="C3" s="2881" t="s">
        <v>1035</v>
      </c>
      <c r="D3" s="2875" t="s">
        <v>2927</v>
      </c>
      <c r="E3" s="2883"/>
      <c r="F3" s="2876"/>
      <c r="G3" s="2875" t="s">
        <v>2928</v>
      </c>
      <c r="H3" s="2883"/>
      <c r="I3" s="2876"/>
      <c r="J3" s="2875" t="s">
        <v>1108</v>
      </c>
      <c r="K3" s="2876"/>
    </row>
    <row r="4" spans="1:11" ht="12.75" customHeight="1" thickBot="1">
      <c r="A4" s="2878"/>
      <c r="B4" s="2880"/>
      <c r="C4" s="2882"/>
      <c r="D4" s="594" t="s">
        <v>1309</v>
      </c>
      <c r="E4" s="2048" t="s">
        <v>1310</v>
      </c>
      <c r="F4" s="2049" t="s">
        <v>52</v>
      </c>
      <c r="G4" s="594" t="s">
        <v>1309</v>
      </c>
      <c r="H4" s="2048" t="s">
        <v>1310</v>
      </c>
      <c r="I4" s="2049" t="s">
        <v>52</v>
      </c>
      <c r="J4" s="2050" t="s">
        <v>1310</v>
      </c>
      <c r="K4" s="2049" t="s">
        <v>52</v>
      </c>
    </row>
    <row r="5" spans="1:11">
      <c r="A5" s="2051" t="s">
        <v>710</v>
      </c>
      <c r="B5" s="2052" t="s">
        <v>1311</v>
      </c>
      <c r="C5" s="2053"/>
      <c r="D5" s="2054"/>
      <c r="E5" s="2055"/>
      <c r="F5" s="2056"/>
      <c r="G5" s="2054"/>
      <c r="H5" s="2055"/>
      <c r="I5" s="2056"/>
      <c r="J5" s="2057"/>
      <c r="K5" s="2056"/>
    </row>
    <row r="6" spans="1:11">
      <c r="A6" s="597"/>
      <c r="B6" s="598" t="s">
        <v>1312</v>
      </c>
      <c r="C6" s="599"/>
      <c r="D6" s="600"/>
      <c r="E6" s="601"/>
      <c r="F6" s="602"/>
      <c r="G6" s="600"/>
      <c r="H6" s="601"/>
      <c r="I6" s="602"/>
      <c r="J6" s="597"/>
      <c r="K6" s="602"/>
    </row>
    <row r="7" spans="1:11">
      <c r="A7" s="597">
        <v>1</v>
      </c>
      <c r="B7" s="598" t="s">
        <v>1313</v>
      </c>
      <c r="C7" s="603" t="s">
        <v>973</v>
      </c>
      <c r="D7" s="600"/>
      <c r="E7" s="604"/>
      <c r="F7" s="605"/>
      <c r="G7" s="600"/>
      <c r="H7" s="604"/>
      <c r="I7" s="606"/>
      <c r="J7" s="607">
        <v>1</v>
      </c>
      <c r="K7" s="605">
        <v>25000</v>
      </c>
    </row>
    <row r="8" spans="1:11">
      <c r="A8" s="597">
        <v>2</v>
      </c>
      <c r="B8" s="598" t="s">
        <v>1314</v>
      </c>
      <c r="C8" s="603" t="s">
        <v>973</v>
      </c>
      <c r="D8" s="600"/>
      <c r="E8" s="604"/>
      <c r="F8" s="605"/>
      <c r="G8" s="600"/>
      <c r="H8" s="604"/>
      <c r="I8" s="606"/>
      <c r="J8" s="607">
        <v>1</v>
      </c>
      <c r="K8" s="605">
        <v>14000</v>
      </c>
    </row>
    <row r="9" spans="1:11">
      <c r="A9" s="597">
        <v>3</v>
      </c>
      <c r="B9" s="598" t="s">
        <v>1315</v>
      </c>
      <c r="C9" s="603" t="s">
        <v>973</v>
      </c>
      <c r="D9" s="600"/>
      <c r="E9" s="604"/>
      <c r="F9" s="605"/>
      <c r="G9" s="600"/>
      <c r="H9" s="604"/>
      <c r="I9" s="606"/>
      <c r="J9" s="607">
        <v>1</v>
      </c>
      <c r="K9" s="605">
        <v>15000</v>
      </c>
    </row>
    <row r="10" spans="1:11">
      <c r="A10" s="597">
        <v>4</v>
      </c>
      <c r="B10" s="598" t="s">
        <v>1316</v>
      </c>
      <c r="C10" s="603" t="s">
        <v>973</v>
      </c>
      <c r="D10" s="600"/>
      <c r="E10" s="604"/>
      <c r="F10" s="605"/>
      <c r="G10" s="600"/>
      <c r="H10" s="604"/>
      <c r="I10" s="606"/>
      <c r="J10" s="607">
        <v>1</v>
      </c>
      <c r="K10" s="605">
        <v>15000</v>
      </c>
    </row>
    <row r="11" spans="1:11">
      <c r="A11" s="597">
        <v>5</v>
      </c>
      <c r="B11" s="598" t="s">
        <v>1317</v>
      </c>
      <c r="C11" s="603" t="s">
        <v>973</v>
      </c>
      <c r="D11" s="600"/>
      <c r="E11" s="604"/>
      <c r="F11" s="605"/>
      <c r="G11" s="600"/>
      <c r="H11" s="604"/>
      <c r="I11" s="606"/>
      <c r="J11" s="607">
        <v>1</v>
      </c>
      <c r="K11" s="605">
        <v>10000</v>
      </c>
    </row>
    <row r="12" spans="1:11" s="615" customFormat="1" ht="13.5" thickBot="1">
      <c r="A12" s="2058"/>
      <c r="B12" s="2059" t="s">
        <v>1318</v>
      </c>
      <c r="C12" s="2060"/>
      <c r="D12" s="2061"/>
      <c r="E12" s="2062"/>
      <c r="F12" s="2063"/>
      <c r="G12" s="2061"/>
      <c r="H12" s="2062"/>
      <c r="I12" s="2063"/>
      <c r="J12" s="2064"/>
      <c r="K12" s="2063">
        <f>SUM(K7:K11)</f>
        <v>79000</v>
      </c>
    </row>
    <row r="13" spans="1:11">
      <c r="A13" s="2051" t="s">
        <v>712</v>
      </c>
      <c r="B13" s="2052" t="s">
        <v>1319</v>
      </c>
      <c r="C13" s="2053"/>
      <c r="D13" s="2072"/>
      <c r="E13" s="2073"/>
      <c r="F13" s="2074"/>
      <c r="G13" s="2072"/>
      <c r="H13" s="2073"/>
      <c r="I13" s="2074"/>
      <c r="J13" s="2075"/>
      <c r="K13" s="2074"/>
    </row>
    <row r="14" spans="1:11">
      <c r="A14" s="620" t="s">
        <v>1320</v>
      </c>
      <c r="B14" s="598" t="s">
        <v>1321</v>
      </c>
      <c r="C14" s="599"/>
      <c r="D14" s="600"/>
      <c r="E14" s="621"/>
      <c r="F14" s="622"/>
      <c r="G14" s="600"/>
      <c r="H14" s="621"/>
      <c r="I14" s="622"/>
      <c r="J14" s="607"/>
      <c r="K14" s="622"/>
    </row>
    <row r="15" spans="1:11">
      <c r="A15" s="597">
        <v>1</v>
      </c>
      <c r="B15" s="598" t="s">
        <v>1322</v>
      </c>
      <c r="C15" s="623" t="s">
        <v>546</v>
      </c>
      <c r="D15" s="600">
        <v>150000</v>
      </c>
      <c r="E15" s="604">
        <v>0</v>
      </c>
      <c r="F15" s="605">
        <f>D15*E15</f>
        <v>0</v>
      </c>
      <c r="G15" s="600">
        <f>'[59]sum cost_All'!D16</f>
        <v>150000</v>
      </c>
      <c r="H15" s="604">
        <v>0</v>
      </c>
      <c r="I15" s="605">
        <f t="shared" ref="I15:I27" si="0">H15*G15</f>
        <v>0</v>
      </c>
      <c r="J15" s="607">
        <f t="shared" ref="J15:K17" si="1">E15+H15</f>
        <v>0</v>
      </c>
      <c r="K15" s="605">
        <f t="shared" si="1"/>
        <v>0</v>
      </c>
    </row>
    <row r="16" spans="1:11">
      <c r="A16" s="597">
        <f>A15+1</f>
        <v>2</v>
      </c>
      <c r="B16" s="598" t="s">
        <v>1323</v>
      </c>
      <c r="C16" s="603" t="s">
        <v>973</v>
      </c>
      <c r="D16" s="600">
        <f>Cost_In_1!F30</f>
        <v>1665211.52</v>
      </c>
      <c r="E16" s="604">
        <f>FittingsSummary!P6</f>
        <v>1</v>
      </c>
      <c r="F16" s="605">
        <f>E16*D16</f>
        <v>1665211.52</v>
      </c>
      <c r="G16" s="600">
        <f>int!J64</f>
        <v>264382.24670000002</v>
      </c>
      <c r="H16" s="604">
        <v>1</v>
      </c>
      <c r="I16" s="605">
        <f t="shared" si="0"/>
        <v>264382.24670000002</v>
      </c>
      <c r="J16" s="607">
        <f t="shared" si="1"/>
        <v>2</v>
      </c>
      <c r="K16" s="605">
        <f>F16+I16</f>
        <v>1929593.7667</v>
      </c>
    </row>
    <row r="17" spans="1:11">
      <c r="A17" s="597">
        <v>3</v>
      </c>
      <c r="B17" s="598" t="s">
        <v>1324</v>
      </c>
      <c r="C17" s="603" t="s">
        <v>973</v>
      </c>
      <c r="D17" s="600">
        <f>'CC-DC'!J52</f>
        <v>237257.55720000004</v>
      </c>
      <c r="E17" s="604">
        <v>1</v>
      </c>
      <c r="F17" s="605">
        <f t="shared" ref="F17:F40" si="2">D17*E17</f>
        <v>237257.55720000004</v>
      </c>
      <c r="G17" s="600">
        <f>'[59]sum cost_All'!D18</f>
        <v>155943.49</v>
      </c>
      <c r="H17" s="604">
        <v>1</v>
      </c>
      <c r="I17" s="605">
        <f t="shared" si="0"/>
        <v>155943.49</v>
      </c>
      <c r="J17" s="607">
        <f t="shared" si="1"/>
        <v>2</v>
      </c>
      <c r="K17" s="605">
        <f t="shared" si="1"/>
        <v>393201.04720000003</v>
      </c>
    </row>
    <row r="18" spans="1:11">
      <c r="A18" s="597">
        <v>4</v>
      </c>
      <c r="B18" s="1791" t="s">
        <v>1106</v>
      </c>
      <c r="C18" s="603" t="s">
        <v>973</v>
      </c>
      <c r="D18" s="624"/>
      <c r="E18" s="625"/>
      <c r="F18" s="605" t="s">
        <v>3052</v>
      </c>
      <c r="G18" s="624">
        <f>COST_ALL!G45</f>
        <v>2384849.5</v>
      </c>
      <c r="H18" s="625">
        <v>1</v>
      </c>
      <c r="I18" s="605">
        <f t="shared" si="0"/>
        <v>2384849.5</v>
      </c>
      <c r="J18" s="607">
        <f t="shared" ref="J18:J48" si="3">E18+H18</f>
        <v>1</v>
      </c>
      <c r="K18" s="605">
        <f>I18</f>
        <v>2384849.5</v>
      </c>
    </row>
    <row r="19" spans="1:11">
      <c r="A19" s="597">
        <v>5</v>
      </c>
      <c r="B19" s="1791" t="s">
        <v>1050</v>
      </c>
      <c r="C19" s="603" t="s">
        <v>973</v>
      </c>
      <c r="D19" s="198"/>
      <c r="E19" s="625"/>
      <c r="F19" s="605" t="s">
        <v>3052</v>
      </c>
      <c r="G19" s="198">
        <f>COST_ALL!G97</f>
        <v>3462456.35</v>
      </c>
      <c r="H19" s="625">
        <v>1</v>
      </c>
      <c r="I19" s="605">
        <f t="shared" si="0"/>
        <v>3462456.35</v>
      </c>
      <c r="J19" s="607">
        <f t="shared" si="3"/>
        <v>1</v>
      </c>
      <c r="K19" s="605">
        <f t="shared" ref="K19:K21" si="4">I19</f>
        <v>3462456.35</v>
      </c>
    </row>
    <row r="20" spans="1:11">
      <c r="A20" s="597">
        <v>6</v>
      </c>
      <c r="B20" s="1791" t="s">
        <v>1228</v>
      </c>
      <c r="C20" s="603" t="s">
        <v>973</v>
      </c>
      <c r="D20" s="624"/>
      <c r="E20" s="625"/>
      <c r="F20" s="605" t="s">
        <v>3052</v>
      </c>
      <c r="G20" s="624">
        <f>COST_ALL!G160</f>
        <v>10288656.300000001</v>
      </c>
      <c r="H20" s="625">
        <v>1</v>
      </c>
      <c r="I20" s="605">
        <f t="shared" si="0"/>
        <v>10288656.300000001</v>
      </c>
      <c r="J20" s="607">
        <f t="shared" si="3"/>
        <v>1</v>
      </c>
      <c r="K20" s="605">
        <f t="shared" si="4"/>
        <v>10288656.300000001</v>
      </c>
    </row>
    <row r="21" spans="1:11">
      <c r="A21" s="597">
        <v>7</v>
      </c>
      <c r="B21" s="1791" t="s">
        <v>1229</v>
      </c>
      <c r="C21" s="603" t="s">
        <v>973</v>
      </c>
      <c r="D21" s="624"/>
      <c r="E21" s="625"/>
      <c r="F21" s="605" t="s">
        <v>3052</v>
      </c>
      <c r="G21" s="624">
        <f>COST_ALL!G179</f>
        <v>24637.46</v>
      </c>
      <c r="H21" s="625">
        <v>1</v>
      </c>
      <c r="I21" s="605">
        <f t="shared" si="0"/>
        <v>24637.46</v>
      </c>
      <c r="J21" s="607">
        <f t="shared" si="3"/>
        <v>1</v>
      </c>
      <c r="K21" s="605">
        <f t="shared" si="4"/>
        <v>24637.46</v>
      </c>
    </row>
    <row r="22" spans="1:11">
      <c r="A22" s="597">
        <v>8</v>
      </c>
      <c r="B22" s="1791" t="s">
        <v>1232</v>
      </c>
      <c r="C22" s="603" t="s">
        <v>973</v>
      </c>
      <c r="D22" s="624"/>
      <c r="E22" s="604"/>
      <c r="F22" s="605"/>
      <c r="G22" s="624">
        <f>COST_ALL!G196</f>
        <v>80287.86</v>
      </c>
      <c r="H22" s="625">
        <v>1</v>
      </c>
      <c r="I22" s="605">
        <f>H22*G22</f>
        <v>80287.86</v>
      </c>
      <c r="J22" s="607">
        <f t="shared" si="3"/>
        <v>1</v>
      </c>
      <c r="K22" s="605">
        <f t="shared" ref="K22:K48" si="5">F22+I22</f>
        <v>80287.86</v>
      </c>
    </row>
    <row r="23" spans="1:11">
      <c r="A23" s="597">
        <v>9</v>
      </c>
      <c r="B23" s="1791" t="s">
        <v>3054</v>
      </c>
      <c r="C23" s="603" t="s">
        <v>973</v>
      </c>
      <c r="D23" s="624">
        <f>'Cost RVT-400'!F42</f>
        <v>7691591.2286139801</v>
      </c>
      <c r="E23" s="604">
        <v>1</v>
      </c>
      <c r="F23" s="605">
        <f t="shared" si="2"/>
        <v>7691591.2286139801</v>
      </c>
      <c r="G23" s="624">
        <f>'Cost RVT-400'!F42</f>
        <v>7691591.2286139801</v>
      </c>
      <c r="H23" s="625">
        <v>1</v>
      </c>
      <c r="I23" s="605">
        <f>H23*G23</f>
        <v>7691591.2286139801</v>
      </c>
      <c r="J23" s="607"/>
      <c r="K23" s="605">
        <f t="shared" si="5"/>
        <v>15383182.45722796</v>
      </c>
    </row>
    <row r="24" spans="1:11">
      <c r="A24" s="597">
        <v>9</v>
      </c>
      <c r="B24" s="1791" t="s">
        <v>1230</v>
      </c>
      <c r="C24" s="603" t="s">
        <v>973</v>
      </c>
      <c r="D24" s="624"/>
      <c r="E24" s="604"/>
      <c r="F24" s="605"/>
      <c r="G24" s="624"/>
      <c r="H24" s="625"/>
      <c r="I24" s="605"/>
      <c r="J24" s="607">
        <v>1</v>
      </c>
      <c r="K24" s="605">
        <f>COST_ALL!G426</f>
        <v>3775975.56</v>
      </c>
    </row>
    <row r="25" spans="1:11">
      <c r="A25" s="597">
        <v>10</v>
      </c>
      <c r="B25" s="1791" t="s">
        <v>1231</v>
      </c>
      <c r="C25" s="603" t="s">
        <v>973</v>
      </c>
      <c r="D25" s="624"/>
      <c r="E25" s="604"/>
      <c r="F25" s="605"/>
      <c r="G25" s="624">
        <f>COST_ALL!G340</f>
        <v>174399.24</v>
      </c>
      <c r="H25" s="625">
        <v>1</v>
      </c>
      <c r="I25" s="605">
        <f t="shared" si="0"/>
        <v>174399.24</v>
      </c>
      <c r="J25" s="607">
        <f t="shared" si="3"/>
        <v>1</v>
      </c>
      <c r="K25" s="605">
        <f t="shared" si="5"/>
        <v>174399.24</v>
      </c>
    </row>
    <row r="26" spans="1:11">
      <c r="A26" s="597">
        <v>12</v>
      </c>
      <c r="B26" s="1791" t="s">
        <v>897</v>
      </c>
      <c r="C26" s="603" t="s">
        <v>973</v>
      </c>
      <c r="D26" s="624"/>
      <c r="E26" s="604"/>
      <c r="F26" s="605"/>
      <c r="G26" s="624"/>
      <c r="H26" s="625"/>
      <c r="I26" s="605"/>
      <c r="J26" s="607"/>
      <c r="K26" s="605"/>
    </row>
    <row r="27" spans="1:11">
      <c r="A27" s="597">
        <v>13</v>
      </c>
      <c r="B27" s="1791" t="s">
        <v>2916</v>
      </c>
      <c r="C27" s="603" t="s">
        <v>973</v>
      </c>
      <c r="D27" s="624"/>
      <c r="E27" s="604"/>
      <c r="F27" s="605"/>
      <c r="G27" s="624">
        <f>COST_ALL!G233</f>
        <v>3067323</v>
      </c>
      <c r="H27" s="625">
        <v>1</v>
      </c>
      <c r="I27" s="605">
        <f t="shared" si="0"/>
        <v>3067323</v>
      </c>
      <c r="J27" s="607">
        <f t="shared" si="3"/>
        <v>1</v>
      </c>
      <c r="K27" s="605">
        <f t="shared" si="5"/>
        <v>3067323</v>
      </c>
    </row>
    <row r="28" spans="1:11">
      <c r="A28" s="597">
        <v>14</v>
      </c>
      <c r="B28" s="1791" t="s">
        <v>956</v>
      </c>
      <c r="C28" s="603" t="s">
        <v>973</v>
      </c>
      <c r="D28" s="624">
        <f>COST_ALL!$G$310</f>
        <v>26921.87</v>
      </c>
      <c r="E28" s="604">
        <v>100</v>
      </c>
      <c r="F28" s="605">
        <f t="shared" si="2"/>
        <v>2692187</v>
      </c>
      <c r="G28" s="624">
        <f>COST_ALL!$G$310</f>
        <v>26921.87</v>
      </c>
      <c r="H28" s="625">
        <v>50</v>
      </c>
      <c r="I28" s="605">
        <f t="shared" ref="I28:I30" si="6">G28*H28</f>
        <v>1346093.5</v>
      </c>
      <c r="J28" s="607">
        <f t="shared" si="3"/>
        <v>150</v>
      </c>
      <c r="K28" s="605">
        <f t="shared" si="5"/>
        <v>4038280.5</v>
      </c>
    </row>
    <row r="29" spans="1:11">
      <c r="A29" s="597">
        <v>15</v>
      </c>
      <c r="B29" s="1791" t="s">
        <v>2926</v>
      </c>
      <c r="C29" s="603" t="s">
        <v>965</v>
      </c>
      <c r="D29" s="624"/>
      <c r="E29" s="604">
        <v>50</v>
      </c>
      <c r="F29" s="605">
        <f>Cost_In_1!F49</f>
        <v>231671.28999999998</v>
      </c>
      <c r="G29" s="624"/>
      <c r="H29" s="625"/>
      <c r="I29" s="605"/>
      <c r="J29" s="607"/>
      <c r="K29" s="605">
        <f t="shared" si="5"/>
        <v>231671.28999999998</v>
      </c>
    </row>
    <row r="30" spans="1:11">
      <c r="A30" s="597">
        <v>15</v>
      </c>
      <c r="B30" s="1791" t="s">
        <v>895</v>
      </c>
      <c r="C30" s="603" t="s">
        <v>973</v>
      </c>
      <c r="D30" s="624">
        <f>COST_ALL!G297</f>
        <v>1251857.8800000001</v>
      </c>
      <c r="E30" s="604">
        <v>1</v>
      </c>
      <c r="F30" s="605">
        <f t="shared" ref="F30" si="7">D30*E30</f>
        <v>1251857.8800000001</v>
      </c>
      <c r="G30" s="624">
        <f>COST_ALL!G297</f>
        <v>1251857.8800000001</v>
      </c>
      <c r="H30" s="625">
        <v>1</v>
      </c>
      <c r="I30" s="605">
        <f t="shared" si="6"/>
        <v>1251857.8800000001</v>
      </c>
      <c r="J30" s="607"/>
      <c r="K30" s="605">
        <f t="shared" si="5"/>
        <v>2503715.7600000002</v>
      </c>
    </row>
    <row r="31" spans="1:11">
      <c r="A31" s="597">
        <v>16</v>
      </c>
      <c r="B31" s="1791" t="s">
        <v>3157</v>
      </c>
      <c r="C31" s="603" t="s">
        <v>973</v>
      </c>
      <c r="D31" s="198">
        <v>500000</v>
      </c>
      <c r="E31" s="625">
        <v>1</v>
      </c>
      <c r="F31" s="605">
        <f t="shared" si="2"/>
        <v>500000</v>
      </c>
      <c r="G31" s="198"/>
      <c r="H31" s="625"/>
      <c r="I31" s="626"/>
      <c r="J31" s="607">
        <f t="shared" si="3"/>
        <v>1</v>
      </c>
      <c r="K31" s="605">
        <f t="shared" si="5"/>
        <v>500000</v>
      </c>
    </row>
    <row r="32" spans="1:11">
      <c r="A32" s="597">
        <v>17</v>
      </c>
      <c r="B32" s="1791" t="s">
        <v>686</v>
      </c>
      <c r="C32" s="603" t="s">
        <v>973</v>
      </c>
      <c r="D32" s="624"/>
      <c r="E32" s="625"/>
      <c r="F32" s="605"/>
      <c r="G32" s="624">
        <f>COST_ALL!G354+COST_ALL!G355+COST_ALL!G356</f>
        <v>481188.08</v>
      </c>
      <c r="H32" s="625">
        <v>1</v>
      </c>
      <c r="I32" s="605">
        <f t="shared" ref="I32:I41" si="8">G32*H32</f>
        <v>481188.08</v>
      </c>
      <c r="J32" s="607">
        <f t="shared" si="3"/>
        <v>1</v>
      </c>
      <c r="K32" s="605">
        <f t="shared" si="5"/>
        <v>481188.08</v>
      </c>
    </row>
    <row r="33" spans="1:11" hidden="1">
      <c r="A33" s="597">
        <f t="shared" ref="A33" si="9">A32+1</f>
        <v>18</v>
      </c>
      <c r="B33" s="598" t="s">
        <v>1325</v>
      </c>
      <c r="C33" s="603" t="s">
        <v>973</v>
      </c>
      <c r="D33" s="600">
        <f>Private_Con!J25</f>
        <v>13011.5093</v>
      </c>
      <c r="E33" s="604">
        <v>0</v>
      </c>
      <c r="F33" s="605">
        <f t="shared" si="2"/>
        <v>0</v>
      </c>
      <c r="G33" s="600">
        <f>'[59]sum cost_All'!D24</f>
        <v>9723.7900000000009</v>
      </c>
      <c r="H33" s="604">
        <f>'[59]sum cost_All'!E24</f>
        <v>139</v>
      </c>
      <c r="I33" s="605">
        <f t="shared" si="8"/>
        <v>1351606.81</v>
      </c>
      <c r="J33" s="607">
        <f t="shared" si="3"/>
        <v>139</v>
      </c>
      <c r="K33" s="605">
        <f t="shared" si="5"/>
        <v>1351606.81</v>
      </c>
    </row>
    <row r="34" spans="1:11">
      <c r="A34" s="597">
        <v>18</v>
      </c>
      <c r="B34" s="627" t="s">
        <v>1326</v>
      </c>
      <c r="C34" s="603" t="s">
        <v>973</v>
      </c>
      <c r="D34" s="600">
        <f>'CC-DC'!J103</f>
        <v>115359.07840000001</v>
      </c>
      <c r="E34" s="604">
        <f>FittingsSummary!J6</f>
        <v>1</v>
      </c>
      <c r="F34" s="605">
        <f>D34*E34</f>
        <v>115359.07840000001</v>
      </c>
      <c r="G34" s="600">
        <f>'[59]sum cost_All'!D25</f>
        <v>79374.31</v>
      </c>
      <c r="H34" s="604">
        <v>1</v>
      </c>
      <c r="I34" s="605">
        <f t="shared" si="8"/>
        <v>79374.31</v>
      </c>
      <c r="J34" s="607">
        <f t="shared" si="3"/>
        <v>2</v>
      </c>
      <c r="K34" s="605">
        <f t="shared" si="5"/>
        <v>194733.3884</v>
      </c>
    </row>
    <row r="35" spans="1:11">
      <c r="A35" s="597">
        <v>19</v>
      </c>
      <c r="B35" s="627" t="s">
        <v>1327</v>
      </c>
      <c r="C35" s="603" t="s">
        <v>973</v>
      </c>
      <c r="D35" s="600">
        <f>'vc-bpt'!J24</f>
        <v>19814.481969715693</v>
      </c>
      <c r="E35" s="604">
        <v>4</v>
      </c>
      <c r="F35" s="605">
        <f>D35*E35</f>
        <v>79257.927878862771</v>
      </c>
      <c r="G35" s="600">
        <f>'[59]sum cost_All'!D26</f>
        <v>12956.91</v>
      </c>
      <c r="H35" s="604">
        <v>2</v>
      </c>
      <c r="I35" s="605">
        <f t="shared" si="8"/>
        <v>25913.82</v>
      </c>
      <c r="J35" s="607">
        <f t="shared" si="3"/>
        <v>6</v>
      </c>
      <c r="K35" s="605">
        <f t="shared" si="5"/>
        <v>105171.74787886278</v>
      </c>
    </row>
    <row r="36" spans="1:11">
      <c r="A36" s="597">
        <v>20</v>
      </c>
      <c r="B36" s="598" t="s">
        <v>1328</v>
      </c>
      <c r="C36" s="603" t="s">
        <v>973</v>
      </c>
      <c r="D36" s="600">
        <f>'vc-bpt'!J62</f>
        <v>43416.612939889819</v>
      </c>
      <c r="E36" s="628">
        <v>7</v>
      </c>
      <c r="F36" s="605">
        <f t="shared" ref="F36" si="10">D36*E36</f>
        <v>303916.29057922872</v>
      </c>
      <c r="G36" s="600">
        <f>'[59]sum cost_All'!D27</f>
        <v>28436.44</v>
      </c>
      <c r="H36" s="628">
        <v>3</v>
      </c>
      <c r="I36" s="605">
        <f t="shared" si="8"/>
        <v>85309.319999999992</v>
      </c>
      <c r="J36" s="607">
        <f t="shared" si="3"/>
        <v>10</v>
      </c>
      <c r="K36" s="605">
        <f t="shared" si="5"/>
        <v>389225.61057922873</v>
      </c>
    </row>
    <row r="37" spans="1:11">
      <c r="A37" s="597">
        <v>21</v>
      </c>
      <c r="B37" s="598" t="s">
        <v>1329</v>
      </c>
      <c r="C37" s="603" t="s">
        <v>973</v>
      </c>
      <c r="D37" s="600">
        <f>'vc-bpt'!J62</f>
        <v>43416.612939889819</v>
      </c>
      <c r="E37" s="628">
        <f>FittingsSummary!S6</f>
        <v>6</v>
      </c>
      <c r="F37" s="605">
        <f t="shared" si="2"/>
        <v>260499.67763933892</v>
      </c>
      <c r="G37" s="600">
        <f>'[59]sum cost_All'!D28</f>
        <v>28436.44</v>
      </c>
      <c r="H37" s="628">
        <v>1</v>
      </c>
      <c r="I37" s="605">
        <f t="shared" si="8"/>
        <v>28436.44</v>
      </c>
      <c r="J37" s="607">
        <f t="shared" si="3"/>
        <v>7</v>
      </c>
      <c r="K37" s="605">
        <f t="shared" si="5"/>
        <v>288936.11763933889</v>
      </c>
    </row>
    <row r="38" spans="1:11">
      <c r="A38" s="597">
        <v>22</v>
      </c>
      <c r="B38" s="598" t="s">
        <v>1330</v>
      </c>
      <c r="C38" s="603" t="s">
        <v>973</v>
      </c>
      <c r="D38" s="600">
        <f>'vc-bpt'!J114</f>
        <v>60794.113000000005</v>
      </c>
      <c r="E38" s="604">
        <v>1</v>
      </c>
      <c r="F38" s="605">
        <f t="shared" si="2"/>
        <v>60794.113000000005</v>
      </c>
      <c r="G38" s="600">
        <f>'[59]sum cost_All'!D29</f>
        <v>43505.51</v>
      </c>
      <c r="H38" s="604">
        <v>1</v>
      </c>
      <c r="I38" s="605">
        <f t="shared" si="8"/>
        <v>43505.51</v>
      </c>
      <c r="J38" s="607">
        <f t="shared" si="3"/>
        <v>2</v>
      </c>
      <c r="K38" s="605">
        <f t="shared" si="5"/>
        <v>104299.62300000001</v>
      </c>
    </row>
    <row r="39" spans="1:11">
      <c r="A39" s="597">
        <v>23</v>
      </c>
      <c r="B39" s="598" t="s">
        <v>3056</v>
      </c>
      <c r="C39" s="603" t="s">
        <v>973</v>
      </c>
      <c r="D39" s="600">
        <f>Abstract_TRUSS!$F$15</f>
        <v>2819891.3332161582</v>
      </c>
      <c r="E39" s="604">
        <v>1</v>
      </c>
      <c r="F39" s="605">
        <f t="shared" si="2"/>
        <v>2819891.3332161582</v>
      </c>
      <c r="G39" s="600">
        <f>Abstract_TRUSS!$F$15</f>
        <v>2819891.3332161582</v>
      </c>
      <c r="H39" s="604">
        <v>1</v>
      </c>
      <c r="I39" s="605">
        <f t="shared" si="8"/>
        <v>2819891.3332161582</v>
      </c>
      <c r="J39" s="607">
        <f t="shared" si="3"/>
        <v>2</v>
      </c>
      <c r="K39" s="605">
        <f t="shared" si="5"/>
        <v>5639782.6664323164</v>
      </c>
    </row>
    <row r="40" spans="1:11">
      <c r="A40" s="597">
        <v>24</v>
      </c>
      <c r="B40" s="598" t="s">
        <v>3055</v>
      </c>
      <c r="C40" s="603"/>
      <c r="D40" s="600">
        <f>'Sump well'!$I$55</f>
        <v>2095279.6581000001</v>
      </c>
      <c r="E40" s="604">
        <v>1</v>
      </c>
      <c r="F40" s="605">
        <f t="shared" si="2"/>
        <v>2095279.6581000001</v>
      </c>
      <c r="G40" s="600"/>
      <c r="H40" s="604"/>
      <c r="I40" s="605"/>
      <c r="J40" s="607">
        <f t="shared" si="3"/>
        <v>1</v>
      </c>
      <c r="K40" s="605">
        <f t="shared" si="5"/>
        <v>2095279.6581000001</v>
      </c>
    </row>
    <row r="41" spans="1:11">
      <c r="A41" s="597">
        <v>25</v>
      </c>
      <c r="B41" s="598" t="s">
        <v>3030</v>
      </c>
      <c r="C41" s="603" t="s">
        <v>973</v>
      </c>
      <c r="D41" s="600">
        <f>'Pipe Support'!J33</f>
        <v>23323.226720000002</v>
      </c>
      <c r="E41" s="604">
        <v>20</v>
      </c>
      <c r="F41" s="605">
        <f>E41*D41</f>
        <v>466464.53440000006</v>
      </c>
      <c r="G41" s="600">
        <f>$D$41</f>
        <v>23323.226720000002</v>
      </c>
      <c r="H41" s="604">
        <v>12</v>
      </c>
      <c r="I41" s="605">
        <f t="shared" si="8"/>
        <v>279878.72064000001</v>
      </c>
      <c r="J41" s="607">
        <f t="shared" si="3"/>
        <v>32</v>
      </c>
      <c r="K41" s="605">
        <f t="shared" si="5"/>
        <v>746343.25504000008</v>
      </c>
    </row>
    <row r="42" spans="1:11">
      <c r="A42" s="597">
        <v>26</v>
      </c>
      <c r="B42" s="598" t="s">
        <v>1331</v>
      </c>
      <c r="C42" s="603"/>
      <c r="D42" s="600"/>
      <c r="E42" s="604"/>
      <c r="F42" s="606"/>
      <c r="G42" s="600"/>
      <c r="H42" s="604"/>
      <c r="I42" s="605"/>
      <c r="J42" s="607"/>
      <c r="K42" s="605"/>
    </row>
    <row r="43" spans="1:11">
      <c r="A43" s="597"/>
      <c r="B43" s="598" t="s">
        <v>1332</v>
      </c>
      <c r="C43" s="603" t="s">
        <v>1333</v>
      </c>
      <c r="D43" s="600"/>
      <c r="E43" s="604">
        <v>0.17499999999999999</v>
      </c>
      <c r="F43" s="605"/>
      <c r="G43" s="600"/>
      <c r="H43" s="604">
        <f>'[59]sum cost_All'!E33</f>
        <v>1.18</v>
      </c>
      <c r="I43" s="605"/>
      <c r="J43" s="607">
        <f t="shared" si="3"/>
        <v>1.355</v>
      </c>
      <c r="K43" s="605">
        <f>'pip-line'!I24</f>
        <v>434010.58080000005</v>
      </c>
    </row>
    <row r="44" spans="1:11">
      <c r="A44" s="597"/>
      <c r="B44" s="598" t="s">
        <v>1334</v>
      </c>
      <c r="C44" s="603" t="s">
        <v>1333</v>
      </c>
      <c r="D44" s="600"/>
      <c r="E44" s="604">
        <v>2.87</v>
      </c>
      <c r="F44" s="605"/>
      <c r="G44" s="600"/>
      <c r="H44" s="604">
        <f>'[59]sum cost_All'!E34</f>
        <v>3.2</v>
      </c>
      <c r="I44" s="605"/>
      <c r="J44" s="607">
        <f t="shared" si="3"/>
        <v>6.07</v>
      </c>
      <c r="K44" s="605">
        <f>'pip-line'!I47</f>
        <v>5716853.9527000003</v>
      </c>
    </row>
    <row r="45" spans="1:11" ht="25.5">
      <c r="A45" s="597">
        <v>27</v>
      </c>
      <c r="B45" s="629" t="s">
        <v>1335</v>
      </c>
      <c r="C45" s="603" t="s">
        <v>546</v>
      </c>
      <c r="D45" s="600"/>
      <c r="E45" s="604">
        <v>1</v>
      </c>
      <c r="F45" s="605"/>
      <c r="G45" s="600"/>
      <c r="H45" s="604">
        <f>'[59]sum cost_All'!E35</f>
        <v>1</v>
      </c>
      <c r="I45" s="605"/>
      <c r="J45" s="607">
        <f t="shared" si="3"/>
        <v>2</v>
      </c>
      <c r="K45" s="605">
        <f>'pip-line'!I56</f>
        <v>0</v>
      </c>
    </row>
    <row r="46" spans="1:11" s="615" customFormat="1">
      <c r="A46" s="2041"/>
      <c r="B46" s="2042" t="s">
        <v>1336</v>
      </c>
      <c r="C46" s="2043"/>
      <c r="D46" s="2044"/>
      <c r="E46" s="2045"/>
      <c r="F46" s="2046">
        <f>SUM(F15:F45)</f>
        <v>20471239.089027572</v>
      </c>
      <c r="G46" s="2044"/>
      <c r="H46" s="2045"/>
      <c r="I46" s="2046">
        <f>SUM(I15:I45)</f>
        <v>35387582.399170138</v>
      </c>
      <c r="J46" s="2047"/>
      <c r="K46" s="2046">
        <f>SUM(K16:K45)</f>
        <v>65785661.581697717</v>
      </c>
    </row>
    <row r="47" spans="1:11">
      <c r="A47" s="620" t="s">
        <v>1337</v>
      </c>
      <c r="B47" s="598" t="s">
        <v>1338</v>
      </c>
      <c r="C47" s="603"/>
      <c r="D47" s="600"/>
      <c r="E47" s="621"/>
      <c r="F47" s="622"/>
      <c r="G47" s="600"/>
      <c r="H47" s="621"/>
      <c r="I47" s="622"/>
      <c r="J47" s="607"/>
      <c r="K47" s="605"/>
    </row>
    <row r="48" spans="1:11">
      <c r="A48" s="597">
        <v>1</v>
      </c>
      <c r="B48" s="598" t="s">
        <v>1339</v>
      </c>
      <c r="C48" s="603" t="s">
        <v>386</v>
      </c>
      <c r="D48" s="600"/>
      <c r="E48" s="604">
        <f>Pipe!E50/1000</f>
        <v>5.3319999999999999</v>
      </c>
      <c r="F48" s="605">
        <f>Pipe!G50</f>
        <v>18965527.38975</v>
      </c>
      <c r="G48" s="600"/>
      <c r="H48" s="604">
        <f>'[59]sum cost_All'!E39</f>
        <v>3.97</v>
      </c>
      <c r="I48" s="605"/>
      <c r="J48" s="607">
        <f t="shared" si="3"/>
        <v>9.3019999999999996</v>
      </c>
      <c r="K48" s="605">
        <f t="shared" si="5"/>
        <v>18965527.38975</v>
      </c>
    </row>
    <row r="49" spans="1:11" s="634" customFormat="1">
      <c r="A49" s="630">
        <v>2</v>
      </c>
      <c r="B49" s="627" t="s">
        <v>1340</v>
      </c>
      <c r="C49" s="631" t="s">
        <v>546</v>
      </c>
      <c r="D49" s="632"/>
      <c r="E49" s="633"/>
      <c r="F49" s="605"/>
      <c r="G49" s="632"/>
      <c r="H49" s="633"/>
      <c r="I49" s="605"/>
      <c r="J49" s="607">
        <v>1</v>
      </c>
      <c r="K49" s="605">
        <f>FittingsSummary!AC128</f>
        <v>1119506.3341000001</v>
      </c>
    </row>
    <row r="50" spans="1:11">
      <c r="A50" s="597">
        <v>3</v>
      </c>
      <c r="B50" s="627" t="s">
        <v>1341</v>
      </c>
      <c r="C50" s="603" t="s">
        <v>546</v>
      </c>
      <c r="D50" s="632"/>
      <c r="E50" s="621"/>
      <c r="F50" s="605"/>
      <c r="G50" s="632"/>
      <c r="H50" s="635"/>
      <c r="I50" s="605"/>
      <c r="J50" s="607">
        <v>1</v>
      </c>
      <c r="K50" s="605">
        <f>tools!H41</f>
        <v>141602.10799999998</v>
      </c>
    </row>
    <row r="51" spans="1:11" s="615" customFormat="1">
      <c r="A51" s="608"/>
      <c r="B51" s="609" t="s">
        <v>1342</v>
      </c>
      <c r="C51" s="636"/>
      <c r="D51" s="611"/>
      <c r="E51" s="612"/>
      <c r="F51" s="613">
        <f>SUM(F48:F50)</f>
        <v>18965527.38975</v>
      </c>
      <c r="G51" s="611"/>
      <c r="H51" s="612"/>
      <c r="I51" s="613">
        <f>'[59]sum cost_All'!F42</f>
        <v>2275899.64</v>
      </c>
      <c r="J51" s="614"/>
      <c r="K51" s="613">
        <f>SUM(K48:K50)</f>
        <v>20226635.83185</v>
      </c>
    </row>
    <row r="52" spans="1:11" ht="13.5" thickBot="1">
      <c r="A52" s="2058"/>
      <c r="B52" s="2059" t="s">
        <v>1343</v>
      </c>
      <c r="C52" s="2060"/>
      <c r="D52" s="2061"/>
      <c r="E52" s="2062"/>
      <c r="F52" s="2063">
        <f>F46+F51</f>
        <v>39436766.478777573</v>
      </c>
      <c r="G52" s="2061"/>
      <c r="H52" s="2062"/>
      <c r="I52" s="2063">
        <f>'[59]sum cost_All'!F43</f>
        <v>20027828.16</v>
      </c>
      <c r="J52" s="2064"/>
      <c r="K52" s="2063">
        <f>K51+K46</f>
        <v>86012297.413547724</v>
      </c>
    </row>
    <row r="53" spans="1:11">
      <c r="A53" s="2065"/>
      <c r="B53" s="2066"/>
      <c r="C53" s="2067"/>
      <c r="D53" s="2068"/>
      <c r="E53" s="2069"/>
      <c r="F53" s="2070"/>
      <c r="G53" s="2068"/>
      <c r="H53" s="2069"/>
      <c r="I53" s="2070"/>
      <c r="J53" s="2071"/>
      <c r="K53" s="2070"/>
    </row>
    <row r="54" spans="1:11" s="615" customFormat="1">
      <c r="A54" s="2041"/>
      <c r="B54" s="2042" t="s">
        <v>1344</v>
      </c>
      <c r="C54" s="2043"/>
      <c r="D54" s="2044"/>
      <c r="E54" s="2045"/>
      <c r="F54" s="2046">
        <f>F12+F52</f>
        <v>39436766.478777573</v>
      </c>
      <c r="G54" s="2044"/>
      <c r="H54" s="2045"/>
      <c r="I54" s="2046">
        <f>'[59]sum cost_All'!F44</f>
        <v>20106828.16</v>
      </c>
      <c r="J54" s="2047"/>
      <c r="K54" s="2046">
        <f>K12+K52</f>
        <v>86091297.413547724</v>
      </c>
    </row>
    <row r="55" spans="1:11">
      <c r="A55" s="638" t="s">
        <v>714</v>
      </c>
      <c r="B55" s="595" t="s">
        <v>1345</v>
      </c>
      <c r="C55" s="596"/>
      <c r="D55" s="616"/>
      <c r="E55" s="617"/>
      <c r="F55" s="618"/>
      <c r="G55" s="616"/>
      <c r="H55" s="617"/>
      <c r="I55" s="618"/>
      <c r="J55" s="619"/>
      <c r="K55" s="618"/>
    </row>
    <row r="56" spans="1:11">
      <c r="A56" s="597">
        <v>1</v>
      </c>
      <c r="B56" s="598" t="s">
        <v>2921</v>
      </c>
      <c r="C56" s="599"/>
      <c r="D56" s="600"/>
      <c r="E56" s="621"/>
      <c r="F56" s="622">
        <f>F54*0.02</f>
        <v>788735.32957555144</v>
      </c>
      <c r="G56" s="600"/>
      <c r="H56" s="621"/>
      <c r="I56" s="622">
        <f>I54*0.02</f>
        <v>402136.56320000003</v>
      </c>
      <c r="J56" s="607"/>
      <c r="K56" s="622">
        <f>K54*0.02</f>
        <v>1721825.9482709544</v>
      </c>
    </row>
    <row r="57" spans="1:11">
      <c r="A57" s="597">
        <v>2</v>
      </c>
      <c r="B57" s="598" t="s">
        <v>2922</v>
      </c>
      <c r="C57" s="599"/>
      <c r="D57" s="600"/>
      <c r="E57" s="621"/>
      <c r="F57" s="622">
        <f>F54*0.02</f>
        <v>788735.32957555144</v>
      </c>
      <c r="G57" s="600"/>
      <c r="H57" s="621"/>
      <c r="I57" s="622">
        <f>I54*0.02</f>
        <v>402136.56320000003</v>
      </c>
      <c r="J57" s="607"/>
      <c r="K57" s="622">
        <f>K54*0.02</f>
        <v>1721825.9482709544</v>
      </c>
    </row>
    <row r="58" spans="1:11" s="615" customFormat="1">
      <c r="A58" s="2041"/>
      <c r="B58" s="2042" t="s">
        <v>1346</v>
      </c>
      <c r="C58" s="2043"/>
      <c r="D58" s="2044"/>
      <c r="E58" s="2045"/>
      <c r="F58" s="2046">
        <f>SUM(F56:F57)</f>
        <v>1577470.6591511029</v>
      </c>
      <c r="G58" s="2044"/>
      <c r="H58" s="2045"/>
      <c r="I58" s="2046">
        <f>SUM(I56:I57)</f>
        <v>804273.12640000007</v>
      </c>
      <c r="J58" s="2047"/>
      <c r="K58" s="2046">
        <f>SUM(K56:K57)</f>
        <v>3443651.8965419088</v>
      </c>
    </row>
    <row r="59" spans="1:11" s="615" customFormat="1">
      <c r="A59" s="608"/>
      <c r="B59" s="639" t="s">
        <v>1347</v>
      </c>
      <c r="C59" s="610"/>
      <c r="D59" s="611"/>
      <c r="E59" s="612"/>
      <c r="F59" s="613">
        <f>F54+F58</f>
        <v>41014237.137928672</v>
      </c>
      <c r="G59" s="640"/>
      <c r="H59" s="641"/>
      <c r="I59" s="613">
        <f>I54+I58</f>
        <v>20911101.286400001</v>
      </c>
      <c r="J59" s="614"/>
      <c r="K59" s="613">
        <f>K54+K58</f>
        <v>89534949.310089633</v>
      </c>
    </row>
    <row r="60" spans="1:11">
      <c r="A60" s="597"/>
      <c r="B60" s="639" t="s">
        <v>1348</v>
      </c>
      <c r="C60" s="637"/>
      <c r="D60" s="600"/>
      <c r="E60" s="642"/>
      <c r="F60" s="622">
        <f>F59*0.1</f>
        <v>4101423.7137928675</v>
      </c>
      <c r="G60" s="643"/>
      <c r="H60" s="644"/>
      <c r="I60" s="622">
        <f>I59*0.1</f>
        <v>2091110.1286400002</v>
      </c>
      <c r="J60" s="607"/>
      <c r="K60" s="622">
        <f>K59*0.1</f>
        <v>8953494.9310089629</v>
      </c>
    </row>
    <row r="61" spans="1:11">
      <c r="A61" s="645"/>
      <c r="B61" s="639" t="s">
        <v>1349</v>
      </c>
      <c r="C61" s="637"/>
      <c r="D61" s="600"/>
      <c r="E61" s="642"/>
      <c r="F61" s="622">
        <f>F59*0.1</f>
        <v>4101423.7137928675</v>
      </c>
      <c r="G61" s="643"/>
      <c r="H61" s="644"/>
      <c r="I61" s="622">
        <f>I59*0.1</f>
        <v>2091110.1286400002</v>
      </c>
      <c r="J61" s="607"/>
      <c r="K61" s="622">
        <f>K59*0.1</f>
        <v>8953494.9310089629</v>
      </c>
    </row>
    <row r="62" spans="1:11" s="615" customFormat="1" ht="16.5" thickBot="1">
      <c r="A62" s="646"/>
      <c r="B62" s="647" t="s">
        <v>1350</v>
      </c>
      <c r="C62" s="648"/>
      <c r="D62" s="646"/>
      <c r="E62" s="649"/>
      <c r="F62" s="650">
        <f>SUM(F59:F61)</f>
        <v>49217084.565514408</v>
      </c>
      <c r="G62" s="651"/>
      <c r="H62" s="652"/>
      <c r="I62" s="650">
        <f>SUM(I59:I61)</f>
        <v>25093321.543680001</v>
      </c>
      <c r="J62" s="653"/>
      <c r="K62" s="650">
        <f>SUM(K59:K61)</f>
        <v>107441939.17210756</v>
      </c>
    </row>
    <row r="63" spans="1:11">
      <c r="I63" s="654"/>
    </row>
  </sheetData>
  <mergeCells count="7">
    <mergeCell ref="A1:K1"/>
    <mergeCell ref="J3:K3"/>
    <mergeCell ref="A3:A4"/>
    <mergeCell ref="B3:B4"/>
    <mergeCell ref="C3:C4"/>
    <mergeCell ref="D3:F3"/>
    <mergeCell ref="G3:I3"/>
  </mergeCells>
  <pageMargins left="0.7" right="0.7" top="0.75" bottom="0.75" header="0.3" footer="0.3"/>
  <pageSetup paperSize="9" scale="56" orientation="portrait" horizontalDpi="180" verticalDpi="180" r:id="rId1"/>
  <headerFooter alignWithMargins="0">
    <oddFooter>&amp;LEstimated by&amp;CChecked by&amp;RApproved by</oddFooter>
  </headerFooter>
  <colBreaks count="1" manualBreakCount="1">
    <brk id="11"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55"/>
  <sheetViews>
    <sheetView workbookViewId="0">
      <selection sqref="A1:G1"/>
    </sheetView>
  </sheetViews>
  <sheetFormatPr defaultColWidth="9.140625" defaultRowHeight="15.95" customHeight="1"/>
  <cols>
    <col min="1" max="1" width="5" style="295" customWidth="1"/>
    <col min="2" max="2" width="33.140625" style="295" customWidth="1"/>
    <col min="3" max="3" width="6" style="295" customWidth="1"/>
    <col min="4" max="4" width="9.5703125" style="346" customWidth="1"/>
    <col min="5" max="5" width="9" style="509" customWidth="1"/>
    <col min="6" max="6" width="9.7109375" style="346" customWidth="1"/>
    <col min="7" max="7" width="15.42578125" style="295" customWidth="1"/>
    <col min="8" max="16384" width="9.140625" style="295"/>
  </cols>
  <sheetData>
    <row r="1" spans="1:7" s="283" customFormat="1" ht="12.75">
      <c r="A1" s="2907" t="s">
        <v>732</v>
      </c>
      <c r="B1" s="2907"/>
      <c r="C1" s="2907"/>
      <c r="D1" s="2907"/>
      <c r="E1" s="2907"/>
      <c r="F1" s="2907"/>
      <c r="G1" s="2907"/>
    </row>
    <row r="2" spans="1:7" s="283" customFormat="1" ht="12" customHeight="1">
      <c r="D2" s="284"/>
      <c r="E2" s="493"/>
      <c r="F2" s="284"/>
    </row>
    <row r="3" spans="1:7" s="283" customFormat="1" ht="15.95" customHeight="1">
      <c r="A3" s="285" t="s">
        <v>21</v>
      </c>
      <c r="D3" s="284"/>
      <c r="E3" s="493"/>
      <c r="F3" s="284"/>
    </row>
    <row r="4" spans="1:7" s="283" customFormat="1" ht="7.5" customHeight="1">
      <c r="A4" s="285"/>
      <c r="D4" s="284"/>
      <c r="E4" s="493"/>
      <c r="F4" s="284"/>
    </row>
    <row r="5" spans="1:7" s="289" customFormat="1" ht="15" customHeight="1">
      <c r="A5" s="286" t="s">
        <v>961</v>
      </c>
      <c r="B5" s="287" t="s">
        <v>962</v>
      </c>
      <c r="C5" s="287" t="s">
        <v>1087</v>
      </c>
      <c r="D5" s="288" t="s">
        <v>964</v>
      </c>
      <c r="E5" s="494" t="s">
        <v>1035</v>
      </c>
      <c r="F5" s="288" t="s">
        <v>631</v>
      </c>
      <c r="G5" s="287" t="s">
        <v>1037</v>
      </c>
    </row>
    <row r="6" spans="1:7" s="283" customFormat="1" ht="15" customHeight="1">
      <c r="A6" s="191">
        <v>1</v>
      </c>
      <c r="B6" s="192" t="s">
        <v>966</v>
      </c>
      <c r="C6" s="196">
        <v>1</v>
      </c>
      <c r="D6" s="305">
        <f>Qnty_ALL!G6</f>
        <v>84</v>
      </c>
      <c r="E6" s="495" t="s">
        <v>1182</v>
      </c>
      <c r="F6" s="305">
        <f>Rates!F7</f>
        <v>149.5</v>
      </c>
      <c r="G6" s="290">
        <f>ROUND((C6*D6*F6),2)</f>
        <v>12558</v>
      </c>
    </row>
    <row r="7" spans="1:7" s="283" customFormat="1" ht="15" customHeight="1">
      <c r="A7" s="195">
        <v>2</v>
      </c>
      <c r="B7" s="196" t="s">
        <v>967</v>
      </c>
      <c r="C7" s="196"/>
      <c r="D7" s="306"/>
      <c r="E7" s="496"/>
      <c r="F7" s="306"/>
      <c r="G7" s="307"/>
    </row>
    <row r="8" spans="1:7" s="283" customFormat="1" ht="15" customHeight="1">
      <c r="A8" s="195"/>
      <c r="B8" s="196" t="s">
        <v>968</v>
      </c>
      <c r="C8" s="196">
        <v>1</v>
      </c>
      <c r="D8" s="306">
        <f>Qnty_ALL!G13</f>
        <v>142.91999999999999</v>
      </c>
      <c r="E8" s="496" t="s">
        <v>626</v>
      </c>
      <c r="F8" s="306">
        <f>Rates!F10</f>
        <v>1883.36</v>
      </c>
      <c r="G8" s="307">
        <f>ROUND((C8*D8*F8),2)</f>
        <v>269169.81</v>
      </c>
    </row>
    <row r="9" spans="1:7" s="283" customFormat="1" ht="15" customHeight="1">
      <c r="A9" s="195">
        <v>3</v>
      </c>
      <c r="B9" s="196" t="s">
        <v>1002</v>
      </c>
      <c r="C9" s="196">
        <v>1</v>
      </c>
      <c r="D9" s="306">
        <f>Qnty_ALL!G25</f>
        <v>30.13</v>
      </c>
      <c r="E9" s="496" t="s">
        <v>626</v>
      </c>
      <c r="F9" s="306">
        <f>Rates!F16</f>
        <v>710.7</v>
      </c>
      <c r="G9" s="307">
        <f>ROUND((C9*D9*F9),2)</f>
        <v>21413.39</v>
      </c>
    </row>
    <row r="10" spans="1:7" s="283" customFormat="1" ht="15" customHeight="1">
      <c r="A10" s="195">
        <v>4</v>
      </c>
      <c r="B10" s="196" t="s">
        <v>1113</v>
      </c>
      <c r="C10" s="196"/>
      <c r="D10" s="306"/>
      <c r="E10" s="496"/>
      <c r="F10" s="306"/>
      <c r="G10" s="307"/>
    </row>
    <row r="11" spans="1:7" s="283" customFormat="1" ht="15" customHeight="1">
      <c r="A11" s="195"/>
      <c r="B11" s="196" t="s">
        <v>1138</v>
      </c>
      <c r="C11" s="196">
        <v>1</v>
      </c>
      <c r="D11" s="306">
        <f>Qnty_ALL!G30</f>
        <v>15.02</v>
      </c>
      <c r="E11" s="496" t="s">
        <v>626</v>
      </c>
      <c r="F11" s="306">
        <f>Rates!F20</f>
        <v>11802.3</v>
      </c>
      <c r="G11" s="307">
        <f>ROUND((C11*D11*F11),2)</f>
        <v>177270.55</v>
      </c>
    </row>
    <row r="12" spans="1:7" s="283" customFormat="1" ht="15" customHeight="1">
      <c r="A12" s="195">
        <v>5</v>
      </c>
      <c r="B12" s="196" t="s">
        <v>986</v>
      </c>
      <c r="C12" s="196"/>
      <c r="D12" s="306"/>
      <c r="E12" s="496"/>
      <c r="F12" s="306"/>
      <c r="G12" s="307"/>
    </row>
    <row r="13" spans="1:7" s="283" customFormat="1" ht="15" customHeight="1">
      <c r="A13" s="195"/>
      <c r="B13" s="196" t="s">
        <v>1141</v>
      </c>
      <c r="C13" s="196">
        <v>1</v>
      </c>
      <c r="D13" s="306">
        <f>Qnty_ALL!G35</f>
        <v>7.8</v>
      </c>
      <c r="E13" s="496" t="s">
        <v>626</v>
      </c>
      <c r="F13" s="306">
        <f>Rates!F31</f>
        <v>14810.58</v>
      </c>
      <c r="G13" s="307">
        <f>ROUND((C13*D13*F13),2)</f>
        <v>115522.52</v>
      </c>
    </row>
    <row r="14" spans="1:7" s="283" customFormat="1" ht="15" customHeight="1">
      <c r="A14" s="195">
        <v>6</v>
      </c>
      <c r="B14" s="196" t="s">
        <v>1116</v>
      </c>
      <c r="C14" s="196"/>
      <c r="D14" s="306"/>
      <c r="E14" s="496"/>
      <c r="F14" s="306"/>
      <c r="G14" s="307"/>
    </row>
    <row r="15" spans="1:7" s="283" customFormat="1" ht="15" customHeight="1">
      <c r="A15" s="195"/>
      <c r="B15" s="196" t="s">
        <v>1142</v>
      </c>
      <c r="C15" s="196">
        <v>1</v>
      </c>
      <c r="D15" s="306">
        <f>Qnty_ALL!G38</f>
        <v>72.040000000000006</v>
      </c>
      <c r="E15" s="496" t="s">
        <v>627</v>
      </c>
      <c r="F15" s="1787">
        <f>Analysis!$R$192</f>
        <v>912.3</v>
      </c>
      <c r="G15" s="307">
        <f>ROUND((C15*D15*F15),2)</f>
        <v>65722.09</v>
      </c>
    </row>
    <row r="16" spans="1:7" s="283" customFormat="1" ht="15" customHeight="1">
      <c r="A16" s="195">
        <v>7</v>
      </c>
      <c r="B16" s="196" t="s">
        <v>899</v>
      </c>
      <c r="C16" s="196">
        <v>1</v>
      </c>
      <c r="D16" s="306">
        <f>Qnty_ALL!G62</f>
        <v>27.78</v>
      </c>
      <c r="E16" s="496" t="s">
        <v>626</v>
      </c>
      <c r="F16" s="306">
        <f>Rates!F33</f>
        <v>17163.13</v>
      </c>
      <c r="G16" s="307">
        <f>ROUND((C16*D16*F16),2)</f>
        <v>476791.75</v>
      </c>
    </row>
    <row r="17" spans="1:7" s="283" customFormat="1" ht="15" customHeight="1">
      <c r="A17" s="195">
        <v>8</v>
      </c>
      <c r="B17" s="196" t="s">
        <v>970</v>
      </c>
      <c r="C17" s="196"/>
      <c r="D17" s="306"/>
      <c r="E17" s="496"/>
      <c r="F17" s="306"/>
      <c r="G17" s="307"/>
    </row>
    <row r="18" spans="1:7" s="283" customFormat="1" ht="15" customHeight="1">
      <c r="A18" s="195"/>
      <c r="B18" s="196" t="s">
        <v>971</v>
      </c>
      <c r="C18" s="196">
        <v>1</v>
      </c>
      <c r="D18" s="306">
        <f>Qnty_ALL!G83</f>
        <v>191.39</v>
      </c>
      <c r="E18" s="496" t="s">
        <v>627</v>
      </c>
      <c r="F18" s="306">
        <f>Rates!F40</f>
        <v>1322.68</v>
      </c>
      <c r="G18" s="307">
        <f>ROUND((C18*D18*F18),2)</f>
        <v>253147.73</v>
      </c>
    </row>
    <row r="19" spans="1:7" s="283" customFormat="1" ht="15" customHeight="1">
      <c r="A19" s="195">
        <v>9</v>
      </c>
      <c r="B19" s="196" t="s">
        <v>1126</v>
      </c>
      <c r="C19" s="196"/>
      <c r="D19" s="306"/>
      <c r="E19" s="496"/>
      <c r="F19" s="306"/>
      <c r="G19" s="307"/>
    </row>
    <row r="20" spans="1:7" s="283" customFormat="1" ht="15" customHeight="1">
      <c r="A20" s="195"/>
      <c r="B20" s="196" t="s">
        <v>1127</v>
      </c>
      <c r="C20" s="196"/>
      <c r="D20" s="306"/>
      <c r="E20" s="496"/>
      <c r="F20" s="306"/>
      <c r="G20" s="307"/>
    </row>
    <row r="21" spans="1:7" s="283" customFormat="1" ht="15" customHeight="1">
      <c r="A21" s="195"/>
      <c r="B21" s="196" t="s">
        <v>1128</v>
      </c>
      <c r="C21" s="196"/>
      <c r="D21" s="306"/>
      <c r="E21" s="496"/>
      <c r="F21" s="306"/>
      <c r="G21" s="307"/>
    </row>
    <row r="22" spans="1:7" s="283" customFormat="1" ht="15" customHeight="1">
      <c r="A22" s="195"/>
      <c r="B22" s="196" t="s">
        <v>1143</v>
      </c>
      <c r="C22" s="196">
        <v>1</v>
      </c>
      <c r="D22" s="306">
        <f>Qnty_ALL!G131</f>
        <v>5003.04</v>
      </c>
      <c r="E22" s="496" t="s">
        <v>1034</v>
      </c>
      <c r="F22" s="306">
        <f>Rates!F39</f>
        <v>125.35</v>
      </c>
      <c r="G22" s="307">
        <f>ROUND((C22*D22*F22),2)</f>
        <v>627131.06000000006</v>
      </c>
    </row>
    <row r="23" spans="1:7" s="283" customFormat="1" ht="15" customHeight="1">
      <c r="A23" s="195">
        <v>10</v>
      </c>
      <c r="B23" s="196" t="s">
        <v>2771</v>
      </c>
      <c r="C23" s="196"/>
      <c r="D23" s="306"/>
      <c r="E23" s="496"/>
      <c r="F23" s="306"/>
      <c r="G23" s="307"/>
    </row>
    <row r="24" spans="1:7" s="283" customFormat="1" ht="15" customHeight="1">
      <c r="A24" s="195"/>
      <c r="B24" s="196" t="s">
        <v>1144</v>
      </c>
      <c r="C24" s="196">
        <v>1</v>
      </c>
      <c r="D24" s="306">
        <f>Qnty_ALL!G138</f>
        <v>2.62</v>
      </c>
      <c r="E24" s="496" t="s">
        <v>627</v>
      </c>
      <c r="F24" s="306">
        <f>Rates!F28</f>
        <v>19440.439999999999</v>
      </c>
      <c r="G24" s="307">
        <f>ROUND((C24*D24*F24),2)</f>
        <v>50933.95</v>
      </c>
    </row>
    <row r="25" spans="1:7" s="283" customFormat="1" ht="15" customHeight="1">
      <c r="A25" s="195">
        <v>11</v>
      </c>
      <c r="B25" s="196" t="s">
        <v>1133</v>
      </c>
      <c r="C25" s="196"/>
      <c r="D25" s="306"/>
      <c r="E25" s="496"/>
      <c r="F25" s="306"/>
      <c r="G25" s="307"/>
    </row>
    <row r="26" spans="1:7" s="283" customFormat="1" ht="15" customHeight="1">
      <c r="A26" s="195"/>
      <c r="B26" s="196" t="s">
        <v>1134</v>
      </c>
      <c r="C26" s="196"/>
      <c r="D26" s="306"/>
      <c r="E26" s="496"/>
      <c r="F26" s="306"/>
      <c r="G26" s="307"/>
    </row>
    <row r="27" spans="1:7" s="283" customFormat="1" ht="15" customHeight="1">
      <c r="A27" s="195"/>
      <c r="B27" s="196" t="s">
        <v>1145</v>
      </c>
      <c r="C27" s="196">
        <v>1</v>
      </c>
      <c r="D27" s="306">
        <f>Qnty_ALL!G174</f>
        <v>171.55</v>
      </c>
      <c r="E27" s="496" t="s">
        <v>627</v>
      </c>
      <c r="F27" s="306">
        <f>Rates!F65</f>
        <v>497.69</v>
      </c>
      <c r="G27" s="307">
        <f>ROUND((C27*D27*F27),2)</f>
        <v>85378.72</v>
      </c>
    </row>
    <row r="28" spans="1:7" s="283" customFormat="1" ht="15" customHeight="1">
      <c r="A28" s="195">
        <v>12</v>
      </c>
      <c r="B28" s="196" t="s">
        <v>976</v>
      </c>
      <c r="C28" s="196"/>
      <c r="D28" s="306"/>
      <c r="E28" s="496"/>
      <c r="F28" s="306"/>
      <c r="G28" s="307"/>
    </row>
    <row r="29" spans="1:7" s="283" customFormat="1" ht="15" customHeight="1">
      <c r="A29" s="195"/>
      <c r="B29" s="196" t="s">
        <v>1020</v>
      </c>
      <c r="C29" s="196">
        <v>1</v>
      </c>
      <c r="D29" s="306">
        <f>Qnty_ALL!G178</f>
        <v>96</v>
      </c>
      <c r="E29" s="496" t="s">
        <v>627</v>
      </c>
      <c r="F29" s="306">
        <f>Rates!F62</f>
        <v>637.57000000000005</v>
      </c>
      <c r="G29" s="307">
        <f>ROUND((C29*D29*F29),2)</f>
        <v>61206.720000000001</v>
      </c>
    </row>
    <row r="30" spans="1:7" s="283" customFormat="1" ht="15" customHeight="1">
      <c r="A30" s="195">
        <v>13</v>
      </c>
      <c r="B30" s="196" t="s">
        <v>977</v>
      </c>
      <c r="C30" s="196"/>
      <c r="D30" s="306"/>
      <c r="E30" s="496"/>
      <c r="F30" s="306"/>
      <c r="G30" s="307"/>
    </row>
    <row r="31" spans="1:7" s="283" customFormat="1" ht="15" customHeight="1">
      <c r="A31" s="195"/>
      <c r="B31" s="196" t="s">
        <v>969</v>
      </c>
      <c r="C31" s="196">
        <v>1</v>
      </c>
      <c r="D31" s="306">
        <f>Qnty_ALL!G184</f>
        <v>7.8</v>
      </c>
      <c r="E31" s="496" t="s">
        <v>627</v>
      </c>
      <c r="F31" s="306">
        <f>Rates!F67</f>
        <v>346.26</v>
      </c>
      <c r="G31" s="307">
        <f>ROUND((C31*D31*F31),2)</f>
        <v>2700.83</v>
      </c>
    </row>
    <row r="32" spans="1:7" s="283" customFormat="1" ht="15" customHeight="1">
      <c r="A32" s="195">
        <v>14</v>
      </c>
      <c r="B32" s="196" t="s">
        <v>1021</v>
      </c>
      <c r="C32" s="196"/>
      <c r="D32" s="306"/>
      <c r="E32" s="496"/>
      <c r="F32" s="306"/>
      <c r="G32" s="307"/>
    </row>
    <row r="33" spans="1:7" s="283" customFormat="1" ht="15" customHeight="1">
      <c r="A33" s="195"/>
      <c r="B33" s="196" t="s">
        <v>1022</v>
      </c>
      <c r="C33" s="196"/>
      <c r="D33" s="306"/>
      <c r="E33" s="496"/>
      <c r="F33" s="306"/>
      <c r="G33" s="307"/>
    </row>
    <row r="34" spans="1:7" s="283" customFormat="1" ht="15" customHeight="1">
      <c r="A34" s="195"/>
      <c r="B34" s="196" t="s">
        <v>1023</v>
      </c>
      <c r="C34" s="196">
        <v>1</v>
      </c>
      <c r="D34" s="306">
        <f>Qnty_ALL!G187</f>
        <v>68.89</v>
      </c>
      <c r="E34" s="496" t="s">
        <v>627</v>
      </c>
      <c r="F34" s="306">
        <f>Rates!F70</f>
        <v>400.29</v>
      </c>
      <c r="G34" s="307">
        <f>ROUND((C34*D34*F34),2)</f>
        <v>27575.98</v>
      </c>
    </row>
    <row r="35" spans="1:7" s="283" customFormat="1" ht="15" customHeight="1">
      <c r="A35" s="195">
        <v>15</v>
      </c>
      <c r="B35" s="196" t="s">
        <v>455</v>
      </c>
      <c r="C35" s="196"/>
      <c r="D35" s="306"/>
      <c r="E35" s="496"/>
      <c r="F35" s="306"/>
      <c r="G35" s="307"/>
    </row>
    <row r="36" spans="1:7" s="283" customFormat="1" ht="15" customHeight="1">
      <c r="A36" s="195"/>
      <c r="B36" s="196" t="s">
        <v>671</v>
      </c>
      <c r="C36" s="196"/>
      <c r="D36" s="306"/>
      <c r="E36" s="496"/>
      <c r="F36" s="306"/>
      <c r="G36" s="307"/>
    </row>
    <row r="37" spans="1:7" s="283" customFormat="1" ht="15" customHeight="1">
      <c r="A37" s="195"/>
      <c r="B37" s="196" t="s">
        <v>672</v>
      </c>
      <c r="C37" s="196"/>
      <c r="D37" s="306"/>
      <c r="E37" s="496"/>
      <c r="F37" s="306"/>
      <c r="G37" s="307"/>
    </row>
    <row r="38" spans="1:7" s="283" customFormat="1" ht="15" customHeight="1">
      <c r="A38" s="195"/>
      <c r="B38" s="196" t="s">
        <v>1026</v>
      </c>
      <c r="C38" s="196"/>
      <c r="D38" s="306" t="s">
        <v>1146</v>
      </c>
      <c r="E38" s="496"/>
      <c r="F38" s="306"/>
      <c r="G38" s="307">
        <v>2000</v>
      </c>
    </row>
    <row r="39" spans="1:7" s="283" customFormat="1" ht="15" customHeight="1">
      <c r="A39" s="195">
        <v>16</v>
      </c>
      <c r="B39" s="196" t="s">
        <v>1095</v>
      </c>
      <c r="C39" s="196"/>
      <c r="D39" s="306"/>
      <c r="E39" s="496"/>
      <c r="F39" s="306"/>
      <c r="G39" s="307"/>
    </row>
    <row r="40" spans="1:7" s="283" customFormat="1" ht="15" customHeight="1">
      <c r="A40" s="195"/>
      <c r="B40" s="196" t="s">
        <v>1096</v>
      </c>
      <c r="C40" s="196"/>
      <c r="D40" s="306"/>
      <c r="E40" s="496"/>
      <c r="F40" s="306"/>
      <c r="G40" s="307"/>
    </row>
    <row r="41" spans="1:7" s="283" customFormat="1" ht="15" customHeight="1">
      <c r="A41" s="195"/>
      <c r="B41" s="196" t="s">
        <v>978</v>
      </c>
      <c r="C41" s="196"/>
      <c r="D41" s="306"/>
      <c r="E41" s="496"/>
      <c r="F41" s="306"/>
      <c r="G41" s="307"/>
    </row>
    <row r="42" spans="1:7" s="283" customFormat="1" ht="15" customHeight="1">
      <c r="A42" s="195"/>
      <c r="B42" s="196" t="s">
        <v>979</v>
      </c>
      <c r="C42" s="196">
        <v>1</v>
      </c>
      <c r="D42" s="306">
        <f>Qnty_ALL!G194</f>
        <v>2</v>
      </c>
      <c r="E42" s="496" t="s">
        <v>1087</v>
      </c>
      <c r="F42" s="1787">
        <v>6500</v>
      </c>
      <c r="G42" s="307">
        <f>ROUND((C42*D42*F42),2)</f>
        <v>13000</v>
      </c>
    </row>
    <row r="43" spans="1:7" s="283" customFormat="1" ht="15" customHeight="1">
      <c r="A43" s="195">
        <v>17</v>
      </c>
      <c r="B43" s="196" t="s">
        <v>959</v>
      </c>
      <c r="C43" s="196"/>
      <c r="D43" s="306"/>
      <c r="E43" s="496"/>
      <c r="F43" s="306"/>
      <c r="G43" s="307"/>
    </row>
    <row r="44" spans="1:7" s="283" customFormat="1" ht="15" customHeight="1">
      <c r="A44" s="195"/>
      <c r="B44" s="196" t="s">
        <v>958</v>
      </c>
      <c r="C44" s="196">
        <v>1</v>
      </c>
      <c r="D44" s="306">
        <v>30</v>
      </c>
      <c r="E44" s="496" t="s">
        <v>965</v>
      </c>
      <c r="F44" s="306">
        <f>$E$213</f>
        <v>4110.88</v>
      </c>
      <c r="G44" s="307">
        <f>ROUND((C44*D44*F44),2)</f>
        <v>123326.39999999999</v>
      </c>
    </row>
    <row r="45" spans="1:7" ht="15" customHeight="1">
      <c r="A45" s="291"/>
      <c r="B45" s="292"/>
      <c r="C45" s="300"/>
      <c r="D45" s="2902" t="s">
        <v>1108</v>
      </c>
      <c r="E45" s="2884"/>
      <c r="F45" s="2885"/>
      <c r="G45" s="294">
        <f>ROUND(SUM(G6:G44),2)</f>
        <v>2384849.5</v>
      </c>
    </row>
    <row r="46" spans="1:7" s="283" customFormat="1" ht="12.95" customHeight="1">
      <c r="D46" s="284"/>
      <c r="E46" s="493"/>
      <c r="F46" s="284"/>
    </row>
    <row r="47" spans="1:7" s="283" customFormat="1" ht="12.95" customHeight="1">
      <c r="A47" s="285" t="s">
        <v>56</v>
      </c>
      <c r="D47" s="284"/>
      <c r="E47" s="493"/>
      <c r="F47" s="284"/>
    </row>
    <row r="48" spans="1:7" s="283" customFormat="1" ht="6.75" customHeight="1">
      <c r="D48" s="284"/>
      <c r="E48" s="493"/>
      <c r="F48" s="284"/>
    </row>
    <row r="49" spans="1:7" s="289" customFormat="1" ht="12.95" customHeight="1">
      <c r="A49" s="286" t="s">
        <v>961</v>
      </c>
      <c r="B49" s="287" t="s">
        <v>962</v>
      </c>
      <c r="C49" s="287" t="s">
        <v>1087</v>
      </c>
      <c r="D49" s="288" t="s">
        <v>964</v>
      </c>
      <c r="E49" s="494" t="s">
        <v>1035</v>
      </c>
      <c r="F49" s="288" t="s">
        <v>631</v>
      </c>
      <c r="G49" s="287" t="s">
        <v>1037</v>
      </c>
    </row>
    <row r="50" spans="1:7" s="283" customFormat="1" ht="12.95" customHeight="1">
      <c r="A50" s="191">
        <v>1</v>
      </c>
      <c r="B50" s="192" t="s">
        <v>966</v>
      </c>
      <c r="C50" s="196">
        <v>1</v>
      </c>
      <c r="D50" s="305">
        <f>Qnty_ALL!G199</f>
        <v>81</v>
      </c>
      <c r="E50" s="495" t="s">
        <v>1182</v>
      </c>
      <c r="F50" s="305">
        <f>Rates!F7</f>
        <v>149.5</v>
      </c>
      <c r="G50" s="290">
        <f>ROUND((C50*D50*F50),2)</f>
        <v>12109.5</v>
      </c>
    </row>
    <row r="51" spans="1:7" s="283" customFormat="1" ht="12.95" customHeight="1">
      <c r="A51" s="195">
        <v>2</v>
      </c>
      <c r="B51" s="196" t="s">
        <v>967</v>
      </c>
      <c r="C51" s="196"/>
      <c r="D51" s="306"/>
      <c r="E51" s="496"/>
      <c r="F51" s="306"/>
      <c r="G51" s="307"/>
    </row>
    <row r="52" spans="1:7" s="283" customFormat="1" ht="12.95" customHeight="1">
      <c r="A52" s="195"/>
      <c r="B52" s="196" t="s">
        <v>968</v>
      </c>
      <c r="C52" s="196">
        <v>1</v>
      </c>
      <c r="D52" s="306">
        <f>Qnty_ALL!G205</f>
        <v>129.38</v>
      </c>
      <c r="E52" s="496" t="s">
        <v>626</v>
      </c>
      <c r="F52" s="306">
        <f>Rates!F10</f>
        <v>1883.36</v>
      </c>
      <c r="G52" s="307">
        <f>ROUND((C52*D52*F52),2)</f>
        <v>243669.12</v>
      </c>
    </row>
    <row r="53" spans="1:7" s="283" customFormat="1" ht="12.95" customHeight="1">
      <c r="A53" s="195">
        <v>3</v>
      </c>
      <c r="B53" s="196" t="s">
        <v>1175</v>
      </c>
      <c r="C53" s="196"/>
      <c r="D53" s="306"/>
      <c r="E53" s="496"/>
      <c r="F53" s="306"/>
      <c r="G53" s="307"/>
    </row>
    <row r="54" spans="1:7" s="283" customFormat="1" ht="12.95" customHeight="1">
      <c r="A54" s="195"/>
      <c r="B54" s="196" t="s">
        <v>1222</v>
      </c>
      <c r="C54" s="196">
        <v>1</v>
      </c>
      <c r="D54" s="306">
        <f>Qnty_ALL!G221</f>
        <v>9.5399999999999991</v>
      </c>
      <c r="E54" s="496" t="s">
        <v>626</v>
      </c>
      <c r="F54" s="306">
        <f>Rates!F16</f>
        <v>710.7</v>
      </c>
      <c r="G54" s="307">
        <f>ROUND((C54*D54*F54),2)</f>
        <v>6780.08</v>
      </c>
    </row>
    <row r="55" spans="1:7" s="283" customFormat="1" ht="12.95" customHeight="1">
      <c r="A55" s="195" t="s">
        <v>984</v>
      </c>
      <c r="B55" s="196" t="s">
        <v>1178</v>
      </c>
      <c r="C55" s="196"/>
      <c r="D55" s="306"/>
      <c r="E55" s="496"/>
      <c r="F55" s="306"/>
      <c r="G55" s="307"/>
    </row>
    <row r="56" spans="1:7" s="283" customFormat="1" ht="12.95" customHeight="1">
      <c r="A56" s="195"/>
      <c r="B56" s="196" t="s">
        <v>1223</v>
      </c>
      <c r="C56" s="196">
        <v>1</v>
      </c>
      <c r="D56" s="306">
        <f>Qnty_ALL!G226</f>
        <v>16.87</v>
      </c>
      <c r="E56" s="496" t="s">
        <v>626</v>
      </c>
      <c r="F56" s="306">
        <f>Rates!F20</f>
        <v>11802.3</v>
      </c>
      <c r="G56" s="307">
        <f>ROUND((C56*D56*F56),2)</f>
        <v>199104.8</v>
      </c>
    </row>
    <row r="57" spans="1:7" s="283" customFormat="1" ht="12.95" customHeight="1">
      <c r="A57" s="195" t="s">
        <v>985</v>
      </c>
      <c r="B57" s="196" t="s">
        <v>986</v>
      </c>
      <c r="C57" s="196"/>
      <c r="D57" s="306"/>
      <c r="E57" s="496"/>
      <c r="F57" s="306"/>
      <c r="G57" s="307"/>
    </row>
    <row r="58" spans="1:7" s="283" customFormat="1" ht="12.95" customHeight="1">
      <c r="A58" s="195"/>
      <c r="B58" s="196" t="s">
        <v>1224</v>
      </c>
      <c r="C58" s="196">
        <v>1</v>
      </c>
      <c r="D58" s="306">
        <f>Qnty_ALL!G231</f>
        <v>8.58</v>
      </c>
      <c r="E58" s="496" t="s">
        <v>626</v>
      </c>
      <c r="F58" s="306">
        <f>Rates!F31</f>
        <v>14810.58</v>
      </c>
      <c r="G58" s="307">
        <f>ROUND((C58*D58*F58),2)</f>
        <v>127074.78</v>
      </c>
    </row>
    <row r="59" spans="1:7" s="283" customFormat="1" ht="12.95" customHeight="1">
      <c r="A59" s="195">
        <v>6</v>
      </c>
      <c r="B59" s="196" t="s">
        <v>1116</v>
      </c>
      <c r="C59" s="196"/>
      <c r="D59" s="306"/>
      <c r="E59" s="496"/>
      <c r="F59" s="306"/>
      <c r="G59" s="307"/>
    </row>
    <row r="60" spans="1:7" s="283" customFormat="1" ht="12.95" customHeight="1">
      <c r="A60" s="195"/>
      <c r="B60" s="196" t="s">
        <v>1225</v>
      </c>
      <c r="C60" s="196">
        <v>1</v>
      </c>
      <c r="D60" s="306">
        <f>Qnty_ALL!G233</f>
        <v>89.3</v>
      </c>
      <c r="E60" s="496" t="s">
        <v>627</v>
      </c>
      <c r="F60" s="1787">
        <f>Analysis!$R$192</f>
        <v>912.3</v>
      </c>
      <c r="G60" s="307">
        <f>ROUND((C60*D60*F60),2)</f>
        <v>81468.39</v>
      </c>
    </row>
    <row r="61" spans="1:7" s="283" customFormat="1" ht="12.95" customHeight="1">
      <c r="A61" s="195">
        <v>7</v>
      </c>
      <c r="B61" s="196" t="s">
        <v>899</v>
      </c>
      <c r="C61" s="196">
        <v>1</v>
      </c>
      <c r="D61" s="306">
        <f>Qnty_ALL!G254</f>
        <v>36.44</v>
      </c>
      <c r="E61" s="496" t="s">
        <v>626</v>
      </c>
      <c r="F61" s="306">
        <f>Rates!F33</f>
        <v>17163.13</v>
      </c>
      <c r="G61" s="307">
        <f>ROUND((C61*D61*F61),2)</f>
        <v>625424.46</v>
      </c>
    </row>
    <row r="62" spans="1:7" s="283" customFormat="1" ht="12.95" customHeight="1">
      <c r="A62" s="195">
        <v>8</v>
      </c>
      <c r="B62" s="196" t="s">
        <v>970</v>
      </c>
      <c r="C62" s="196"/>
      <c r="D62" s="306"/>
      <c r="E62" s="496"/>
      <c r="F62" s="306"/>
      <c r="G62" s="307"/>
    </row>
    <row r="63" spans="1:7" s="283" customFormat="1" ht="12.95" customHeight="1">
      <c r="A63" s="195"/>
      <c r="B63" s="196" t="s">
        <v>971</v>
      </c>
      <c r="C63" s="196">
        <v>1</v>
      </c>
      <c r="D63" s="306">
        <f>Qnty_ALL!G274</f>
        <v>252.93</v>
      </c>
      <c r="E63" s="496" t="s">
        <v>627</v>
      </c>
      <c r="F63" s="306">
        <f>Rates!F40</f>
        <v>1322.68</v>
      </c>
      <c r="G63" s="307">
        <f>ROUND((C63*D63*F63),2)</f>
        <v>334545.45</v>
      </c>
    </row>
    <row r="64" spans="1:7" s="283" customFormat="1" ht="12.95" customHeight="1">
      <c r="A64" s="195">
        <v>9</v>
      </c>
      <c r="B64" s="196" t="s">
        <v>1066</v>
      </c>
      <c r="C64" s="196"/>
      <c r="D64" s="306"/>
      <c r="E64" s="496"/>
      <c r="F64" s="306"/>
      <c r="G64" s="307"/>
    </row>
    <row r="65" spans="1:7" s="283" customFormat="1" ht="12.95" customHeight="1">
      <c r="A65" s="195"/>
      <c r="B65" s="196" t="s">
        <v>974</v>
      </c>
      <c r="C65" s="196"/>
      <c r="D65" s="306"/>
      <c r="E65" s="496"/>
      <c r="F65" s="306"/>
      <c r="G65" s="307"/>
    </row>
    <row r="66" spans="1:7" s="283" customFormat="1" ht="12.95" customHeight="1">
      <c r="A66" s="195"/>
      <c r="B66" s="196" t="s">
        <v>975</v>
      </c>
      <c r="C66" s="196">
        <v>1</v>
      </c>
      <c r="D66" s="306">
        <f>Qnty_ALL!G286</f>
        <v>1935.66</v>
      </c>
      <c r="E66" s="496" t="s">
        <v>1034</v>
      </c>
      <c r="F66" s="306">
        <f>Rates!F39</f>
        <v>125.35</v>
      </c>
      <c r="G66" s="307">
        <f>ROUND((C66*D66*F66),2)</f>
        <v>242634.98</v>
      </c>
    </row>
    <row r="67" spans="1:7" s="283" customFormat="1" ht="12.95" customHeight="1">
      <c r="A67" s="195">
        <v>10</v>
      </c>
      <c r="B67" s="196" t="s">
        <v>678</v>
      </c>
      <c r="C67" s="196"/>
      <c r="D67" s="306"/>
      <c r="E67" s="496"/>
      <c r="F67" s="306"/>
      <c r="G67" s="307"/>
    </row>
    <row r="68" spans="1:7" s="283" customFormat="1" ht="12.95" customHeight="1">
      <c r="A68" s="195"/>
      <c r="B68" s="196" t="s">
        <v>1144</v>
      </c>
      <c r="C68" s="196">
        <v>1</v>
      </c>
      <c r="D68" s="306">
        <f>Qnty_ALL!G327</f>
        <v>1.22</v>
      </c>
      <c r="E68" s="496" t="s">
        <v>626</v>
      </c>
      <c r="F68" s="306">
        <f>Rates!F28</f>
        <v>19440.439999999999</v>
      </c>
      <c r="G68" s="307">
        <f>ROUND((C68*D68*F68),2)</f>
        <v>23717.34</v>
      </c>
    </row>
    <row r="69" spans="1:7" s="283" customFormat="1" ht="12.95" customHeight="1">
      <c r="A69" s="195">
        <v>11</v>
      </c>
      <c r="B69" s="196" t="s">
        <v>1007</v>
      </c>
      <c r="C69" s="196"/>
      <c r="D69" s="306"/>
      <c r="E69" s="496"/>
      <c r="F69" s="306"/>
      <c r="G69" s="307"/>
    </row>
    <row r="70" spans="1:7" s="283" customFormat="1" ht="12.95" customHeight="1">
      <c r="A70" s="195"/>
      <c r="B70" s="196" t="s">
        <v>1017</v>
      </c>
      <c r="C70" s="196"/>
      <c r="D70" s="306"/>
      <c r="E70" s="496"/>
      <c r="F70" s="306"/>
      <c r="G70" s="307"/>
    </row>
    <row r="71" spans="1:7" s="283" customFormat="1" ht="12.95" customHeight="1">
      <c r="A71" s="195"/>
      <c r="B71" s="196" t="s">
        <v>1018</v>
      </c>
      <c r="C71" s="196">
        <v>1</v>
      </c>
      <c r="D71" s="306">
        <f>Qnty_ALL!G368</f>
        <v>271.17</v>
      </c>
      <c r="E71" s="496" t="s">
        <v>627</v>
      </c>
      <c r="F71" s="306">
        <f>Rates!F65</f>
        <v>497.69</v>
      </c>
      <c r="G71" s="307">
        <f>ROUND((C71*D71*F71),2)</f>
        <v>134958.6</v>
      </c>
    </row>
    <row r="72" spans="1:7" s="283" customFormat="1" ht="12.95" customHeight="1">
      <c r="A72" s="195">
        <v>12</v>
      </c>
      <c r="B72" s="196" t="s">
        <v>976</v>
      </c>
      <c r="C72" s="196"/>
      <c r="D72" s="306"/>
      <c r="E72" s="496"/>
      <c r="F72" s="306"/>
      <c r="G72" s="307"/>
    </row>
    <row r="73" spans="1:7" s="283" customFormat="1" ht="12.95" customHeight="1">
      <c r="A73" s="195"/>
      <c r="B73" s="196" t="s">
        <v>1226</v>
      </c>
      <c r="C73" s="196">
        <v>1</v>
      </c>
      <c r="D73" s="306">
        <f>Qnty_ALL!G374</f>
        <v>67.2</v>
      </c>
      <c r="E73" s="496" t="s">
        <v>627</v>
      </c>
      <c r="F73" s="306">
        <f>Rates!F62</f>
        <v>637.57000000000005</v>
      </c>
      <c r="G73" s="307">
        <f>ROUND((C73*D73*F73),2)</f>
        <v>42844.7</v>
      </c>
    </row>
    <row r="74" spans="1:7" s="283" customFormat="1" ht="12.95" customHeight="1">
      <c r="A74" s="195">
        <v>13</v>
      </c>
      <c r="B74" s="196" t="s">
        <v>977</v>
      </c>
      <c r="C74" s="196"/>
      <c r="D74" s="306"/>
      <c r="E74" s="496"/>
      <c r="F74" s="306"/>
      <c r="G74" s="307"/>
    </row>
    <row r="75" spans="1:7" s="283" customFormat="1" ht="12.95" customHeight="1">
      <c r="A75" s="195"/>
      <c r="B75" s="196" t="s">
        <v>969</v>
      </c>
      <c r="C75" s="196">
        <v>1</v>
      </c>
      <c r="D75" s="306">
        <f>Qnty_ALL!G380</f>
        <v>250.76</v>
      </c>
      <c r="E75" s="496" t="s">
        <v>627</v>
      </c>
      <c r="F75" s="306">
        <f>Rates!F67</f>
        <v>346.26</v>
      </c>
      <c r="G75" s="307">
        <f>ROUND((C75*D75*F75),2)</f>
        <v>86828.160000000003</v>
      </c>
    </row>
    <row r="76" spans="1:7" s="283" customFormat="1" ht="12.95" customHeight="1">
      <c r="A76" s="195">
        <v>14</v>
      </c>
      <c r="B76" s="196" t="s">
        <v>1021</v>
      </c>
      <c r="C76" s="196"/>
      <c r="D76" s="306"/>
      <c r="E76" s="496"/>
      <c r="F76" s="306"/>
      <c r="G76" s="307"/>
    </row>
    <row r="77" spans="1:7" s="283" customFormat="1" ht="12.95" customHeight="1">
      <c r="A77" s="195"/>
      <c r="B77" s="196" t="s">
        <v>1022</v>
      </c>
      <c r="C77" s="196"/>
      <c r="D77" s="306"/>
      <c r="E77" s="496"/>
      <c r="F77" s="306"/>
      <c r="G77" s="307"/>
    </row>
    <row r="78" spans="1:7" s="283" customFormat="1" ht="12.95" customHeight="1">
      <c r="A78" s="195"/>
      <c r="B78" s="196" t="s">
        <v>1023</v>
      </c>
      <c r="C78" s="196">
        <v>1</v>
      </c>
      <c r="D78" s="306">
        <f>Qnty_ALL!G381</f>
        <v>78.53</v>
      </c>
      <c r="E78" s="496" t="s">
        <v>627</v>
      </c>
      <c r="F78" s="306">
        <f>Rates!F70</f>
        <v>400.29</v>
      </c>
      <c r="G78" s="307">
        <f>ROUND((C78*D78*F78),2)</f>
        <v>31434.77</v>
      </c>
    </row>
    <row r="79" spans="1:7" s="283" customFormat="1" ht="12.95" customHeight="1">
      <c r="A79" s="195">
        <v>15</v>
      </c>
      <c r="B79" s="196" t="s">
        <v>1024</v>
      </c>
      <c r="C79" s="196"/>
      <c r="D79" s="306"/>
      <c r="E79" s="496"/>
      <c r="F79" s="306"/>
      <c r="G79" s="307"/>
    </row>
    <row r="80" spans="1:7" s="283" customFormat="1" ht="12.95" customHeight="1">
      <c r="A80" s="195"/>
      <c r="B80" s="196" t="s">
        <v>1025</v>
      </c>
      <c r="C80" s="196"/>
      <c r="D80" s="306"/>
      <c r="E80" s="496"/>
      <c r="F80" s="306"/>
      <c r="G80" s="307"/>
    </row>
    <row r="81" spans="1:7" s="283" customFormat="1" ht="12.95" customHeight="1">
      <c r="A81" s="195"/>
      <c r="B81" s="196" t="s">
        <v>1026</v>
      </c>
      <c r="C81" s="196">
        <v>1</v>
      </c>
      <c r="D81" s="306">
        <f>Qnty_ALL!G386</f>
        <v>21</v>
      </c>
      <c r="E81" s="496" t="s">
        <v>626</v>
      </c>
      <c r="F81" s="306">
        <f>'Mat-Collect_2'!$G$189</f>
        <v>9888.5499999999993</v>
      </c>
      <c r="G81" s="307">
        <f>ROUND((C81*D81*F81),2)</f>
        <v>207659.55</v>
      </c>
    </row>
    <row r="82" spans="1:7" s="283" customFormat="1" ht="12.95" customHeight="1">
      <c r="A82" s="195">
        <v>16</v>
      </c>
      <c r="B82" s="196" t="s">
        <v>1027</v>
      </c>
      <c r="C82" s="196"/>
      <c r="D82" s="306"/>
      <c r="E82" s="496"/>
      <c r="F82" s="306"/>
      <c r="G82" s="307"/>
    </row>
    <row r="83" spans="1:7" s="283" customFormat="1" ht="12.95" customHeight="1">
      <c r="A83" s="195"/>
      <c r="B83" s="196" t="s">
        <v>1025</v>
      </c>
      <c r="C83" s="196"/>
      <c r="D83" s="306"/>
      <c r="E83" s="496"/>
      <c r="F83" s="306"/>
      <c r="G83" s="307"/>
    </row>
    <row r="84" spans="1:7" s="283" customFormat="1" ht="12.95" customHeight="1">
      <c r="A84" s="195"/>
      <c r="B84" s="196" t="s">
        <v>1026</v>
      </c>
      <c r="C84" s="196">
        <v>1</v>
      </c>
      <c r="D84" s="306">
        <f>Qnty_ALL!G389</f>
        <v>31.5</v>
      </c>
      <c r="E84" s="496" t="s">
        <v>626</v>
      </c>
      <c r="F84" s="306">
        <f>'Mat-Collect_2'!$G$169</f>
        <v>12331.61</v>
      </c>
      <c r="G84" s="307">
        <f>ROUND((C84*D84*F84),2)</f>
        <v>388445.72</v>
      </c>
    </row>
    <row r="85" spans="1:7" s="283" customFormat="1" ht="12.95" customHeight="1">
      <c r="A85" s="195">
        <v>17</v>
      </c>
      <c r="B85" s="196" t="s">
        <v>1220</v>
      </c>
      <c r="C85" s="196"/>
      <c r="D85" s="306"/>
      <c r="E85" s="496"/>
      <c r="F85" s="306"/>
      <c r="G85" s="307"/>
    </row>
    <row r="86" spans="1:7" s="283" customFormat="1" ht="12.95" customHeight="1">
      <c r="A86" s="195"/>
      <c r="B86" s="196" t="s">
        <v>1025</v>
      </c>
      <c r="C86" s="196"/>
      <c r="D86" s="306"/>
      <c r="E86" s="496"/>
      <c r="F86" s="306"/>
      <c r="G86" s="307"/>
    </row>
    <row r="87" spans="1:7" s="283" customFormat="1" ht="12.95" customHeight="1">
      <c r="A87" s="195"/>
      <c r="B87" s="196" t="s">
        <v>1026</v>
      </c>
      <c r="C87" s="196">
        <v>1</v>
      </c>
      <c r="D87" s="306">
        <f>Qnty_ALL!G392</f>
        <v>31.5</v>
      </c>
      <c r="E87" s="496" t="s">
        <v>626</v>
      </c>
      <c r="F87" s="306">
        <f>'Mat-Collect_2'!$G$150</f>
        <v>17685.55</v>
      </c>
      <c r="G87" s="307">
        <f>ROUND((C87*D87*F87),2)</f>
        <v>557094.82999999996</v>
      </c>
    </row>
    <row r="88" spans="1:7" s="283" customFormat="1" ht="12.95" customHeight="1">
      <c r="A88" s="195">
        <v>18</v>
      </c>
      <c r="B88" s="196" t="s">
        <v>455</v>
      </c>
      <c r="C88" s="196"/>
      <c r="D88" s="306"/>
      <c r="E88" s="496"/>
      <c r="F88" s="306"/>
      <c r="G88" s="307"/>
    </row>
    <row r="89" spans="1:7" s="283" customFormat="1" ht="12.95" customHeight="1">
      <c r="A89" s="195"/>
      <c r="B89" s="196" t="s">
        <v>1028</v>
      </c>
      <c r="C89" s="196"/>
      <c r="D89" s="306"/>
      <c r="E89" s="496"/>
      <c r="F89" s="306"/>
      <c r="G89" s="307"/>
    </row>
    <row r="90" spans="1:7" s="283" customFormat="1" ht="12.95" customHeight="1">
      <c r="A90" s="195"/>
      <c r="B90" s="196" t="s">
        <v>676</v>
      </c>
      <c r="C90" s="196"/>
      <c r="D90" s="306"/>
      <c r="E90" s="496"/>
      <c r="F90" s="306"/>
      <c r="G90" s="307"/>
    </row>
    <row r="91" spans="1:7" s="283" customFormat="1" ht="12.95" customHeight="1">
      <c r="A91" s="195"/>
      <c r="B91" s="196" t="s">
        <v>677</v>
      </c>
      <c r="C91" s="196">
        <v>1</v>
      </c>
      <c r="D91" s="306">
        <f>Qnty_ALL!G396</f>
        <v>1</v>
      </c>
      <c r="E91" s="496" t="s">
        <v>1221</v>
      </c>
      <c r="F91" s="1787">
        <v>5000</v>
      </c>
      <c r="G91" s="307">
        <f>C91*D91*F91</f>
        <v>5000</v>
      </c>
    </row>
    <row r="92" spans="1:7" s="283" customFormat="1" ht="12.95" customHeight="1">
      <c r="A92" s="195">
        <v>19</v>
      </c>
      <c r="B92" s="196" t="s">
        <v>1095</v>
      </c>
      <c r="C92" s="196"/>
      <c r="D92" s="306"/>
      <c r="E92" s="496"/>
      <c r="F92" s="306"/>
      <c r="G92" s="307"/>
    </row>
    <row r="93" spans="1:7" s="283" customFormat="1" ht="12.95" customHeight="1">
      <c r="A93" s="195"/>
      <c r="B93" s="196" t="s">
        <v>1096</v>
      </c>
      <c r="C93" s="196"/>
      <c r="D93" s="306"/>
      <c r="E93" s="496"/>
      <c r="F93" s="306"/>
      <c r="G93" s="307"/>
    </row>
    <row r="94" spans="1:7" s="283" customFormat="1" ht="12.95" customHeight="1">
      <c r="A94" s="195"/>
      <c r="B94" s="196" t="s">
        <v>978</v>
      </c>
      <c r="C94" s="196"/>
      <c r="D94" s="306"/>
      <c r="E94" s="496"/>
      <c r="F94" s="306"/>
      <c r="G94" s="307"/>
    </row>
    <row r="95" spans="1:7" s="283" customFormat="1" ht="12.95" customHeight="1">
      <c r="A95" s="195"/>
      <c r="B95" s="196" t="s">
        <v>979</v>
      </c>
      <c r="C95" s="196">
        <v>1</v>
      </c>
      <c r="D95" s="306">
        <f>Qnty_ALL!G400</f>
        <v>2</v>
      </c>
      <c r="E95" s="496" t="s">
        <v>1082</v>
      </c>
      <c r="F95" s="1787">
        <v>6500</v>
      </c>
      <c r="G95" s="307">
        <f>ROUND((C95*D95*F95),2)</f>
        <v>13000</v>
      </c>
    </row>
    <row r="96" spans="1:7" s="283" customFormat="1" ht="12.95" customHeight="1">
      <c r="A96" s="195">
        <v>20</v>
      </c>
      <c r="B96" s="196" t="s">
        <v>960</v>
      </c>
      <c r="C96" s="196">
        <v>1</v>
      </c>
      <c r="D96" s="306">
        <v>24</v>
      </c>
      <c r="E96" s="496" t="s">
        <v>965</v>
      </c>
      <c r="F96" s="306">
        <f>$E$213</f>
        <v>4110.88</v>
      </c>
      <c r="G96" s="307">
        <f>ROUND((C96*D96*F96),2)</f>
        <v>98661.119999999995</v>
      </c>
    </row>
    <row r="97" spans="1:7" ht="12.95" customHeight="1">
      <c r="A97" s="2890"/>
      <c r="B97" s="2891"/>
      <c r="C97" s="2892"/>
      <c r="D97" s="2902" t="s">
        <v>1108</v>
      </c>
      <c r="E97" s="2884"/>
      <c r="F97" s="2885"/>
      <c r="G97" s="294">
        <f>ROUND(SUM(G50:G96),2)</f>
        <v>3462456.35</v>
      </c>
    </row>
    <row r="98" spans="1:7" ht="17.100000000000001" customHeight="1">
      <c r="A98" s="296"/>
      <c r="B98" s="296"/>
      <c r="C98" s="296"/>
      <c r="D98" s="301"/>
      <c r="E98" s="497"/>
      <c r="F98" s="301"/>
      <c r="G98" s="298"/>
    </row>
    <row r="99" spans="1:7" s="283" customFormat="1" ht="17.100000000000001" customHeight="1">
      <c r="A99" s="285" t="s">
        <v>7</v>
      </c>
      <c r="D99" s="284"/>
      <c r="E99" s="493"/>
      <c r="F99" s="284"/>
    </row>
    <row r="100" spans="1:7" s="283" customFormat="1" ht="8.25" customHeight="1">
      <c r="D100" s="284"/>
      <c r="E100" s="493"/>
      <c r="F100" s="284"/>
    </row>
    <row r="101" spans="1:7" s="289" customFormat="1" ht="17.100000000000001" customHeight="1">
      <c r="A101" s="286" t="s">
        <v>961</v>
      </c>
      <c r="B101" s="287" t="s">
        <v>962</v>
      </c>
      <c r="C101" s="287" t="s">
        <v>1087</v>
      </c>
      <c r="D101" s="288" t="s">
        <v>964</v>
      </c>
      <c r="E101" s="494" t="s">
        <v>1035</v>
      </c>
      <c r="F101" s="288" t="s">
        <v>631</v>
      </c>
      <c r="G101" s="287" t="s">
        <v>1037</v>
      </c>
    </row>
    <row r="102" spans="1:7" s="283" customFormat="1" ht="17.100000000000001" customHeight="1">
      <c r="A102" s="191">
        <v>1</v>
      </c>
      <c r="B102" s="192" t="s">
        <v>966</v>
      </c>
      <c r="C102" s="196">
        <v>1</v>
      </c>
      <c r="D102" s="305">
        <f>Qnty_ALL!G405</f>
        <v>196</v>
      </c>
      <c r="E102" s="495" t="s">
        <v>1182</v>
      </c>
      <c r="F102" s="305">
        <f>Rates!F7</f>
        <v>149.5</v>
      </c>
      <c r="G102" s="290">
        <f>ROUND((C102*D102*F102),2)</f>
        <v>29302</v>
      </c>
    </row>
    <row r="103" spans="1:7" s="283" customFormat="1" ht="17.100000000000001" customHeight="1">
      <c r="A103" s="195">
        <v>2</v>
      </c>
      <c r="B103" s="196" t="s">
        <v>967</v>
      </c>
      <c r="C103" s="196"/>
      <c r="D103" s="306"/>
      <c r="E103" s="496"/>
      <c r="F103" s="306"/>
      <c r="G103" s="307"/>
    </row>
    <row r="104" spans="1:7" s="283" customFormat="1" ht="17.100000000000001" customHeight="1">
      <c r="A104" s="195"/>
      <c r="B104" s="196" t="s">
        <v>968</v>
      </c>
      <c r="C104" s="196">
        <v>1</v>
      </c>
      <c r="D104" s="306">
        <f>Qnty_ALL!G413</f>
        <v>381.56</v>
      </c>
      <c r="E104" s="496" t="s">
        <v>626</v>
      </c>
      <c r="F104" s="306">
        <f>Rates!F10</f>
        <v>1883.36</v>
      </c>
      <c r="G104" s="307">
        <f>ROUND((C104*D104*F104),2)</f>
        <v>718614.84</v>
      </c>
    </row>
    <row r="105" spans="1:7" s="283" customFormat="1" ht="17.100000000000001" customHeight="1">
      <c r="A105" s="195">
        <v>3</v>
      </c>
      <c r="B105" s="196" t="s">
        <v>1002</v>
      </c>
      <c r="C105" s="196">
        <v>1</v>
      </c>
      <c r="D105" s="306">
        <f>Qnty_ALL!G417</f>
        <v>31.97</v>
      </c>
      <c r="E105" s="496" t="s">
        <v>626</v>
      </c>
      <c r="F105" s="306">
        <f>Rates!F16</f>
        <v>710.7</v>
      </c>
      <c r="G105" s="307">
        <f>ROUND((C105*D105*F105),2)</f>
        <v>22721.08</v>
      </c>
    </row>
    <row r="106" spans="1:7" s="283" customFormat="1" ht="25.5">
      <c r="A106" s="195">
        <v>4</v>
      </c>
      <c r="B106" s="196" t="s">
        <v>8</v>
      </c>
      <c r="C106" s="196">
        <v>1</v>
      </c>
      <c r="D106" s="306">
        <f>Qnty_ALL!G423</f>
        <v>40.1</v>
      </c>
      <c r="E106" s="496" t="s">
        <v>626</v>
      </c>
      <c r="F106" s="306">
        <f>Rates!F20</f>
        <v>11802.3</v>
      </c>
      <c r="G106" s="307">
        <f>ROUND((C106*D106*F106),2)</f>
        <v>473272.23</v>
      </c>
    </row>
    <row r="107" spans="1:7" s="283" customFormat="1" ht="17.100000000000001" customHeight="1">
      <c r="A107" s="195">
        <v>5</v>
      </c>
      <c r="B107" s="196" t="s">
        <v>986</v>
      </c>
      <c r="C107" s="196"/>
      <c r="D107" s="306"/>
      <c r="E107" s="496"/>
      <c r="F107" s="306"/>
      <c r="G107" s="307"/>
    </row>
    <row r="108" spans="1:7" s="283" customFormat="1" ht="17.100000000000001" customHeight="1">
      <c r="A108" s="195"/>
      <c r="B108" s="196" t="s">
        <v>987</v>
      </c>
      <c r="C108" s="196">
        <v>1</v>
      </c>
      <c r="D108" s="306">
        <f>Qnty_ALL!G429</f>
        <v>20.05</v>
      </c>
      <c r="E108" s="496" t="s">
        <v>626</v>
      </c>
      <c r="F108" s="306">
        <f>Rates!F31</f>
        <v>14810.58</v>
      </c>
      <c r="G108" s="307">
        <f>ROUND((C108*D108*F108),2)</f>
        <v>296952.13</v>
      </c>
    </row>
    <row r="109" spans="1:7" s="283" customFormat="1" ht="17.100000000000001" customHeight="1">
      <c r="A109" s="195">
        <v>6</v>
      </c>
      <c r="B109" s="196" t="s">
        <v>1238</v>
      </c>
      <c r="C109" s="196"/>
      <c r="D109" s="306"/>
      <c r="E109" s="496"/>
      <c r="F109" s="306"/>
      <c r="G109" s="307"/>
    </row>
    <row r="110" spans="1:7" s="283" customFormat="1" ht="17.100000000000001" customHeight="1">
      <c r="A110" s="195"/>
      <c r="B110" s="196" t="s">
        <v>9</v>
      </c>
      <c r="C110" s="196">
        <v>1</v>
      </c>
      <c r="D110" s="306">
        <f>Qnty_ALL!G433</f>
        <v>191.37</v>
      </c>
      <c r="E110" s="496" t="s">
        <v>627</v>
      </c>
      <c r="F110" s="306">
        <f>Analysis!$R$192</f>
        <v>912.3</v>
      </c>
      <c r="G110" s="307">
        <f>ROUND((C110*D110*F110),2)</f>
        <v>174586.85</v>
      </c>
    </row>
    <row r="111" spans="1:7" s="283" customFormat="1" ht="17.100000000000001" customHeight="1">
      <c r="A111" s="195">
        <v>7</v>
      </c>
      <c r="B111" s="196" t="s">
        <v>899</v>
      </c>
      <c r="C111" s="196">
        <v>1</v>
      </c>
      <c r="D111" s="306">
        <f>Qnty_ALL!G460</f>
        <v>92.69</v>
      </c>
      <c r="E111" s="496" t="s">
        <v>626</v>
      </c>
      <c r="F111" s="306">
        <f>Rates!F33</f>
        <v>17163.13</v>
      </c>
      <c r="G111" s="307">
        <f>ROUND((C111*D111*F111),2)</f>
        <v>1590850.52</v>
      </c>
    </row>
    <row r="112" spans="1:7" s="283" customFormat="1" ht="17.100000000000001" customHeight="1">
      <c r="A112" s="195">
        <v>8</v>
      </c>
      <c r="B112" s="196" t="s">
        <v>970</v>
      </c>
      <c r="C112" s="196"/>
      <c r="D112" s="306"/>
      <c r="E112" s="496"/>
      <c r="F112" s="306"/>
      <c r="G112" s="307"/>
    </row>
    <row r="113" spans="1:7" s="283" customFormat="1" ht="17.100000000000001" customHeight="1">
      <c r="A113" s="195"/>
      <c r="B113" s="196" t="s">
        <v>971</v>
      </c>
      <c r="C113" s="196">
        <v>1</v>
      </c>
      <c r="D113" s="306">
        <f>Qnty_ALL!G485</f>
        <v>385.99</v>
      </c>
      <c r="E113" s="496" t="s">
        <v>627</v>
      </c>
      <c r="F113" s="306">
        <f>Rates!F40</f>
        <v>1322.68</v>
      </c>
      <c r="G113" s="307">
        <f>ROUND((C113*D113*F113),2)</f>
        <v>510541.25</v>
      </c>
    </row>
    <row r="114" spans="1:7" s="283" customFormat="1" ht="17.100000000000001" customHeight="1">
      <c r="A114" s="195">
        <v>9</v>
      </c>
      <c r="B114" s="196" t="s">
        <v>972</v>
      </c>
      <c r="C114" s="196"/>
      <c r="D114" s="306"/>
      <c r="E114" s="496"/>
      <c r="F114" s="306"/>
      <c r="G114" s="307"/>
    </row>
    <row r="115" spans="1:7" s="283" customFormat="1" ht="17.100000000000001" customHeight="1">
      <c r="A115" s="195"/>
      <c r="B115" s="196" t="s">
        <v>974</v>
      </c>
      <c r="C115" s="196"/>
      <c r="D115" s="306"/>
      <c r="E115" s="496"/>
      <c r="F115" s="306"/>
      <c r="G115" s="307"/>
    </row>
    <row r="116" spans="1:7" s="283" customFormat="1" ht="17.100000000000001" customHeight="1">
      <c r="A116" s="195"/>
      <c r="B116" s="196" t="s">
        <v>975</v>
      </c>
      <c r="C116" s="196">
        <v>1</v>
      </c>
      <c r="D116" s="306">
        <f>Qnty_ALL!G543</f>
        <v>9965.43</v>
      </c>
      <c r="E116" s="496" t="s">
        <v>1034</v>
      </c>
      <c r="F116" s="306">
        <f>Rates!F39</f>
        <v>125.35</v>
      </c>
      <c r="G116" s="307">
        <f>ROUND((C116*D116*F116),2)</f>
        <v>1249166.6499999999</v>
      </c>
    </row>
    <row r="117" spans="1:7" s="283" customFormat="1" ht="17.100000000000001" customHeight="1">
      <c r="A117" s="195">
        <v>10</v>
      </c>
      <c r="B117" s="196" t="s">
        <v>678</v>
      </c>
      <c r="C117" s="196"/>
      <c r="D117" s="306"/>
      <c r="E117" s="496"/>
      <c r="F117" s="306"/>
      <c r="G117" s="307"/>
    </row>
    <row r="118" spans="1:7" s="283" customFormat="1" ht="17.100000000000001" customHeight="1">
      <c r="A118" s="195"/>
      <c r="B118" s="196" t="s">
        <v>1144</v>
      </c>
      <c r="C118" s="196">
        <v>1</v>
      </c>
      <c r="D118" s="306">
        <f>Qnty_ALL!G554</f>
        <v>6.1</v>
      </c>
      <c r="E118" s="496" t="s">
        <v>626</v>
      </c>
      <c r="F118" s="306">
        <f>Rates!F28</f>
        <v>19440.439999999999</v>
      </c>
      <c r="G118" s="307">
        <f>ROUND((C118*D118*F118),2)</f>
        <v>118586.68</v>
      </c>
    </row>
    <row r="119" spans="1:7" s="283" customFormat="1" ht="17.100000000000001" customHeight="1">
      <c r="A119" s="195">
        <v>11</v>
      </c>
      <c r="B119" s="196" t="s">
        <v>1007</v>
      </c>
      <c r="C119" s="196"/>
      <c r="D119" s="306"/>
      <c r="E119" s="496"/>
      <c r="F119" s="306"/>
      <c r="G119" s="307"/>
    </row>
    <row r="120" spans="1:7" s="283" customFormat="1" ht="17.100000000000001" customHeight="1">
      <c r="A120" s="195"/>
      <c r="B120" s="196" t="s">
        <v>1017</v>
      </c>
      <c r="C120" s="196"/>
      <c r="D120" s="306"/>
      <c r="E120" s="496"/>
      <c r="F120" s="306"/>
      <c r="G120" s="307"/>
    </row>
    <row r="121" spans="1:7" s="283" customFormat="1" ht="17.100000000000001" customHeight="1">
      <c r="A121" s="195"/>
      <c r="B121" s="196" t="s">
        <v>1018</v>
      </c>
      <c r="C121" s="196">
        <v>1</v>
      </c>
      <c r="D121" s="306">
        <f>Qnty_ALL!G601</f>
        <v>398.91</v>
      </c>
      <c r="E121" s="496" t="s">
        <v>627</v>
      </c>
      <c r="F121" s="306">
        <f>Rates!F65</f>
        <v>497.69</v>
      </c>
      <c r="G121" s="307">
        <f>ROUND((C121*D121*F121),2)</f>
        <v>198533.52</v>
      </c>
    </row>
    <row r="122" spans="1:7" s="283" customFormat="1" ht="17.100000000000001" customHeight="1">
      <c r="A122" s="195">
        <v>12</v>
      </c>
      <c r="B122" s="196" t="s">
        <v>976</v>
      </c>
      <c r="C122" s="196"/>
      <c r="D122" s="306"/>
      <c r="E122" s="496"/>
      <c r="F122" s="306"/>
      <c r="G122" s="307"/>
    </row>
    <row r="123" spans="1:7" s="283" customFormat="1" ht="17.100000000000001" customHeight="1">
      <c r="A123" s="195"/>
      <c r="B123" s="196" t="s">
        <v>1020</v>
      </c>
      <c r="C123" s="196">
        <v>1</v>
      </c>
      <c r="D123" s="306">
        <f>Qnty_ALL!G606</f>
        <v>145.44</v>
      </c>
      <c r="E123" s="496" t="s">
        <v>627</v>
      </c>
      <c r="F123" s="306">
        <f>Rates!$F$62</f>
        <v>637.57000000000005</v>
      </c>
      <c r="G123" s="307">
        <f>ROUND((C123*D123*F123),2)</f>
        <v>92728.18</v>
      </c>
    </row>
    <row r="124" spans="1:7" s="283" customFormat="1" ht="17.100000000000001" customHeight="1">
      <c r="A124" s="195">
        <v>13</v>
      </c>
      <c r="B124" s="196" t="s">
        <v>977</v>
      </c>
      <c r="C124" s="196"/>
      <c r="D124" s="306"/>
      <c r="E124" s="496"/>
      <c r="F124" s="306"/>
      <c r="G124" s="307"/>
    </row>
    <row r="125" spans="1:7" s="283" customFormat="1" ht="17.100000000000001" customHeight="1">
      <c r="A125" s="195"/>
      <c r="B125" s="196" t="s">
        <v>969</v>
      </c>
      <c r="C125" s="196">
        <v>1</v>
      </c>
      <c r="D125" s="306">
        <f>Qnty_ALL!G612</f>
        <v>364.7</v>
      </c>
      <c r="E125" s="496" t="s">
        <v>627</v>
      </c>
      <c r="F125" s="306">
        <f>Rates!F67</f>
        <v>346.26</v>
      </c>
      <c r="G125" s="307">
        <f>ROUND((C125*D125*F125),2)</f>
        <v>126281.02</v>
      </c>
    </row>
    <row r="126" spans="1:7" s="283" customFormat="1" ht="17.100000000000001" customHeight="1">
      <c r="A126" s="195">
        <v>14</v>
      </c>
      <c r="B126" s="196" t="s">
        <v>10</v>
      </c>
      <c r="C126" s="196"/>
      <c r="D126" s="306"/>
      <c r="E126" s="496"/>
      <c r="F126" s="306"/>
      <c r="G126" s="307"/>
    </row>
    <row r="127" spans="1:7" s="283" customFormat="1" ht="17.100000000000001" customHeight="1">
      <c r="A127" s="195"/>
      <c r="B127" s="196" t="s">
        <v>1247</v>
      </c>
      <c r="C127" s="196">
        <v>1</v>
      </c>
      <c r="D127" s="306">
        <f>Qnty_ALL!G618</f>
        <v>5.47</v>
      </c>
      <c r="E127" s="496" t="s">
        <v>626</v>
      </c>
      <c r="F127" s="306">
        <f>Rates!F28</f>
        <v>19440.439999999999</v>
      </c>
      <c r="G127" s="307">
        <f>ROUND((C127*D127*F127),2)</f>
        <v>106339.21</v>
      </c>
    </row>
    <row r="128" spans="1:7" s="283" customFormat="1" ht="17.100000000000001" customHeight="1">
      <c r="A128" s="195">
        <v>15</v>
      </c>
      <c r="B128" s="196" t="s">
        <v>0</v>
      </c>
      <c r="C128" s="196"/>
      <c r="D128" s="306"/>
      <c r="E128" s="496"/>
      <c r="F128" s="306"/>
      <c r="G128" s="307"/>
    </row>
    <row r="129" spans="1:7" s="283" customFormat="1" ht="17.100000000000001" customHeight="1">
      <c r="A129" s="195"/>
      <c r="B129" s="196" t="s">
        <v>456</v>
      </c>
      <c r="C129" s="196">
        <v>1</v>
      </c>
      <c r="D129" s="306">
        <f>Qnty_ALL!G620</f>
        <v>24.48</v>
      </c>
      <c r="E129" s="496" t="s">
        <v>1033</v>
      </c>
      <c r="F129" s="306">
        <f>'Entry for Rates'!F157</f>
        <v>1171.78</v>
      </c>
      <c r="G129" s="307">
        <f>ROUND((C129*D129*F129),2)</f>
        <v>28685.17</v>
      </c>
    </row>
    <row r="130" spans="1:7" s="283" customFormat="1" ht="17.100000000000001" customHeight="1">
      <c r="A130" s="195"/>
      <c r="B130" s="196" t="s">
        <v>457</v>
      </c>
      <c r="C130" s="196">
        <v>1</v>
      </c>
      <c r="D130" s="306">
        <f>Qnty_ALL!G621</f>
        <v>162.6</v>
      </c>
      <c r="E130" s="496" t="s">
        <v>1033</v>
      </c>
      <c r="F130" s="306">
        <f>'Entry for Rates'!F152</f>
        <v>242.55</v>
      </c>
      <c r="G130" s="307">
        <f>ROUND((C130*D130*F130),2)</f>
        <v>39438.629999999997</v>
      </c>
    </row>
    <row r="131" spans="1:7" s="283" customFormat="1" ht="17.100000000000001" customHeight="1">
      <c r="A131" s="195">
        <v>16</v>
      </c>
      <c r="B131" s="196" t="s">
        <v>1</v>
      </c>
      <c r="C131" s="196"/>
      <c r="D131" s="306"/>
      <c r="E131" s="496"/>
      <c r="F131" s="306"/>
      <c r="G131" s="307"/>
    </row>
    <row r="132" spans="1:7" s="283" customFormat="1" ht="17.100000000000001" customHeight="1">
      <c r="A132" s="195"/>
      <c r="B132" s="196" t="s">
        <v>2</v>
      </c>
      <c r="C132" s="196">
        <v>1</v>
      </c>
      <c r="D132" s="306">
        <f>Qnty_ALL!G623</f>
        <v>28.8</v>
      </c>
      <c r="E132" s="496" t="s">
        <v>626</v>
      </c>
      <c r="F132" s="306">
        <f>'Mat-Collect_2'!$G$150</f>
        <v>17685.55</v>
      </c>
      <c r="G132" s="307">
        <f>ROUND((C132*D132*F132),2)</f>
        <v>509343.84</v>
      </c>
    </row>
    <row r="133" spans="1:7" s="283" customFormat="1" ht="17.100000000000001" customHeight="1">
      <c r="A133" s="195">
        <v>17</v>
      </c>
      <c r="B133" s="196" t="s">
        <v>1</v>
      </c>
      <c r="C133" s="196"/>
      <c r="D133" s="306"/>
      <c r="E133" s="496"/>
      <c r="F133" s="306"/>
      <c r="G133" s="307"/>
    </row>
    <row r="134" spans="1:7" s="283" customFormat="1" ht="17.100000000000001" customHeight="1">
      <c r="A134" s="195"/>
      <c r="B134" s="196" t="s">
        <v>11</v>
      </c>
      <c r="C134" s="196">
        <v>1</v>
      </c>
      <c r="D134" s="306">
        <f>Qnty_ALL!G625</f>
        <v>21.6</v>
      </c>
      <c r="E134" s="496" t="s">
        <v>626</v>
      </c>
      <c r="F134" s="306">
        <f>'Mat-Collect_2'!$G$169</f>
        <v>12331.61</v>
      </c>
      <c r="G134" s="307">
        <f>ROUND((C134*D134*F134),2)</f>
        <v>266362.78000000003</v>
      </c>
    </row>
    <row r="135" spans="1:7" ht="15" customHeight="1">
      <c r="A135" s="296"/>
      <c r="B135" s="296"/>
      <c r="C135" s="296"/>
      <c r="D135" s="301"/>
      <c r="E135" s="497"/>
      <c r="F135" s="301"/>
      <c r="G135" s="298"/>
    </row>
    <row r="136" spans="1:7" s="283" customFormat="1" ht="15" customHeight="1">
      <c r="A136" s="285" t="s">
        <v>7</v>
      </c>
      <c r="D136" s="284"/>
      <c r="E136" s="493"/>
      <c r="F136" s="284"/>
    </row>
    <row r="137" spans="1:7" s="283" customFormat="1" ht="6.75" customHeight="1">
      <c r="A137" s="285"/>
      <c r="D137" s="284"/>
      <c r="E137" s="493"/>
      <c r="F137" s="284"/>
    </row>
    <row r="138" spans="1:7" s="289" customFormat="1" ht="15" customHeight="1">
      <c r="A138" s="286" t="s">
        <v>961</v>
      </c>
      <c r="B138" s="287" t="s">
        <v>962</v>
      </c>
      <c r="C138" s="287" t="s">
        <v>1087</v>
      </c>
      <c r="D138" s="288" t="s">
        <v>964</v>
      </c>
      <c r="E138" s="494" t="s">
        <v>1035</v>
      </c>
      <c r="F138" s="288" t="s">
        <v>631</v>
      </c>
      <c r="G138" s="287" t="s">
        <v>1037</v>
      </c>
    </row>
    <row r="139" spans="1:7" s="283" customFormat="1" ht="15" customHeight="1">
      <c r="A139" s="191">
        <v>18</v>
      </c>
      <c r="B139" s="192" t="s">
        <v>1</v>
      </c>
      <c r="C139" s="196"/>
      <c r="D139" s="305"/>
      <c r="E139" s="495"/>
      <c r="F139" s="305"/>
      <c r="G139" s="290"/>
    </row>
    <row r="140" spans="1:7" s="283" customFormat="1" ht="15" customHeight="1">
      <c r="A140" s="195"/>
      <c r="B140" s="196" t="s">
        <v>4</v>
      </c>
      <c r="C140" s="196">
        <v>1</v>
      </c>
      <c r="D140" s="306">
        <f>Qnty_ALL!G627</f>
        <v>21.6</v>
      </c>
      <c r="E140" s="496" t="s">
        <v>626</v>
      </c>
      <c r="F140" s="306">
        <f>'Mat-Collect_2'!$G$189</f>
        <v>9888.5499999999993</v>
      </c>
      <c r="G140" s="307">
        <f>ROUND((C140*D140*F140),2)</f>
        <v>213592.68</v>
      </c>
    </row>
    <row r="141" spans="1:7" s="283" customFormat="1" ht="15" customHeight="1">
      <c r="A141" s="195">
        <v>19</v>
      </c>
      <c r="B141" s="196" t="s">
        <v>68</v>
      </c>
      <c r="C141" s="196"/>
      <c r="D141" s="306"/>
      <c r="E141" s="496"/>
      <c r="F141" s="306"/>
      <c r="G141" s="307"/>
    </row>
    <row r="142" spans="1:7" s="283" customFormat="1" ht="15" customHeight="1">
      <c r="A142" s="195"/>
      <c r="B142" s="196" t="s">
        <v>69</v>
      </c>
      <c r="C142" s="196">
        <v>1</v>
      </c>
      <c r="D142" s="306">
        <f>Qnty_ALL!G629</f>
        <v>144</v>
      </c>
      <c r="E142" s="496" t="s">
        <v>626</v>
      </c>
      <c r="F142" s="306">
        <f>'Mat-Collect_2'!$G$131</f>
        <v>22493.7</v>
      </c>
      <c r="G142" s="307">
        <f>ROUND((C142*D142*F142),2)</f>
        <v>3239092.8</v>
      </c>
    </row>
    <row r="143" spans="1:7" s="283" customFormat="1" ht="15" customHeight="1">
      <c r="A143" s="195">
        <v>20</v>
      </c>
      <c r="B143" s="196" t="s">
        <v>12</v>
      </c>
      <c r="C143" s="196"/>
      <c r="D143" s="306"/>
      <c r="E143" s="496"/>
      <c r="F143" s="306"/>
      <c r="G143" s="307"/>
    </row>
    <row r="144" spans="1:7" s="283" customFormat="1" ht="15" customHeight="1">
      <c r="A144" s="195"/>
      <c r="B144" s="196" t="s">
        <v>13</v>
      </c>
      <c r="C144" s="196">
        <v>1</v>
      </c>
      <c r="D144" s="306">
        <f>Qnty_ALL!G636</f>
        <v>129.37</v>
      </c>
      <c r="E144" s="496" t="s">
        <v>627</v>
      </c>
      <c r="F144" s="306">
        <f>Rates!F70</f>
        <v>400.29</v>
      </c>
      <c r="G144" s="307">
        <f>ROUND((C144*D144*F144),2)</f>
        <v>51785.52</v>
      </c>
    </row>
    <row r="145" spans="1:7" s="283" customFormat="1" ht="15" customHeight="1">
      <c r="A145" s="195">
        <v>21</v>
      </c>
      <c r="B145" s="196" t="s">
        <v>458</v>
      </c>
      <c r="C145" s="196"/>
      <c r="D145" s="306"/>
      <c r="E145" s="496"/>
      <c r="F145" s="306"/>
      <c r="G145" s="307"/>
    </row>
    <row r="146" spans="1:7" s="283" customFormat="1" ht="15" customHeight="1">
      <c r="A146" s="195"/>
      <c r="B146" s="196" t="s">
        <v>14</v>
      </c>
      <c r="C146" s="196"/>
      <c r="D146" s="306"/>
      <c r="E146" s="496"/>
      <c r="F146" s="306"/>
      <c r="G146" s="307"/>
    </row>
    <row r="147" spans="1:7" s="283" customFormat="1" ht="15" customHeight="1">
      <c r="A147" s="195"/>
      <c r="B147" s="196" t="s">
        <v>15</v>
      </c>
      <c r="C147" s="196"/>
      <c r="D147" s="306"/>
      <c r="E147" s="496"/>
      <c r="F147" s="306"/>
      <c r="G147" s="307"/>
    </row>
    <row r="148" spans="1:7" s="283" customFormat="1" ht="15" customHeight="1">
      <c r="A148" s="195"/>
      <c r="B148" s="196" t="s">
        <v>1137</v>
      </c>
      <c r="C148" s="196">
        <v>1</v>
      </c>
      <c r="D148" s="306"/>
      <c r="E148" s="496" t="s">
        <v>16</v>
      </c>
      <c r="F148" s="306">
        <v>10000</v>
      </c>
      <c r="G148" s="307">
        <f>C148*F148</f>
        <v>10000</v>
      </c>
    </row>
    <row r="149" spans="1:7" s="283" customFormat="1" ht="15" customHeight="1">
      <c r="A149" s="195">
        <v>22</v>
      </c>
      <c r="B149" s="196" t="s">
        <v>679</v>
      </c>
      <c r="C149" s="196"/>
      <c r="D149" s="306"/>
      <c r="E149" s="496"/>
      <c r="F149" s="306"/>
      <c r="G149" s="307"/>
    </row>
    <row r="150" spans="1:7" s="283" customFormat="1" ht="15" customHeight="1">
      <c r="A150" s="195"/>
      <c r="B150" s="196" t="s">
        <v>459</v>
      </c>
      <c r="C150" s="196"/>
      <c r="D150" s="306"/>
      <c r="E150" s="496"/>
      <c r="F150" s="306"/>
      <c r="G150" s="307"/>
    </row>
    <row r="151" spans="1:7" s="283" customFormat="1" ht="15" customHeight="1">
      <c r="A151" s="195"/>
      <c r="B151" s="196" t="s">
        <v>17</v>
      </c>
      <c r="C151" s="196">
        <v>1</v>
      </c>
      <c r="D151" s="306"/>
      <c r="E151" s="496" t="s">
        <v>16</v>
      </c>
      <c r="F151" s="306">
        <v>10000</v>
      </c>
      <c r="G151" s="307">
        <f>C151*F151</f>
        <v>10000</v>
      </c>
    </row>
    <row r="152" spans="1:7" s="283" customFormat="1" ht="15" customHeight="1">
      <c r="A152" s="195">
        <v>23</v>
      </c>
      <c r="B152" s="196" t="s">
        <v>18</v>
      </c>
      <c r="C152" s="196"/>
      <c r="D152" s="306"/>
      <c r="E152" s="496"/>
      <c r="F152" s="306"/>
      <c r="G152" s="307"/>
    </row>
    <row r="153" spans="1:7" s="283" customFormat="1" ht="15" customHeight="1">
      <c r="A153" s="195"/>
      <c r="B153" s="196" t="s">
        <v>460</v>
      </c>
      <c r="C153" s="196"/>
      <c r="D153" s="306"/>
      <c r="E153" s="496"/>
      <c r="F153" s="306"/>
      <c r="G153" s="307"/>
    </row>
    <row r="154" spans="1:7" s="283" customFormat="1" ht="15" customHeight="1">
      <c r="A154" s="195"/>
      <c r="B154" s="196" t="s">
        <v>1234</v>
      </c>
      <c r="C154" s="196">
        <v>1</v>
      </c>
      <c r="D154" s="306"/>
      <c r="E154" s="496" t="s">
        <v>16</v>
      </c>
      <c r="F154" s="306">
        <v>5000</v>
      </c>
      <c r="G154" s="307">
        <f>C154*F154</f>
        <v>5000</v>
      </c>
    </row>
    <row r="155" spans="1:7" s="283" customFormat="1" ht="15" customHeight="1">
      <c r="A155" s="195">
        <v>24</v>
      </c>
      <c r="B155" s="196" t="s">
        <v>1095</v>
      </c>
      <c r="C155" s="196"/>
      <c r="D155" s="306"/>
      <c r="E155" s="496"/>
      <c r="F155" s="306"/>
      <c r="G155" s="307"/>
    </row>
    <row r="156" spans="1:7" s="283" customFormat="1" ht="15" customHeight="1">
      <c r="A156" s="195"/>
      <c r="B156" s="196" t="s">
        <v>1096</v>
      </c>
      <c r="C156" s="196"/>
      <c r="D156" s="306"/>
      <c r="E156" s="496"/>
      <c r="F156" s="306"/>
      <c r="G156" s="307"/>
    </row>
    <row r="157" spans="1:7" s="283" customFormat="1" ht="15" customHeight="1">
      <c r="A157" s="195"/>
      <c r="B157" s="196" t="s">
        <v>978</v>
      </c>
      <c r="C157" s="196"/>
      <c r="D157" s="306"/>
      <c r="E157" s="496"/>
      <c r="F157" s="306"/>
      <c r="G157" s="307"/>
    </row>
    <row r="158" spans="1:7" s="283" customFormat="1" ht="15" customHeight="1">
      <c r="A158" s="195"/>
      <c r="B158" s="196" t="s">
        <v>979</v>
      </c>
      <c r="C158" s="196">
        <v>1</v>
      </c>
      <c r="D158" s="306">
        <f>Qnty_ALL!G650</f>
        <v>4</v>
      </c>
      <c r="E158" s="496" t="s">
        <v>16</v>
      </c>
      <c r="F158" s="1787">
        <v>6500</v>
      </c>
      <c r="G158" s="307">
        <f>ROUND((C158*D158*F158),2)</f>
        <v>26000</v>
      </c>
    </row>
    <row r="159" spans="1:7" s="283" customFormat="1" ht="15" customHeight="1">
      <c r="A159" s="195">
        <v>25</v>
      </c>
      <c r="B159" s="196" t="s">
        <v>898</v>
      </c>
      <c r="C159" s="196">
        <v>1</v>
      </c>
      <c r="D159" s="306">
        <v>44</v>
      </c>
      <c r="E159" s="496" t="s">
        <v>965</v>
      </c>
      <c r="F159" s="306">
        <f>$E$213</f>
        <v>4110.88</v>
      </c>
      <c r="G159" s="307">
        <f>ROUND((C159*D159*F159),2)</f>
        <v>180878.72</v>
      </c>
    </row>
    <row r="160" spans="1:7" ht="15" customHeight="1">
      <c r="A160" s="2890"/>
      <c r="B160" s="2891"/>
      <c r="C160" s="2891"/>
      <c r="D160" s="2892"/>
      <c r="E160" s="2884" t="s">
        <v>1108</v>
      </c>
      <c r="F160" s="2885"/>
      <c r="G160" s="302">
        <f>ROUND(SUM(G102:G159),2)</f>
        <v>10288656.300000001</v>
      </c>
    </row>
    <row r="161" spans="1:7" ht="15" customHeight="1">
      <c r="A161" s="296"/>
      <c r="B161" s="296"/>
      <c r="C161" s="296"/>
      <c r="D161" s="296"/>
      <c r="E161" s="497"/>
      <c r="F161" s="297"/>
      <c r="G161" s="298"/>
    </row>
    <row r="162" spans="1:7" ht="15" customHeight="1">
      <c r="A162" s="285" t="s">
        <v>1032</v>
      </c>
      <c r="B162" s="296"/>
      <c r="C162" s="296"/>
      <c r="D162" s="296"/>
      <c r="E162" s="497"/>
      <c r="F162" s="297"/>
      <c r="G162" s="298"/>
    </row>
    <row r="163" spans="1:7" s="283" customFormat="1" ht="9" customHeight="1">
      <c r="B163" s="303"/>
      <c r="C163" s="303"/>
      <c r="D163" s="304"/>
      <c r="E163" s="498"/>
      <c r="F163" s="304"/>
      <c r="G163" s="303"/>
    </row>
    <row r="164" spans="1:7" s="289" customFormat="1" ht="15" customHeight="1">
      <c r="A164" s="286" t="s">
        <v>961</v>
      </c>
      <c r="B164" s="287" t="s">
        <v>962</v>
      </c>
      <c r="C164" s="287" t="s">
        <v>1087</v>
      </c>
      <c r="D164" s="288" t="s">
        <v>964</v>
      </c>
      <c r="E164" s="494" t="s">
        <v>1035</v>
      </c>
      <c r="F164" s="288" t="s">
        <v>631</v>
      </c>
      <c r="G164" s="287" t="s">
        <v>1037</v>
      </c>
    </row>
    <row r="165" spans="1:7" s="283" customFormat="1" ht="15" customHeight="1">
      <c r="A165" s="191">
        <v>1</v>
      </c>
      <c r="B165" s="192" t="s">
        <v>966</v>
      </c>
      <c r="C165" s="196">
        <v>1</v>
      </c>
      <c r="D165" s="305">
        <f>Qnty_ALL!G671</f>
        <v>4</v>
      </c>
      <c r="E165" s="495" t="s">
        <v>1165</v>
      </c>
      <c r="F165" s="305">
        <f>Rates!F7</f>
        <v>149.5</v>
      </c>
      <c r="G165" s="290">
        <f>ROUND((C165*D165*F165),2)</f>
        <v>598</v>
      </c>
    </row>
    <row r="166" spans="1:7" s="283" customFormat="1" ht="15" customHeight="1">
      <c r="A166" s="195">
        <v>2</v>
      </c>
      <c r="B166" s="196" t="s">
        <v>967</v>
      </c>
      <c r="C166" s="196"/>
      <c r="D166" s="306"/>
      <c r="E166" s="496"/>
      <c r="F166" s="306"/>
      <c r="G166" s="307"/>
    </row>
    <row r="167" spans="1:7" s="283" customFormat="1" ht="15" customHeight="1">
      <c r="A167" s="196"/>
      <c r="B167" s="196" t="s">
        <v>968</v>
      </c>
      <c r="C167" s="196">
        <v>1</v>
      </c>
      <c r="D167" s="306">
        <f>Qnty_ALL!G673</f>
        <v>0.9</v>
      </c>
      <c r="E167" s="496" t="s">
        <v>1102</v>
      </c>
      <c r="F167" s="306">
        <f>Rates!F10</f>
        <v>1883.36</v>
      </c>
      <c r="G167" s="290">
        <f>ROUND((C167*D167*F167),2)</f>
        <v>1695.02</v>
      </c>
    </row>
    <row r="168" spans="1:7" s="283" customFormat="1" ht="15" customHeight="1">
      <c r="A168" s="195">
        <v>3</v>
      </c>
      <c r="B168" s="196" t="s">
        <v>1147</v>
      </c>
      <c r="C168" s="196">
        <v>1</v>
      </c>
      <c r="D168" s="306">
        <f>Qnty_ALL!G674</f>
        <v>0.34</v>
      </c>
      <c r="E168" s="496" t="s">
        <v>1102</v>
      </c>
      <c r="F168" s="293">
        <f>Rates!$F$20</f>
        <v>11802.3</v>
      </c>
      <c r="G168" s="290">
        <f>ROUND((C168*D168*F168),2)</f>
        <v>4012.78</v>
      </c>
    </row>
    <row r="169" spans="1:7" s="283" customFormat="1" ht="15" customHeight="1">
      <c r="A169" s="195">
        <v>4</v>
      </c>
      <c r="B169" s="196" t="s">
        <v>1155</v>
      </c>
      <c r="C169" s="196">
        <v>1</v>
      </c>
      <c r="D169" s="306">
        <f>Qnty_ALL!G677</f>
        <v>0.26</v>
      </c>
      <c r="E169" s="496" t="s">
        <v>1102</v>
      </c>
      <c r="F169" s="306">
        <f>Rates!$F$32</f>
        <v>16022.87</v>
      </c>
      <c r="G169" s="290">
        <f>ROUND((C169*D169*F169),2)</f>
        <v>4165.95</v>
      </c>
    </row>
    <row r="170" spans="1:7" s="283" customFormat="1" ht="15" customHeight="1">
      <c r="A170" s="195">
        <v>5</v>
      </c>
      <c r="B170" s="196" t="s">
        <v>680</v>
      </c>
      <c r="C170" s="196"/>
      <c r="D170" s="306"/>
      <c r="E170" s="496"/>
      <c r="F170" s="306"/>
      <c r="G170" s="307"/>
    </row>
    <row r="171" spans="1:7" s="283" customFormat="1" ht="15" customHeight="1">
      <c r="A171" s="196"/>
      <c r="B171" s="196" t="s">
        <v>682</v>
      </c>
      <c r="C171" s="196">
        <v>1</v>
      </c>
      <c r="D171" s="306">
        <f>Qnty_ALL!G679</f>
        <v>0.24</v>
      </c>
      <c r="E171" s="496" t="s">
        <v>1102</v>
      </c>
      <c r="F171" s="306">
        <f>Rates!$F$28</f>
        <v>19440.439999999999</v>
      </c>
      <c r="G171" s="290">
        <f>ROUND((C171*D171*F171),2)</f>
        <v>4665.71</v>
      </c>
    </row>
    <row r="172" spans="1:7" s="283" customFormat="1" ht="15" customHeight="1">
      <c r="A172" s="195">
        <v>6</v>
      </c>
      <c r="B172" s="196" t="s">
        <v>461</v>
      </c>
      <c r="C172" s="196"/>
      <c r="D172" s="306"/>
      <c r="E172" s="496"/>
      <c r="F172" s="306"/>
      <c r="G172" s="307"/>
    </row>
    <row r="173" spans="1:7" s="283" customFormat="1" ht="15" customHeight="1">
      <c r="A173" s="196"/>
      <c r="B173" s="196" t="s">
        <v>1156</v>
      </c>
      <c r="C173" s="196"/>
      <c r="D173" s="306"/>
      <c r="E173" s="496"/>
      <c r="F173" s="306"/>
      <c r="G173" s="307"/>
    </row>
    <row r="174" spans="1:7" s="283" customFormat="1" ht="15" customHeight="1">
      <c r="A174" s="196"/>
      <c r="B174" s="196" t="s">
        <v>1157</v>
      </c>
      <c r="C174" s="196">
        <v>1</v>
      </c>
      <c r="D174" s="306">
        <f>Qnty_ALL!G681</f>
        <v>1</v>
      </c>
      <c r="E174" s="496" t="s">
        <v>1154</v>
      </c>
      <c r="F174" s="1787">
        <v>6500</v>
      </c>
      <c r="G174" s="307">
        <f>C174*D174*F174</f>
        <v>6500</v>
      </c>
    </row>
    <row r="175" spans="1:7" s="283" customFormat="1" ht="15" customHeight="1">
      <c r="A175" s="195">
        <v>7</v>
      </c>
      <c r="B175" s="196" t="s">
        <v>1150</v>
      </c>
      <c r="C175" s="196"/>
      <c r="D175" s="306"/>
      <c r="E175" s="496"/>
      <c r="F175" s="306"/>
      <c r="G175" s="307"/>
    </row>
    <row r="176" spans="1:7" s="283" customFormat="1" ht="15" customHeight="1">
      <c r="A176" s="196"/>
      <c r="B176" s="196" t="s">
        <v>1151</v>
      </c>
      <c r="C176" s="196"/>
      <c r="D176" s="306"/>
      <c r="E176" s="496"/>
      <c r="F176" s="306"/>
      <c r="G176" s="307"/>
    </row>
    <row r="177" spans="1:7" s="283" customFormat="1" ht="15" customHeight="1">
      <c r="A177" s="196"/>
      <c r="B177" s="196" t="s">
        <v>1152</v>
      </c>
      <c r="C177" s="196"/>
      <c r="D177" s="306"/>
      <c r="E177" s="496"/>
      <c r="F177" s="306"/>
      <c r="G177" s="307"/>
    </row>
    <row r="178" spans="1:7" s="283" customFormat="1" ht="15" customHeight="1">
      <c r="A178" s="308"/>
      <c r="B178" s="308" t="s">
        <v>462</v>
      </c>
      <c r="C178" s="196">
        <v>1</v>
      </c>
      <c r="D178" s="306">
        <f>Qnty_ALL!G685</f>
        <v>1</v>
      </c>
      <c r="E178" s="499" t="s">
        <v>1154</v>
      </c>
      <c r="F178" s="1787">
        <v>3000</v>
      </c>
      <c r="G178" s="307">
        <f>C178*D178*F178</f>
        <v>3000</v>
      </c>
    </row>
    <row r="179" spans="1:7" ht="12.6" customHeight="1">
      <c r="A179" s="2890"/>
      <c r="B179" s="2891"/>
      <c r="C179" s="2891"/>
      <c r="D179" s="2892"/>
      <c r="E179" s="2884" t="s">
        <v>1108</v>
      </c>
      <c r="F179" s="2885"/>
      <c r="G179" s="302">
        <f>ROUND(SUM(G165:G178),2)</f>
        <v>24637.46</v>
      </c>
    </row>
    <row r="180" spans="1:7" ht="18.75" customHeight="1">
      <c r="A180" s="296"/>
      <c r="B180" s="296"/>
      <c r="C180" s="296"/>
      <c r="D180" s="309"/>
      <c r="E180" s="497"/>
      <c r="F180" s="301"/>
      <c r="G180" s="298"/>
    </row>
    <row r="181" spans="1:7" s="283" customFormat="1" ht="17.100000000000001" customHeight="1">
      <c r="A181" s="285" t="s">
        <v>1036</v>
      </c>
      <c r="D181" s="284"/>
      <c r="E181" s="493"/>
      <c r="F181" s="284"/>
    </row>
    <row r="182" spans="1:7" s="283" customFormat="1" ht="8.25" customHeight="1">
      <c r="D182" s="284"/>
      <c r="E182" s="493"/>
      <c r="F182" s="284"/>
    </row>
    <row r="183" spans="1:7" s="289" customFormat="1" ht="17.100000000000001" customHeight="1">
      <c r="A183" s="286" t="s">
        <v>961</v>
      </c>
      <c r="B183" s="287" t="s">
        <v>962</v>
      </c>
      <c r="C183" s="287" t="s">
        <v>1087</v>
      </c>
      <c r="D183" s="288" t="s">
        <v>964</v>
      </c>
      <c r="E183" s="494" t="s">
        <v>1035</v>
      </c>
      <c r="F183" s="288" t="s">
        <v>631</v>
      </c>
      <c r="G183" s="287" t="s">
        <v>1037</v>
      </c>
    </row>
    <row r="184" spans="1:7" s="283" customFormat="1" ht="17.100000000000001" customHeight="1">
      <c r="A184" s="191">
        <v>1</v>
      </c>
      <c r="B184" s="192" t="s">
        <v>966</v>
      </c>
      <c r="C184" s="192">
        <v>1</v>
      </c>
      <c r="D184" s="305">
        <f>Qnty_ALL!G655</f>
        <v>16</v>
      </c>
      <c r="E184" s="496" t="s">
        <v>627</v>
      </c>
      <c r="F184" s="305">
        <f>Rates!F7</f>
        <v>149.5</v>
      </c>
      <c r="G184" s="290">
        <f>ROUND((C184*D184*F184),2)</f>
        <v>2392</v>
      </c>
    </row>
    <row r="185" spans="1:7" s="283" customFormat="1" ht="17.100000000000001" customHeight="1">
      <c r="A185" s="195">
        <v>2</v>
      </c>
      <c r="B185" s="196" t="s">
        <v>1104</v>
      </c>
      <c r="C185" s="196"/>
      <c r="D185" s="305"/>
      <c r="E185" s="496"/>
      <c r="F185" s="305"/>
      <c r="G185" s="310"/>
    </row>
    <row r="186" spans="1:7" s="283" customFormat="1" ht="17.100000000000001" customHeight="1">
      <c r="A186" s="196"/>
      <c r="B186" s="196" t="s">
        <v>1103</v>
      </c>
      <c r="C186" s="196">
        <v>1</v>
      </c>
      <c r="D186" s="305">
        <f>Qnty_ALL!G657</f>
        <v>5.6</v>
      </c>
      <c r="E186" s="496" t="s">
        <v>626</v>
      </c>
      <c r="F186" s="305">
        <f>Rates!F10</f>
        <v>1883.36</v>
      </c>
      <c r="G186" s="290">
        <f t="shared" ref="G186:G195" si="0">ROUND((C186*D186*F186),2)</f>
        <v>10546.82</v>
      </c>
    </row>
    <row r="187" spans="1:7" s="283" customFormat="1" ht="17.100000000000001" customHeight="1">
      <c r="A187" s="195">
        <v>3</v>
      </c>
      <c r="B187" s="196" t="s">
        <v>993</v>
      </c>
      <c r="C187" s="196">
        <v>1</v>
      </c>
      <c r="D187" s="305">
        <f>Qnty_ALL!G658</f>
        <v>3.2</v>
      </c>
      <c r="E187" s="496" t="s">
        <v>626</v>
      </c>
      <c r="F187" s="305">
        <f>Rates!F16</f>
        <v>710.7</v>
      </c>
      <c r="G187" s="290">
        <f t="shared" si="0"/>
        <v>2274.2399999999998</v>
      </c>
    </row>
    <row r="188" spans="1:7" s="283" customFormat="1" ht="17.100000000000001" customHeight="1">
      <c r="A188" s="195">
        <v>4</v>
      </c>
      <c r="B188" s="196" t="s">
        <v>986</v>
      </c>
      <c r="C188" s="196"/>
      <c r="D188" s="305"/>
      <c r="E188" s="496"/>
      <c r="F188" s="305"/>
      <c r="G188" s="310"/>
    </row>
    <row r="189" spans="1:7" s="283" customFormat="1" ht="17.100000000000001" customHeight="1">
      <c r="A189" s="195"/>
      <c r="B189" s="196" t="s">
        <v>987</v>
      </c>
      <c r="C189" s="196">
        <v>1</v>
      </c>
      <c r="D189" s="305">
        <f>Qnty_ALL!G660</f>
        <v>1.6</v>
      </c>
      <c r="E189" s="496" t="s">
        <v>626</v>
      </c>
      <c r="F189" s="305">
        <f>Rates!F31</f>
        <v>14810.58</v>
      </c>
      <c r="G189" s="290">
        <f t="shared" si="0"/>
        <v>23696.93</v>
      </c>
    </row>
    <row r="190" spans="1:7" s="283" customFormat="1" ht="17.100000000000001" customHeight="1">
      <c r="A190" s="195">
        <v>5</v>
      </c>
      <c r="B190" s="196" t="s">
        <v>994</v>
      </c>
      <c r="C190" s="196"/>
      <c r="D190" s="305"/>
      <c r="E190" s="496"/>
      <c r="F190" s="305"/>
      <c r="G190" s="310"/>
    </row>
    <row r="191" spans="1:7" s="283" customFormat="1" ht="17.100000000000001" customHeight="1">
      <c r="A191" s="196"/>
      <c r="B191" s="196" t="s">
        <v>995</v>
      </c>
      <c r="C191" s="196">
        <v>1</v>
      </c>
      <c r="D191" s="305">
        <f>Qnty_ALL!G662</f>
        <v>1.6</v>
      </c>
      <c r="E191" s="496" t="s">
        <v>627</v>
      </c>
      <c r="F191" s="305">
        <f>Rates!$F$32</f>
        <v>16022.87</v>
      </c>
      <c r="G191" s="290">
        <f t="shared" si="0"/>
        <v>25636.59</v>
      </c>
    </row>
    <row r="192" spans="1:7" s="283" customFormat="1" ht="17.100000000000001" customHeight="1">
      <c r="A192" s="195">
        <v>6</v>
      </c>
      <c r="B192" s="196" t="s">
        <v>976</v>
      </c>
      <c r="C192" s="196"/>
      <c r="D192" s="305"/>
      <c r="E192" s="496"/>
      <c r="F192" s="305"/>
      <c r="G192" s="310"/>
    </row>
    <row r="193" spans="1:7" s="283" customFormat="1" ht="17.100000000000001" customHeight="1">
      <c r="A193" s="196"/>
      <c r="B193" s="196" t="s">
        <v>1020</v>
      </c>
      <c r="C193" s="196">
        <v>1</v>
      </c>
      <c r="D193" s="305">
        <f>Qnty_ALL!G664</f>
        <v>16</v>
      </c>
      <c r="E193" s="496" t="s">
        <v>627</v>
      </c>
      <c r="F193" s="305">
        <f>Rates!$F$62</f>
        <v>637.57000000000005</v>
      </c>
      <c r="G193" s="290">
        <f t="shared" si="0"/>
        <v>10201.120000000001</v>
      </c>
    </row>
    <row r="194" spans="1:7" s="283" customFormat="1" ht="17.100000000000001" customHeight="1">
      <c r="A194" s="195">
        <v>7</v>
      </c>
      <c r="B194" s="196" t="s">
        <v>977</v>
      </c>
      <c r="C194" s="196"/>
      <c r="D194" s="305"/>
      <c r="E194" s="496"/>
      <c r="F194" s="305"/>
      <c r="G194" s="310"/>
    </row>
    <row r="195" spans="1:7" s="283" customFormat="1" ht="17.100000000000001" customHeight="1">
      <c r="A195" s="311"/>
      <c r="B195" s="308" t="s">
        <v>969</v>
      </c>
      <c r="C195" s="308">
        <v>1</v>
      </c>
      <c r="D195" s="305">
        <f>Qnty_ALL!G666</f>
        <v>16</v>
      </c>
      <c r="E195" s="499" t="s">
        <v>626</v>
      </c>
      <c r="F195" s="305">
        <f>Rates!F67</f>
        <v>346.26</v>
      </c>
      <c r="G195" s="290">
        <f t="shared" si="0"/>
        <v>5540.16</v>
      </c>
    </row>
    <row r="196" spans="1:7" ht="17.100000000000001" customHeight="1">
      <c r="A196" s="2890"/>
      <c r="B196" s="2891"/>
      <c r="C196" s="2891"/>
      <c r="D196" s="2892"/>
      <c r="E196" s="2884" t="s">
        <v>1108</v>
      </c>
      <c r="F196" s="2885"/>
      <c r="G196" s="302">
        <f>ROUND(SUM(G184:G195),2)</f>
        <v>80287.86</v>
      </c>
    </row>
    <row r="197" spans="1:7" s="283" customFormat="1" ht="17.100000000000001" customHeight="1">
      <c r="A197" s="190"/>
      <c r="B197" s="190"/>
      <c r="C197" s="190"/>
      <c r="D197" s="309"/>
      <c r="E197" s="500"/>
      <c r="F197" s="309"/>
      <c r="G197" s="2"/>
    </row>
    <row r="198" spans="1:7" s="283" customFormat="1" ht="17.100000000000001" customHeight="1">
      <c r="A198" s="285" t="s">
        <v>1158</v>
      </c>
      <c r="B198" s="303"/>
      <c r="C198" s="303"/>
      <c r="D198" s="304"/>
      <c r="E198" s="498"/>
      <c r="F198" s="304"/>
      <c r="G198" s="303"/>
    </row>
    <row r="199" spans="1:7" s="289" customFormat="1" ht="17.100000000000001" customHeight="1">
      <c r="A199" s="286" t="s">
        <v>961</v>
      </c>
      <c r="B199" s="287" t="s">
        <v>962</v>
      </c>
      <c r="C199" s="287" t="s">
        <v>1087</v>
      </c>
      <c r="D199" s="288" t="s">
        <v>964</v>
      </c>
      <c r="E199" s="494" t="s">
        <v>1035</v>
      </c>
      <c r="F199" s="288" t="s">
        <v>631</v>
      </c>
      <c r="G199" s="287" t="s">
        <v>1037</v>
      </c>
    </row>
    <row r="200" spans="1:7" s="283" customFormat="1" ht="17.100000000000001" customHeight="1">
      <c r="A200" s="191">
        <v>1</v>
      </c>
      <c r="B200" s="192" t="s">
        <v>966</v>
      </c>
      <c r="C200" s="192">
        <v>1</v>
      </c>
      <c r="D200" s="305">
        <f>Qnty_ALL!G691</f>
        <v>16</v>
      </c>
      <c r="E200" s="496" t="s">
        <v>1165</v>
      </c>
      <c r="F200" s="305">
        <f>Rates!F7</f>
        <v>149.5</v>
      </c>
      <c r="G200" s="290">
        <f>ROUND((C200*D200*F200),2)</f>
        <v>2392</v>
      </c>
    </row>
    <row r="201" spans="1:7" s="283" customFormat="1" ht="17.100000000000001" customHeight="1">
      <c r="A201" s="195">
        <v>2</v>
      </c>
      <c r="B201" s="196" t="s">
        <v>1167</v>
      </c>
      <c r="C201" s="196"/>
      <c r="D201" s="305"/>
      <c r="E201" s="496"/>
      <c r="F201" s="306"/>
      <c r="G201" s="313"/>
    </row>
    <row r="202" spans="1:7" s="283" customFormat="1" ht="17.100000000000001" customHeight="1">
      <c r="A202" s="195"/>
      <c r="B202" s="196" t="s">
        <v>1166</v>
      </c>
      <c r="C202" s="196">
        <v>1</v>
      </c>
      <c r="D202" s="305">
        <f>Qnty_ALL!G697</f>
        <v>4.8</v>
      </c>
      <c r="E202" s="496" t="s">
        <v>626</v>
      </c>
      <c r="F202" s="306">
        <f>Rates!F10</f>
        <v>1883.36</v>
      </c>
      <c r="G202" s="290">
        <f>ROUND((C202*D202*F202),2)</f>
        <v>9040.1299999999992</v>
      </c>
    </row>
    <row r="203" spans="1:7" s="283" customFormat="1" ht="17.100000000000001" customHeight="1">
      <c r="A203" s="195">
        <v>3</v>
      </c>
      <c r="B203" s="196" t="s">
        <v>1159</v>
      </c>
      <c r="C203" s="196"/>
      <c r="D203" s="305"/>
      <c r="E203" s="496"/>
      <c r="F203" s="306"/>
      <c r="G203" s="313"/>
    </row>
    <row r="204" spans="1:7" s="283" customFormat="1" ht="17.100000000000001" customHeight="1">
      <c r="A204" s="195"/>
      <c r="B204" s="196" t="s">
        <v>1001</v>
      </c>
      <c r="C204" s="196">
        <v>1</v>
      </c>
      <c r="D204" s="305">
        <f>Qnty_ALL!G699</f>
        <v>1</v>
      </c>
      <c r="E204" s="496" t="s">
        <v>626</v>
      </c>
      <c r="F204" s="306">
        <f>Rates!F16</f>
        <v>710.7</v>
      </c>
      <c r="G204" s="290">
        <f>ROUND((C204*D204*F204),2)</f>
        <v>710.7</v>
      </c>
    </row>
    <row r="205" spans="1:7" s="283" customFormat="1" ht="17.100000000000001" customHeight="1">
      <c r="A205" s="195">
        <v>4</v>
      </c>
      <c r="B205" s="196" t="s">
        <v>1170</v>
      </c>
      <c r="C205" s="196">
        <v>1</v>
      </c>
      <c r="D205" s="305">
        <f>Qnty_ALL!G701</f>
        <v>1.5</v>
      </c>
      <c r="E205" s="496" t="s">
        <v>626</v>
      </c>
      <c r="F205" s="306">
        <f>Rates!$F$20</f>
        <v>11802.3</v>
      </c>
      <c r="G205" s="290">
        <f>ROUND((C205*D205*F205),2)</f>
        <v>17703.45</v>
      </c>
    </row>
    <row r="206" spans="1:7" s="283" customFormat="1" ht="17.100000000000001" customHeight="1">
      <c r="A206" s="195">
        <v>5</v>
      </c>
      <c r="B206" s="196" t="s">
        <v>1168</v>
      </c>
      <c r="C206" s="196">
        <v>1</v>
      </c>
      <c r="D206" s="305">
        <f>Qnty_ALL!G702</f>
        <v>0.4</v>
      </c>
      <c r="E206" s="496" t="s">
        <v>626</v>
      </c>
      <c r="F206" s="306">
        <f>Rates!F31</f>
        <v>14810.58</v>
      </c>
      <c r="G206" s="290">
        <f>ROUND((C206*D206*F206),2)</f>
        <v>5924.23</v>
      </c>
    </row>
    <row r="207" spans="1:7" s="283" customFormat="1" ht="17.100000000000001" customHeight="1">
      <c r="A207" s="195">
        <v>6</v>
      </c>
      <c r="B207" s="312" t="s">
        <v>1161</v>
      </c>
      <c r="C207" s="312"/>
      <c r="D207" s="305"/>
      <c r="E207" s="496"/>
      <c r="F207" s="306"/>
      <c r="G207" s="313"/>
    </row>
    <row r="208" spans="1:7" s="283" customFormat="1" ht="17.100000000000001" customHeight="1">
      <c r="A208" s="195"/>
      <c r="B208" s="196" t="s">
        <v>1169</v>
      </c>
      <c r="C208" s="196">
        <v>1</v>
      </c>
      <c r="D208" s="305">
        <f>Qnty_ALL!G708</f>
        <v>0</v>
      </c>
      <c r="E208" s="496" t="s">
        <v>626</v>
      </c>
      <c r="F208" s="306">
        <f>Rates!$F$29</f>
        <v>19076.75</v>
      </c>
      <c r="G208" s="290">
        <f>ROUND((C208*D208*F208),2)</f>
        <v>0</v>
      </c>
    </row>
    <row r="209" spans="1:7" s="283" customFormat="1" ht="17.100000000000001" customHeight="1">
      <c r="A209" s="195">
        <v>7</v>
      </c>
      <c r="B209" s="312" t="s">
        <v>1133</v>
      </c>
      <c r="C209" s="312"/>
      <c r="D209" s="305"/>
      <c r="E209" s="496"/>
      <c r="F209" s="306"/>
      <c r="G209" s="313"/>
    </row>
    <row r="210" spans="1:7" s="283" customFormat="1" ht="17.100000000000001" customHeight="1">
      <c r="A210" s="311"/>
      <c r="B210" s="308" t="s">
        <v>1171</v>
      </c>
      <c r="C210" s="308">
        <v>1</v>
      </c>
      <c r="D210" s="305">
        <f>Qnty_ALL!G709</f>
        <v>10.6</v>
      </c>
      <c r="E210" s="499" t="s">
        <v>1165</v>
      </c>
      <c r="F210" s="314">
        <f>Rates!$F$60</f>
        <v>503.61</v>
      </c>
      <c r="G210" s="290">
        <f>ROUND((C210*D210*F210),2)</f>
        <v>5338.27</v>
      </c>
    </row>
    <row r="211" spans="1:7" ht="17.100000000000001" customHeight="1">
      <c r="A211" s="2890"/>
      <c r="B211" s="2891"/>
      <c r="C211" s="2891"/>
      <c r="D211" s="2892"/>
      <c r="E211" s="2884" t="s">
        <v>1108</v>
      </c>
      <c r="F211" s="2885"/>
      <c r="G211" s="302">
        <f>ROUND(SUM(G200:G210),2)</f>
        <v>41108.78</v>
      </c>
    </row>
    <row r="212" spans="1:7" s="283" customFormat="1" ht="17.100000000000001" customHeight="1">
      <c r="A212" s="2911" t="s">
        <v>957</v>
      </c>
      <c r="B212" s="2911"/>
      <c r="C212" s="2911"/>
      <c r="D212" s="2911"/>
      <c r="E212" s="501"/>
      <c r="F212" s="315"/>
      <c r="G212" s="316">
        <f>ROUND(($G$211/10),2)</f>
        <v>4110.88</v>
      </c>
    </row>
    <row r="213" spans="1:7" s="283" customFormat="1" ht="17.100000000000001" customHeight="1">
      <c r="A213" s="317" t="s">
        <v>730</v>
      </c>
      <c r="B213" s="318"/>
      <c r="C213" s="318"/>
      <c r="D213" s="319">
        <v>120</v>
      </c>
      <c r="E213" s="502">
        <f>G212</f>
        <v>4110.88</v>
      </c>
      <c r="F213" s="320"/>
      <c r="G213" s="321">
        <f>E213*D213</f>
        <v>493305.60000000003</v>
      </c>
    </row>
    <row r="214" spans="1:7" s="283" customFormat="1" ht="17.100000000000001" customHeight="1">
      <c r="A214" s="2907"/>
      <c r="B214" s="2907"/>
      <c r="C214" s="2907"/>
      <c r="D214" s="2907"/>
      <c r="E214" s="2907"/>
      <c r="F214" s="2907"/>
      <c r="G214" s="2907"/>
    </row>
    <row r="215" spans="1:7" s="283" customFormat="1" ht="17.100000000000001" customHeight="1">
      <c r="A215" s="285" t="s">
        <v>902</v>
      </c>
      <c r="B215" s="190"/>
      <c r="C215" s="190"/>
      <c r="D215" s="309"/>
      <c r="E215" s="500"/>
      <c r="F215" s="309"/>
      <c r="G215" s="190"/>
    </row>
    <row r="216" spans="1:7" s="283" customFormat="1" ht="12.75" customHeight="1">
      <c r="A216" s="285"/>
      <c r="B216" s="190"/>
      <c r="C216" s="190"/>
      <c r="D216" s="309"/>
      <c r="E216" s="500"/>
      <c r="F216" s="309"/>
      <c r="G216" s="190"/>
    </row>
    <row r="217" spans="1:7" s="289" customFormat="1" ht="17.100000000000001" customHeight="1">
      <c r="A217" s="286" t="s">
        <v>961</v>
      </c>
      <c r="B217" s="287" t="s">
        <v>962</v>
      </c>
      <c r="C217" s="287" t="s">
        <v>1087</v>
      </c>
      <c r="D217" s="288" t="s">
        <v>964</v>
      </c>
      <c r="E217" s="494" t="s">
        <v>1035</v>
      </c>
      <c r="F217" s="288" t="s">
        <v>631</v>
      </c>
      <c r="G217" s="287" t="s">
        <v>1037</v>
      </c>
    </row>
    <row r="218" spans="1:7" s="283" customFormat="1" ht="17.100000000000001" customHeight="1">
      <c r="A218" s="322"/>
      <c r="B218" s="323" t="s">
        <v>25</v>
      </c>
      <c r="C218" s="323"/>
      <c r="D218" s="324"/>
      <c r="E218" s="503"/>
      <c r="F218" s="324"/>
      <c r="G218" s="325"/>
    </row>
    <row r="219" spans="1:7" s="283" customFormat="1" ht="17.100000000000001" customHeight="1">
      <c r="A219" s="196">
        <v>1</v>
      </c>
      <c r="B219" s="196" t="s">
        <v>26</v>
      </c>
      <c r="C219" s="326"/>
      <c r="D219" s="327" t="s">
        <v>1081</v>
      </c>
      <c r="E219" s="504"/>
      <c r="F219" s="305"/>
      <c r="G219" s="328">
        <v>1000</v>
      </c>
    </row>
    <row r="220" spans="1:7" s="283" customFormat="1" ht="17.100000000000001" customHeight="1">
      <c r="A220" s="196">
        <v>2</v>
      </c>
      <c r="B220" s="196" t="s">
        <v>926</v>
      </c>
      <c r="C220" s="326"/>
      <c r="D220" s="327"/>
      <c r="E220" s="505"/>
      <c r="F220" s="305"/>
      <c r="G220" s="328"/>
    </row>
    <row r="221" spans="1:7" s="283" customFormat="1" ht="17.100000000000001" customHeight="1">
      <c r="A221" s="196"/>
      <c r="B221" s="196" t="s">
        <v>28</v>
      </c>
      <c r="C221" s="326">
        <v>1</v>
      </c>
      <c r="D221" s="327">
        <f>Qnty_ALL!G718</f>
        <v>4.33</v>
      </c>
      <c r="E221" s="504" t="s">
        <v>29</v>
      </c>
      <c r="F221" s="305">
        <f>Rates!F10</f>
        <v>1883.36</v>
      </c>
      <c r="G221" s="328">
        <f>ROUND((C221*D221*F221),2)</f>
        <v>8154.95</v>
      </c>
    </row>
    <row r="222" spans="1:7" s="283" customFormat="1" ht="17.100000000000001" customHeight="1">
      <c r="A222" s="196">
        <v>3</v>
      </c>
      <c r="B222" s="196" t="s">
        <v>689</v>
      </c>
      <c r="C222" s="326">
        <v>1</v>
      </c>
      <c r="D222" s="327">
        <f>Qnty_ALL!G721</f>
        <v>0.73</v>
      </c>
      <c r="E222" s="505" t="s">
        <v>29</v>
      </c>
      <c r="F222" s="305">
        <f>Rates!F20</f>
        <v>11802.3</v>
      </c>
      <c r="G222" s="328">
        <f>ROUND((C222*D222*F222),2)</f>
        <v>8615.68</v>
      </c>
    </row>
    <row r="223" spans="1:7" s="283" customFormat="1" ht="17.100000000000001" customHeight="1">
      <c r="A223" s="196">
        <v>4</v>
      </c>
      <c r="B223" s="196" t="s">
        <v>31</v>
      </c>
      <c r="C223" s="326">
        <v>1</v>
      </c>
      <c r="D223" s="327">
        <f>Qnty_ALL!G722</f>
        <v>0.98</v>
      </c>
      <c r="E223" s="504" t="s">
        <v>29</v>
      </c>
      <c r="F223" s="305">
        <f>Rates!$F$32</f>
        <v>16022.87</v>
      </c>
      <c r="G223" s="328">
        <f>ROUND((C223*D223*F223),2)</f>
        <v>15702.41</v>
      </c>
    </row>
    <row r="224" spans="1:7" s="283" customFormat="1" ht="17.100000000000001" customHeight="1">
      <c r="A224" s="196">
        <v>5</v>
      </c>
      <c r="B224" s="196" t="s">
        <v>32</v>
      </c>
      <c r="C224" s="326"/>
      <c r="D224" s="327"/>
      <c r="E224" s="505"/>
      <c r="F224" s="305"/>
      <c r="G224" s="328"/>
    </row>
    <row r="225" spans="1:7" s="283" customFormat="1" ht="17.100000000000001" customHeight="1">
      <c r="A225" s="196"/>
      <c r="B225" s="196" t="s">
        <v>28</v>
      </c>
      <c r="C225" s="326">
        <v>1</v>
      </c>
      <c r="D225" s="327">
        <f>Qnty_ALL!G725</f>
        <v>4.66</v>
      </c>
      <c r="E225" s="504" t="s">
        <v>29</v>
      </c>
      <c r="F225" s="305">
        <f>Rates!$F$25</f>
        <v>14917.39</v>
      </c>
      <c r="G225" s="328">
        <f>ROUND((C225*D225*F225),2)</f>
        <v>69515.039999999994</v>
      </c>
    </row>
    <row r="226" spans="1:7" s="283" customFormat="1" ht="17.100000000000001" customHeight="1">
      <c r="A226" s="196">
        <v>6</v>
      </c>
      <c r="B226" s="196" t="s">
        <v>33</v>
      </c>
      <c r="C226" s="326"/>
      <c r="D226" s="327"/>
      <c r="E226" s="505"/>
      <c r="F226" s="305"/>
      <c r="G226" s="328"/>
    </row>
    <row r="227" spans="1:7" s="283" customFormat="1" ht="17.100000000000001" customHeight="1">
      <c r="A227" s="196"/>
      <c r="B227" s="196" t="s">
        <v>34</v>
      </c>
      <c r="C227" s="326">
        <v>1</v>
      </c>
      <c r="D227" s="327">
        <f>Qnty_ALL!G729</f>
        <v>250.58</v>
      </c>
      <c r="E227" s="504" t="s">
        <v>965</v>
      </c>
      <c r="F227" s="305">
        <f>Rates!$F$45</f>
        <v>1466.53</v>
      </c>
      <c r="G227" s="328">
        <f>ROUND((C227*D227*F227),2)</f>
        <v>367483.09</v>
      </c>
    </row>
    <row r="228" spans="1:7" s="283" customFormat="1" ht="17.100000000000001" customHeight="1">
      <c r="A228" s="196">
        <v>7</v>
      </c>
      <c r="B228" s="196" t="s">
        <v>690</v>
      </c>
      <c r="C228" s="326">
        <v>1</v>
      </c>
      <c r="D228" s="327">
        <f>Qnty_ALL!G730</f>
        <v>5.15</v>
      </c>
      <c r="E228" s="505" t="s">
        <v>1034</v>
      </c>
      <c r="F228" s="305">
        <f>Rates!F39</f>
        <v>125.35</v>
      </c>
      <c r="G228" s="328">
        <f>ROUND((C228*D228*F228),2)</f>
        <v>645.54999999999995</v>
      </c>
    </row>
    <row r="229" spans="1:7" s="283" customFormat="1" ht="17.100000000000001" customHeight="1">
      <c r="A229" s="196"/>
      <c r="B229" s="196" t="s">
        <v>691</v>
      </c>
      <c r="C229" s="326"/>
      <c r="D229" s="327"/>
      <c r="E229" s="504"/>
      <c r="F229" s="305"/>
      <c r="G229" s="328"/>
    </row>
    <row r="230" spans="1:7" s="283" customFormat="1" ht="17.100000000000001" customHeight="1">
      <c r="A230" s="196">
        <v>8</v>
      </c>
      <c r="B230" s="196" t="s">
        <v>37</v>
      </c>
      <c r="C230" s="326">
        <v>1</v>
      </c>
      <c r="D230" s="327">
        <f>Qnty_ALL!G731</f>
        <v>156.80000000000001</v>
      </c>
      <c r="E230" s="505" t="s">
        <v>1034</v>
      </c>
      <c r="F230" s="305">
        <f>Rates!F39</f>
        <v>125.35</v>
      </c>
      <c r="G230" s="328">
        <f>ROUND((C230*D230*F230),2)</f>
        <v>19654.88</v>
      </c>
    </row>
    <row r="231" spans="1:7" ht="17.100000000000001" customHeight="1">
      <c r="A231" s="2890"/>
      <c r="B231" s="2891"/>
      <c r="C231" s="2891"/>
      <c r="D231" s="2892"/>
      <c r="E231" s="2884" t="s">
        <v>1108</v>
      </c>
      <c r="F231" s="2885"/>
      <c r="G231" s="302">
        <f>ROUND(SUM(G219:G230),2)</f>
        <v>490771.6</v>
      </c>
    </row>
    <row r="232" spans="1:7" ht="17.100000000000001" customHeight="1">
      <c r="A232" s="2908" t="s">
        <v>731</v>
      </c>
      <c r="B232" s="2909"/>
      <c r="C232" s="2909"/>
      <c r="D232" s="2910"/>
      <c r="E232" s="497"/>
      <c r="F232" s="331"/>
      <c r="G232" s="302">
        <f>ROUND((G231/24),2)</f>
        <v>20448.82</v>
      </c>
    </row>
    <row r="233" spans="1:7" ht="17.100000000000001" customHeight="1">
      <c r="A233" s="2890" t="s">
        <v>704</v>
      </c>
      <c r="B233" s="2892"/>
      <c r="C233" s="332">
        <v>1</v>
      </c>
      <c r="D233" s="1789">
        <v>150</v>
      </c>
      <c r="E233" s="506" t="s">
        <v>965</v>
      </c>
      <c r="F233" s="333">
        <f>G232</f>
        <v>20448.82</v>
      </c>
      <c r="G233" s="334">
        <f>ROUND((C233*D233*F233),2)</f>
        <v>3067323</v>
      </c>
    </row>
    <row r="234" spans="1:7" s="283" customFormat="1" ht="17.100000000000001" customHeight="1">
      <c r="A234" s="190"/>
      <c r="B234" s="190"/>
      <c r="C234" s="190"/>
      <c r="D234" s="309"/>
      <c r="E234" s="500"/>
      <c r="F234" s="309"/>
      <c r="G234" s="190"/>
    </row>
    <row r="235" spans="1:7" s="289" customFormat="1" ht="17.100000000000001" customHeight="1">
      <c r="A235" s="286" t="s">
        <v>961</v>
      </c>
      <c r="B235" s="287" t="s">
        <v>962</v>
      </c>
      <c r="C235" s="287" t="s">
        <v>1087</v>
      </c>
      <c r="D235" s="288" t="s">
        <v>964</v>
      </c>
      <c r="E235" s="494" t="s">
        <v>1035</v>
      </c>
      <c r="F235" s="288" t="s">
        <v>631</v>
      </c>
      <c r="G235" s="287" t="s">
        <v>1037</v>
      </c>
    </row>
    <row r="236" spans="1:7" s="283" customFormat="1" ht="17.100000000000001" customHeight="1">
      <c r="A236" s="336"/>
      <c r="B236" s="1763" t="s">
        <v>39</v>
      </c>
      <c r="C236" s="337"/>
      <c r="D236" s="338"/>
      <c r="E236" s="507"/>
      <c r="F236" s="305"/>
      <c r="G236" s="328"/>
    </row>
    <row r="237" spans="1:7" s="283" customFormat="1" ht="17.100000000000001" customHeight="1">
      <c r="A237" s="329">
        <v>1</v>
      </c>
      <c r="B237" s="326" t="s">
        <v>26</v>
      </c>
      <c r="C237" s="326"/>
      <c r="D237" s="327" t="s">
        <v>1081</v>
      </c>
      <c r="E237" s="505"/>
      <c r="F237" s="305"/>
      <c r="G237" s="328">
        <v>200</v>
      </c>
    </row>
    <row r="238" spans="1:7" s="283" customFormat="1" ht="17.100000000000001" customHeight="1">
      <c r="A238" s="329">
        <v>2</v>
      </c>
      <c r="B238" s="326" t="s">
        <v>40</v>
      </c>
      <c r="C238" s="329">
        <v>2</v>
      </c>
      <c r="D238" s="327">
        <f>Qnty_ALL!G737</f>
        <v>0.43</v>
      </c>
      <c r="E238" s="505" t="s">
        <v>29</v>
      </c>
      <c r="F238" s="305">
        <f>Rates!F10</f>
        <v>1883.36</v>
      </c>
      <c r="G238" s="290">
        <f>ROUND((C238*D238*F238),2)</f>
        <v>1619.69</v>
      </c>
    </row>
    <row r="239" spans="1:7" s="283" customFormat="1" ht="17.100000000000001" customHeight="1">
      <c r="A239" s="329">
        <v>3</v>
      </c>
      <c r="B239" s="326" t="s">
        <v>692</v>
      </c>
      <c r="C239" s="326"/>
      <c r="D239" s="327"/>
      <c r="E239" s="505"/>
      <c r="F239" s="305"/>
      <c r="G239" s="328"/>
    </row>
    <row r="240" spans="1:7" s="283" customFormat="1" ht="17.100000000000001" customHeight="1">
      <c r="A240" s="329"/>
      <c r="B240" s="326" t="s">
        <v>693</v>
      </c>
      <c r="C240" s="329">
        <v>1</v>
      </c>
      <c r="D240" s="327">
        <f>Qnty_ALL!G741</f>
        <v>1.08</v>
      </c>
      <c r="E240" s="505" t="s">
        <v>29</v>
      </c>
      <c r="F240" s="305">
        <f>Rates!$F$25</f>
        <v>14917.39</v>
      </c>
      <c r="G240" s="290">
        <f>ROUND((C240*D240*F240),2)</f>
        <v>16110.78</v>
      </c>
    </row>
    <row r="241" spans="1:11" s="283" customFormat="1" ht="17.100000000000001" customHeight="1">
      <c r="A241" s="329">
        <v>4</v>
      </c>
      <c r="B241" s="326" t="s">
        <v>696</v>
      </c>
      <c r="C241" s="329">
        <v>1</v>
      </c>
      <c r="D241" s="327">
        <f>Qnty_ALL!G745</f>
        <v>5.63</v>
      </c>
      <c r="E241" s="505" t="s">
        <v>47</v>
      </c>
      <c r="F241" s="305">
        <f>Rates!$F$68</f>
        <v>383.54</v>
      </c>
      <c r="G241" s="290">
        <f>ROUND((C241*D241*F241),2)</f>
        <v>2159.33</v>
      </c>
    </row>
    <row r="242" spans="1:11" s="283" customFormat="1" ht="17.100000000000001" customHeight="1">
      <c r="A242" s="329">
        <v>5</v>
      </c>
      <c r="B242" s="326" t="s">
        <v>694</v>
      </c>
      <c r="C242" s="329"/>
      <c r="D242" s="327"/>
      <c r="E242" s="508"/>
      <c r="F242" s="305"/>
      <c r="G242" s="328"/>
    </row>
    <row r="243" spans="1:11" s="283" customFormat="1" ht="17.100000000000001" customHeight="1">
      <c r="A243" s="329"/>
      <c r="B243" s="326" t="s">
        <v>695</v>
      </c>
      <c r="C243" s="326"/>
      <c r="D243" s="327"/>
      <c r="E243" s="505"/>
      <c r="F243" s="305"/>
      <c r="G243" s="328"/>
    </row>
    <row r="244" spans="1:11" s="283" customFormat="1" ht="17.100000000000001" customHeight="1">
      <c r="A244" s="329"/>
      <c r="B244" s="330" t="s">
        <v>697</v>
      </c>
      <c r="C244" s="329"/>
      <c r="D244" s="327"/>
      <c r="E244" s="505"/>
      <c r="F244" s="305"/>
      <c r="G244" s="328"/>
    </row>
    <row r="245" spans="1:11" s="283" customFormat="1" ht="17.100000000000001" customHeight="1">
      <c r="A245" s="329"/>
      <c r="B245" s="330" t="s">
        <v>50</v>
      </c>
      <c r="C245" s="329">
        <v>1</v>
      </c>
      <c r="D245" s="327">
        <f>Qnty_ALL!G748</f>
        <v>1</v>
      </c>
      <c r="E245" s="505" t="s">
        <v>1087</v>
      </c>
      <c r="F245" s="1788">
        <v>15000</v>
      </c>
      <c r="G245" s="313">
        <f>C245*D245*F245</f>
        <v>15000</v>
      </c>
    </row>
    <row r="246" spans="1:11" s="283" customFormat="1" ht="17.100000000000001" customHeight="1">
      <c r="A246" s="329">
        <v>6</v>
      </c>
      <c r="B246" s="330" t="s">
        <v>51</v>
      </c>
      <c r="C246" s="329">
        <v>1</v>
      </c>
      <c r="D246" s="327">
        <f>Qnty_ALL!G749</f>
        <v>1.43</v>
      </c>
      <c r="E246" s="505" t="s">
        <v>47</v>
      </c>
      <c r="F246" s="306">
        <f>Rates!F70</f>
        <v>400.29</v>
      </c>
      <c r="G246" s="290">
        <f>ROUND((C246*D246*F246),2)</f>
        <v>572.41</v>
      </c>
    </row>
    <row r="247" spans="1:11" ht="17.100000000000001" customHeight="1">
      <c r="A247" s="2890"/>
      <c r="B247" s="2891"/>
      <c r="C247" s="2891"/>
      <c r="D247" s="2892"/>
      <c r="E247" s="2884" t="s">
        <v>1108</v>
      </c>
      <c r="F247" s="2885"/>
      <c r="G247" s="302">
        <f>ROUND(SUM(G236:G246),2)</f>
        <v>35662.21</v>
      </c>
    </row>
    <row r="248" spans="1:11" ht="17.100000000000001" customHeight="1">
      <c r="A248" s="2890" t="s">
        <v>707</v>
      </c>
      <c r="B248" s="2892"/>
      <c r="C248" s="2896"/>
      <c r="D248" s="2896"/>
      <c r="E248" s="2896"/>
      <c r="F248" s="2896"/>
      <c r="G248" s="339">
        <f>ROUND((G247+G233),2)</f>
        <v>3102985.21</v>
      </c>
    </row>
    <row r="249" spans="1:11" ht="14.1" customHeight="1">
      <c r="A249" s="296"/>
      <c r="B249" s="296"/>
      <c r="C249" s="296"/>
      <c r="D249" s="309"/>
      <c r="E249" s="500"/>
      <c r="F249" s="309"/>
      <c r="G249" s="340"/>
    </row>
    <row r="250" spans="1:11" ht="15.95" customHeight="1">
      <c r="A250" s="514" t="s">
        <v>874</v>
      </c>
      <c r="B250" s="513"/>
      <c r="C250" s="513"/>
      <c r="D250" s="516"/>
      <c r="E250" s="513"/>
      <c r="F250" s="516"/>
      <c r="G250" s="513"/>
      <c r="I250" s="283"/>
      <c r="J250" s="283"/>
      <c r="K250" s="283"/>
    </row>
    <row r="251" spans="1:11" s="283" customFormat="1" ht="15.95" customHeight="1">
      <c r="A251" s="286" t="s">
        <v>961</v>
      </c>
      <c r="B251" s="287" t="s">
        <v>962</v>
      </c>
      <c r="C251" s="287" t="s">
        <v>1087</v>
      </c>
      <c r="D251" s="288" t="s">
        <v>964</v>
      </c>
      <c r="E251" s="286" t="s">
        <v>1035</v>
      </c>
      <c r="F251" s="288" t="s">
        <v>631</v>
      </c>
      <c r="G251" s="287" t="s">
        <v>1037</v>
      </c>
    </row>
    <row r="252" spans="1:11" ht="15.95" customHeight="1">
      <c r="A252" s="329">
        <v>1</v>
      </c>
      <c r="B252" s="330" t="s">
        <v>26</v>
      </c>
      <c r="C252" s="305">
        <v>1</v>
      </c>
      <c r="D252" s="533">
        <f>Qnty_ALL!G754</f>
        <v>33.6</v>
      </c>
      <c r="E252" s="305" t="s">
        <v>628</v>
      </c>
      <c r="F252" s="305">
        <f>Rates!F7</f>
        <v>149.5</v>
      </c>
      <c r="G252" s="305">
        <f>ROUND((C252*D252*F252),2)</f>
        <v>5023.2</v>
      </c>
      <c r="I252" s="533"/>
      <c r="J252" s="283"/>
      <c r="K252" s="283"/>
    </row>
    <row r="253" spans="1:11" s="289" customFormat="1" ht="15.95" customHeight="1">
      <c r="A253" s="329">
        <v>2</v>
      </c>
      <c r="B253" s="330" t="s">
        <v>905</v>
      </c>
      <c r="C253" s="305"/>
      <c r="D253" s="533"/>
      <c r="E253" s="305"/>
      <c r="F253" s="305"/>
      <c r="G253" s="305"/>
      <c r="I253" s="533"/>
      <c r="K253" s="283"/>
    </row>
    <row r="254" spans="1:11" s="283" customFormat="1" ht="15.95" customHeight="1">
      <c r="A254" s="329"/>
      <c r="B254" s="529" t="s">
        <v>875</v>
      </c>
      <c r="C254" s="305">
        <v>1</v>
      </c>
      <c r="D254" s="533">
        <f>Qnty_ALL!G762</f>
        <v>22.09</v>
      </c>
      <c r="E254" s="305" t="s">
        <v>625</v>
      </c>
      <c r="F254" s="305">
        <f>Rates!$F$9</f>
        <v>1480.63</v>
      </c>
      <c r="G254" s="305">
        <f t="shared" ref="G254:G259" si="1">ROUND((C254*D254*F254),2)</f>
        <v>32707.119999999999</v>
      </c>
      <c r="I254" s="533"/>
    </row>
    <row r="255" spans="1:11" s="283" customFormat="1" ht="15.95" customHeight="1">
      <c r="A255" s="329">
        <v>3</v>
      </c>
      <c r="B255" s="330" t="s">
        <v>876</v>
      </c>
      <c r="C255" s="305">
        <v>1</v>
      </c>
      <c r="D255" s="533">
        <f>Qnty_ALL!G767</f>
        <v>1.39</v>
      </c>
      <c r="E255" s="305" t="s">
        <v>625</v>
      </c>
      <c r="F255" s="305">
        <f>Rates!$F$15</f>
        <v>746.24</v>
      </c>
      <c r="G255" s="305">
        <f t="shared" si="1"/>
        <v>1037.27</v>
      </c>
      <c r="I255" s="533"/>
    </row>
    <row r="256" spans="1:11" s="283" customFormat="1" ht="15.95" customHeight="1">
      <c r="A256" s="329">
        <v>4</v>
      </c>
      <c r="B256" s="330" t="s">
        <v>167</v>
      </c>
      <c r="C256" s="305">
        <v>1</v>
      </c>
      <c r="D256" s="533">
        <f>Qnty_ALL!G773</f>
        <v>5.67</v>
      </c>
      <c r="E256" s="305" t="s">
        <v>625</v>
      </c>
      <c r="F256" s="305">
        <f>Rates!$F$20</f>
        <v>11802.3</v>
      </c>
      <c r="G256" s="305">
        <f t="shared" si="1"/>
        <v>66919.039999999994</v>
      </c>
      <c r="I256" s="533"/>
    </row>
    <row r="257" spans="1:11" s="283" customFormat="1" ht="15.95" customHeight="1">
      <c r="A257" s="329">
        <v>5</v>
      </c>
      <c r="B257" s="330" t="s">
        <v>755</v>
      </c>
      <c r="C257" s="305">
        <v>1</v>
      </c>
      <c r="D257" s="533">
        <f>Qnty_ALL!G774</f>
        <v>24.99</v>
      </c>
      <c r="E257" s="305" t="s">
        <v>628</v>
      </c>
      <c r="F257" s="305">
        <f>Rates!$F$51</f>
        <v>198.72</v>
      </c>
      <c r="G257" s="305">
        <f t="shared" si="1"/>
        <v>4966.01</v>
      </c>
      <c r="I257" s="533"/>
    </row>
    <row r="258" spans="1:11" s="283" customFormat="1" ht="15.95" customHeight="1">
      <c r="A258" s="329">
        <v>6</v>
      </c>
      <c r="B258" s="330" t="s">
        <v>906</v>
      </c>
      <c r="C258" s="305">
        <v>1</v>
      </c>
      <c r="D258" s="533">
        <f>Qnty_ALL!G782</f>
        <v>7.74</v>
      </c>
      <c r="E258" s="305" t="s">
        <v>625</v>
      </c>
      <c r="F258" s="305">
        <f>Rates!$F$25</f>
        <v>14917.39</v>
      </c>
      <c r="G258" s="305">
        <f t="shared" si="1"/>
        <v>115460.6</v>
      </c>
      <c r="I258" s="533"/>
    </row>
    <row r="259" spans="1:11" s="283" customFormat="1" ht="15.95" customHeight="1">
      <c r="A259" s="329">
        <v>7</v>
      </c>
      <c r="B259" s="330" t="s">
        <v>877</v>
      </c>
      <c r="C259" s="305">
        <v>1</v>
      </c>
      <c r="D259" s="533">
        <f>Qnty_ALL!G799</f>
        <v>5.31</v>
      </c>
      <c r="E259" s="305" t="s">
        <v>625</v>
      </c>
      <c r="F259" s="305">
        <f>Rates!$F$32</f>
        <v>16022.87</v>
      </c>
      <c r="G259" s="305">
        <f t="shared" si="1"/>
        <v>85081.44</v>
      </c>
      <c r="I259" s="533"/>
    </row>
    <row r="260" spans="1:11" s="283" customFormat="1" ht="15.95" customHeight="1">
      <c r="A260" s="329">
        <v>8</v>
      </c>
      <c r="B260" s="330" t="s">
        <v>878</v>
      </c>
      <c r="C260" s="305"/>
      <c r="D260" s="533"/>
      <c r="E260" s="305"/>
      <c r="F260" s="305"/>
      <c r="G260" s="305"/>
      <c r="I260" s="533"/>
    </row>
    <row r="261" spans="1:11" ht="15.95" customHeight="1">
      <c r="A261" s="329"/>
      <c r="B261" s="330" t="s">
        <v>776</v>
      </c>
      <c r="C261" s="305">
        <v>1</v>
      </c>
      <c r="D261" s="533">
        <f>Qnty_ALL!G809</f>
        <v>17.46</v>
      </c>
      <c r="E261" s="305" t="s">
        <v>625</v>
      </c>
      <c r="F261" s="305">
        <f>Rates!$F$29</f>
        <v>19076.75</v>
      </c>
      <c r="G261" s="305">
        <f>ROUND((C261*D261*F261),2)</f>
        <v>333080.06</v>
      </c>
      <c r="I261" s="533"/>
      <c r="K261" s="283"/>
    </row>
    <row r="262" spans="1:11" s="283" customFormat="1" ht="15.95" customHeight="1">
      <c r="A262" s="329">
        <v>9</v>
      </c>
      <c r="B262" s="330" t="s">
        <v>786</v>
      </c>
      <c r="C262" s="305">
        <v>1</v>
      </c>
      <c r="D262" s="533">
        <f>Qnty_ALL!G841</f>
        <v>43.58</v>
      </c>
      <c r="E262" s="305" t="s">
        <v>628</v>
      </c>
      <c r="F262" s="305">
        <f>Rates!$F$40</f>
        <v>1322.68</v>
      </c>
      <c r="G262" s="305">
        <f>ROUND((C262*D262*F262),2)</f>
        <v>57642.39</v>
      </c>
      <c r="I262" s="533"/>
    </row>
    <row r="263" spans="1:11" ht="15.95" customHeight="1">
      <c r="A263" s="329">
        <v>10</v>
      </c>
      <c r="B263" s="330" t="s">
        <v>799</v>
      </c>
      <c r="C263" s="305">
        <v>1</v>
      </c>
      <c r="D263" s="533">
        <f>Qnty_ALL!G857</f>
        <v>380.3</v>
      </c>
      <c r="E263" s="305" t="s">
        <v>1034</v>
      </c>
      <c r="F263" s="305">
        <f>Rates!$F$39</f>
        <v>125.35</v>
      </c>
      <c r="G263" s="305">
        <f>ROUND((C263*D263*F263),2)</f>
        <v>47670.61</v>
      </c>
      <c r="I263" s="533"/>
      <c r="K263" s="283"/>
    </row>
    <row r="264" spans="1:11" ht="15.95" customHeight="1">
      <c r="A264" s="329">
        <v>11</v>
      </c>
      <c r="B264" s="330" t="s">
        <v>879</v>
      </c>
      <c r="C264" s="305">
        <v>1</v>
      </c>
      <c r="D264" s="533">
        <f>Qnty_ALL!G863</f>
        <v>0.18</v>
      </c>
      <c r="E264" s="305" t="s">
        <v>625</v>
      </c>
      <c r="F264" s="305">
        <f>Rates!$F$46</f>
        <v>330697.90000000002</v>
      </c>
      <c r="G264" s="305">
        <f>ROUND((C264*D264*F264),2)</f>
        <v>59525.62</v>
      </c>
      <c r="I264" s="533"/>
      <c r="K264" s="283"/>
    </row>
    <row r="265" spans="1:11" s="283" customFormat="1" ht="14.1" customHeight="1">
      <c r="A265" s="329">
        <v>12</v>
      </c>
      <c r="B265" s="330" t="s">
        <v>880</v>
      </c>
      <c r="C265" s="305"/>
      <c r="D265" s="533"/>
      <c r="E265" s="305"/>
      <c r="F265" s="305"/>
      <c r="G265" s="305"/>
      <c r="I265" s="533"/>
    </row>
    <row r="266" spans="1:11" s="283" customFormat="1" ht="14.1" customHeight="1">
      <c r="A266" s="329"/>
      <c r="B266" s="330" t="s">
        <v>881</v>
      </c>
      <c r="C266" s="305">
        <v>1</v>
      </c>
      <c r="D266" s="533">
        <f>Qnty_ALL!G867</f>
        <v>2.89</v>
      </c>
      <c r="E266" s="305" t="s">
        <v>628</v>
      </c>
      <c r="F266" s="305">
        <f>Rates!$F$47</f>
        <v>18247.55</v>
      </c>
      <c r="G266" s="305">
        <f>ROUND((C266*D266*F266),2)</f>
        <v>52735.42</v>
      </c>
      <c r="I266" s="533"/>
    </row>
    <row r="267" spans="1:11" s="289" customFormat="1" ht="14.1" customHeight="1">
      <c r="A267" s="329">
        <v>13</v>
      </c>
      <c r="B267" s="330" t="s">
        <v>882</v>
      </c>
      <c r="C267" s="305">
        <v>1</v>
      </c>
      <c r="D267" s="533">
        <f>Qnty_ALL!G871</f>
        <v>2.85</v>
      </c>
      <c r="E267" s="305" t="s">
        <v>628</v>
      </c>
      <c r="F267" s="305">
        <f>Rates!$F$48</f>
        <v>10386.540000000001</v>
      </c>
      <c r="G267" s="305">
        <f>ROUND((C267*D267*F267),2)</f>
        <v>29601.64</v>
      </c>
      <c r="I267" s="533"/>
      <c r="K267" s="283"/>
    </row>
    <row r="268" spans="1:11" s="283" customFormat="1" ht="14.1" customHeight="1">
      <c r="A268" s="329">
        <v>14</v>
      </c>
      <c r="B268" s="330" t="s">
        <v>813</v>
      </c>
      <c r="C268" s="305"/>
      <c r="D268" s="533"/>
      <c r="E268" s="305"/>
      <c r="F268" s="305"/>
      <c r="G268" s="305"/>
      <c r="I268" s="533"/>
    </row>
    <row r="269" spans="1:11" s="283" customFormat="1" ht="14.1" customHeight="1">
      <c r="A269" s="329"/>
      <c r="B269" s="330" t="s">
        <v>814</v>
      </c>
      <c r="C269" s="305">
        <v>1</v>
      </c>
      <c r="D269" s="533">
        <f>Qnty_ALL!G882</f>
        <v>40.76</v>
      </c>
      <c r="E269" s="305" t="s">
        <v>628</v>
      </c>
      <c r="F269" s="305">
        <f>Rates!$F$67</f>
        <v>346.26</v>
      </c>
      <c r="G269" s="305">
        <f>ROUND((C269*D269*F269),2)</f>
        <v>14113.56</v>
      </c>
      <c r="I269" s="533"/>
    </row>
    <row r="270" spans="1:11" s="283" customFormat="1" ht="14.1" customHeight="1">
      <c r="A270" s="329">
        <v>15</v>
      </c>
      <c r="B270" s="330" t="s">
        <v>820</v>
      </c>
      <c r="C270" s="305"/>
      <c r="D270" s="533"/>
      <c r="E270" s="305"/>
      <c r="F270" s="305"/>
      <c r="G270" s="305"/>
      <c r="I270" s="533"/>
    </row>
    <row r="271" spans="1:11" s="283" customFormat="1" ht="14.1" customHeight="1">
      <c r="A271" s="329"/>
      <c r="B271" s="330" t="s">
        <v>883</v>
      </c>
      <c r="C271" s="305">
        <v>1</v>
      </c>
      <c r="D271" s="533">
        <f>Qnty_ALL!G903</f>
        <v>154.22999999999999</v>
      </c>
      <c r="E271" s="305" t="s">
        <v>628</v>
      </c>
      <c r="F271" s="305">
        <f>Rates!$F$60</f>
        <v>503.61</v>
      </c>
      <c r="G271" s="305">
        <f>ROUND((C271*D271*F271),2)</f>
        <v>77671.77</v>
      </c>
      <c r="I271" s="533"/>
    </row>
    <row r="272" spans="1:11" s="283" customFormat="1" ht="14.1" customHeight="1">
      <c r="A272" s="329">
        <v>16</v>
      </c>
      <c r="B272" s="330" t="s">
        <v>825</v>
      </c>
      <c r="C272" s="305">
        <v>1</v>
      </c>
      <c r="D272" s="533">
        <f>Qnty_ALL!G913</f>
        <v>119.13</v>
      </c>
      <c r="E272" s="305" t="s">
        <v>628</v>
      </c>
      <c r="F272" s="305">
        <f>Rates!$F$71</f>
        <v>213.84</v>
      </c>
      <c r="G272" s="305">
        <f>ROUND((C272*D272*F272),2)</f>
        <v>25474.76</v>
      </c>
      <c r="I272" s="533"/>
    </row>
    <row r="273" spans="1:11" ht="14.1" customHeight="1">
      <c r="A273" s="329">
        <v>17</v>
      </c>
      <c r="B273" s="330" t="s">
        <v>828</v>
      </c>
      <c r="C273" s="305"/>
      <c r="D273" s="533"/>
      <c r="E273" s="305"/>
      <c r="F273" s="305"/>
      <c r="G273" s="305"/>
      <c r="I273" s="533"/>
      <c r="K273" s="283"/>
    </row>
    <row r="274" spans="1:11" s="283" customFormat="1" ht="14.1" customHeight="1">
      <c r="A274" s="305"/>
      <c r="B274" s="330" t="s">
        <v>884</v>
      </c>
      <c r="C274" s="305">
        <v>1</v>
      </c>
      <c r="D274" s="533">
        <f>Qnty_ALL!G919</f>
        <v>14.14</v>
      </c>
      <c r="E274" s="305" t="s">
        <v>628</v>
      </c>
      <c r="F274" s="305">
        <f>Rates!$F$70</f>
        <v>400.29</v>
      </c>
      <c r="G274" s="305">
        <f>ROUND((C274*D274*F274),2)</f>
        <v>5660.1</v>
      </c>
      <c r="I274" s="533"/>
    </row>
    <row r="275" spans="1:11" ht="14.1" customHeight="1">
      <c r="A275" s="530">
        <v>18</v>
      </c>
      <c r="B275" s="330" t="s">
        <v>885</v>
      </c>
      <c r="C275" s="530"/>
      <c r="D275" s="533" t="s">
        <v>832</v>
      </c>
      <c r="E275" s="531"/>
      <c r="F275" s="293"/>
      <c r="G275" s="532">
        <v>20000</v>
      </c>
      <c r="I275" s="533"/>
    </row>
    <row r="276" spans="1:11" s="283" customFormat="1" ht="14.1" customHeight="1">
      <c r="A276" s="2887"/>
      <c r="B276" s="2888"/>
      <c r="C276" s="2888"/>
      <c r="D276" s="2889"/>
      <c r="E276" s="2886" t="s">
        <v>1108</v>
      </c>
      <c r="F276" s="2886"/>
      <c r="G276" s="339">
        <f>SUM(G252:G275)</f>
        <v>1034370.6100000001</v>
      </c>
    </row>
    <row r="277" spans="1:11" s="283" customFormat="1" ht="14.1" customHeight="1">
      <c r="A277" s="2893" t="s">
        <v>833</v>
      </c>
      <c r="B277" s="2894"/>
      <c r="C277" s="2894"/>
      <c r="D277" s="2894"/>
      <c r="E277" s="2894"/>
      <c r="F277" s="2894"/>
      <c r="G277" s="2895"/>
    </row>
    <row r="278" spans="1:11" s="283" customFormat="1" ht="14.1" customHeight="1">
      <c r="A278" s="329">
        <v>1</v>
      </c>
      <c r="B278" s="326" t="s">
        <v>26</v>
      </c>
      <c r="C278" s="329">
        <v>1</v>
      </c>
      <c r="D278" s="327">
        <f>Qnty_ALL!G926</f>
        <v>6</v>
      </c>
      <c r="E278" s="528" t="s">
        <v>47</v>
      </c>
      <c r="F278" s="306">
        <f>Rates!F7</f>
        <v>149.5</v>
      </c>
      <c r="G278" s="313">
        <f t="shared" ref="G278:G289" si="2">ROUND((C278*D278*F278),2)</f>
        <v>897</v>
      </c>
      <c r="I278" s="533"/>
    </row>
    <row r="279" spans="1:11" s="289" customFormat="1" ht="14.1" customHeight="1">
      <c r="A279" s="329">
        <v>2</v>
      </c>
      <c r="B279" s="326" t="s">
        <v>834</v>
      </c>
      <c r="C279" s="329">
        <v>1</v>
      </c>
      <c r="D279" s="327">
        <f>Qnty_ALL!G934</f>
        <v>6.007428571428572</v>
      </c>
      <c r="E279" s="528" t="s">
        <v>29</v>
      </c>
      <c r="F279" s="305">
        <f>Rates!$F$9</f>
        <v>1480.63</v>
      </c>
      <c r="G279" s="290">
        <f t="shared" si="2"/>
        <v>8894.7800000000007</v>
      </c>
      <c r="I279" s="533"/>
    </row>
    <row r="280" spans="1:11" s="283" customFormat="1" ht="14.1" customHeight="1">
      <c r="A280" s="329">
        <v>3</v>
      </c>
      <c r="B280" s="326" t="s">
        <v>841</v>
      </c>
      <c r="C280" s="329">
        <v>1</v>
      </c>
      <c r="D280" s="327">
        <f>Qnty_ALL!G935</f>
        <v>0.34060714285714283</v>
      </c>
      <c r="E280" s="528" t="s">
        <v>29</v>
      </c>
      <c r="F280" s="306">
        <f>Rates!$F$20</f>
        <v>11802.3</v>
      </c>
      <c r="G280" s="313">
        <f t="shared" si="2"/>
        <v>4019.95</v>
      </c>
      <c r="I280" s="533"/>
    </row>
    <row r="281" spans="1:11" ht="14.1" customHeight="1">
      <c r="A281" s="329">
        <v>4</v>
      </c>
      <c r="B281" s="326" t="s">
        <v>886</v>
      </c>
      <c r="C281" s="329">
        <v>1</v>
      </c>
      <c r="D281" s="327">
        <f>Qnty_ALL!G936</f>
        <v>1.2622499999999997</v>
      </c>
      <c r="E281" s="528" t="s">
        <v>29</v>
      </c>
      <c r="F281" s="305">
        <f>Rates!$F$21</f>
        <v>7311.32</v>
      </c>
      <c r="G281" s="290">
        <f t="shared" si="2"/>
        <v>9228.7099999999991</v>
      </c>
      <c r="I281" s="533"/>
    </row>
    <row r="282" spans="1:11" s="283" customFormat="1" ht="14.1" customHeight="1">
      <c r="A282" s="329">
        <v>5</v>
      </c>
      <c r="B282" s="326" t="s">
        <v>844</v>
      </c>
      <c r="C282" s="329">
        <v>1</v>
      </c>
      <c r="D282" s="327">
        <f>Qnty_ALL!G946</f>
        <v>6.7670249999999994</v>
      </c>
      <c r="E282" s="528" t="s">
        <v>29</v>
      </c>
      <c r="F282" s="306">
        <f>Rates!$F$22</f>
        <v>7764.49</v>
      </c>
      <c r="G282" s="313">
        <f t="shared" si="2"/>
        <v>52542.5</v>
      </c>
      <c r="I282" s="533"/>
    </row>
    <row r="283" spans="1:11" ht="14.1" customHeight="1">
      <c r="A283" s="329">
        <v>6</v>
      </c>
      <c r="B283" s="326" t="s">
        <v>887</v>
      </c>
      <c r="C283" s="329">
        <v>1</v>
      </c>
      <c r="D283" s="327">
        <f>Qnty_ALL!G950</f>
        <v>3.5169999999999995</v>
      </c>
      <c r="E283" s="528" t="s">
        <v>29</v>
      </c>
      <c r="F283" s="305">
        <f>Rates!$F$24</f>
        <v>15619.64</v>
      </c>
      <c r="G283" s="290">
        <f t="shared" si="2"/>
        <v>54934.27</v>
      </c>
      <c r="I283" s="533"/>
    </row>
    <row r="284" spans="1:11" ht="14.1" customHeight="1">
      <c r="A284" s="329">
        <v>7</v>
      </c>
      <c r="B284" s="326" t="s">
        <v>854</v>
      </c>
      <c r="C284" s="329">
        <v>1</v>
      </c>
      <c r="D284" s="327">
        <f>Qnty_ALL!G951</f>
        <v>1</v>
      </c>
      <c r="E284" s="528" t="s">
        <v>1087</v>
      </c>
      <c r="F284" s="1787">
        <v>1800</v>
      </c>
      <c r="G284" s="313">
        <f t="shared" si="2"/>
        <v>1800</v>
      </c>
      <c r="I284" s="533"/>
    </row>
    <row r="285" spans="1:11" s="283" customFormat="1" ht="14.1" customHeight="1">
      <c r="A285" s="329">
        <v>8</v>
      </c>
      <c r="B285" s="326" t="s">
        <v>888</v>
      </c>
      <c r="C285" s="329">
        <v>1</v>
      </c>
      <c r="D285" s="327">
        <f>Qnty_ALL!G954</f>
        <v>0.51091071428571422</v>
      </c>
      <c r="E285" s="528" t="s">
        <v>29</v>
      </c>
      <c r="F285" s="305">
        <f>Rates!$F$32</f>
        <v>16022.87</v>
      </c>
      <c r="G285" s="290">
        <f t="shared" si="2"/>
        <v>8186.26</v>
      </c>
      <c r="I285" s="533"/>
    </row>
    <row r="286" spans="1:11" s="283" customFormat="1" ht="14.1" customHeight="1">
      <c r="A286" s="329">
        <v>9</v>
      </c>
      <c r="B286" s="326" t="s">
        <v>889</v>
      </c>
      <c r="C286" s="329">
        <v>1</v>
      </c>
      <c r="D286" s="327">
        <f>Qnty_ALL!G957</f>
        <v>60.192079999999997</v>
      </c>
      <c r="E286" s="528" t="s">
        <v>861</v>
      </c>
      <c r="F286" s="306">
        <f>Rates!$F$39</f>
        <v>125.35</v>
      </c>
      <c r="G286" s="313">
        <f t="shared" si="2"/>
        <v>7545.08</v>
      </c>
      <c r="I286" s="533"/>
    </row>
    <row r="287" spans="1:11" s="289" customFormat="1" ht="14.1" customHeight="1">
      <c r="A287" s="329">
        <v>10</v>
      </c>
      <c r="B287" s="326" t="s">
        <v>890</v>
      </c>
      <c r="C287" s="329">
        <v>1</v>
      </c>
      <c r="D287" s="327">
        <f>Qnty_ALL!G960</f>
        <v>3.0999999999999996</v>
      </c>
      <c r="E287" s="528" t="s">
        <v>47</v>
      </c>
      <c r="F287" s="305">
        <f>Rates!$F$61</f>
        <v>649.91</v>
      </c>
      <c r="G287" s="290">
        <f t="shared" si="2"/>
        <v>2014.72</v>
      </c>
      <c r="I287" s="533"/>
    </row>
    <row r="288" spans="1:11" s="283" customFormat="1" ht="14.1" customHeight="1">
      <c r="A288" s="329">
        <v>11</v>
      </c>
      <c r="B288" s="326" t="s">
        <v>864</v>
      </c>
      <c r="C288" s="329">
        <v>1</v>
      </c>
      <c r="D288" s="327">
        <f>Qnty_ALL!G961</f>
        <v>7.125</v>
      </c>
      <c r="E288" s="528" t="s">
        <v>47</v>
      </c>
      <c r="F288" s="306">
        <f>Rates!$F$68</f>
        <v>383.54</v>
      </c>
      <c r="G288" s="313">
        <f t="shared" si="2"/>
        <v>2732.72</v>
      </c>
      <c r="I288" s="533"/>
    </row>
    <row r="289" spans="1:9" s="283" customFormat="1" ht="14.1" customHeight="1">
      <c r="A289" s="329">
        <v>12</v>
      </c>
      <c r="B289" s="326" t="s">
        <v>879</v>
      </c>
      <c r="C289" s="329">
        <v>1</v>
      </c>
      <c r="D289" s="534">
        <f>Qnty_ALL!G968</f>
        <v>0.10602500000000001</v>
      </c>
      <c r="E289" s="528" t="s">
        <v>29</v>
      </c>
      <c r="F289" s="305">
        <f>Rates!$F$46</f>
        <v>330697.90000000002</v>
      </c>
      <c r="G289" s="290">
        <f t="shared" si="2"/>
        <v>35062.239999999998</v>
      </c>
      <c r="I289" s="533"/>
    </row>
    <row r="290" spans="1:9" s="283" customFormat="1" ht="14.1" customHeight="1">
      <c r="A290" s="329">
        <v>13</v>
      </c>
      <c r="B290" s="326" t="s">
        <v>891</v>
      </c>
      <c r="C290" s="329"/>
      <c r="D290" s="327"/>
      <c r="E290" s="528"/>
      <c r="F290" s="306"/>
      <c r="G290" s="313"/>
      <c r="I290" s="533"/>
    </row>
    <row r="291" spans="1:9" s="283" customFormat="1" ht="14.1" customHeight="1">
      <c r="A291" s="329"/>
      <c r="B291" s="326" t="s">
        <v>892</v>
      </c>
      <c r="C291" s="329">
        <v>1</v>
      </c>
      <c r="D291" s="327">
        <f>Qnty_ALL!G970</f>
        <v>0.96389999999999998</v>
      </c>
      <c r="E291" s="528" t="s">
        <v>47</v>
      </c>
      <c r="F291" s="305">
        <f>Rates!$F$47</f>
        <v>18247.55</v>
      </c>
      <c r="G291" s="290">
        <f>ROUND((C291*D291*F291),2)</f>
        <v>17588.810000000001</v>
      </c>
      <c r="I291" s="533"/>
    </row>
    <row r="292" spans="1:9" ht="14.1" customHeight="1">
      <c r="A292" s="329">
        <v>14</v>
      </c>
      <c r="B292" s="326" t="s">
        <v>893</v>
      </c>
      <c r="C292" s="329"/>
      <c r="D292" s="327"/>
      <c r="E292" s="528"/>
      <c r="F292" s="306"/>
      <c r="G292" s="313"/>
      <c r="I292" s="533"/>
    </row>
    <row r="293" spans="1:9" ht="14.1" customHeight="1">
      <c r="A293" s="329"/>
      <c r="B293" s="326" t="s">
        <v>894</v>
      </c>
      <c r="C293" s="329">
        <v>1</v>
      </c>
      <c r="D293" s="327">
        <f>Qnty_ALL!G971</f>
        <v>12</v>
      </c>
      <c r="E293" s="528" t="s">
        <v>965</v>
      </c>
      <c r="F293" s="305">
        <f>'Entry for Rates'!E155</f>
        <v>464.2</v>
      </c>
      <c r="G293" s="290">
        <f>ROUND((C293*D293*F293),2)</f>
        <v>5570.4</v>
      </c>
      <c r="I293" s="533"/>
    </row>
    <row r="294" spans="1:9" s="283" customFormat="1" ht="14.1" customHeight="1">
      <c r="A294" s="329">
        <v>15</v>
      </c>
      <c r="B294" s="326" t="s">
        <v>872</v>
      </c>
      <c r="C294" s="329">
        <v>1</v>
      </c>
      <c r="D294" s="327">
        <f>Qnty_ALL!G972</f>
        <v>0.19500000000000001</v>
      </c>
      <c r="E294" s="528" t="s">
        <v>47</v>
      </c>
      <c r="F294" s="1787">
        <v>250</v>
      </c>
      <c r="G294" s="313">
        <f>ROUND((C294*D294*F294),2)</f>
        <v>48.75</v>
      </c>
      <c r="I294" s="533"/>
    </row>
    <row r="295" spans="1:9" s="283" customFormat="1" ht="14.1" customHeight="1">
      <c r="A295" s="329">
        <v>16</v>
      </c>
      <c r="B295" s="326" t="s">
        <v>873</v>
      </c>
      <c r="C295" s="329">
        <v>1</v>
      </c>
      <c r="D295" s="327">
        <f>Qnty_ALL!G973</f>
        <v>6</v>
      </c>
      <c r="E295" s="528" t="s">
        <v>47</v>
      </c>
      <c r="F295" s="305">
        <f>Rates!F49</f>
        <v>1070.18</v>
      </c>
      <c r="G295" s="290">
        <f>ROUND((C295*D295*F295),2)</f>
        <v>6421.08</v>
      </c>
      <c r="I295" s="533"/>
    </row>
    <row r="296" spans="1:9" s="289" customFormat="1" ht="14.1" customHeight="1">
      <c r="A296" s="2890"/>
      <c r="B296" s="2891"/>
      <c r="C296" s="2891"/>
      <c r="D296" s="2892"/>
      <c r="E296" s="2884" t="s">
        <v>1108</v>
      </c>
      <c r="F296" s="2885"/>
      <c r="G296" s="302">
        <f>SUM(G278:G295)</f>
        <v>217487.26999999996</v>
      </c>
    </row>
    <row r="297" spans="1:9" s="283" customFormat="1" ht="14.1" customHeight="1">
      <c r="A297" s="2890"/>
      <c r="B297" s="2891"/>
      <c r="C297" s="2891"/>
      <c r="D297" s="2892"/>
      <c r="E297" s="2884" t="s">
        <v>1108</v>
      </c>
      <c r="F297" s="2885"/>
      <c r="G297" s="302">
        <f>G296+G276</f>
        <v>1251857.8800000001</v>
      </c>
    </row>
    <row r="298" spans="1:9" s="283" customFormat="1" ht="14.1" customHeight="1">
      <c r="A298" s="296"/>
      <c r="B298" s="296"/>
      <c r="C298" s="296"/>
      <c r="D298" s="309"/>
      <c r="E298" s="497"/>
      <c r="F298" s="301"/>
      <c r="G298" s="298"/>
    </row>
    <row r="299" spans="1:9" s="283" customFormat="1" ht="14.1" customHeight="1">
      <c r="A299" s="285" t="s">
        <v>927</v>
      </c>
      <c r="D299" s="284"/>
      <c r="E299" s="493"/>
      <c r="F299" s="284"/>
    </row>
    <row r="300" spans="1:9" ht="14.1" customHeight="1">
      <c r="A300" s="285" t="s">
        <v>2844</v>
      </c>
    </row>
    <row r="301" spans="1:9" ht="14.1" customHeight="1">
      <c r="A301" s="286" t="s">
        <v>961</v>
      </c>
      <c r="B301" s="287" t="s">
        <v>962</v>
      </c>
      <c r="C301" s="287" t="s">
        <v>1087</v>
      </c>
      <c r="D301" s="288" t="s">
        <v>964</v>
      </c>
      <c r="E301" s="494" t="s">
        <v>1035</v>
      </c>
      <c r="F301" s="288" t="s">
        <v>631</v>
      </c>
      <c r="G301" s="287" t="s">
        <v>1037</v>
      </c>
    </row>
    <row r="302" spans="1:9" s="283" customFormat="1" ht="14.1" customHeight="1">
      <c r="A302" s="329">
        <v>1</v>
      </c>
      <c r="B302" s="326" t="s">
        <v>26</v>
      </c>
      <c r="C302" s="329">
        <v>1</v>
      </c>
      <c r="D302" s="327">
        <f>Qnty_ALL!G977</f>
        <v>20</v>
      </c>
      <c r="E302" s="505" t="s">
        <v>628</v>
      </c>
      <c r="F302" s="305">
        <f>Rates!F7</f>
        <v>149.5</v>
      </c>
      <c r="G302" s="290">
        <f>ROUND((C302*D302*F302),2)</f>
        <v>2990</v>
      </c>
    </row>
    <row r="303" spans="1:9" s="283" customFormat="1" ht="14.1" customHeight="1">
      <c r="A303" s="329">
        <v>2</v>
      </c>
      <c r="B303" s="326" t="s">
        <v>905</v>
      </c>
      <c r="C303" s="329"/>
      <c r="D303" s="327"/>
      <c r="E303" s="505"/>
      <c r="F303" s="305"/>
      <c r="G303" s="313"/>
    </row>
    <row r="304" spans="1:9" s="289" customFormat="1" ht="14.1" customHeight="1">
      <c r="A304" s="329"/>
      <c r="B304" s="326" t="s">
        <v>918</v>
      </c>
      <c r="C304" s="329">
        <v>1</v>
      </c>
      <c r="D304" s="327">
        <f>Qnty_ALL!G979</f>
        <v>6</v>
      </c>
      <c r="E304" s="505" t="s">
        <v>625</v>
      </c>
      <c r="F304" s="305">
        <f>Rates!$F$10</f>
        <v>1883.36</v>
      </c>
      <c r="G304" s="313">
        <f>ROUND((C304*D304*F304),2)</f>
        <v>11300.16</v>
      </c>
    </row>
    <row r="305" spans="1:7" s="283" customFormat="1" ht="14.1" customHeight="1">
      <c r="A305" s="329">
        <v>3</v>
      </c>
      <c r="B305" s="326" t="s">
        <v>919</v>
      </c>
      <c r="C305" s="329">
        <v>1</v>
      </c>
      <c r="D305" s="327">
        <f>Qnty_ALL!G983</f>
        <v>4.8</v>
      </c>
      <c r="E305" s="505" t="s">
        <v>625</v>
      </c>
      <c r="F305" s="305">
        <f>Rates!$F$16</f>
        <v>710.7</v>
      </c>
      <c r="G305" s="313">
        <f>ROUND((C305*D305*F305),2)</f>
        <v>3411.36</v>
      </c>
    </row>
    <row r="306" spans="1:7" s="283" customFormat="1" ht="14.1" customHeight="1">
      <c r="A306" s="329">
        <v>4</v>
      </c>
      <c r="B306" s="326" t="s">
        <v>931</v>
      </c>
      <c r="C306" s="329">
        <v>1</v>
      </c>
      <c r="D306" s="327">
        <f>Qnty_ALL!G984</f>
        <v>1.8</v>
      </c>
      <c r="E306" s="505" t="s">
        <v>625</v>
      </c>
      <c r="F306" s="305">
        <f>Rates!F19</f>
        <v>5523.35</v>
      </c>
      <c r="G306" s="313">
        <f>ROUND((C306*D306*F306),2)</f>
        <v>9942.0300000000007</v>
      </c>
    </row>
    <row r="307" spans="1:7" s="283" customFormat="1" ht="14.1" customHeight="1">
      <c r="A307" s="329">
        <v>5</v>
      </c>
      <c r="B307" s="326" t="s">
        <v>906</v>
      </c>
      <c r="C307" s="329">
        <v>1</v>
      </c>
      <c r="D307" s="327">
        <f>Qnty_ALL!G989</f>
        <v>15.5</v>
      </c>
      <c r="E307" s="505" t="s">
        <v>625</v>
      </c>
      <c r="F307" s="305">
        <f>Rates!F25</f>
        <v>14917.39</v>
      </c>
      <c r="G307" s="313">
        <f>ROUND((C307*D307*F307),2)</f>
        <v>231219.55</v>
      </c>
    </row>
    <row r="308" spans="1:7" s="283" customFormat="1" ht="14.1" customHeight="1">
      <c r="A308" s="329">
        <v>6</v>
      </c>
      <c r="B308" s="326" t="s">
        <v>901</v>
      </c>
      <c r="C308" s="329">
        <v>1</v>
      </c>
      <c r="D308" s="327">
        <f>Qnty_ALL!G994</f>
        <v>27</v>
      </c>
      <c r="E308" s="505" t="s">
        <v>628</v>
      </c>
      <c r="F308" s="305">
        <f>Rates!F68</f>
        <v>383.54</v>
      </c>
      <c r="G308" s="313">
        <f>ROUND((C308*D308*F308),2)</f>
        <v>10355.58</v>
      </c>
    </row>
    <row r="309" spans="1:7" ht="14.1" customHeight="1">
      <c r="A309" s="2890"/>
      <c r="B309" s="2891"/>
      <c r="C309" s="2891"/>
      <c r="D309" s="2892"/>
      <c r="E309" s="2884" t="s">
        <v>1108</v>
      </c>
      <c r="F309" s="2885"/>
      <c r="G309" s="302">
        <f>ROUND(SUM(G302:G308),2)</f>
        <v>269218.68</v>
      </c>
    </row>
    <row r="310" spans="1:7" ht="15.95" customHeight="1">
      <c r="A310" s="2897" t="s">
        <v>731</v>
      </c>
      <c r="B310" s="2898"/>
      <c r="C310" s="2898"/>
      <c r="D310" s="2899"/>
      <c r="E310" s="497"/>
      <c r="F310" s="331"/>
      <c r="G310" s="341">
        <f>ROUND((G309/10),2)</f>
        <v>26921.87</v>
      </c>
    </row>
    <row r="311" spans="1:7" s="283" customFormat="1" ht="12.75">
      <c r="A311" s="2896" t="s">
        <v>928</v>
      </c>
      <c r="B311" s="2896"/>
      <c r="C311" s="332">
        <v>1</v>
      </c>
      <c r="D311" s="332">
        <v>150</v>
      </c>
      <c r="E311" s="506" t="s">
        <v>965</v>
      </c>
      <c r="F311" s="333">
        <f>G310</f>
        <v>26921.87</v>
      </c>
      <c r="G311" s="334">
        <f>ROUND((C311*D311*F311),2)</f>
        <v>4038280.5</v>
      </c>
    </row>
    <row r="312" spans="1:7" s="283" customFormat="1" ht="9.75" customHeight="1">
      <c r="A312" s="296"/>
      <c r="B312" s="296"/>
      <c r="C312" s="190"/>
      <c r="D312" s="190"/>
      <c r="E312" s="500"/>
      <c r="F312" s="309"/>
      <c r="G312" s="340"/>
    </row>
    <row r="313" spans="1:7" s="289" customFormat="1" ht="15.95" customHeight="1">
      <c r="A313" s="285" t="s">
        <v>936</v>
      </c>
      <c r="B313" s="283"/>
      <c r="C313" s="283"/>
      <c r="D313" s="284"/>
      <c r="E313" s="493"/>
      <c r="F313" s="284"/>
      <c r="G313" s="283"/>
    </row>
    <row r="314" spans="1:7" ht="15" customHeight="1">
      <c r="A314" s="283"/>
      <c r="B314" s="283"/>
      <c r="C314" s="283"/>
      <c r="D314" s="284"/>
      <c r="E314" s="493"/>
      <c r="F314" s="284"/>
      <c r="G314" s="283"/>
    </row>
    <row r="315" spans="1:7" s="283" customFormat="1" ht="15" customHeight="1">
      <c r="A315" s="286" t="s">
        <v>961</v>
      </c>
      <c r="B315" s="287" t="s">
        <v>962</v>
      </c>
      <c r="C315" s="287" t="s">
        <v>1087</v>
      </c>
      <c r="D315" s="288" t="s">
        <v>964</v>
      </c>
      <c r="E315" s="494" t="s">
        <v>1035</v>
      </c>
      <c r="F315" s="288" t="s">
        <v>631</v>
      </c>
      <c r="G315" s="287" t="s">
        <v>1037</v>
      </c>
    </row>
    <row r="316" spans="1:7" s="283" customFormat="1" ht="15" customHeight="1">
      <c r="A316" s="329">
        <v>1</v>
      </c>
      <c r="B316" s="326" t="s">
        <v>910</v>
      </c>
      <c r="C316" s="329">
        <v>1</v>
      </c>
      <c r="D316" s="327">
        <f>Qnty_ALL!G999</f>
        <v>4</v>
      </c>
      <c r="E316" s="505" t="s">
        <v>625</v>
      </c>
      <c r="F316" s="305">
        <f>Rates!$F$19</f>
        <v>5523.35</v>
      </c>
      <c r="G316" s="313">
        <f>ROUND((C316*D316*F316),2)</f>
        <v>22093.4</v>
      </c>
    </row>
    <row r="317" spans="1:7" s="283" customFormat="1" ht="15" customHeight="1">
      <c r="A317" s="329">
        <v>2</v>
      </c>
      <c r="B317" s="326" t="s">
        <v>931</v>
      </c>
      <c r="C317" s="329">
        <v>1</v>
      </c>
      <c r="D317" s="327">
        <f>Qnty_ALL!G1000</f>
        <v>1.5</v>
      </c>
      <c r="E317" s="505" t="s">
        <v>625</v>
      </c>
      <c r="F317" s="305">
        <f>Analysis!$R$40</f>
        <v>5523.35</v>
      </c>
      <c r="G317" s="313">
        <f>ROUND((C317*D317*F317),2)</f>
        <v>8285.0300000000007</v>
      </c>
    </row>
    <row r="318" spans="1:7" s="283" customFormat="1" ht="15" customHeight="1">
      <c r="A318" s="329">
        <v>3</v>
      </c>
      <c r="B318" s="326" t="s">
        <v>912</v>
      </c>
      <c r="C318" s="329">
        <v>1</v>
      </c>
      <c r="D318" s="327">
        <f>Qnty_ALL!G1001</f>
        <v>0.23</v>
      </c>
      <c r="E318" s="505" t="s">
        <v>625</v>
      </c>
      <c r="F318" s="305">
        <f>Rates!$F$32</f>
        <v>16022.87</v>
      </c>
      <c r="G318" s="313">
        <f>ROUND((C318*D318*F318),2)</f>
        <v>3685.26</v>
      </c>
    </row>
    <row r="319" spans="1:7" s="283" customFormat="1" ht="15" customHeight="1">
      <c r="A319" s="329">
        <v>4</v>
      </c>
      <c r="B319" s="326" t="s">
        <v>932</v>
      </c>
      <c r="C319" s="329">
        <v>1</v>
      </c>
      <c r="D319" s="327">
        <f>Qnty_ALL!G1002</f>
        <v>2.4500000000000002</v>
      </c>
      <c r="E319" s="505" t="s">
        <v>625</v>
      </c>
      <c r="F319" s="305">
        <f>Rates!$F$25</f>
        <v>14917.39</v>
      </c>
      <c r="G319" s="313">
        <f>ROUND((C319*D319*F319),2)</f>
        <v>36547.61</v>
      </c>
    </row>
    <row r="320" spans="1:7" s="283" customFormat="1" ht="15" customHeight="1">
      <c r="A320" s="329">
        <v>5</v>
      </c>
      <c r="B320" s="326" t="s">
        <v>933</v>
      </c>
      <c r="C320" s="329">
        <v>1</v>
      </c>
      <c r="D320" s="327">
        <f>Qnty_ALL!G1004</f>
        <v>18.600000000000001</v>
      </c>
      <c r="E320" s="505" t="s">
        <v>628</v>
      </c>
      <c r="F320" s="305">
        <f>Rates!F68</f>
        <v>383.54</v>
      </c>
      <c r="G320" s="313">
        <f>ROUND((C320*D320*F320),2)</f>
        <v>7133.84</v>
      </c>
    </row>
    <row r="321" spans="1:7" s="283" customFormat="1" ht="15" customHeight="1">
      <c r="A321" s="2890"/>
      <c r="B321" s="2891"/>
      <c r="C321" s="2891"/>
      <c r="D321" s="2892"/>
      <c r="E321" s="2884" t="s">
        <v>1108</v>
      </c>
      <c r="F321" s="2885"/>
      <c r="G321" s="302">
        <f>ROUND(SUM(G316:G320),2)</f>
        <v>77745.14</v>
      </c>
    </row>
    <row r="322" spans="1:7" ht="15" customHeight="1">
      <c r="A322" s="2897" t="s">
        <v>731</v>
      </c>
      <c r="B322" s="2898"/>
      <c r="C322" s="2898"/>
      <c r="D322" s="2899"/>
      <c r="E322" s="497"/>
      <c r="F322" s="331"/>
      <c r="G322" s="342">
        <f>ROUND((G321/10),2)</f>
        <v>7774.51</v>
      </c>
    </row>
    <row r="323" spans="1:7" s="283" customFormat="1" ht="15" customHeight="1">
      <c r="A323" s="2896" t="s">
        <v>934</v>
      </c>
      <c r="B323" s="2896"/>
      <c r="C323" s="332">
        <v>1</v>
      </c>
      <c r="D323" s="332">
        <v>25</v>
      </c>
      <c r="E323" s="506" t="s">
        <v>965</v>
      </c>
      <c r="F323" s="333">
        <f>G322</f>
        <v>7774.51</v>
      </c>
      <c r="G323" s="334">
        <f>ROUND((C323*D323*F323),2)</f>
        <v>194362.75</v>
      </c>
    </row>
    <row r="324" spans="1:7" s="283" customFormat="1" ht="15" customHeight="1">
      <c r="A324" s="296"/>
      <c r="B324" s="296"/>
      <c r="C324" s="190"/>
      <c r="D324" s="309"/>
      <c r="E324" s="500"/>
      <c r="F324" s="309"/>
      <c r="G324" s="335"/>
    </row>
    <row r="325" spans="1:7" s="283" customFormat="1" ht="15" customHeight="1">
      <c r="A325" s="285" t="s">
        <v>629</v>
      </c>
      <c r="D325" s="284"/>
      <c r="E325" s="493"/>
      <c r="F325" s="284"/>
    </row>
    <row r="326" spans="1:7" s="283" customFormat="1" ht="15" customHeight="1">
      <c r="D326" s="284"/>
      <c r="E326" s="493"/>
      <c r="F326" s="284"/>
    </row>
    <row r="327" spans="1:7" s="283" customFormat="1" ht="15" customHeight="1">
      <c r="A327" s="286" t="s">
        <v>961</v>
      </c>
      <c r="B327" s="287" t="s">
        <v>962</v>
      </c>
      <c r="C327" s="287" t="s">
        <v>1087</v>
      </c>
      <c r="D327" s="288" t="s">
        <v>964</v>
      </c>
      <c r="E327" s="494" t="s">
        <v>1035</v>
      </c>
      <c r="F327" s="288" t="s">
        <v>631</v>
      </c>
      <c r="G327" s="287" t="s">
        <v>1037</v>
      </c>
    </row>
    <row r="328" spans="1:7" s="283" customFormat="1" ht="15" customHeight="1">
      <c r="A328" s="343">
        <v>1</v>
      </c>
      <c r="B328" s="343" t="s">
        <v>910</v>
      </c>
      <c r="C328" s="283">
        <v>1</v>
      </c>
      <c r="D328" s="344">
        <f>Qnty_ALL!G1009</f>
        <v>18</v>
      </c>
      <c r="E328" s="510" t="s">
        <v>625</v>
      </c>
      <c r="F328" s="305">
        <f>Rates!F10</f>
        <v>1883.36</v>
      </c>
      <c r="G328" s="290">
        <f>ROUND((C328*D328*F328),2)</f>
        <v>33900.480000000003</v>
      </c>
    </row>
    <row r="329" spans="1:7" s="283" customFormat="1" ht="15" customHeight="1">
      <c r="A329" s="2890"/>
      <c r="B329" s="2891"/>
      <c r="C329" s="2891"/>
      <c r="D329" s="2892"/>
      <c r="E329" s="2884" t="s">
        <v>1108</v>
      </c>
      <c r="F329" s="2885"/>
      <c r="G329" s="302">
        <f>ROUND(SUM(G328:G328),2)</f>
        <v>33900.480000000003</v>
      </c>
    </row>
    <row r="330" spans="1:7" s="283" customFormat="1" ht="15" customHeight="1">
      <c r="A330" s="2897" t="s">
        <v>731</v>
      </c>
      <c r="B330" s="2898"/>
      <c r="C330" s="2898"/>
      <c r="D330" s="2899"/>
      <c r="E330" s="497"/>
      <c r="F330" s="331"/>
      <c r="G330" s="342">
        <f>ROUND((G329/10),2)</f>
        <v>3390.05</v>
      </c>
    </row>
    <row r="331" spans="1:7" s="283" customFormat="1" ht="15" customHeight="1">
      <c r="A331" s="2896" t="s">
        <v>937</v>
      </c>
      <c r="B331" s="2896"/>
      <c r="C331" s="332">
        <v>1</v>
      </c>
      <c r="D331" s="332">
        <v>50</v>
      </c>
      <c r="E331" s="506" t="s">
        <v>965</v>
      </c>
      <c r="F331" s="333">
        <f>G330</f>
        <v>3390.05</v>
      </c>
      <c r="G331" s="334">
        <f>ROUND((C331*D331*F331),2)</f>
        <v>169502.5</v>
      </c>
    </row>
    <row r="332" spans="1:7" s="283" customFormat="1" ht="15" customHeight="1">
      <c r="A332" s="295"/>
      <c r="B332" s="295"/>
      <c r="C332" s="295"/>
      <c r="D332" s="346"/>
      <c r="E332" s="509"/>
      <c r="F332" s="346"/>
      <c r="G332" s="295"/>
    </row>
    <row r="333" spans="1:7" s="283" customFormat="1" ht="15" customHeight="1">
      <c r="A333" s="285" t="s">
        <v>939</v>
      </c>
      <c r="D333" s="284"/>
      <c r="E333" s="493"/>
      <c r="F333" s="284"/>
    </row>
    <row r="334" spans="1:7" s="283" customFormat="1" ht="15" customHeight="1">
      <c r="D334" s="284"/>
      <c r="E334" s="493"/>
      <c r="F334" s="284"/>
    </row>
    <row r="335" spans="1:7" s="283" customFormat="1" ht="15" customHeight="1">
      <c r="A335" s="286" t="s">
        <v>961</v>
      </c>
      <c r="B335" s="287" t="s">
        <v>962</v>
      </c>
      <c r="C335" s="287" t="s">
        <v>1087</v>
      </c>
      <c r="D335" s="288" t="s">
        <v>964</v>
      </c>
      <c r="E335" s="494" t="s">
        <v>1035</v>
      </c>
      <c r="F335" s="288" t="s">
        <v>631</v>
      </c>
      <c r="G335" s="287" t="s">
        <v>1037</v>
      </c>
    </row>
    <row r="336" spans="1:7" s="283" customFormat="1" ht="15" customHeight="1">
      <c r="A336" s="329">
        <v>1</v>
      </c>
      <c r="B336" s="326" t="s">
        <v>945</v>
      </c>
      <c r="C336" s="329">
        <v>1</v>
      </c>
      <c r="D336" s="327">
        <f>Qnty_ALL!G1020</f>
        <v>54</v>
      </c>
      <c r="E336" s="505" t="s">
        <v>1174</v>
      </c>
      <c r="F336" s="305">
        <f>Rates!F10</f>
        <v>1883.36</v>
      </c>
      <c r="G336" s="313">
        <f>ROUND((C336*D336*F336),2)</f>
        <v>101701.44</v>
      </c>
    </row>
    <row r="337" spans="1:7" s="283" customFormat="1" ht="15" customHeight="1">
      <c r="A337" s="329">
        <v>2</v>
      </c>
      <c r="B337" s="326" t="s">
        <v>946</v>
      </c>
      <c r="C337" s="329">
        <v>1</v>
      </c>
      <c r="D337" s="327">
        <f>Qnty_ALL!G1021</f>
        <v>54</v>
      </c>
      <c r="E337" s="505" t="s">
        <v>1174</v>
      </c>
      <c r="F337" s="305">
        <f>Rates!F16</f>
        <v>710.7</v>
      </c>
      <c r="G337" s="313">
        <f>ROUND((C337*D337*F337),2)</f>
        <v>38377.800000000003</v>
      </c>
    </row>
    <row r="338" spans="1:7" s="283" customFormat="1" ht="15" customHeight="1">
      <c r="A338" s="329">
        <v>3</v>
      </c>
      <c r="B338" s="326" t="s">
        <v>602</v>
      </c>
      <c r="C338" s="329"/>
      <c r="D338" s="327"/>
      <c r="E338" s="505"/>
      <c r="F338" s="305"/>
      <c r="G338" s="313">
        <f>C338*D338*F338</f>
        <v>0</v>
      </c>
    </row>
    <row r="339" spans="1:7" s="283" customFormat="1" ht="15" customHeight="1">
      <c r="A339" s="329"/>
      <c r="B339" s="326" t="s">
        <v>783</v>
      </c>
      <c r="C339" s="329">
        <v>1</v>
      </c>
      <c r="D339" s="327">
        <f>Qnty_ALL!G1023</f>
        <v>100</v>
      </c>
      <c r="E339" s="505" t="s">
        <v>938</v>
      </c>
      <c r="F339" s="305">
        <f>'Entry for Rates'!F153</f>
        <v>343.2</v>
      </c>
      <c r="G339" s="290">
        <f>ROUND((C339*D339*F339),2)</f>
        <v>34320</v>
      </c>
    </row>
    <row r="340" spans="1:7" s="283" customFormat="1" ht="15" customHeight="1">
      <c r="A340" s="2890"/>
      <c r="B340" s="2891"/>
      <c r="C340" s="2891"/>
      <c r="D340" s="2892"/>
      <c r="E340" s="2884" t="s">
        <v>1108</v>
      </c>
      <c r="F340" s="2885"/>
      <c r="G340" s="302">
        <f>ROUND(SUM(G336:G339),2)</f>
        <v>174399.24</v>
      </c>
    </row>
    <row r="341" spans="1:7" s="283" customFormat="1" ht="15" customHeight="1">
      <c r="A341" s="295"/>
      <c r="B341" s="295"/>
      <c r="C341" s="295"/>
      <c r="D341" s="346"/>
      <c r="E341" s="509"/>
      <c r="F341" s="346"/>
      <c r="G341" s="295"/>
    </row>
    <row r="342" spans="1:7" s="283" customFormat="1" ht="15" customHeight="1">
      <c r="A342" s="285" t="s">
        <v>952</v>
      </c>
      <c r="D342" s="284"/>
      <c r="E342" s="493"/>
      <c r="F342" s="284"/>
    </row>
    <row r="343" spans="1:7" s="283" customFormat="1" ht="15" customHeight="1">
      <c r="D343" s="284"/>
      <c r="E343" s="493"/>
      <c r="F343" s="284"/>
    </row>
    <row r="344" spans="1:7" ht="15" customHeight="1">
      <c r="A344" s="286" t="s">
        <v>961</v>
      </c>
      <c r="B344" s="287" t="s">
        <v>962</v>
      </c>
      <c r="C344" s="287" t="s">
        <v>1087</v>
      </c>
      <c r="D344" s="288" t="s">
        <v>964</v>
      </c>
      <c r="E344" s="494" t="s">
        <v>1035</v>
      </c>
      <c r="F344" s="288" t="s">
        <v>631</v>
      </c>
      <c r="G344" s="287" t="s">
        <v>1037</v>
      </c>
    </row>
    <row r="345" spans="1:7" s="283" customFormat="1" ht="15" customHeight="1">
      <c r="A345" s="326">
        <v>1</v>
      </c>
      <c r="B345" s="326" t="s">
        <v>947</v>
      </c>
      <c r="C345" s="326"/>
      <c r="D345" s="327"/>
      <c r="E345" s="508"/>
      <c r="F345" s="327"/>
      <c r="G345" s="326"/>
    </row>
    <row r="346" spans="1:7" s="283" customFormat="1" ht="15" customHeight="1">
      <c r="A346" s="329"/>
      <c r="B346" s="326" t="s">
        <v>321</v>
      </c>
      <c r="C346" s="329">
        <v>1</v>
      </c>
      <c r="D346" s="327">
        <f>Qnty_ALL!G1029</f>
        <v>6</v>
      </c>
      <c r="E346" s="505" t="s">
        <v>949</v>
      </c>
      <c r="F346" s="305">
        <f>Analysis!$Q$199</f>
        <v>7383.3449999999993</v>
      </c>
      <c r="G346" s="313">
        <f>ROUND((C346*D346*F346),2)</f>
        <v>44300.07</v>
      </c>
    </row>
    <row r="347" spans="1:7" ht="12.75">
      <c r="A347" s="329">
        <v>2</v>
      </c>
      <c r="B347" s="326" t="s">
        <v>948</v>
      </c>
      <c r="C347" s="329">
        <v>1</v>
      </c>
      <c r="D347" s="327">
        <f>Qnty_ALL!G1030</f>
        <v>18</v>
      </c>
      <c r="E347" s="505" t="s">
        <v>1174</v>
      </c>
      <c r="F347" s="305">
        <f>Analysis!$R$200</f>
        <v>4056.82</v>
      </c>
      <c r="G347" s="313">
        <f>ROUND((C347*D347*F347),2)</f>
        <v>73022.759999999995</v>
      </c>
    </row>
    <row r="348" spans="1:7" s="283" customFormat="1" ht="15" customHeight="1">
      <c r="A348" s="2890"/>
      <c r="B348" s="2891"/>
      <c r="C348" s="2891"/>
      <c r="D348" s="2892"/>
      <c r="E348" s="2884" t="s">
        <v>1108</v>
      </c>
      <c r="F348" s="2885"/>
      <c r="G348" s="302">
        <f>ROUND(SUM(G345:G347),2)</f>
        <v>117322.83</v>
      </c>
    </row>
    <row r="349" spans="1:7" s="283" customFormat="1" ht="15" customHeight="1">
      <c r="A349" s="295"/>
      <c r="B349" s="295"/>
      <c r="C349" s="295"/>
      <c r="D349" s="346"/>
      <c r="E349" s="509"/>
      <c r="F349" s="346"/>
      <c r="G349" s="295"/>
    </row>
    <row r="350" spans="1:7" s="283" customFormat="1" ht="15" customHeight="1">
      <c r="A350" s="285" t="s">
        <v>633</v>
      </c>
      <c r="D350" s="284"/>
      <c r="E350" s="493"/>
      <c r="F350" s="284"/>
    </row>
    <row r="351" spans="1:7" s="283" customFormat="1" ht="15" customHeight="1">
      <c r="D351" s="284"/>
      <c r="E351" s="493"/>
      <c r="F351" s="284"/>
    </row>
    <row r="352" spans="1:7" s="283" customFormat="1" ht="15" customHeight="1">
      <c r="A352" s="286" t="s">
        <v>961</v>
      </c>
      <c r="B352" s="287" t="s">
        <v>962</v>
      </c>
      <c r="C352" s="287" t="s">
        <v>1087</v>
      </c>
      <c r="D352" s="288" t="s">
        <v>964</v>
      </c>
      <c r="E352" s="494" t="s">
        <v>1035</v>
      </c>
      <c r="F352" s="288" t="s">
        <v>631</v>
      </c>
      <c r="G352" s="287" t="s">
        <v>1037</v>
      </c>
    </row>
    <row r="353" spans="1:7" s="283" customFormat="1" ht="15" customHeight="1">
      <c r="A353" s="326">
        <v>1</v>
      </c>
      <c r="B353" s="326" t="s">
        <v>956</v>
      </c>
      <c r="C353" s="326"/>
      <c r="D353" s="327"/>
      <c r="E353" s="508"/>
      <c r="F353" s="327"/>
      <c r="G353" s="347">
        <f>G311</f>
        <v>4038280.5</v>
      </c>
    </row>
    <row r="354" spans="1:7" ht="15" customHeight="1">
      <c r="A354" s="326">
        <v>2</v>
      </c>
      <c r="B354" s="326" t="s">
        <v>955</v>
      </c>
      <c r="C354" s="326"/>
      <c r="D354" s="327"/>
      <c r="E354" s="508"/>
      <c r="F354" s="327"/>
      <c r="G354" s="347">
        <f>G323</f>
        <v>194362.75</v>
      </c>
    </row>
    <row r="355" spans="1:7" ht="15.95" customHeight="1">
      <c r="A355" s="326">
        <v>3</v>
      </c>
      <c r="B355" s="326" t="s">
        <v>954</v>
      </c>
      <c r="C355" s="326"/>
      <c r="D355" s="327"/>
      <c r="E355" s="508"/>
      <c r="F355" s="327"/>
      <c r="G355" s="347">
        <f>G331</f>
        <v>169502.5</v>
      </c>
    </row>
    <row r="356" spans="1:7" s="283" customFormat="1" ht="15.95" customHeight="1">
      <c r="A356" s="326">
        <v>4</v>
      </c>
      <c r="B356" s="326" t="s">
        <v>953</v>
      </c>
      <c r="C356" s="326"/>
      <c r="D356" s="327"/>
      <c r="E356" s="508"/>
      <c r="F356" s="327"/>
      <c r="G356" s="347">
        <f>G348</f>
        <v>117322.83</v>
      </c>
    </row>
    <row r="357" spans="1:7" s="283" customFormat="1" ht="15.95" customHeight="1">
      <c r="A357" s="2902" t="s">
        <v>951</v>
      </c>
      <c r="B357" s="2884"/>
      <c r="C357" s="2884"/>
      <c r="D357" s="2885"/>
      <c r="E357" s="2884"/>
      <c r="F357" s="2885"/>
      <c r="G357" s="302">
        <f>SUM(G353:G356)</f>
        <v>4519468.58</v>
      </c>
    </row>
    <row r="358" spans="1:7" s="289" customFormat="1" ht="15.95" customHeight="1">
      <c r="A358" s="295"/>
      <c r="B358" s="295"/>
      <c r="C358" s="295"/>
      <c r="D358" s="346"/>
      <c r="E358" s="509"/>
      <c r="F358" s="346"/>
      <c r="G358" s="295"/>
    </row>
    <row r="359" spans="1:7" s="283" customFormat="1" ht="14.45" customHeight="1">
      <c r="A359" s="285" t="s">
        <v>706</v>
      </c>
      <c r="D359" s="284"/>
      <c r="E359" s="493"/>
      <c r="F359" s="284"/>
    </row>
    <row r="360" spans="1:7" s="283" customFormat="1" ht="14.45" customHeight="1">
      <c r="D360" s="284"/>
      <c r="E360" s="493"/>
      <c r="F360" s="284"/>
    </row>
    <row r="361" spans="1:7" s="283" customFormat="1" ht="14.45" customHeight="1">
      <c r="A361" s="286" t="s">
        <v>961</v>
      </c>
      <c r="B361" s="287" t="s">
        <v>962</v>
      </c>
      <c r="C361" s="287" t="s">
        <v>1087</v>
      </c>
      <c r="D361" s="288" t="s">
        <v>964</v>
      </c>
      <c r="E361" s="494" t="s">
        <v>1035</v>
      </c>
      <c r="F361" s="288" t="s">
        <v>631</v>
      </c>
      <c r="G361" s="287" t="s">
        <v>1037</v>
      </c>
    </row>
    <row r="362" spans="1:7" s="283" customFormat="1" ht="14.45" customHeight="1">
      <c r="A362" s="348" t="s">
        <v>710</v>
      </c>
      <c r="B362" s="348" t="s">
        <v>2917</v>
      </c>
      <c r="C362" s="348"/>
      <c r="D362" s="349"/>
      <c r="E362" s="511"/>
      <c r="F362" s="350"/>
      <c r="G362" s="351"/>
    </row>
    <row r="363" spans="1:7" s="283" customFormat="1" ht="14.45" customHeight="1">
      <c r="A363" s="329">
        <v>1</v>
      </c>
      <c r="B363" s="326" t="s">
        <v>463</v>
      </c>
      <c r="C363" s="329"/>
      <c r="D363" s="327">
        <v>8</v>
      </c>
      <c r="E363" s="505" t="s">
        <v>949</v>
      </c>
      <c r="F363" s="327">
        <f t="shared" ref="F363:F369" si="3">F379</f>
        <v>2406</v>
      </c>
      <c r="G363" s="313">
        <f t="shared" ref="G363:G369" si="4">ROUND((D363*F363),2)</f>
        <v>19248</v>
      </c>
    </row>
    <row r="364" spans="1:7" s="283" customFormat="1" ht="14.45" customHeight="1">
      <c r="A364" s="329">
        <v>2</v>
      </c>
      <c r="B364" s="326" t="s">
        <v>464</v>
      </c>
      <c r="C364" s="329"/>
      <c r="D364" s="327">
        <v>12</v>
      </c>
      <c r="E364" s="505" t="s">
        <v>949</v>
      </c>
      <c r="F364" s="327">
        <f t="shared" si="3"/>
        <v>917</v>
      </c>
      <c r="G364" s="313">
        <f t="shared" si="4"/>
        <v>11004</v>
      </c>
    </row>
    <row r="365" spans="1:7" s="283" customFormat="1" ht="14.45" customHeight="1">
      <c r="A365" s="329">
        <v>4</v>
      </c>
      <c r="B365" s="326" t="s">
        <v>465</v>
      </c>
      <c r="C365" s="329"/>
      <c r="D365" s="327">
        <v>4</v>
      </c>
      <c r="E365" s="505" t="s">
        <v>949</v>
      </c>
      <c r="F365" s="327">
        <f t="shared" si="3"/>
        <v>23238</v>
      </c>
      <c r="G365" s="313">
        <f t="shared" si="4"/>
        <v>92952</v>
      </c>
    </row>
    <row r="366" spans="1:7" s="283" customFormat="1" ht="14.45" customHeight="1">
      <c r="A366" s="329">
        <v>5</v>
      </c>
      <c r="B366" s="326" t="s">
        <v>466</v>
      </c>
      <c r="C366" s="329"/>
      <c r="D366" s="327">
        <v>8</v>
      </c>
      <c r="E366" s="505" t="s">
        <v>949</v>
      </c>
      <c r="F366" s="327">
        <f t="shared" si="3"/>
        <v>2159</v>
      </c>
      <c r="G366" s="313">
        <f t="shared" si="4"/>
        <v>17272</v>
      </c>
    </row>
    <row r="367" spans="1:7" s="283" customFormat="1" ht="14.45" customHeight="1">
      <c r="A367" s="329">
        <v>6</v>
      </c>
      <c r="B367" s="326" t="s">
        <v>467</v>
      </c>
      <c r="C367" s="329"/>
      <c r="D367" s="327">
        <v>6</v>
      </c>
      <c r="E367" s="505" t="s">
        <v>949</v>
      </c>
      <c r="F367" s="327">
        <f t="shared" si="3"/>
        <v>695</v>
      </c>
      <c r="G367" s="313">
        <f t="shared" si="4"/>
        <v>4170</v>
      </c>
    </row>
    <row r="368" spans="1:7" s="283" customFormat="1" ht="14.45" customHeight="1">
      <c r="A368" s="329">
        <v>7</v>
      </c>
      <c r="B368" s="326" t="s">
        <v>468</v>
      </c>
      <c r="C368" s="329"/>
      <c r="D368" s="327">
        <v>6</v>
      </c>
      <c r="E368" s="505" t="s">
        <v>949</v>
      </c>
      <c r="F368" s="327">
        <f t="shared" si="3"/>
        <v>695</v>
      </c>
      <c r="G368" s="313">
        <f t="shared" si="4"/>
        <v>4170</v>
      </c>
    </row>
    <row r="369" spans="1:7" s="283" customFormat="1" ht="14.45" customHeight="1">
      <c r="A369" s="329">
        <v>8</v>
      </c>
      <c r="B369" s="326" t="s">
        <v>469</v>
      </c>
      <c r="C369" s="329"/>
      <c r="D369" s="327">
        <v>4</v>
      </c>
      <c r="E369" s="505" t="s">
        <v>949</v>
      </c>
      <c r="F369" s="327">
        <f t="shared" si="3"/>
        <v>6948</v>
      </c>
      <c r="G369" s="313">
        <f t="shared" si="4"/>
        <v>27792</v>
      </c>
    </row>
    <row r="370" spans="1:7" s="283" customFormat="1" ht="14.45" customHeight="1">
      <c r="A370" s="348" t="s">
        <v>712</v>
      </c>
      <c r="B370" s="348" t="s">
        <v>2918</v>
      </c>
      <c r="C370" s="348"/>
      <c r="D370" s="349"/>
      <c r="E370" s="511"/>
      <c r="F370" s="350"/>
      <c r="G370" s="351"/>
    </row>
    <row r="371" spans="1:7" s="283" customFormat="1" ht="14.45" customHeight="1">
      <c r="A371" s="329">
        <v>1</v>
      </c>
      <c r="B371" s="326" t="s">
        <v>463</v>
      </c>
      <c r="C371" s="329"/>
      <c r="D371" s="327">
        <v>4</v>
      </c>
      <c r="E371" s="505" t="s">
        <v>949</v>
      </c>
      <c r="F371" s="327">
        <f t="shared" ref="F371:F377" si="5">F379</f>
        <v>2406</v>
      </c>
      <c r="G371" s="313">
        <f t="shared" ref="G371:G377" si="6">ROUND((D371*F371),2)</f>
        <v>9624</v>
      </c>
    </row>
    <row r="372" spans="1:7" s="283" customFormat="1" ht="14.45" customHeight="1">
      <c r="A372" s="329">
        <v>2</v>
      </c>
      <c r="B372" s="326" t="s">
        <v>464</v>
      </c>
      <c r="C372" s="329"/>
      <c r="D372" s="327">
        <v>8</v>
      </c>
      <c r="E372" s="505" t="s">
        <v>949</v>
      </c>
      <c r="F372" s="327">
        <f t="shared" si="5"/>
        <v>917</v>
      </c>
      <c r="G372" s="313">
        <f t="shared" si="6"/>
        <v>7336</v>
      </c>
    </row>
    <row r="373" spans="1:7" s="283" customFormat="1" ht="14.45" customHeight="1">
      <c r="A373" s="329">
        <v>4</v>
      </c>
      <c r="B373" s="326" t="s">
        <v>465</v>
      </c>
      <c r="C373" s="329"/>
      <c r="D373" s="327">
        <v>4</v>
      </c>
      <c r="E373" s="505" t="s">
        <v>949</v>
      </c>
      <c r="F373" s="327">
        <f t="shared" si="5"/>
        <v>23238</v>
      </c>
      <c r="G373" s="313">
        <f t="shared" si="6"/>
        <v>92952</v>
      </c>
    </row>
    <row r="374" spans="1:7" s="283" customFormat="1" ht="14.45" customHeight="1">
      <c r="A374" s="329">
        <v>5</v>
      </c>
      <c r="B374" s="326" t="s">
        <v>466</v>
      </c>
      <c r="C374" s="329"/>
      <c r="D374" s="327">
        <v>8</v>
      </c>
      <c r="E374" s="505" t="s">
        <v>949</v>
      </c>
      <c r="F374" s="327">
        <f t="shared" si="5"/>
        <v>2159</v>
      </c>
      <c r="G374" s="313">
        <f t="shared" si="6"/>
        <v>17272</v>
      </c>
    </row>
    <row r="375" spans="1:7" s="283" customFormat="1" ht="14.45" customHeight="1">
      <c r="A375" s="329">
        <v>6</v>
      </c>
      <c r="B375" s="326" t="s">
        <v>467</v>
      </c>
      <c r="C375" s="329"/>
      <c r="D375" s="327">
        <v>5</v>
      </c>
      <c r="E375" s="505" t="s">
        <v>949</v>
      </c>
      <c r="F375" s="327">
        <f t="shared" si="5"/>
        <v>695</v>
      </c>
      <c r="G375" s="313">
        <f t="shared" si="6"/>
        <v>3475</v>
      </c>
    </row>
    <row r="376" spans="1:7" s="283" customFormat="1" ht="14.45" customHeight="1">
      <c r="A376" s="329">
        <v>7</v>
      </c>
      <c r="B376" s="326" t="s">
        <v>468</v>
      </c>
      <c r="C376" s="329"/>
      <c r="D376" s="327">
        <v>2</v>
      </c>
      <c r="E376" s="505" t="s">
        <v>949</v>
      </c>
      <c r="F376" s="327">
        <f t="shared" si="5"/>
        <v>695</v>
      </c>
      <c r="G376" s="313">
        <f t="shared" si="6"/>
        <v>1390</v>
      </c>
    </row>
    <row r="377" spans="1:7" s="283" customFormat="1" ht="14.45" customHeight="1">
      <c r="A377" s="329">
        <v>8</v>
      </c>
      <c r="B377" s="326" t="s">
        <v>469</v>
      </c>
      <c r="C377" s="329"/>
      <c r="D377" s="327">
        <v>4</v>
      </c>
      <c r="E377" s="505" t="s">
        <v>949</v>
      </c>
      <c r="F377" s="327">
        <f t="shared" si="5"/>
        <v>6948</v>
      </c>
      <c r="G377" s="313">
        <f t="shared" si="6"/>
        <v>27792</v>
      </c>
    </row>
    <row r="378" spans="1:7" s="283" customFormat="1" ht="14.45" customHeight="1">
      <c r="A378" s="348" t="s">
        <v>714</v>
      </c>
      <c r="B378" s="348" t="s">
        <v>711</v>
      </c>
      <c r="C378" s="348"/>
      <c r="D378" s="349"/>
      <c r="E378" s="511"/>
      <c r="F378" s="350"/>
      <c r="G378" s="351"/>
    </row>
    <row r="379" spans="1:7" s="283" customFormat="1" ht="14.45" customHeight="1">
      <c r="A379" s="329">
        <v>1</v>
      </c>
      <c r="B379" s="326" t="s">
        <v>463</v>
      </c>
      <c r="C379" s="329"/>
      <c r="D379" s="327">
        <v>6</v>
      </c>
      <c r="E379" s="505" t="s">
        <v>949</v>
      </c>
      <c r="F379" s="327">
        <f>'Entry for Rates'!AA140</f>
        <v>2406</v>
      </c>
      <c r="G379" s="313">
        <f t="shared" ref="G379:G385" si="7">ROUND((D379*F379),2)</f>
        <v>14436</v>
      </c>
    </row>
    <row r="380" spans="1:7" s="283" customFormat="1" ht="14.45" customHeight="1">
      <c r="A380" s="329">
        <v>2</v>
      </c>
      <c r="B380" s="326" t="s">
        <v>464</v>
      </c>
      <c r="C380" s="329"/>
      <c r="D380" s="327">
        <v>12</v>
      </c>
      <c r="E380" s="505" t="s">
        <v>949</v>
      </c>
      <c r="F380" s="327">
        <f>'Entry for Rates'!V140</f>
        <v>917</v>
      </c>
      <c r="G380" s="313">
        <f t="shared" si="7"/>
        <v>11004</v>
      </c>
    </row>
    <row r="381" spans="1:7" s="283" customFormat="1" ht="14.45" customHeight="1">
      <c r="A381" s="329">
        <v>4</v>
      </c>
      <c r="B381" s="326" t="s">
        <v>465</v>
      </c>
      <c r="C381" s="329"/>
      <c r="D381" s="327">
        <v>5</v>
      </c>
      <c r="E381" s="505" t="s">
        <v>949</v>
      </c>
      <c r="F381" s="327">
        <f>'Entry for Rates'!$F$140</f>
        <v>23238</v>
      </c>
      <c r="G381" s="313">
        <f t="shared" si="7"/>
        <v>116190</v>
      </c>
    </row>
    <row r="382" spans="1:7" s="283" customFormat="1" ht="14.45" customHeight="1">
      <c r="A382" s="329">
        <v>5</v>
      </c>
      <c r="B382" s="326" t="s">
        <v>466</v>
      </c>
      <c r="C382" s="329"/>
      <c r="D382" s="327">
        <v>6</v>
      </c>
      <c r="E382" s="505" t="s">
        <v>949</v>
      </c>
      <c r="F382" s="327">
        <f>'Entry for Rates'!H140</f>
        <v>2159</v>
      </c>
      <c r="G382" s="313">
        <f t="shared" si="7"/>
        <v>12954</v>
      </c>
    </row>
    <row r="383" spans="1:7" s="283" customFormat="1" ht="14.45" customHeight="1">
      <c r="A383" s="329">
        <v>6</v>
      </c>
      <c r="B383" s="326" t="s">
        <v>467</v>
      </c>
      <c r="C383" s="329"/>
      <c r="D383" s="327">
        <v>5</v>
      </c>
      <c r="E383" s="505" t="s">
        <v>949</v>
      </c>
      <c r="F383" s="327">
        <f>'Entry for Rates'!I155</f>
        <v>695</v>
      </c>
      <c r="G383" s="313">
        <f t="shared" si="7"/>
        <v>3475</v>
      </c>
    </row>
    <row r="384" spans="1:7" s="283" customFormat="1" ht="14.45" customHeight="1">
      <c r="A384" s="329">
        <v>7</v>
      </c>
      <c r="B384" s="326" t="s">
        <v>468</v>
      </c>
      <c r="C384" s="329"/>
      <c r="D384" s="327">
        <v>2</v>
      </c>
      <c r="E384" s="505" t="s">
        <v>949</v>
      </c>
      <c r="F384" s="327">
        <f>'Entry for Rates'!I155</f>
        <v>695</v>
      </c>
      <c r="G384" s="313">
        <f t="shared" si="7"/>
        <v>1390</v>
      </c>
    </row>
    <row r="385" spans="1:7" s="283" customFormat="1" ht="14.45" customHeight="1">
      <c r="A385" s="329">
        <v>8</v>
      </c>
      <c r="B385" s="326" t="s">
        <v>469</v>
      </c>
      <c r="C385" s="329"/>
      <c r="D385" s="327">
        <v>4</v>
      </c>
      <c r="E385" s="505" t="s">
        <v>949</v>
      </c>
      <c r="F385" s="327">
        <f>'Entry for Rates'!Z140</f>
        <v>6948</v>
      </c>
      <c r="G385" s="313">
        <f t="shared" si="7"/>
        <v>27792</v>
      </c>
    </row>
    <row r="386" spans="1:7" s="283" customFormat="1" ht="14.45" customHeight="1">
      <c r="A386" s="348" t="s">
        <v>716</v>
      </c>
      <c r="B386" s="348" t="s">
        <v>713</v>
      </c>
      <c r="C386" s="348"/>
      <c r="D386" s="349"/>
      <c r="E386" s="511"/>
      <c r="F386" s="327"/>
      <c r="G386" s="351"/>
    </row>
    <row r="387" spans="1:7" s="283" customFormat="1" ht="14.45" customHeight="1">
      <c r="A387" s="329">
        <v>1</v>
      </c>
      <c r="B387" s="326" t="s">
        <v>463</v>
      </c>
      <c r="C387" s="329"/>
      <c r="D387" s="327">
        <v>4</v>
      </c>
      <c r="E387" s="505" t="s">
        <v>949</v>
      </c>
      <c r="F387" s="327">
        <f t="shared" ref="F387:F390" si="8">F379</f>
        <v>2406</v>
      </c>
      <c r="G387" s="313">
        <f t="shared" ref="G387:G392" si="9">ROUND((D387*F387),2)</f>
        <v>9624</v>
      </c>
    </row>
    <row r="388" spans="1:7" s="283" customFormat="1" ht="14.45" customHeight="1">
      <c r="A388" s="329">
        <v>2</v>
      </c>
      <c r="B388" s="326" t="s">
        <v>464</v>
      </c>
      <c r="C388" s="329"/>
      <c r="D388" s="327">
        <v>10</v>
      </c>
      <c r="E388" s="505" t="s">
        <v>949</v>
      </c>
      <c r="F388" s="327">
        <f t="shared" si="8"/>
        <v>917</v>
      </c>
      <c r="G388" s="313">
        <f t="shared" si="9"/>
        <v>9170</v>
      </c>
    </row>
    <row r="389" spans="1:7" s="283" customFormat="1" ht="14.45" customHeight="1">
      <c r="A389" s="329">
        <v>3</v>
      </c>
      <c r="B389" s="326" t="s">
        <v>465</v>
      </c>
      <c r="C389" s="329"/>
      <c r="D389" s="327">
        <v>4</v>
      </c>
      <c r="E389" s="505" t="s">
        <v>949</v>
      </c>
      <c r="F389" s="327">
        <f t="shared" si="8"/>
        <v>23238</v>
      </c>
      <c r="G389" s="313">
        <f t="shared" si="9"/>
        <v>92952</v>
      </c>
    </row>
    <row r="390" spans="1:7" s="283" customFormat="1" ht="14.45" customHeight="1">
      <c r="A390" s="329">
        <v>4</v>
      </c>
      <c r="B390" s="326" t="s">
        <v>466</v>
      </c>
      <c r="C390" s="329"/>
      <c r="D390" s="327">
        <v>4</v>
      </c>
      <c r="E390" s="505" t="s">
        <v>949</v>
      </c>
      <c r="F390" s="327">
        <f t="shared" si="8"/>
        <v>2159</v>
      </c>
      <c r="G390" s="313">
        <f t="shared" si="9"/>
        <v>8636</v>
      </c>
    </row>
    <row r="391" spans="1:7" s="283" customFormat="1" ht="14.45" customHeight="1">
      <c r="A391" s="329">
        <v>7</v>
      </c>
      <c r="B391" s="326" t="s">
        <v>468</v>
      </c>
      <c r="C391" s="329"/>
      <c r="D391" s="327">
        <v>3</v>
      </c>
      <c r="E391" s="505" t="s">
        <v>949</v>
      </c>
      <c r="F391" s="327">
        <f>F384</f>
        <v>695</v>
      </c>
      <c r="G391" s="313">
        <f t="shared" si="9"/>
        <v>2085</v>
      </c>
    </row>
    <row r="392" spans="1:7" s="283" customFormat="1" ht="14.45" customHeight="1">
      <c r="A392" s="329">
        <v>5</v>
      </c>
      <c r="B392" s="326" t="s">
        <v>469</v>
      </c>
      <c r="C392" s="329"/>
      <c r="D392" s="327">
        <v>4</v>
      </c>
      <c r="E392" s="505" t="s">
        <v>949</v>
      </c>
      <c r="F392" s="327">
        <f>F385</f>
        <v>6948</v>
      </c>
      <c r="G392" s="313">
        <f t="shared" si="9"/>
        <v>27792</v>
      </c>
    </row>
    <row r="393" spans="1:7" s="283" customFormat="1" ht="14.45" customHeight="1">
      <c r="A393" s="348" t="s">
        <v>718</v>
      </c>
      <c r="B393" s="348" t="s">
        <v>715</v>
      </c>
      <c r="C393" s="348"/>
      <c r="D393" s="349"/>
      <c r="E393" s="511"/>
      <c r="F393" s="327"/>
      <c r="G393" s="351"/>
    </row>
    <row r="394" spans="1:7" s="283" customFormat="1" ht="14.45" customHeight="1">
      <c r="A394" s="329">
        <v>1</v>
      </c>
      <c r="B394" s="326" t="s">
        <v>463</v>
      </c>
      <c r="C394" s="329"/>
      <c r="D394" s="327">
        <v>4</v>
      </c>
      <c r="E394" s="505" t="s">
        <v>949</v>
      </c>
      <c r="F394" s="327">
        <f t="shared" ref="F394:F397" si="10">F379</f>
        <v>2406</v>
      </c>
      <c r="G394" s="313">
        <f t="shared" ref="G394:G399" si="11">ROUND((D394*F394),2)</f>
        <v>9624</v>
      </c>
    </row>
    <row r="395" spans="1:7" s="283" customFormat="1" ht="14.45" customHeight="1">
      <c r="A395" s="329">
        <v>2</v>
      </c>
      <c r="B395" s="326" t="s">
        <v>464</v>
      </c>
      <c r="C395" s="329"/>
      <c r="D395" s="327">
        <v>16</v>
      </c>
      <c r="E395" s="505" t="s">
        <v>949</v>
      </c>
      <c r="F395" s="327">
        <f t="shared" si="10"/>
        <v>917</v>
      </c>
      <c r="G395" s="313">
        <f t="shared" si="11"/>
        <v>14672</v>
      </c>
    </row>
    <row r="396" spans="1:7" s="283" customFormat="1" ht="14.45" customHeight="1">
      <c r="A396" s="329">
        <v>3</v>
      </c>
      <c r="B396" s="326" t="s">
        <v>465</v>
      </c>
      <c r="C396" s="329"/>
      <c r="D396" s="327">
        <v>8</v>
      </c>
      <c r="E396" s="505" t="s">
        <v>949</v>
      </c>
      <c r="F396" s="327">
        <f t="shared" si="10"/>
        <v>23238</v>
      </c>
      <c r="G396" s="313">
        <f t="shared" si="11"/>
        <v>185904</v>
      </c>
    </row>
    <row r="397" spans="1:7" s="283" customFormat="1" ht="14.45" customHeight="1">
      <c r="A397" s="329">
        <v>4</v>
      </c>
      <c r="B397" s="326" t="s">
        <v>466</v>
      </c>
      <c r="C397" s="329"/>
      <c r="D397" s="327">
        <v>12</v>
      </c>
      <c r="E397" s="505" t="s">
        <v>949</v>
      </c>
      <c r="F397" s="327">
        <f t="shared" si="10"/>
        <v>2159</v>
      </c>
      <c r="G397" s="313">
        <f t="shared" si="11"/>
        <v>25908</v>
      </c>
    </row>
    <row r="398" spans="1:7" s="283" customFormat="1" ht="14.45" customHeight="1">
      <c r="A398" s="329">
        <v>5</v>
      </c>
      <c r="B398" s="326" t="s">
        <v>469</v>
      </c>
      <c r="C398" s="329"/>
      <c r="D398" s="327">
        <v>14</v>
      </c>
      <c r="E398" s="505" t="s">
        <v>949</v>
      </c>
      <c r="F398" s="327">
        <f>F385</f>
        <v>6948</v>
      </c>
      <c r="G398" s="313">
        <f t="shared" si="11"/>
        <v>97272</v>
      </c>
    </row>
    <row r="399" spans="1:7" s="283" customFormat="1" ht="14.45" customHeight="1">
      <c r="A399" s="329">
        <v>6</v>
      </c>
      <c r="B399" s="326" t="s">
        <v>470</v>
      </c>
      <c r="C399" s="329"/>
      <c r="D399" s="327">
        <v>2</v>
      </c>
      <c r="E399" s="505" t="s">
        <v>949</v>
      </c>
      <c r="F399" s="305">
        <f>'Entry for Rates'!E140*1.3</f>
        <v>3363.1</v>
      </c>
      <c r="G399" s="313">
        <f t="shared" si="11"/>
        <v>6726.2</v>
      </c>
    </row>
    <row r="400" spans="1:7" s="283" customFormat="1" ht="14.45" customHeight="1">
      <c r="A400" s="348" t="s">
        <v>721</v>
      </c>
      <c r="B400" s="348" t="s">
        <v>3041</v>
      </c>
      <c r="C400" s="348"/>
      <c r="D400" s="349"/>
      <c r="E400" s="511"/>
      <c r="F400" s="327"/>
      <c r="G400" s="351"/>
    </row>
    <row r="401" spans="1:7" s="283" customFormat="1" ht="14.45" customHeight="1">
      <c r="A401" s="329">
        <v>1</v>
      </c>
      <c r="B401" s="326" t="s">
        <v>3042</v>
      </c>
      <c r="C401" s="329"/>
      <c r="D401" s="327">
        <v>4</v>
      </c>
      <c r="E401" s="505" t="s">
        <v>949</v>
      </c>
      <c r="F401" s="327">
        <v>3505</v>
      </c>
      <c r="G401" s="313">
        <f t="shared" ref="G401:G406" si="12">ROUND((D401*F401),2)</f>
        <v>14020</v>
      </c>
    </row>
    <row r="402" spans="1:7" s="283" customFormat="1" ht="14.45" customHeight="1">
      <c r="A402" s="329">
        <v>2</v>
      </c>
      <c r="B402" s="326" t="s">
        <v>3043</v>
      </c>
      <c r="C402" s="329"/>
      <c r="D402" s="327">
        <v>16</v>
      </c>
      <c r="E402" s="505" t="s">
        <v>949</v>
      </c>
      <c r="F402" s="327">
        <f>F387*1.25</f>
        <v>3007.5</v>
      </c>
      <c r="G402" s="313">
        <f t="shared" si="12"/>
        <v>48120</v>
      </c>
    </row>
    <row r="403" spans="1:7" s="283" customFormat="1" ht="14.45" customHeight="1">
      <c r="A403" s="329">
        <v>3</v>
      </c>
      <c r="B403" s="326" t="s">
        <v>3044</v>
      </c>
      <c r="C403" s="329"/>
      <c r="D403" s="327">
        <v>8</v>
      </c>
      <c r="E403" s="505" t="s">
        <v>949</v>
      </c>
      <c r="F403" s="327">
        <f>F389*1.5</f>
        <v>34857</v>
      </c>
      <c r="G403" s="313">
        <f t="shared" si="12"/>
        <v>278856</v>
      </c>
    </row>
    <row r="404" spans="1:7" s="283" customFormat="1" ht="14.45" customHeight="1">
      <c r="A404" s="329">
        <v>4</v>
      </c>
      <c r="B404" s="326" t="s">
        <v>3045</v>
      </c>
      <c r="C404" s="329"/>
      <c r="D404" s="327">
        <v>12</v>
      </c>
      <c r="E404" s="505" t="s">
        <v>949</v>
      </c>
      <c r="F404" s="327">
        <v>6430</v>
      </c>
      <c r="G404" s="313">
        <f t="shared" si="12"/>
        <v>77160</v>
      </c>
    </row>
    <row r="405" spans="1:7" s="283" customFormat="1" ht="14.45" customHeight="1">
      <c r="A405" s="329">
        <v>5</v>
      </c>
      <c r="B405" s="326" t="s">
        <v>3046</v>
      </c>
      <c r="C405" s="329"/>
      <c r="D405" s="327">
        <v>14</v>
      </c>
      <c r="E405" s="505" t="s">
        <v>949</v>
      </c>
      <c r="F405" s="327">
        <f>F392*1.5</f>
        <v>10422</v>
      </c>
      <c r="G405" s="313">
        <f t="shared" si="12"/>
        <v>145908</v>
      </c>
    </row>
    <row r="406" spans="1:7" s="283" customFormat="1" ht="14.45" customHeight="1">
      <c r="A406" s="329">
        <v>6</v>
      </c>
      <c r="B406" s="326" t="s">
        <v>3047</v>
      </c>
      <c r="C406" s="329"/>
      <c r="D406" s="327">
        <v>2</v>
      </c>
      <c r="E406" s="505" t="s">
        <v>949</v>
      </c>
      <c r="F406" s="305">
        <f>F399*2</f>
        <v>6726.2</v>
      </c>
      <c r="G406" s="313">
        <f t="shared" si="12"/>
        <v>13452.4</v>
      </c>
    </row>
    <row r="407" spans="1:7" ht="15.95" customHeight="1">
      <c r="A407" s="348" t="s">
        <v>721</v>
      </c>
      <c r="B407" s="196" t="s">
        <v>720</v>
      </c>
      <c r="C407" s="196"/>
      <c r="D407" s="196"/>
      <c r="E407" s="496"/>
      <c r="F407" s="196"/>
      <c r="G407" s="328"/>
    </row>
    <row r="408" spans="1:7" ht="15.95" customHeight="1">
      <c r="A408" s="196"/>
      <c r="B408" s="196" t="s">
        <v>709</v>
      </c>
      <c r="C408" s="196"/>
      <c r="D408" s="306" t="s">
        <v>1081</v>
      </c>
      <c r="E408" s="496"/>
      <c r="F408" s="305"/>
      <c r="G408" s="328">
        <v>10000</v>
      </c>
    </row>
    <row r="409" spans="1:7" ht="15.95" customHeight="1">
      <c r="A409" s="196"/>
      <c r="B409" s="196"/>
      <c r="C409" s="196"/>
      <c r="D409" s="306"/>
      <c r="E409" s="2900" t="s">
        <v>1111</v>
      </c>
      <c r="F409" s="2901"/>
      <c r="G409" s="328">
        <f>ROUND(SUM(G363:G408),2)</f>
        <v>1601571.6</v>
      </c>
    </row>
    <row r="410" spans="1:7" ht="15.95" customHeight="1">
      <c r="A410" s="196"/>
      <c r="B410" s="199" t="s">
        <v>705</v>
      </c>
      <c r="C410" s="196"/>
      <c r="D410" s="306"/>
      <c r="E410" s="496"/>
      <c r="F410" s="305"/>
      <c r="G410" s="328">
        <f>ROUND((G409*0.05),2)</f>
        <v>80078.58</v>
      </c>
    </row>
    <row r="411" spans="1:7" ht="15.95" customHeight="1">
      <c r="A411" s="196"/>
      <c r="B411" s="199"/>
      <c r="C411" s="196"/>
      <c r="D411" s="306"/>
      <c r="E411" s="2900" t="s">
        <v>1111</v>
      </c>
      <c r="F411" s="2901"/>
      <c r="G411" s="328">
        <f>ROUND(SUM(G409:G410),2)</f>
        <v>1681650.18</v>
      </c>
    </row>
    <row r="412" spans="1:7" ht="15.95" customHeight="1">
      <c r="A412" s="196"/>
      <c r="B412" s="199" t="s">
        <v>722</v>
      </c>
      <c r="C412" s="196"/>
      <c r="D412" s="306"/>
      <c r="E412" s="496"/>
      <c r="F412" s="305"/>
      <c r="G412" s="328">
        <f>ROUND((G411*0.15),2)</f>
        <v>252247.53</v>
      </c>
    </row>
    <row r="413" spans="1:7" ht="15.95" customHeight="1">
      <c r="A413" s="196"/>
      <c r="B413" s="199"/>
      <c r="C413" s="196"/>
      <c r="D413" s="306"/>
      <c r="E413" s="2900" t="s">
        <v>1111</v>
      </c>
      <c r="F413" s="2901"/>
      <c r="G413" s="328">
        <f>ROUND(SUM(G411:G412),2)</f>
        <v>1933897.71</v>
      </c>
    </row>
    <row r="414" spans="1:7" ht="15.95" customHeight="1">
      <c r="A414" s="196"/>
      <c r="B414" s="199" t="s">
        <v>723</v>
      </c>
      <c r="C414" s="196"/>
      <c r="D414" s="306"/>
      <c r="E414" s="496"/>
      <c r="F414" s="305"/>
      <c r="G414" s="328">
        <f>ROUND((G413*0.13),2)</f>
        <v>251406.7</v>
      </c>
    </row>
    <row r="415" spans="1:7" ht="15.95" customHeight="1">
      <c r="A415" s="196"/>
      <c r="B415" s="196"/>
      <c r="C415" s="196"/>
      <c r="D415" s="306"/>
      <c r="E415" s="2900" t="s">
        <v>1108</v>
      </c>
      <c r="F415" s="2901"/>
      <c r="G415" s="328">
        <f>ROUND(SUM(G413:G414),2)</f>
        <v>2185304.41</v>
      </c>
    </row>
    <row r="416" spans="1:7" ht="15.95" customHeight="1">
      <c r="A416" s="348" t="s">
        <v>2919</v>
      </c>
      <c r="B416" s="2903" t="s">
        <v>717</v>
      </c>
      <c r="C416" s="2904"/>
      <c r="D416" s="2904"/>
      <c r="E416" s="2904"/>
      <c r="F416" s="2904"/>
      <c r="G416" s="353"/>
    </row>
    <row r="417" spans="1:7" ht="15.95" customHeight="1">
      <c r="A417" s="196">
        <v>1</v>
      </c>
      <c r="B417" s="196" t="s">
        <v>471</v>
      </c>
      <c r="C417" s="196"/>
      <c r="D417" s="306">
        <v>50</v>
      </c>
      <c r="E417" s="496" t="s">
        <v>1033</v>
      </c>
      <c r="F417" s="305">
        <f>'Entry for Rates'!F181</f>
        <v>23238</v>
      </c>
      <c r="G417" s="290">
        <f>ROUND((D417*F417),2)</f>
        <v>1161900</v>
      </c>
    </row>
    <row r="418" spans="1:7" ht="15.95" customHeight="1">
      <c r="A418" s="196">
        <v>2</v>
      </c>
      <c r="B418" s="196" t="s">
        <v>2841</v>
      </c>
      <c r="C418" s="196"/>
      <c r="D418" s="306">
        <v>50</v>
      </c>
      <c r="E418" s="496" t="s">
        <v>1033</v>
      </c>
      <c r="F418" s="305">
        <f>'Entry for Rates'!F155</f>
        <v>726.83</v>
      </c>
      <c r="G418" s="290">
        <f>ROUND((D418*F418),2)</f>
        <v>36341.5</v>
      </c>
    </row>
    <row r="419" spans="1:7" ht="15.95" customHeight="1">
      <c r="A419" s="348" t="s">
        <v>2920</v>
      </c>
      <c r="B419" s="2903" t="s">
        <v>719</v>
      </c>
      <c r="C419" s="2904"/>
      <c r="D419" s="2904"/>
      <c r="E419" s="2904"/>
      <c r="F419" s="2904"/>
      <c r="G419" s="353"/>
    </row>
    <row r="420" spans="1:7" ht="15.95" customHeight="1">
      <c r="A420" s="196">
        <v>1</v>
      </c>
      <c r="B420" s="196" t="s">
        <v>2842</v>
      </c>
      <c r="C420" s="196"/>
      <c r="D420" s="306">
        <v>100</v>
      </c>
      <c r="E420" s="496" t="s">
        <v>1033</v>
      </c>
      <c r="F420" s="305">
        <f>'Entry for Rates'!E139</f>
        <v>1424</v>
      </c>
      <c r="G420" s="290">
        <f>ROUND((D420*F420),2)</f>
        <v>142400</v>
      </c>
    </row>
    <row r="421" spans="1:7" ht="15.95" customHeight="1">
      <c r="A421" s="196"/>
      <c r="B421" s="199"/>
      <c r="C421" s="196"/>
      <c r="D421" s="306"/>
      <c r="E421" s="2900" t="s">
        <v>1111</v>
      </c>
      <c r="F421" s="2901"/>
      <c r="G421" s="328">
        <f>ROUND(SUM(G417:G420),2)</f>
        <v>1340641.5</v>
      </c>
    </row>
    <row r="422" spans="1:7" ht="15.95" customHeight="1">
      <c r="A422" s="196"/>
      <c r="B422" s="199" t="s">
        <v>705</v>
      </c>
      <c r="C422" s="196"/>
      <c r="D422" s="306"/>
      <c r="E422" s="496"/>
      <c r="F422" s="305"/>
      <c r="G422" s="328">
        <f>ROUND((G421*0.05),2)</f>
        <v>67032.08</v>
      </c>
    </row>
    <row r="423" spans="1:7" ht="15.95" customHeight="1">
      <c r="A423" s="196"/>
      <c r="B423" s="199"/>
      <c r="C423" s="196"/>
      <c r="D423" s="306"/>
      <c r="E423" s="2900" t="s">
        <v>1111</v>
      </c>
      <c r="F423" s="2901"/>
      <c r="G423" s="328">
        <f>ROUND(SUM(G421:G422),2)</f>
        <v>1407673.58</v>
      </c>
    </row>
    <row r="424" spans="1:7" ht="15.95" customHeight="1">
      <c r="A424" s="196"/>
      <c r="B424" s="199" t="s">
        <v>723</v>
      </c>
      <c r="C424" s="196"/>
      <c r="D424" s="306"/>
      <c r="E424" s="496"/>
      <c r="F424" s="305"/>
      <c r="G424" s="328">
        <f>ROUND((G423*0.13),2)</f>
        <v>182997.57</v>
      </c>
    </row>
    <row r="425" spans="1:7" ht="15.95" customHeight="1">
      <c r="A425" s="196"/>
      <c r="B425" s="199"/>
      <c r="C425" s="196"/>
      <c r="D425" s="306"/>
      <c r="E425" s="2900" t="s">
        <v>1108</v>
      </c>
      <c r="F425" s="2901"/>
      <c r="G425" s="328">
        <f>ROUND(SUM(G423:G424),2)</f>
        <v>1590671.15</v>
      </c>
    </row>
    <row r="426" spans="1:7" ht="15.95" customHeight="1">
      <c r="A426" s="308"/>
      <c r="B426" s="200"/>
      <c r="C426" s="308"/>
      <c r="D426" s="314"/>
      <c r="E426" s="2905" t="s">
        <v>1108</v>
      </c>
      <c r="F426" s="2906"/>
      <c r="G426" s="354">
        <f>ROUND((G425+G415),2)</f>
        <v>3775975.56</v>
      </c>
    </row>
    <row r="428" spans="1:7" ht="15.95" hidden="1" customHeight="1">
      <c r="A428" s="285" t="s">
        <v>734</v>
      </c>
      <c r="B428" s="283"/>
      <c r="C428" s="283"/>
      <c r="D428" s="284"/>
      <c r="E428" s="493"/>
      <c r="F428" s="284"/>
      <c r="G428" s="283"/>
    </row>
    <row r="429" spans="1:7" ht="15.95" hidden="1" customHeight="1">
      <c r="A429" s="285"/>
      <c r="B429" s="283"/>
      <c r="C429" s="283"/>
      <c r="D429" s="284"/>
      <c r="E429" s="493"/>
      <c r="F429" s="284"/>
      <c r="G429" s="283"/>
    </row>
    <row r="430" spans="1:7" ht="15.95" hidden="1" customHeight="1">
      <c r="A430" s="286" t="s">
        <v>961</v>
      </c>
      <c r="B430" s="287" t="s">
        <v>962</v>
      </c>
      <c r="C430" s="287" t="s">
        <v>1087</v>
      </c>
      <c r="D430" s="288" t="s">
        <v>964</v>
      </c>
      <c r="E430" s="494" t="s">
        <v>1035</v>
      </c>
      <c r="F430" s="288" t="s">
        <v>631</v>
      </c>
      <c r="G430" s="287" t="s">
        <v>1037</v>
      </c>
    </row>
    <row r="431" spans="1:7" ht="15.95" hidden="1" customHeight="1">
      <c r="A431" s="191">
        <v>1</v>
      </c>
      <c r="B431" s="355" t="s">
        <v>630</v>
      </c>
      <c r="C431" s="355"/>
      <c r="D431" s="356"/>
      <c r="E431" s="512"/>
      <c r="F431" s="305"/>
      <c r="G431" s="328"/>
    </row>
    <row r="432" spans="1:7" ht="15.95" hidden="1" customHeight="1">
      <c r="A432" s="329"/>
      <c r="B432" s="326" t="s">
        <v>1039</v>
      </c>
      <c r="C432" s="329">
        <v>1</v>
      </c>
      <c r="D432" s="327">
        <v>10</v>
      </c>
      <c r="E432" s="505" t="s">
        <v>1040</v>
      </c>
      <c r="F432" s="305">
        <v>1500</v>
      </c>
      <c r="G432" s="313">
        <f t="shared" ref="G432:G437" si="13">ROUND((C432*D432*F432),2)</f>
        <v>15000</v>
      </c>
    </row>
    <row r="433" spans="1:7" ht="15.95" hidden="1" customHeight="1">
      <c r="A433" s="329"/>
      <c r="B433" s="326" t="s">
        <v>1041</v>
      </c>
      <c r="C433" s="329">
        <v>1</v>
      </c>
      <c r="D433" s="327">
        <v>10</v>
      </c>
      <c r="E433" s="505" t="s">
        <v>1040</v>
      </c>
      <c r="F433" s="305">
        <v>800</v>
      </c>
      <c r="G433" s="313">
        <f t="shared" si="13"/>
        <v>8000</v>
      </c>
    </row>
    <row r="434" spans="1:7" ht="15.95" hidden="1" customHeight="1">
      <c r="A434" s="329"/>
      <c r="B434" s="326" t="s">
        <v>1042</v>
      </c>
      <c r="C434" s="329">
        <v>1</v>
      </c>
      <c r="D434" s="327">
        <v>2</v>
      </c>
      <c r="E434" s="505" t="s">
        <v>973</v>
      </c>
      <c r="F434" s="305">
        <v>2000</v>
      </c>
      <c r="G434" s="313">
        <f t="shared" si="13"/>
        <v>4000</v>
      </c>
    </row>
    <row r="435" spans="1:7" ht="15.95" hidden="1" customHeight="1">
      <c r="A435" s="329"/>
      <c r="B435" s="326" t="s">
        <v>1043</v>
      </c>
      <c r="C435" s="329">
        <v>1</v>
      </c>
      <c r="D435" s="327">
        <v>1500</v>
      </c>
      <c r="E435" s="505" t="s">
        <v>973</v>
      </c>
      <c r="F435" s="305">
        <v>10</v>
      </c>
      <c r="G435" s="313">
        <f t="shared" si="13"/>
        <v>15000</v>
      </c>
    </row>
    <row r="436" spans="1:7" ht="15.95" hidden="1" customHeight="1">
      <c r="A436" s="329"/>
      <c r="B436" s="326" t="s">
        <v>1044</v>
      </c>
      <c r="C436" s="329">
        <v>1</v>
      </c>
      <c r="D436" s="327">
        <v>50</v>
      </c>
      <c r="E436" s="505" t="s">
        <v>973</v>
      </c>
      <c r="F436" s="305">
        <v>25</v>
      </c>
      <c r="G436" s="313">
        <f t="shared" si="13"/>
        <v>1250</v>
      </c>
    </row>
    <row r="437" spans="1:7" ht="15.95" hidden="1" customHeight="1">
      <c r="A437" s="329"/>
      <c r="B437" s="326" t="s">
        <v>1045</v>
      </c>
      <c r="C437" s="329">
        <v>1</v>
      </c>
      <c r="D437" s="327">
        <v>2</v>
      </c>
      <c r="E437" s="505" t="s">
        <v>1046</v>
      </c>
      <c r="F437" s="305">
        <v>1000</v>
      </c>
      <c r="G437" s="313">
        <f t="shared" si="13"/>
        <v>2000</v>
      </c>
    </row>
    <row r="438" spans="1:7" ht="15.95" hidden="1" customHeight="1">
      <c r="A438" s="196"/>
      <c r="B438" s="196" t="s">
        <v>1047</v>
      </c>
      <c r="C438" s="196">
        <v>1</v>
      </c>
      <c r="D438" s="306"/>
      <c r="E438" s="496" t="s">
        <v>1081</v>
      </c>
      <c r="F438" s="305"/>
      <c r="G438" s="313">
        <v>4000</v>
      </c>
    </row>
    <row r="439" spans="1:7" ht="15.95" hidden="1" customHeight="1">
      <c r="A439" s="196"/>
      <c r="B439" s="357" t="s">
        <v>1048</v>
      </c>
      <c r="C439" s="357"/>
      <c r="D439" s="306"/>
      <c r="E439" s="496"/>
      <c r="F439" s="305"/>
      <c r="G439" s="328">
        <f>ROUND(SUM(G432:G438),2)</f>
        <v>49250</v>
      </c>
    </row>
    <row r="440" spans="1:7" ht="15.95" hidden="1" customHeight="1">
      <c r="A440" s="352">
        <v>2</v>
      </c>
      <c r="B440" s="348" t="s">
        <v>91</v>
      </c>
      <c r="C440" s="348"/>
      <c r="D440" s="306"/>
      <c r="E440" s="496"/>
      <c r="F440" s="305"/>
      <c r="G440" s="328"/>
    </row>
    <row r="441" spans="1:7" ht="15.95" hidden="1" customHeight="1">
      <c r="A441" s="352"/>
      <c r="B441" s="348" t="s">
        <v>1015</v>
      </c>
      <c r="C441" s="348"/>
      <c r="D441" s="306"/>
      <c r="E441" s="496"/>
      <c r="F441" s="305"/>
      <c r="G441" s="328"/>
    </row>
    <row r="442" spans="1:7" ht="15.95" hidden="1" customHeight="1">
      <c r="A442" s="352"/>
      <c r="B442" s="348" t="s">
        <v>1016</v>
      </c>
      <c r="C442" s="348"/>
      <c r="D442" s="306"/>
      <c r="E442" s="496"/>
      <c r="F442" s="305"/>
      <c r="G442" s="328"/>
    </row>
    <row r="443" spans="1:7" ht="15.95" hidden="1" customHeight="1">
      <c r="A443" s="196"/>
      <c r="B443" s="348" t="s">
        <v>90</v>
      </c>
      <c r="C443" s="348"/>
      <c r="D443" s="306"/>
      <c r="E443" s="496"/>
      <c r="F443" s="305"/>
      <c r="G443" s="328"/>
    </row>
    <row r="444" spans="1:7" ht="15.95" hidden="1" customHeight="1">
      <c r="A444" s="329"/>
      <c r="B444" s="326" t="s">
        <v>1039</v>
      </c>
      <c r="C444" s="329">
        <v>1</v>
      </c>
      <c r="D444" s="327">
        <v>10</v>
      </c>
      <c r="E444" s="505" t="s">
        <v>1040</v>
      </c>
      <c r="F444" s="305">
        <v>1500</v>
      </c>
      <c r="G444" s="313">
        <f t="shared" ref="G444:G450" si="14">ROUND((C444*D444*F444),2)</f>
        <v>15000</v>
      </c>
    </row>
    <row r="445" spans="1:7" ht="15.95" hidden="1" customHeight="1">
      <c r="A445" s="329"/>
      <c r="B445" s="326" t="s">
        <v>1041</v>
      </c>
      <c r="C445" s="329">
        <v>1</v>
      </c>
      <c r="D445" s="327">
        <v>7</v>
      </c>
      <c r="E445" s="505" t="s">
        <v>1040</v>
      </c>
      <c r="F445" s="305">
        <v>800</v>
      </c>
      <c r="G445" s="313">
        <f>ROUND((C445*D445*F445),2)</f>
        <v>5600</v>
      </c>
    </row>
    <row r="446" spans="1:7" ht="15.95" hidden="1" customHeight="1">
      <c r="A446" s="329"/>
      <c r="B446" s="326" t="s">
        <v>1008</v>
      </c>
      <c r="C446" s="329">
        <v>1</v>
      </c>
      <c r="D446" s="327">
        <v>5</v>
      </c>
      <c r="E446" s="505" t="s">
        <v>1040</v>
      </c>
      <c r="F446" s="305">
        <v>800</v>
      </c>
      <c r="G446" s="313">
        <f t="shared" si="14"/>
        <v>4000</v>
      </c>
    </row>
    <row r="447" spans="1:7" ht="15.95" hidden="1" customHeight="1">
      <c r="A447" s="329"/>
      <c r="B447" s="326" t="s">
        <v>1009</v>
      </c>
      <c r="C447" s="329">
        <v>1</v>
      </c>
      <c r="D447" s="327">
        <v>7</v>
      </c>
      <c r="E447" s="505" t="s">
        <v>1040</v>
      </c>
      <c r="F447" s="305">
        <v>500</v>
      </c>
      <c r="G447" s="313">
        <f t="shared" si="14"/>
        <v>3500</v>
      </c>
    </row>
    <row r="448" spans="1:7" ht="15.95" hidden="1" customHeight="1">
      <c r="A448" s="329"/>
      <c r="B448" s="326" t="s">
        <v>1010</v>
      </c>
      <c r="C448" s="329">
        <v>1</v>
      </c>
      <c r="D448" s="327">
        <v>20</v>
      </c>
      <c r="E448" s="505" t="s">
        <v>1049</v>
      </c>
      <c r="F448" s="305">
        <v>50</v>
      </c>
      <c r="G448" s="313">
        <f t="shared" si="14"/>
        <v>1000</v>
      </c>
    </row>
    <row r="449" spans="1:7" ht="15.95" hidden="1" customHeight="1">
      <c r="A449" s="329"/>
      <c r="B449" s="326" t="s">
        <v>1011</v>
      </c>
      <c r="C449" s="329">
        <v>1</v>
      </c>
      <c r="D449" s="327">
        <v>1</v>
      </c>
      <c r="E449" s="505" t="s">
        <v>973</v>
      </c>
      <c r="F449" s="305">
        <v>3000</v>
      </c>
      <c r="G449" s="313">
        <f t="shared" si="14"/>
        <v>3000</v>
      </c>
    </row>
    <row r="450" spans="1:7" ht="15.95" hidden="1" customHeight="1">
      <c r="A450" s="329"/>
      <c r="B450" s="326" t="s">
        <v>1012</v>
      </c>
      <c r="C450" s="329">
        <v>1</v>
      </c>
      <c r="D450" s="327">
        <v>2</v>
      </c>
      <c r="E450" s="505" t="s">
        <v>1046</v>
      </c>
      <c r="F450" s="305">
        <v>1000</v>
      </c>
      <c r="G450" s="313">
        <f t="shared" si="14"/>
        <v>2000</v>
      </c>
    </row>
    <row r="451" spans="1:7" ht="15.95" hidden="1" customHeight="1">
      <c r="A451" s="196"/>
      <c r="B451" s="196" t="s">
        <v>1013</v>
      </c>
      <c r="C451" s="196"/>
      <c r="D451" s="306"/>
      <c r="E451" s="496"/>
      <c r="F451" s="305"/>
      <c r="G451" s="313"/>
    </row>
    <row r="452" spans="1:7" ht="15.95" hidden="1" customHeight="1">
      <c r="A452" s="196"/>
      <c r="B452" s="196" t="s">
        <v>698</v>
      </c>
      <c r="C452" s="196">
        <v>1</v>
      </c>
      <c r="D452" s="306">
        <v>20</v>
      </c>
      <c r="E452" s="496" t="s">
        <v>1038</v>
      </c>
      <c r="F452" s="305">
        <v>300</v>
      </c>
      <c r="G452" s="290">
        <f>ROUND((C452*D452*F452),2)</f>
        <v>6000</v>
      </c>
    </row>
    <row r="453" spans="1:7" ht="15.95" hidden="1" customHeight="1">
      <c r="A453" s="196"/>
      <c r="B453" s="196" t="s">
        <v>1014</v>
      </c>
      <c r="C453" s="196">
        <v>1</v>
      </c>
      <c r="D453" s="306"/>
      <c r="E453" s="496" t="s">
        <v>1081</v>
      </c>
      <c r="F453" s="305"/>
      <c r="G453" s="328">
        <v>5000</v>
      </c>
    </row>
    <row r="454" spans="1:7" ht="15.95" hidden="1" customHeight="1">
      <c r="A454" s="196"/>
      <c r="B454" s="357" t="s">
        <v>1048</v>
      </c>
      <c r="C454" s="357"/>
      <c r="D454" s="306"/>
      <c r="E454" s="496"/>
      <c r="F454" s="305"/>
      <c r="G454" s="328">
        <f>ROUND(SUM(G444:G453),2)</f>
        <v>45100</v>
      </c>
    </row>
    <row r="455" spans="1:7" ht="15.95" hidden="1" customHeight="1">
      <c r="A455" s="2890"/>
      <c r="B455" s="2891" t="s">
        <v>1108</v>
      </c>
      <c r="C455" s="2891"/>
      <c r="D455" s="2892"/>
      <c r="E455" s="2884" t="s">
        <v>1108</v>
      </c>
      <c r="F455" s="2885"/>
      <c r="G455" s="302">
        <f>ROUND((G439+G454),2)</f>
        <v>94350</v>
      </c>
    </row>
  </sheetData>
  <mergeCells count="59">
    <mergeCell ref="A247:D247"/>
    <mergeCell ref="A196:D196"/>
    <mergeCell ref="E196:F196"/>
    <mergeCell ref="A231:D231"/>
    <mergeCell ref="E231:F231"/>
    <mergeCell ref="A214:G214"/>
    <mergeCell ref="E211:F211"/>
    <mergeCell ref="D97:F97"/>
    <mergeCell ref="A160:D160"/>
    <mergeCell ref="A97:C97"/>
    <mergeCell ref="E179:F179"/>
    <mergeCell ref="A212:D212"/>
    <mergeCell ref="A211:D211"/>
    <mergeCell ref="A1:G1"/>
    <mergeCell ref="D45:F45"/>
    <mergeCell ref="A321:D321"/>
    <mergeCell ref="E321:F321"/>
    <mergeCell ref="A248:B248"/>
    <mergeCell ref="C248:F248"/>
    <mergeCell ref="E309:F309"/>
    <mergeCell ref="A179:D179"/>
    <mergeCell ref="A232:D232"/>
    <mergeCell ref="A310:D310"/>
    <mergeCell ref="A233:B233"/>
    <mergeCell ref="A311:B311"/>
    <mergeCell ref="A309:D309"/>
    <mergeCell ref="A296:D296"/>
    <mergeCell ref="E247:F247"/>
    <mergeCell ref="E160:F160"/>
    <mergeCell ref="A455:D455"/>
    <mergeCell ref="E455:F455"/>
    <mergeCell ref="E415:F415"/>
    <mergeCell ref="B416:F416"/>
    <mergeCell ref="B419:F419"/>
    <mergeCell ref="E426:F426"/>
    <mergeCell ref="E423:F423"/>
    <mergeCell ref="E425:F425"/>
    <mergeCell ref="E421:F421"/>
    <mergeCell ref="E413:F413"/>
    <mergeCell ref="A348:D348"/>
    <mergeCell ref="E348:F348"/>
    <mergeCell ref="E409:F409"/>
    <mergeCell ref="E411:F411"/>
    <mergeCell ref="A357:D357"/>
    <mergeCell ref="E357:F357"/>
    <mergeCell ref="E329:F329"/>
    <mergeCell ref="E340:F340"/>
    <mergeCell ref="E276:F276"/>
    <mergeCell ref="A276:D276"/>
    <mergeCell ref="E296:F296"/>
    <mergeCell ref="A297:D297"/>
    <mergeCell ref="E297:F297"/>
    <mergeCell ref="A277:G277"/>
    <mergeCell ref="A340:D340"/>
    <mergeCell ref="A323:B323"/>
    <mergeCell ref="A322:D322"/>
    <mergeCell ref="A330:D330"/>
    <mergeCell ref="A329:D329"/>
    <mergeCell ref="A331:B331"/>
  </mergeCells>
  <phoneticPr fontId="0" type="noConversion"/>
  <pageMargins left="0.91" right="0.75" top="0.69" bottom="0.75" header="0.26" footer="0.5"/>
  <pageSetup firstPageNumber="34" orientation="portrait" useFirstPageNumber="1" horizontalDpi="300" verticalDpi="300" r:id="rId1"/>
  <headerFooter alignWithMargins="0">
    <oddFooter>&amp;C&amp;"Times New Roman,Regular"&amp;11&amp;P</oddFooter>
  </headerFooter>
  <rowBreaks count="9" manualBreakCount="9">
    <brk id="45" max="16383" man="1"/>
    <brk id="97" max="16383" man="1"/>
    <brk id="134" max="16383" man="1"/>
    <brk id="179" max="16383" man="1"/>
    <brk id="213" max="16383" man="1"/>
    <brk id="248" max="16383" man="1"/>
    <brk id="263" max="16383" man="1"/>
    <brk id="309" max="16383" man="1"/>
    <brk id="354"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M126"/>
  <sheetViews>
    <sheetView workbookViewId="0">
      <selection sqref="A1:G1"/>
    </sheetView>
  </sheetViews>
  <sheetFormatPr defaultColWidth="8.85546875" defaultRowHeight="12.75"/>
  <cols>
    <col min="1" max="1" width="5.7109375" style="2096" customWidth="1"/>
    <col min="2" max="2" width="40.7109375" style="2096" customWidth="1"/>
    <col min="3" max="3" width="6.7109375" style="2096" customWidth="1"/>
    <col min="4" max="5" width="10.7109375" style="2096" customWidth="1"/>
    <col min="6" max="6" width="15.28515625" style="2096" customWidth="1"/>
    <col min="7" max="7" width="8.7109375" style="2096" customWidth="1"/>
    <col min="8" max="8" width="8.85546875" style="2096"/>
    <col min="9" max="9" width="11.7109375" style="2097" bestFit="1" customWidth="1"/>
    <col min="10" max="10" width="8.85546875" style="2097"/>
    <col min="11" max="11" width="10.28515625" style="2097" bestFit="1" customWidth="1"/>
    <col min="12" max="13" width="8.85546875" style="2097"/>
    <col min="14" max="16384" width="8.85546875" style="2096"/>
  </cols>
  <sheetData>
    <row r="1" spans="1:13" s="2076" customFormat="1" ht="15.75">
      <c r="A1" s="2912" t="s">
        <v>2929</v>
      </c>
      <c r="B1" s="2913"/>
      <c r="C1" s="2913"/>
      <c r="D1" s="2913"/>
      <c r="E1" s="2913"/>
      <c r="F1" s="2913"/>
      <c r="G1" s="2913"/>
      <c r="I1" s="2077"/>
      <c r="J1" s="2077"/>
      <c r="K1" s="2077"/>
      <c r="L1" s="2077"/>
      <c r="M1" s="2077"/>
    </row>
    <row r="2" spans="1:13" s="2079" customFormat="1" ht="12.75" customHeight="1">
      <c r="A2" s="2914"/>
      <c r="B2" s="2914"/>
      <c r="C2" s="2914"/>
      <c r="D2" s="2914"/>
      <c r="E2" s="2914"/>
      <c r="F2" s="2914"/>
      <c r="G2" s="2914"/>
      <c r="H2" s="2076"/>
      <c r="I2" s="2077"/>
      <c r="J2" s="2078"/>
      <c r="K2" s="2078"/>
      <c r="L2" s="2078"/>
      <c r="M2" s="2078"/>
    </row>
    <row r="3" spans="1:13" s="2076" customFormat="1">
      <c r="A3" s="2080" t="s">
        <v>2930</v>
      </c>
      <c r="B3" s="2080"/>
      <c r="C3" s="2081"/>
      <c r="D3" s="2082"/>
      <c r="E3" s="2083"/>
      <c r="F3" s="2083"/>
      <c r="G3" s="2084" t="s">
        <v>1321</v>
      </c>
      <c r="I3" s="2077"/>
      <c r="J3" s="2077"/>
      <c r="K3" s="2077"/>
      <c r="L3" s="2077"/>
      <c r="M3" s="2077"/>
    </row>
    <row r="4" spans="1:13" s="2076" customFormat="1">
      <c r="A4" s="2915" t="s">
        <v>1357</v>
      </c>
      <c r="B4" s="2915" t="s">
        <v>1423</v>
      </c>
      <c r="C4" s="2915" t="s">
        <v>1035</v>
      </c>
      <c r="D4" s="2917" t="s">
        <v>964</v>
      </c>
      <c r="E4" s="2915" t="s">
        <v>97</v>
      </c>
      <c r="F4" s="2919" t="s">
        <v>52</v>
      </c>
      <c r="G4" s="2915" t="s">
        <v>1055</v>
      </c>
      <c r="I4" s="2077"/>
      <c r="J4" s="2077"/>
      <c r="K4" s="2077"/>
      <c r="L4" s="2077"/>
      <c r="M4" s="2077"/>
    </row>
    <row r="5" spans="1:13" s="2076" customFormat="1">
      <c r="A5" s="2916"/>
      <c r="B5" s="2916"/>
      <c r="C5" s="2915"/>
      <c r="D5" s="2918"/>
      <c r="E5" s="2918"/>
      <c r="F5" s="2919"/>
      <c r="G5" s="2918"/>
      <c r="I5" s="2077"/>
      <c r="J5" s="2077"/>
      <c r="K5" s="2077"/>
      <c r="L5" s="2077"/>
      <c r="M5" s="2077"/>
    </row>
    <row r="6" spans="1:13" s="2076" customFormat="1" ht="14.25">
      <c r="A6" s="2085">
        <v>1</v>
      </c>
      <c r="B6" s="2086" t="s">
        <v>26</v>
      </c>
      <c r="C6" s="2087" t="s">
        <v>2931</v>
      </c>
      <c r="D6" s="2088">
        <f>[60]QTY.Reservoir_400m3!G7</f>
        <v>153.93804002589985</v>
      </c>
      <c r="E6" s="2089">
        <f>Rates!F7</f>
        <v>149.5</v>
      </c>
      <c r="F6" s="2090">
        <f>D6*E6</f>
        <v>23013.73698387203</v>
      </c>
      <c r="G6" s="2087"/>
      <c r="I6" s="2077"/>
      <c r="J6" s="2077"/>
      <c r="K6" s="2077"/>
      <c r="L6" s="2077"/>
      <c r="M6" s="2077"/>
    </row>
    <row r="7" spans="1:13" s="2076" customFormat="1">
      <c r="A7" s="2085"/>
      <c r="B7" s="2086"/>
      <c r="C7" s="2091"/>
      <c r="D7" s="2089"/>
      <c r="E7" s="2089"/>
      <c r="F7" s="2090">
        <f t="shared" ref="F7:F41" si="0">D7*E7</f>
        <v>0</v>
      </c>
      <c r="G7" s="2087"/>
      <c r="I7" s="2077"/>
      <c r="J7" s="2077"/>
      <c r="K7" s="2077"/>
      <c r="L7" s="2077"/>
      <c r="M7" s="2077"/>
    </row>
    <row r="8" spans="1:13" s="2076" customFormat="1" ht="12.75" customHeight="1">
      <c r="A8" s="2085">
        <v>2</v>
      </c>
      <c r="B8" s="2092" t="s">
        <v>40</v>
      </c>
      <c r="C8" s="2081" t="s">
        <v>2932</v>
      </c>
      <c r="D8" s="2093">
        <f>[60]QTY.Reservoir_400m3!G9</f>
        <v>207.8163540349648</v>
      </c>
      <c r="E8" s="2093">
        <f>Rates!F10</f>
        <v>1883.36</v>
      </c>
      <c r="F8" s="2090">
        <f t="shared" si="0"/>
        <v>391393.0085352913</v>
      </c>
      <c r="G8" s="2083"/>
      <c r="I8" s="2077"/>
      <c r="J8" s="2077"/>
      <c r="K8" s="2077"/>
      <c r="L8" s="2077"/>
      <c r="M8" s="2077"/>
    </row>
    <row r="9" spans="1:13" s="2076" customFormat="1" ht="12.75" customHeight="1">
      <c r="A9" s="2085"/>
      <c r="B9" s="2086"/>
      <c r="C9" s="2081"/>
      <c r="D9" s="2093"/>
      <c r="E9" s="2093"/>
      <c r="F9" s="2090">
        <f t="shared" si="0"/>
        <v>0</v>
      </c>
      <c r="G9" s="2083"/>
      <c r="I9" s="2077"/>
      <c r="J9" s="2077"/>
      <c r="K9" s="2077"/>
      <c r="L9" s="2077"/>
      <c r="M9" s="2077"/>
    </row>
    <row r="10" spans="1:13" ht="14.25">
      <c r="A10" s="2085">
        <v>3</v>
      </c>
      <c r="B10" s="2086" t="s">
        <v>2728</v>
      </c>
      <c r="C10" s="2081" t="s">
        <v>2932</v>
      </c>
      <c r="D10" s="2094">
        <f>[60]QTY.Reservoir_400m3!G11</f>
        <v>30.3493558300042</v>
      </c>
      <c r="E10" s="2094">
        <f>Rates!F19</f>
        <v>5523.35</v>
      </c>
      <c r="F10" s="2090">
        <f t="shared" si="0"/>
        <v>167630.1145236537</v>
      </c>
      <c r="G10" s="2095"/>
    </row>
    <row r="11" spans="1:13">
      <c r="A11" s="2085"/>
      <c r="B11" s="2086"/>
      <c r="C11" s="2098"/>
      <c r="D11" s="2094"/>
      <c r="E11" s="2094"/>
      <c r="F11" s="2090">
        <f t="shared" si="0"/>
        <v>0</v>
      </c>
      <c r="G11" s="2095"/>
      <c r="I11" s="2097">
        <v>1810.191</v>
      </c>
      <c r="J11" s="2097">
        <v>1.5780000000000001</v>
      </c>
      <c r="K11" s="2097">
        <f>I11*J11</f>
        <v>2856.4813980000004</v>
      </c>
    </row>
    <row r="12" spans="1:13" ht="14.25">
      <c r="A12" s="2085">
        <v>4</v>
      </c>
      <c r="B12" s="2086" t="s">
        <v>2933</v>
      </c>
      <c r="C12" s="2081" t="s">
        <v>2932</v>
      </c>
      <c r="D12" s="2094">
        <f>[60]QTY.Reservoir_400m3!G14</f>
        <v>22.762016872503146</v>
      </c>
      <c r="E12" s="2094">
        <f>Rates!F31</f>
        <v>14810.58</v>
      </c>
      <c r="F12" s="2090">
        <f t="shared" si="0"/>
        <v>337118.67185155762</v>
      </c>
      <c r="G12" s="2095"/>
      <c r="I12" s="2097">
        <v>2278.7199999999998</v>
      </c>
      <c r="J12" s="2097">
        <v>0.88800000000000001</v>
      </c>
      <c r="K12" s="2097">
        <f>I12*J12</f>
        <v>2023.5033599999999</v>
      </c>
    </row>
    <row r="13" spans="1:13">
      <c r="A13" s="2085"/>
      <c r="B13" s="2086"/>
      <c r="C13" s="2081"/>
      <c r="D13" s="2094"/>
      <c r="E13" s="2094"/>
      <c r="F13" s="2090">
        <f t="shared" si="0"/>
        <v>0</v>
      </c>
      <c r="G13" s="2095"/>
      <c r="I13" s="2097">
        <v>3731.636</v>
      </c>
      <c r="J13" s="2097">
        <v>0.62</v>
      </c>
      <c r="K13" s="2097">
        <f>I13*J13</f>
        <v>2313.6143200000001</v>
      </c>
    </row>
    <row r="14" spans="1:13" ht="15" customHeight="1">
      <c r="A14" s="2085">
        <v>5</v>
      </c>
      <c r="B14" s="2099" t="s">
        <v>2934</v>
      </c>
      <c r="C14" s="2087" t="s">
        <v>2932</v>
      </c>
      <c r="D14" s="2100">
        <f>[60]QTY.Reservoir_400m3!G25</f>
        <v>202.75930659731304</v>
      </c>
      <c r="E14" s="2100">
        <f>Rates!F33</f>
        <v>17163.13</v>
      </c>
      <c r="F14" s="2101">
        <f t="shared" si="0"/>
        <v>3479984.3378395415</v>
      </c>
      <c r="G14" s="2095"/>
      <c r="I14" s="2097">
        <v>2218.933</v>
      </c>
      <c r="J14" s="2097">
        <v>0.39500000000000002</v>
      </c>
      <c r="K14" s="2097">
        <f>I14*J14</f>
        <v>876.47853500000008</v>
      </c>
    </row>
    <row r="15" spans="1:13">
      <c r="A15" s="2085"/>
      <c r="B15" s="2099"/>
      <c r="C15" s="2098"/>
      <c r="D15" s="2094"/>
      <c r="E15" s="2094"/>
      <c r="F15" s="2090">
        <f t="shared" si="0"/>
        <v>0</v>
      </c>
      <c r="G15" s="2095"/>
      <c r="K15" s="2097">
        <f>SUM(K11:K14)</f>
        <v>8070.0776130000013</v>
      </c>
    </row>
    <row r="16" spans="1:13">
      <c r="A16" s="2102" t="s">
        <v>2935</v>
      </c>
      <c r="B16" s="2103" t="s">
        <v>2936</v>
      </c>
      <c r="C16" s="2098" t="s">
        <v>192</v>
      </c>
      <c r="D16" s="2094">
        <f>[60]QTY.Reservoir_400m3!G26</f>
        <v>12562</v>
      </c>
      <c r="E16" s="2094">
        <f>Rates!F39</f>
        <v>125.35</v>
      </c>
      <c r="F16" s="2090">
        <f t="shared" si="0"/>
        <v>1574646.7</v>
      </c>
      <c r="G16" s="2095"/>
    </row>
    <row r="17" spans="1:11">
      <c r="A17" s="2102"/>
      <c r="B17" s="2103"/>
      <c r="C17" s="2098"/>
      <c r="D17" s="2094"/>
      <c r="E17" s="2094"/>
      <c r="F17" s="2090">
        <f t="shared" si="0"/>
        <v>0</v>
      </c>
      <c r="G17" s="2095"/>
      <c r="K17" s="2097">
        <f>0.1*K15</f>
        <v>807.0077613000002</v>
      </c>
    </row>
    <row r="18" spans="1:11" ht="25.5">
      <c r="A18" s="2104" t="s">
        <v>988</v>
      </c>
      <c r="B18" s="2099" t="s">
        <v>2937</v>
      </c>
      <c r="C18" s="2105" t="s">
        <v>2931</v>
      </c>
      <c r="D18" s="2100">
        <f>[60]QTY.Reservoir_400m3!G41</f>
        <v>524.22405725611839</v>
      </c>
      <c r="E18" s="2100">
        <f>Rates!F40</f>
        <v>1322.68</v>
      </c>
      <c r="F18" s="2101">
        <f t="shared" si="0"/>
        <v>693380.67605152272</v>
      </c>
      <c r="G18" s="2095"/>
      <c r="K18" s="2097">
        <f>K15+K17</f>
        <v>8877.0853743000007</v>
      </c>
    </row>
    <row r="19" spans="1:11">
      <c r="A19" s="2106"/>
      <c r="B19" s="2107"/>
      <c r="C19" s="2098"/>
      <c r="D19" s="2094"/>
      <c r="E19" s="2094"/>
      <c r="F19" s="2090">
        <f t="shared" si="0"/>
        <v>0</v>
      </c>
      <c r="G19" s="2095"/>
    </row>
    <row r="20" spans="1:11" ht="25.5">
      <c r="A20" s="2104" t="s">
        <v>2938</v>
      </c>
      <c r="B20" s="2099" t="s">
        <v>2939</v>
      </c>
      <c r="C20" s="2105" t="s">
        <v>2931</v>
      </c>
      <c r="D20" s="2100">
        <f>[60]QTY.Reservoir_400m3!G51</f>
        <v>320.406036465711</v>
      </c>
      <c r="E20" s="2100">
        <f>Rates!F60</f>
        <v>503.61</v>
      </c>
      <c r="F20" s="2101">
        <f t="shared" si="0"/>
        <v>161359.68402449673</v>
      </c>
      <c r="G20" s="2095"/>
      <c r="K20" s="2108"/>
    </row>
    <row r="21" spans="1:11">
      <c r="A21" s="2109"/>
      <c r="B21" s="2107"/>
      <c r="C21" s="2095"/>
      <c r="D21" s="2110"/>
      <c r="E21" s="2095"/>
      <c r="F21" s="2090">
        <f t="shared" si="0"/>
        <v>0</v>
      </c>
      <c r="G21" s="2095"/>
    </row>
    <row r="22" spans="1:11" ht="14.25">
      <c r="A22" s="2102" t="s">
        <v>2940</v>
      </c>
      <c r="B22" s="2103" t="s">
        <v>2941</v>
      </c>
      <c r="C22" s="2098" t="s">
        <v>2931</v>
      </c>
      <c r="D22" s="2110">
        <f>[60]QTY.Reservoir_400m3!G55</f>
        <v>270.39687969447351</v>
      </c>
      <c r="E22" s="2111">
        <f>Rates!F61</f>
        <v>649.91</v>
      </c>
      <c r="F22" s="2090">
        <f t="shared" si="0"/>
        <v>175733.63608223526</v>
      </c>
      <c r="G22" s="2095"/>
      <c r="I22" s="2097">
        <v>3179.6554999999998</v>
      </c>
      <c r="J22" s="2097">
        <v>-8.3999999999999894E-2</v>
      </c>
      <c r="K22" s="2097">
        <f>I22*J22</f>
        <v>-267.09106199999962</v>
      </c>
    </row>
    <row r="23" spans="1:11">
      <c r="A23" s="2106"/>
      <c r="B23" s="2107"/>
      <c r="C23" s="2095"/>
      <c r="D23" s="2110"/>
      <c r="E23" s="2095"/>
      <c r="F23" s="2090">
        <f t="shared" si="0"/>
        <v>0</v>
      </c>
      <c r="G23" s="2095"/>
      <c r="I23" s="2097">
        <v>3447.5697</v>
      </c>
      <c r="J23" s="2097">
        <v>-0.4657</v>
      </c>
      <c r="K23" s="2097">
        <f>I23*J23</f>
        <v>-1605.5332092900001</v>
      </c>
    </row>
    <row r="24" spans="1:11" ht="25.5">
      <c r="A24" s="2104" t="s">
        <v>2942</v>
      </c>
      <c r="B24" s="2099" t="s">
        <v>2943</v>
      </c>
      <c r="C24" s="2105" t="s">
        <v>2931</v>
      </c>
      <c r="D24" s="2112">
        <f>[60]QTY.Reservoir_400m3!G58</f>
        <v>111.5943976037552</v>
      </c>
      <c r="E24" s="2287">
        <f>Rates!F62</f>
        <v>637.57000000000005</v>
      </c>
      <c r="F24" s="2113">
        <f t="shared" si="0"/>
        <v>71149.240080226213</v>
      </c>
      <c r="G24" s="2095"/>
      <c r="I24" s="2097">
        <v>3715.4839000000002</v>
      </c>
      <c r="J24" s="2097">
        <v>-0.84740000000000004</v>
      </c>
      <c r="K24" s="2097">
        <f>I24*J24</f>
        <v>-3148.5010568600005</v>
      </c>
    </row>
    <row r="25" spans="1:11">
      <c r="A25" s="2109"/>
      <c r="B25" s="2107"/>
      <c r="C25" s="2095"/>
      <c r="D25" s="2110"/>
      <c r="E25" s="2095"/>
      <c r="F25" s="2090">
        <f t="shared" si="0"/>
        <v>0</v>
      </c>
      <c r="G25" s="2095"/>
      <c r="I25" s="2097">
        <v>3983.3980999999999</v>
      </c>
      <c r="J25" s="2097">
        <v>-1.2291000000000001</v>
      </c>
      <c r="K25" s="2097">
        <f>I25*J25</f>
        <v>-4895.9946047100002</v>
      </c>
    </row>
    <row r="26" spans="1:11" ht="14.25">
      <c r="A26" s="2102" t="s">
        <v>2944</v>
      </c>
      <c r="B26" s="2103" t="s">
        <v>2945</v>
      </c>
      <c r="C26" s="2098" t="s">
        <v>2931</v>
      </c>
      <c r="D26" s="2110">
        <f>[60]QTY.Reservoir_400m3!G59</f>
        <v>381.99127729822874</v>
      </c>
      <c r="E26" s="2288">
        <v>893.56089279999992</v>
      </c>
      <c r="F26" s="2090">
        <f t="shared" si="0"/>
        <v>341332.46678441763</v>
      </c>
      <c r="G26" s="2095"/>
      <c r="K26" s="2097">
        <f>SUM(K22:K25)</f>
        <v>-9917.1199328600014</v>
      </c>
    </row>
    <row r="27" spans="1:11">
      <c r="A27" s="2102"/>
      <c r="B27" s="2103"/>
      <c r="C27" s="2095"/>
      <c r="D27" s="2110"/>
      <c r="E27" s="2095"/>
      <c r="F27" s="2090">
        <f t="shared" si="0"/>
        <v>0</v>
      </c>
      <c r="G27" s="2095"/>
    </row>
    <row r="28" spans="1:11" ht="14.25">
      <c r="A28" s="2102" t="s">
        <v>2946</v>
      </c>
      <c r="B28" s="2103" t="s">
        <v>2947</v>
      </c>
      <c r="C28" s="2098" t="s">
        <v>2931</v>
      </c>
      <c r="D28" s="2110">
        <f>[60]QTY.Reservoir_400m3!G59</f>
        <v>381.99127729822874</v>
      </c>
      <c r="E28" s="2111">
        <f>Rates!F67</f>
        <v>346.26</v>
      </c>
      <c r="F28" s="2090">
        <f t="shared" si="0"/>
        <v>132268.29967728467</v>
      </c>
      <c r="G28" s="2095"/>
      <c r="I28" s="2097">
        <v>3879.2092444444402</v>
      </c>
      <c r="J28" s="2097">
        <v>-1.08066111111111</v>
      </c>
      <c r="K28" s="2097">
        <f>I28*J28</f>
        <v>-4192.1105723338178</v>
      </c>
    </row>
    <row r="29" spans="1:11">
      <c r="A29" s="2102"/>
      <c r="B29" s="2103"/>
      <c r="C29" s="2095"/>
      <c r="D29" s="2110"/>
      <c r="E29" s="2095"/>
      <c r="F29" s="2090">
        <f t="shared" si="0"/>
        <v>0</v>
      </c>
      <c r="G29" s="2095"/>
      <c r="I29" s="2097">
        <v>3983.3980999999999</v>
      </c>
      <c r="J29" s="2097">
        <v>-1.2291000000000001</v>
      </c>
      <c r="K29" s="2097">
        <f>I29*J29</f>
        <v>-4895.9946047100002</v>
      </c>
    </row>
    <row r="30" spans="1:11" ht="14.25">
      <c r="A30" s="2114" t="s">
        <v>2948</v>
      </c>
      <c r="B30" s="2115" t="s">
        <v>2949</v>
      </c>
      <c r="C30" s="2081" t="s">
        <v>2932</v>
      </c>
      <c r="D30" s="2110">
        <f>[60]QTY.Reservoir_400m3!G64</f>
        <v>11.353715850073513</v>
      </c>
      <c r="E30" s="2111">
        <f>Rates!F16</f>
        <v>710.7</v>
      </c>
      <c r="F30" s="2090">
        <f t="shared" si="0"/>
        <v>8069.0858546472464</v>
      </c>
      <c r="G30" s="2095"/>
      <c r="I30" s="2097">
        <v>4087.58695555555</v>
      </c>
      <c r="J30" s="2097">
        <v>-1.37753888888889</v>
      </c>
      <c r="K30" s="2097">
        <f>I30*J30</f>
        <v>-5630.809992992713</v>
      </c>
    </row>
    <row r="31" spans="1:11">
      <c r="A31" s="2114"/>
      <c r="B31" s="2115"/>
      <c r="C31" s="2095"/>
      <c r="D31" s="2110"/>
      <c r="E31" s="2095"/>
      <c r="F31" s="2090">
        <f t="shared" si="0"/>
        <v>0</v>
      </c>
      <c r="G31" s="2095"/>
      <c r="I31" s="2097">
        <v>4191.7758111111098</v>
      </c>
      <c r="J31" s="2097">
        <v>-1.5259777777777801</v>
      </c>
      <c r="K31" s="2097">
        <f>I31*J31</f>
        <v>-6396.5567371819834</v>
      </c>
    </row>
    <row r="32" spans="1:11" ht="27" customHeight="1">
      <c r="A32" s="2104" t="s">
        <v>2950</v>
      </c>
      <c r="B32" s="2099" t="s">
        <v>2951</v>
      </c>
      <c r="C32" s="2105" t="s">
        <v>965</v>
      </c>
      <c r="D32" s="2112">
        <f>[60]QTY.Reservoir_400m3!G65</f>
        <v>39.269908169872416</v>
      </c>
      <c r="E32" s="2287">
        <f>Rates!F49</f>
        <v>1070.18</v>
      </c>
      <c r="F32" s="2113">
        <f t="shared" si="0"/>
        <v>42025.870325234064</v>
      </c>
      <c r="G32" s="2095"/>
      <c r="I32" s="2097">
        <v>4295.9646666666704</v>
      </c>
      <c r="J32" s="2097">
        <v>-1.67441666666667</v>
      </c>
      <c r="K32" s="2097">
        <f>SUM(K28:K31)</f>
        <v>-21115.471907218511</v>
      </c>
    </row>
    <row r="33" spans="1:11">
      <c r="A33" s="2102"/>
      <c r="B33" s="2099"/>
      <c r="C33" s="2095"/>
      <c r="D33" s="2110"/>
      <c r="E33" s="2095"/>
      <c r="F33" s="2090">
        <f t="shared" si="0"/>
        <v>0</v>
      </c>
      <c r="G33" s="2095"/>
      <c r="I33" s="2097">
        <v>4400.1535222222201</v>
      </c>
      <c r="J33" s="2097">
        <v>-1.8228555555555599</v>
      </c>
    </row>
    <row r="34" spans="1:11">
      <c r="A34" s="2114" t="s">
        <v>2952</v>
      </c>
      <c r="B34" s="2115" t="s">
        <v>2953</v>
      </c>
      <c r="C34" s="2098" t="s">
        <v>965</v>
      </c>
      <c r="D34" s="2110">
        <f>[60]QTY.Reservoir_400m3!G66</f>
        <v>48</v>
      </c>
      <c r="E34" s="2110">
        <v>755.97406249999995</v>
      </c>
      <c r="F34" s="2090">
        <f t="shared" si="0"/>
        <v>36286.754999999997</v>
      </c>
      <c r="G34" s="2095"/>
      <c r="I34" s="2097">
        <v>4504.3423777777798</v>
      </c>
      <c r="J34" s="2097">
        <v>-1.97129444444445</v>
      </c>
      <c r="K34" s="2097">
        <f>0.1*K32</f>
        <v>-2111.5471907218512</v>
      </c>
    </row>
    <row r="35" spans="1:11">
      <c r="A35" s="2114"/>
      <c r="B35" s="2115"/>
      <c r="C35" s="2095"/>
      <c r="D35" s="2110"/>
      <c r="E35" s="2095"/>
      <c r="F35" s="2090">
        <f t="shared" si="0"/>
        <v>0</v>
      </c>
      <c r="G35" s="2095"/>
    </row>
    <row r="36" spans="1:11" ht="25.5">
      <c r="A36" s="2116" t="s">
        <v>2954</v>
      </c>
      <c r="B36" s="2117" t="s">
        <v>2955</v>
      </c>
      <c r="C36" s="2105" t="s">
        <v>2931</v>
      </c>
      <c r="D36" s="2112">
        <f>[60]QTY.Reservoir_400m3!G67</f>
        <v>48</v>
      </c>
      <c r="E36" s="2287">
        <f>Rates!F70</f>
        <v>400.29</v>
      </c>
      <c r="F36" s="2113">
        <f t="shared" si="0"/>
        <v>19213.920000000002</v>
      </c>
      <c r="G36" s="2095"/>
    </row>
    <row r="37" spans="1:11" ht="25.5">
      <c r="A37" s="2116">
        <v>16</v>
      </c>
      <c r="B37" s="2118" t="s">
        <v>2956</v>
      </c>
      <c r="C37" s="2105" t="s">
        <v>517</v>
      </c>
      <c r="D37" s="2112">
        <v>4</v>
      </c>
      <c r="E37" s="2289">
        <v>8000</v>
      </c>
      <c r="F37" s="2113">
        <f t="shared" si="0"/>
        <v>32000</v>
      </c>
      <c r="G37" s="2095"/>
    </row>
    <row r="38" spans="1:11" ht="27" hidden="1" customHeight="1">
      <c r="A38" s="2102" t="s">
        <v>2957</v>
      </c>
      <c r="B38" s="2099" t="s">
        <v>2956</v>
      </c>
      <c r="C38" s="2098" t="s">
        <v>517</v>
      </c>
      <c r="D38" s="2110">
        <f>[60]QTY.Reservoir_400m3!G68</f>
        <v>4</v>
      </c>
      <c r="E38" s="2095">
        <v>6.45</v>
      </c>
      <c r="F38" s="2090">
        <f t="shared" si="0"/>
        <v>25.8</v>
      </c>
      <c r="G38" s="2095"/>
    </row>
    <row r="39" spans="1:11">
      <c r="A39" s="2102"/>
      <c r="B39" s="2099"/>
      <c r="C39" s="2098"/>
      <c r="D39" s="2110"/>
      <c r="E39" s="2095"/>
      <c r="F39" s="2090">
        <f t="shared" si="0"/>
        <v>0</v>
      </c>
      <c r="G39" s="2095"/>
    </row>
    <row r="40" spans="1:11">
      <c r="A40" s="2102">
        <v>17</v>
      </c>
      <c r="B40" s="2103" t="s">
        <v>1580</v>
      </c>
      <c r="C40" s="2098" t="s">
        <v>517</v>
      </c>
      <c r="D40" s="2110">
        <f>[60]QTY.Reservoir_400m3!G69</f>
        <v>2</v>
      </c>
      <c r="E40" s="2110">
        <f>Rates!$F$93</f>
        <v>2479.6125000000002</v>
      </c>
      <c r="F40" s="2090">
        <f t="shared" si="0"/>
        <v>4959.2250000000004</v>
      </c>
      <c r="G40" s="2095"/>
    </row>
    <row r="41" spans="1:11">
      <c r="A41" s="2102"/>
      <c r="B41" s="2103"/>
      <c r="C41" s="2098"/>
      <c r="D41" s="2110"/>
      <c r="E41" s="2110"/>
      <c r="F41" s="2090">
        <f t="shared" si="0"/>
        <v>0</v>
      </c>
      <c r="G41" s="2095"/>
    </row>
    <row r="42" spans="1:11">
      <c r="A42" s="2095"/>
      <c r="B42" s="2119" t="s">
        <v>1108</v>
      </c>
      <c r="C42" s="2095"/>
      <c r="D42" s="2110"/>
      <c r="E42" s="2095"/>
      <c r="F42" s="2120">
        <f>SUM(F6:F41)</f>
        <v>7691591.2286139801</v>
      </c>
      <c r="G42" s="2095"/>
      <c r="I42" s="2121">
        <v>5040469.2734929519</v>
      </c>
    </row>
    <row r="43" spans="1:11">
      <c r="D43" s="2122"/>
    </row>
    <row r="44" spans="1:11">
      <c r="D44" s="2122"/>
    </row>
    <row r="45" spans="1:11">
      <c r="D45" s="2122"/>
    </row>
    <row r="46" spans="1:11">
      <c r="D46" s="2122"/>
    </row>
    <row r="47" spans="1:11">
      <c r="D47" s="2122"/>
    </row>
    <row r="53" spans="5:8">
      <c r="E53" s="2096">
        <v>1</v>
      </c>
      <c r="F53" s="2096">
        <v>4.0469999999999997</v>
      </c>
      <c r="G53" s="2096">
        <v>0.5</v>
      </c>
      <c r="H53" s="2096">
        <f>F53+G53</f>
        <v>4.5469999999999997</v>
      </c>
    </row>
    <row r="54" spans="5:8">
      <c r="E54" s="2096">
        <v>2</v>
      </c>
      <c r="F54" s="2096">
        <v>4.6749999999999998</v>
      </c>
      <c r="G54" s="2096">
        <v>0.5</v>
      </c>
      <c r="H54" s="2096">
        <f t="shared" ref="H54:H71" si="1">F54+G54</f>
        <v>5.1749999999999998</v>
      </c>
    </row>
    <row r="55" spans="5:8">
      <c r="E55" s="2096">
        <v>3</v>
      </c>
      <c r="F55" s="2096">
        <v>5.3040000000000003</v>
      </c>
      <c r="G55" s="2096">
        <v>0.5</v>
      </c>
      <c r="H55" s="2096">
        <f t="shared" si="1"/>
        <v>5.8040000000000003</v>
      </c>
    </row>
    <row r="56" spans="5:8">
      <c r="E56" s="2096">
        <v>4</v>
      </c>
      <c r="F56" s="2096">
        <v>5.9320000000000004</v>
      </c>
      <c r="G56" s="2096">
        <v>0.5</v>
      </c>
      <c r="H56" s="2096">
        <f t="shared" si="1"/>
        <v>6.4320000000000004</v>
      </c>
    </row>
    <row r="57" spans="5:8">
      <c r="E57" s="2096">
        <v>5</v>
      </c>
      <c r="F57" s="2096">
        <v>6.56</v>
      </c>
      <c r="G57" s="2096">
        <v>0.5</v>
      </c>
      <c r="H57" s="2096">
        <f t="shared" si="1"/>
        <v>7.06</v>
      </c>
    </row>
    <row r="58" spans="5:8">
      <c r="E58" s="2096">
        <v>6</v>
      </c>
      <c r="F58" s="2096">
        <v>7.1870000000000003</v>
      </c>
      <c r="G58" s="2096">
        <v>0.5</v>
      </c>
      <c r="H58" s="2096">
        <f t="shared" si="1"/>
        <v>7.6870000000000003</v>
      </c>
    </row>
    <row r="59" spans="5:8">
      <c r="E59" s="2096">
        <v>7</v>
      </c>
      <c r="F59" s="2096">
        <v>7.8140000000000001</v>
      </c>
      <c r="G59" s="2096">
        <v>0.5</v>
      </c>
      <c r="H59" s="2096">
        <f t="shared" si="1"/>
        <v>8.3140000000000001</v>
      </c>
    </row>
    <row r="60" spans="5:8">
      <c r="E60" s="2096">
        <v>8</v>
      </c>
      <c r="F60" s="2096">
        <v>8.44</v>
      </c>
      <c r="G60" s="2096">
        <v>0.5</v>
      </c>
      <c r="H60" s="2096">
        <f t="shared" si="1"/>
        <v>8.94</v>
      </c>
    </row>
    <row r="61" spans="5:8">
      <c r="E61" s="2096">
        <v>9</v>
      </c>
      <c r="F61" s="2096">
        <v>9.0649999999999995</v>
      </c>
      <c r="G61" s="2096">
        <v>0.5</v>
      </c>
      <c r="H61" s="2096">
        <f t="shared" si="1"/>
        <v>9.5649999999999995</v>
      </c>
    </row>
    <row r="62" spans="5:8">
      <c r="E62" s="2096">
        <v>10</v>
      </c>
      <c r="F62" s="2096">
        <v>9.69</v>
      </c>
      <c r="G62" s="2096">
        <v>0.5</v>
      </c>
      <c r="H62" s="2096">
        <f t="shared" si="1"/>
        <v>10.19</v>
      </c>
    </row>
    <row r="63" spans="5:8">
      <c r="E63" s="2096">
        <v>11</v>
      </c>
      <c r="F63" s="2096">
        <v>10.314</v>
      </c>
      <c r="G63" s="2096">
        <v>0.5</v>
      </c>
      <c r="H63" s="2096">
        <f t="shared" si="1"/>
        <v>10.814</v>
      </c>
    </row>
    <row r="64" spans="5:8">
      <c r="E64" s="2096">
        <v>12</v>
      </c>
      <c r="F64" s="2096">
        <v>10.938000000000001</v>
      </c>
      <c r="G64" s="2096">
        <v>0.5</v>
      </c>
      <c r="H64" s="2096">
        <f t="shared" si="1"/>
        <v>11.438000000000001</v>
      </c>
    </row>
    <row r="65" spans="5:8">
      <c r="E65" s="2096">
        <v>13</v>
      </c>
      <c r="F65" s="2096">
        <v>11.561</v>
      </c>
      <c r="G65" s="2096">
        <v>0.5</v>
      </c>
      <c r="H65" s="2096">
        <f t="shared" si="1"/>
        <v>12.061</v>
      </c>
    </row>
    <row r="66" spans="5:8">
      <c r="E66" s="2096">
        <v>14</v>
      </c>
      <c r="F66" s="2096">
        <v>12.182</v>
      </c>
      <c r="G66" s="2096">
        <v>0.5</v>
      </c>
      <c r="H66" s="2096">
        <f t="shared" si="1"/>
        <v>12.682</v>
      </c>
    </row>
    <row r="67" spans="5:8">
      <c r="E67" s="2096">
        <v>15</v>
      </c>
      <c r="F67" s="2096">
        <v>12.803000000000001</v>
      </c>
      <c r="G67" s="2096">
        <v>0.5</v>
      </c>
      <c r="H67" s="2096">
        <f t="shared" si="1"/>
        <v>13.303000000000001</v>
      </c>
    </row>
    <row r="68" spans="5:8">
      <c r="E68" s="2096">
        <v>16</v>
      </c>
      <c r="F68" s="2096">
        <v>13.423</v>
      </c>
      <c r="G68" s="2096">
        <v>0.5</v>
      </c>
      <c r="H68" s="2096">
        <f t="shared" si="1"/>
        <v>13.923</v>
      </c>
    </row>
    <row r="69" spans="5:8">
      <c r="E69" s="2096">
        <v>17</v>
      </c>
      <c r="F69" s="2096">
        <v>14.042</v>
      </c>
      <c r="G69" s="2096">
        <v>0.5</v>
      </c>
      <c r="H69" s="2096">
        <f t="shared" si="1"/>
        <v>14.542</v>
      </c>
    </row>
    <row r="70" spans="5:8">
      <c r="E70" s="2096">
        <v>18</v>
      </c>
      <c r="F70" s="2096">
        <v>14.66</v>
      </c>
      <c r="G70" s="2096">
        <v>0.5</v>
      </c>
      <c r="H70" s="2096">
        <f t="shared" si="1"/>
        <v>15.16</v>
      </c>
    </row>
    <row r="71" spans="5:8">
      <c r="E71" s="2096">
        <v>19</v>
      </c>
      <c r="F71" s="2096">
        <v>15.276999999999999</v>
      </c>
      <c r="G71" s="2096">
        <v>0.5</v>
      </c>
      <c r="H71" s="2096">
        <f t="shared" si="1"/>
        <v>15.776999999999999</v>
      </c>
    </row>
    <row r="72" spans="5:8">
      <c r="E72" s="2096">
        <v>20</v>
      </c>
      <c r="F72" s="2096">
        <v>15.893000000000001</v>
      </c>
      <c r="G72" s="2096">
        <v>0.5</v>
      </c>
      <c r="H72" s="2096">
        <f>F72+G72</f>
        <v>16.393000000000001</v>
      </c>
    </row>
    <row r="73" spans="5:8">
      <c r="E73" s="2096">
        <v>21</v>
      </c>
      <c r="F73" s="2096">
        <v>16.507999999999999</v>
      </c>
      <c r="G73" s="2096">
        <v>0.5</v>
      </c>
      <c r="H73" s="2096">
        <f t="shared" ref="H73:H81" si="2">F73+G73</f>
        <v>17.007999999999999</v>
      </c>
    </row>
    <row r="74" spans="5:8">
      <c r="E74" s="2096">
        <v>22</v>
      </c>
      <c r="F74" s="2096">
        <v>17.120999999999999</v>
      </c>
      <c r="G74" s="2096">
        <v>0.5</v>
      </c>
      <c r="H74" s="2096">
        <f t="shared" si="2"/>
        <v>17.620999999999999</v>
      </c>
    </row>
    <row r="75" spans="5:8">
      <c r="E75" s="2096">
        <v>23</v>
      </c>
      <c r="F75" s="2096">
        <v>17.733000000000001</v>
      </c>
      <c r="G75" s="2096">
        <v>0.5</v>
      </c>
      <c r="H75" s="2096">
        <f t="shared" si="2"/>
        <v>18.233000000000001</v>
      </c>
    </row>
    <row r="76" spans="5:8">
      <c r="E76" s="2096">
        <v>24</v>
      </c>
      <c r="F76" s="2096">
        <v>18.344000000000001</v>
      </c>
      <c r="G76" s="2096">
        <v>0.5</v>
      </c>
      <c r="H76" s="2096">
        <f t="shared" si="2"/>
        <v>18.844000000000001</v>
      </c>
    </row>
    <row r="77" spans="5:8">
      <c r="E77" s="2096">
        <v>25</v>
      </c>
      <c r="F77" s="2096">
        <v>18.954000000000001</v>
      </c>
      <c r="G77" s="2096">
        <v>0.5</v>
      </c>
      <c r="H77" s="2096">
        <f t="shared" si="2"/>
        <v>19.454000000000001</v>
      </c>
    </row>
    <row r="78" spans="5:8">
      <c r="E78" s="2096">
        <v>26</v>
      </c>
      <c r="F78" s="2096">
        <v>19.562000000000001</v>
      </c>
      <c r="G78" s="2096">
        <v>0.5</v>
      </c>
      <c r="H78" s="2096">
        <f t="shared" si="2"/>
        <v>20.062000000000001</v>
      </c>
    </row>
    <row r="79" spans="5:8">
      <c r="E79" s="2096">
        <v>27</v>
      </c>
      <c r="F79" s="2096">
        <v>20.169</v>
      </c>
      <c r="G79" s="2096">
        <v>0.5</v>
      </c>
      <c r="H79" s="2096">
        <f t="shared" si="2"/>
        <v>20.669</v>
      </c>
    </row>
    <row r="80" spans="5:8">
      <c r="E80" s="2096">
        <v>28</v>
      </c>
      <c r="F80" s="2096">
        <v>20.774000000000001</v>
      </c>
      <c r="G80" s="2096">
        <v>0.5</v>
      </c>
      <c r="H80" s="2096">
        <f t="shared" si="2"/>
        <v>21.274000000000001</v>
      </c>
    </row>
    <row r="81" spans="5:12">
      <c r="E81" s="2096">
        <v>29</v>
      </c>
      <c r="F81" s="2096">
        <v>21.378</v>
      </c>
      <c r="G81" s="2096">
        <v>0.5</v>
      </c>
      <c r="H81" s="2096">
        <f t="shared" si="2"/>
        <v>21.878</v>
      </c>
    </row>
    <row r="82" spans="5:12">
      <c r="E82" s="2096">
        <v>30</v>
      </c>
      <c r="F82" s="2096">
        <v>21.98</v>
      </c>
      <c r="G82" s="2096">
        <v>0.5</v>
      </c>
      <c r="H82" s="2096">
        <f>F82+G82</f>
        <v>22.48</v>
      </c>
    </row>
    <row r="83" spans="5:12">
      <c r="E83" s="2096">
        <v>31</v>
      </c>
      <c r="F83" s="2096">
        <v>22.581</v>
      </c>
      <c r="G83" s="2096">
        <v>0.5</v>
      </c>
      <c r="H83" s="2096">
        <f t="shared" ref="H83:H108" si="3">F83+G83</f>
        <v>23.081</v>
      </c>
    </row>
    <row r="84" spans="5:12">
      <c r="E84" s="2096">
        <v>32</v>
      </c>
      <c r="F84" s="2096">
        <v>23.18</v>
      </c>
      <c r="G84" s="2096">
        <v>0.5</v>
      </c>
      <c r="H84" s="2096">
        <f t="shared" si="3"/>
        <v>23.68</v>
      </c>
    </row>
    <row r="85" spans="5:12">
      <c r="E85" s="2096">
        <v>33</v>
      </c>
      <c r="F85" s="2096">
        <v>23.777000000000001</v>
      </c>
      <c r="G85" s="2096">
        <v>0.5</v>
      </c>
      <c r="H85" s="2096">
        <f t="shared" si="3"/>
        <v>24.277000000000001</v>
      </c>
    </row>
    <row r="86" spans="5:12">
      <c r="E86" s="2096">
        <v>34</v>
      </c>
      <c r="F86" s="2096">
        <v>24.372</v>
      </c>
      <c r="G86" s="2096">
        <v>0.5</v>
      </c>
      <c r="H86" s="2096">
        <f t="shared" si="3"/>
        <v>24.872</v>
      </c>
    </row>
    <row r="87" spans="5:12">
      <c r="E87" s="2096">
        <v>35</v>
      </c>
      <c r="F87" s="2096">
        <v>24.966000000000001</v>
      </c>
      <c r="G87" s="2096">
        <v>0.5</v>
      </c>
      <c r="H87" s="2096">
        <f t="shared" si="3"/>
        <v>25.466000000000001</v>
      </c>
    </row>
    <row r="88" spans="5:12">
      <c r="E88" s="2096">
        <v>36</v>
      </c>
      <c r="F88" s="2096">
        <v>25.558</v>
      </c>
      <c r="G88" s="2096">
        <v>0.5</v>
      </c>
      <c r="H88" s="2096">
        <f t="shared" si="3"/>
        <v>26.058</v>
      </c>
    </row>
    <row r="89" spans="5:12">
      <c r="E89" s="2096">
        <v>37</v>
      </c>
      <c r="F89" s="2096">
        <v>26.148</v>
      </c>
      <c r="G89" s="2096">
        <v>0.5</v>
      </c>
      <c r="H89" s="2096">
        <f t="shared" si="3"/>
        <v>26.648</v>
      </c>
    </row>
    <row r="90" spans="5:12">
      <c r="E90" s="2096">
        <v>38</v>
      </c>
      <c r="F90" s="2096">
        <v>26.736000000000001</v>
      </c>
      <c r="G90" s="2096">
        <v>0.5</v>
      </c>
      <c r="H90" s="2096">
        <f t="shared" si="3"/>
        <v>27.236000000000001</v>
      </c>
      <c r="J90" s="2097">
        <v>72</v>
      </c>
      <c r="K90" s="2097">
        <v>5.5140000000000002</v>
      </c>
      <c r="L90" s="2097">
        <f>J90*K90</f>
        <v>397.00800000000004</v>
      </c>
    </row>
    <row r="91" spans="5:12">
      <c r="E91" s="2096">
        <v>39</v>
      </c>
      <c r="F91" s="2096">
        <v>27.323</v>
      </c>
      <c r="G91" s="2096">
        <v>0.5</v>
      </c>
      <c r="H91" s="2096">
        <f t="shared" si="3"/>
        <v>27.823</v>
      </c>
      <c r="J91" s="2097">
        <v>66</v>
      </c>
      <c r="K91" s="2097">
        <v>4.5</v>
      </c>
      <c r="L91" s="2097">
        <f>J91*K91</f>
        <v>297</v>
      </c>
    </row>
    <row r="92" spans="5:12">
      <c r="E92" s="2096">
        <v>40</v>
      </c>
      <c r="F92" s="2096">
        <v>27.907</v>
      </c>
      <c r="G92" s="2096">
        <v>0.5</v>
      </c>
      <c r="H92" s="2096">
        <f t="shared" si="3"/>
        <v>28.407</v>
      </c>
      <c r="L92" s="2123">
        <f>SUM(L90:L91)</f>
        <v>694.00800000000004</v>
      </c>
    </row>
    <row r="93" spans="5:12">
      <c r="E93" s="2096">
        <v>41</v>
      </c>
      <c r="F93" s="2096">
        <v>28.489000000000001</v>
      </c>
      <c r="G93" s="2096">
        <v>0.5</v>
      </c>
      <c r="H93" s="2096">
        <f t="shared" si="3"/>
        <v>28.989000000000001</v>
      </c>
    </row>
    <row r="94" spans="5:12">
      <c r="E94" s="2096">
        <v>42</v>
      </c>
      <c r="F94" s="2096">
        <v>29.068999999999999</v>
      </c>
      <c r="G94" s="2096">
        <v>0.5</v>
      </c>
      <c r="H94" s="2096">
        <f t="shared" si="3"/>
        <v>29.568999999999999</v>
      </c>
    </row>
    <row r="95" spans="5:12">
      <c r="E95" s="2096">
        <v>43</v>
      </c>
      <c r="F95" s="2096">
        <v>29.646999999999998</v>
      </c>
      <c r="G95" s="2096">
        <v>0.5</v>
      </c>
      <c r="H95" s="2096">
        <f t="shared" si="3"/>
        <v>30.146999999999998</v>
      </c>
    </row>
    <row r="96" spans="5:12">
      <c r="E96" s="2096">
        <v>44</v>
      </c>
      <c r="F96" s="2096">
        <v>30.222999999999999</v>
      </c>
      <c r="G96" s="2096">
        <v>0.5</v>
      </c>
      <c r="H96" s="2096">
        <f t="shared" si="3"/>
        <v>30.722999999999999</v>
      </c>
    </row>
    <row r="97" spans="5:12">
      <c r="E97" s="2096">
        <v>45</v>
      </c>
      <c r="F97" s="2096">
        <v>30.797000000000001</v>
      </c>
      <c r="G97" s="2096">
        <v>0.5</v>
      </c>
      <c r="H97" s="2096">
        <f t="shared" si="3"/>
        <v>31.297000000000001</v>
      </c>
    </row>
    <row r="98" spans="5:12">
      <c r="E98" s="2096">
        <v>46</v>
      </c>
      <c r="F98" s="2096">
        <v>31.367999999999999</v>
      </c>
      <c r="G98" s="2096">
        <v>0.5</v>
      </c>
      <c r="H98" s="2096">
        <f t="shared" si="3"/>
        <v>31.867999999999999</v>
      </c>
    </row>
    <row r="99" spans="5:12">
      <c r="E99" s="2096">
        <v>47</v>
      </c>
      <c r="F99" s="2096">
        <v>31.937000000000001</v>
      </c>
      <c r="G99" s="2096">
        <v>0.5</v>
      </c>
      <c r="H99" s="2096">
        <f t="shared" si="3"/>
        <v>32.436999999999998</v>
      </c>
      <c r="L99" s="2097">
        <f>L92+H109</f>
        <v>1891.0610000000004</v>
      </c>
    </row>
    <row r="100" spans="5:12">
      <c r="E100" s="2096">
        <v>48</v>
      </c>
      <c r="F100" s="2096">
        <v>32.503999999999998</v>
      </c>
      <c r="G100" s="2096">
        <v>0.5</v>
      </c>
      <c r="H100" s="2096">
        <f t="shared" si="3"/>
        <v>33.003999999999998</v>
      </c>
    </row>
    <row r="101" spans="5:12">
      <c r="E101" s="2096">
        <v>49</v>
      </c>
      <c r="F101" s="2096">
        <v>33.067999999999998</v>
      </c>
      <c r="G101" s="2096">
        <v>0.5</v>
      </c>
      <c r="H101" s="2096">
        <f t="shared" si="3"/>
        <v>33.567999999999998</v>
      </c>
    </row>
    <row r="102" spans="5:12">
      <c r="E102" s="2096">
        <v>50</v>
      </c>
      <c r="F102" s="2096">
        <v>33.630000000000003</v>
      </c>
      <c r="G102" s="2096">
        <v>0.5</v>
      </c>
      <c r="H102" s="2096">
        <f t="shared" si="3"/>
        <v>34.130000000000003</v>
      </c>
    </row>
    <row r="103" spans="5:12">
      <c r="E103" s="2096">
        <v>51</v>
      </c>
      <c r="F103" s="2096">
        <v>34.19</v>
      </c>
      <c r="G103" s="2096">
        <v>0.5</v>
      </c>
      <c r="H103" s="2096">
        <f t="shared" si="3"/>
        <v>34.69</v>
      </c>
    </row>
    <row r="104" spans="5:12">
      <c r="E104" s="2096">
        <v>52</v>
      </c>
      <c r="F104" s="2096">
        <v>34.747</v>
      </c>
      <c r="G104" s="2096">
        <v>0.5</v>
      </c>
      <c r="H104" s="2096">
        <f t="shared" si="3"/>
        <v>35.247</v>
      </c>
    </row>
    <row r="105" spans="5:12">
      <c r="E105" s="2096">
        <v>53</v>
      </c>
      <c r="F105" s="2096">
        <v>35.301000000000002</v>
      </c>
      <c r="G105" s="2096">
        <v>0.5</v>
      </c>
      <c r="H105" s="2096">
        <f t="shared" si="3"/>
        <v>35.801000000000002</v>
      </c>
    </row>
    <row r="106" spans="5:12">
      <c r="E106" s="2096">
        <v>54</v>
      </c>
      <c r="F106" s="2096">
        <v>35.853000000000002</v>
      </c>
      <c r="G106" s="2096">
        <v>0.5</v>
      </c>
      <c r="H106" s="2096">
        <f t="shared" si="3"/>
        <v>36.353000000000002</v>
      </c>
    </row>
    <row r="107" spans="5:12">
      <c r="E107" s="2096">
        <v>55</v>
      </c>
      <c r="F107" s="2096">
        <v>36.402999999999999</v>
      </c>
      <c r="G107" s="2096">
        <v>0.5</v>
      </c>
      <c r="H107" s="2096">
        <f t="shared" si="3"/>
        <v>36.902999999999999</v>
      </c>
    </row>
    <row r="108" spans="5:12">
      <c r="E108" s="2096">
        <v>56</v>
      </c>
      <c r="F108" s="2096">
        <v>36.948999999999998</v>
      </c>
      <c r="G108" s="2096">
        <v>0.5</v>
      </c>
      <c r="H108" s="2096">
        <f t="shared" si="3"/>
        <v>37.448999999999998</v>
      </c>
    </row>
    <row r="109" spans="5:12">
      <c r="H109" s="2124">
        <f>SUM(H53:H108)</f>
        <v>1197.0530000000003</v>
      </c>
    </row>
    <row r="114" spans="8:12">
      <c r="J114" s="2097">
        <f>PI()*1.25</f>
        <v>3.9269908169872414</v>
      </c>
    </row>
    <row r="115" spans="8:12">
      <c r="J115" s="2097">
        <v>0.5</v>
      </c>
    </row>
    <row r="116" spans="8:12">
      <c r="J116" s="2097">
        <f>SUM(J114:J115)</f>
        <v>4.4269908169872414</v>
      </c>
    </row>
    <row r="119" spans="8:12">
      <c r="J119" s="2097">
        <v>3.79</v>
      </c>
      <c r="K119" s="2097">
        <v>2</v>
      </c>
      <c r="L119" s="2097">
        <f>J119*K119</f>
        <v>7.58</v>
      </c>
    </row>
    <row r="120" spans="8:12">
      <c r="J120" s="2097">
        <v>4.42</v>
      </c>
      <c r="K120" s="2097">
        <v>2</v>
      </c>
      <c r="L120" s="2097">
        <f>J120*K120</f>
        <v>8.84</v>
      </c>
    </row>
    <row r="126" spans="8:12">
      <c r="H126" s="2096">
        <f>4*5.15</f>
        <v>20.6</v>
      </c>
    </row>
  </sheetData>
  <mergeCells count="9">
    <mergeCell ref="A1:G1"/>
    <mergeCell ref="A2:G2"/>
    <mergeCell ref="A4:A5"/>
    <mergeCell ref="B4:B5"/>
    <mergeCell ref="C4:C5"/>
    <mergeCell ref="D4:D5"/>
    <mergeCell ref="E4:E5"/>
    <mergeCell ref="F4:F5"/>
    <mergeCell ref="G4:G5"/>
  </mergeCells>
  <pageMargins left="0.75" right="0.5" top="1" bottom="0.5" header="0.4" footer="0"/>
  <pageSetup paperSize="9" scale="85" firstPageNumber="16" orientation="portrait" useFirstPageNumber="1" r:id="rId1"/>
  <rowBreaks count="1" manualBreakCount="1">
    <brk id="42" max="6"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I87"/>
  <sheetViews>
    <sheetView workbookViewId="0">
      <selection sqref="A1:I1"/>
    </sheetView>
  </sheetViews>
  <sheetFormatPr defaultColWidth="9.140625" defaultRowHeight="14.25"/>
  <cols>
    <col min="1" max="1" width="9.140625" style="2363"/>
    <col min="2" max="2" width="45.5703125" style="2410" bestFit="1" customWidth="1"/>
    <col min="3" max="3" width="9.140625" style="2363"/>
    <col min="4" max="4" width="11.85546875" style="2411" bestFit="1" customWidth="1"/>
    <col min="5" max="5" width="12.85546875" style="2411" bestFit="1" customWidth="1"/>
    <col min="6" max="6" width="11.42578125" style="2411" bestFit="1" customWidth="1"/>
    <col min="7" max="7" width="9.42578125" style="2411" bestFit="1" customWidth="1"/>
    <col min="8" max="8" width="11.28515625" style="2411" bestFit="1" customWidth="1"/>
    <col min="9" max="9" width="14.140625" style="2411" bestFit="1" customWidth="1"/>
    <col min="10" max="16384" width="9.140625" style="2363"/>
  </cols>
  <sheetData>
    <row r="1" spans="1:9" ht="15">
      <c r="A1" s="2921" t="s">
        <v>3110</v>
      </c>
      <c r="B1" s="2921"/>
      <c r="C1" s="2921"/>
      <c r="D1" s="2921"/>
      <c r="E1" s="2921"/>
      <c r="F1" s="2921"/>
      <c r="G1" s="2921"/>
      <c r="H1" s="2921"/>
      <c r="I1" s="2921"/>
    </row>
    <row r="2" spans="1:9" ht="15.75" thickBot="1">
      <c r="A2" s="2921" t="s">
        <v>3111</v>
      </c>
      <c r="B2" s="2921"/>
      <c r="C2" s="2921"/>
      <c r="D2" s="2921"/>
      <c r="E2" s="2921"/>
      <c r="F2" s="2921"/>
      <c r="G2" s="2921"/>
      <c r="H2" s="2921"/>
      <c r="I2" s="2921"/>
    </row>
    <row r="3" spans="1:9" ht="16.5" thickTop="1" thickBot="1">
      <c r="A3" s="2364" t="s">
        <v>1357</v>
      </c>
      <c r="B3" s="2365" t="s">
        <v>962</v>
      </c>
      <c r="C3" s="2365" t="s">
        <v>1087</v>
      </c>
      <c r="D3" s="2365" t="s">
        <v>1051</v>
      </c>
      <c r="E3" s="2365" t="s">
        <v>1052</v>
      </c>
      <c r="F3" s="2365" t="s">
        <v>1053</v>
      </c>
      <c r="G3" s="2365" t="s">
        <v>964</v>
      </c>
      <c r="H3" s="2412" t="s">
        <v>97</v>
      </c>
      <c r="I3" s="2366" t="s">
        <v>52</v>
      </c>
    </row>
    <row r="4" spans="1:9" ht="15" thickTop="1">
      <c r="A4" s="2367" t="s">
        <v>3112</v>
      </c>
      <c r="B4" s="2368" t="s">
        <v>3113</v>
      </c>
      <c r="C4" s="2369">
        <v>1</v>
      </c>
      <c r="D4" s="2370">
        <v>6.1</v>
      </c>
      <c r="E4" s="2370">
        <v>4.9000000000000004</v>
      </c>
      <c r="F4" s="2370">
        <v>4.75</v>
      </c>
      <c r="G4" s="2369">
        <v>141.97999999999999</v>
      </c>
      <c r="H4" s="2422">
        <f>Rates!F10</f>
        <v>1883.36</v>
      </c>
      <c r="I4" s="2431">
        <f>H4*G4</f>
        <v>267399.45279999997</v>
      </c>
    </row>
    <row r="5" spans="1:9">
      <c r="A5" s="2372"/>
      <c r="B5" s="2373"/>
      <c r="C5" s="2374"/>
      <c r="D5" s="2375"/>
      <c r="E5" s="2375"/>
      <c r="F5" s="2375"/>
      <c r="G5" s="2375"/>
      <c r="H5" s="2414"/>
      <c r="I5" s="2376"/>
    </row>
    <row r="6" spans="1:9" ht="15" thickBot="1">
      <c r="A6" s="2377" t="s">
        <v>3114</v>
      </c>
      <c r="B6" s="2378" t="s">
        <v>925</v>
      </c>
      <c r="C6" s="2379">
        <v>1</v>
      </c>
      <c r="D6" s="2922" t="s">
        <v>3115</v>
      </c>
      <c r="E6" s="2922"/>
      <c r="F6" s="2922"/>
      <c r="G6" s="2379">
        <v>49.69</v>
      </c>
      <c r="H6" s="2423">
        <f>Rates!F16</f>
        <v>710.7</v>
      </c>
      <c r="I6" s="2431">
        <f>H6*G6</f>
        <v>35314.682999999997</v>
      </c>
    </row>
    <row r="7" spans="1:9" ht="15" thickTop="1">
      <c r="A7" s="2380"/>
      <c r="B7" s="2381"/>
      <c r="C7" s="2382"/>
      <c r="D7" s="2382"/>
      <c r="E7" s="2382"/>
      <c r="F7" s="2382"/>
      <c r="G7" s="2382"/>
      <c r="H7" s="2415"/>
      <c r="I7" s="2383"/>
    </row>
    <row r="8" spans="1:9">
      <c r="A8" s="2372" t="s">
        <v>3116</v>
      </c>
      <c r="B8" s="2373" t="s">
        <v>2886</v>
      </c>
      <c r="C8" s="2375">
        <v>1</v>
      </c>
      <c r="D8" s="2384">
        <v>4.0999999999999996</v>
      </c>
      <c r="E8" s="2384">
        <v>2.9</v>
      </c>
      <c r="F8" s="2384">
        <v>0.15</v>
      </c>
      <c r="G8" s="2375">
        <v>1.78</v>
      </c>
      <c r="H8" s="2424">
        <f>Rates!F19</f>
        <v>5523.35</v>
      </c>
      <c r="I8" s="2431">
        <f>H8*G8</f>
        <v>9831.5630000000001</v>
      </c>
    </row>
    <row r="9" spans="1:9" ht="15">
      <c r="A9" s="2385"/>
      <c r="B9" s="2386"/>
      <c r="C9" s="2375"/>
      <c r="D9" s="2375"/>
      <c r="E9" s="2375"/>
      <c r="F9" s="2375"/>
      <c r="G9" s="2375"/>
      <c r="H9" s="2414"/>
      <c r="I9" s="2376"/>
    </row>
    <row r="10" spans="1:9">
      <c r="A10" s="2372" t="s">
        <v>3117</v>
      </c>
      <c r="B10" s="2373" t="s">
        <v>3118</v>
      </c>
      <c r="C10" s="2375">
        <v>1</v>
      </c>
      <c r="D10" s="2384">
        <v>4.0999999999999996</v>
      </c>
      <c r="E10" s="2384">
        <v>2.9</v>
      </c>
      <c r="F10" s="2384">
        <v>0.1</v>
      </c>
      <c r="G10" s="2375">
        <v>1.19</v>
      </c>
      <c r="H10" s="2424">
        <f>Rates!F31</f>
        <v>14810.58</v>
      </c>
      <c r="I10" s="2431">
        <f>H10*G10</f>
        <v>17624.590199999999</v>
      </c>
    </row>
    <row r="11" spans="1:9">
      <c r="A11" s="2372"/>
      <c r="B11" s="2373"/>
      <c r="C11" s="2375"/>
      <c r="D11" s="2375"/>
      <c r="E11" s="2375"/>
      <c r="F11" s="2375"/>
      <c r="G11" s="2387"/>
      <c r="H11" s="2416"/>
      <c r="I11" s="2391"/>
    </row>
    <row r="12" spans="1:9">
      <c r="A12" s="2372" t="s">
        <v>3119</v>
      </c>
      <c r="B12" s="2373" t="s">
        <v>3120</v>
      </c>
      <c r="C12" s="2375"/>
      <c r="D12" s="2384"/>
      <c r="E12" s="2384"/>
      <c r="F12" s="2384"/>
      <c r="G12" s="2387"/>
      <c r="H12" s="2416"/>
      <c r="I12" s="2391"/>
    </row>
    <row r="13" spans="1:9">
      <c r="A13" s="2372"/>
      <c r="B13" s="2388" t="s">
        <v>3121</v>
      </c>
      <c r="C13" s="2375">
        <v>1</v>
      </c>
      <c r="D13" s="2384">
        <v>4.0999999999999996</v>
      </c>
      <c r="E13" s="2384">
        <v>2.9</v>
      </c>
      <c r="F13" s="2384">
        <v>0.4</v>
      </c>
      <c r="G13" s="2387">
        <v>4.76</v>
      </c>
      <c r="H13" s="2416"/>
      <c r="I13" s="2391"/>
    </row>
    <row r="14" spans="1:9">
      <c r="A14" s="2372"/>
      <c r="B14" s="2388" t="s">
        <v>3122</v>
      </c>
      <c r="C14" s="2375">
        <v>2</v>
      </c>
      <c r="D14" s="2384">
        <v>3.4</v>
      </c>
      <c r="E14" s="2384">
        <v>0.35</v>
      </c>
      <c r="F14" s="2384">
        <v>5.0999999999999996</v>
      </c>
      <c r="G14" s="2387">
        <v>12.14</v>
      </c>
      <c r="H14" s="2416"/>
      <c r="I14" s="2391"/>
    </row>
    <row r="15" spans="1:9">
      <c r="A15" s="2372"/>
      <c r="B15" s="2388" t="s">
        <v>1006</v>
      </c>
      <c r="C15" s="2375">
        <v>2</v>
      </c>
      <c r="D15" s="2384">
        <v>1.5</v>
      </c>
      <c r="E15" s="2384">
        <v>0.35</v>
      </c>
      <c r="F15" s="2384">
        <v>5.0999999999999996</v>
      </c>
      <c r="G15" s="2387">
        <v>5.36</v>
      </c>
      <c r="H15" s="2416"/>
      <c r="I15" s="2391"/>
    </row>
    <row r="16" spans="1:9">
      <c r="A16" s="2372"/>
      <c r="B16" s="2388" t="s">
        <v>3123</v>
      </c>
      <c r="C16" s="2375">
        <v>1</v>
      </c>
      <c r="D16" s="2384">
        <v>3.4</v>
      </c>
      <c r="E16" s="2384">
        <v>2.2000000000000002</v>
      </c>
      <c r="F16" s="2384">
        <v>0.1</v>
      </c>
      <c r="G16" s="2387">
        <v>0.75</v>
      </c>
      <c r="H16" s="2416"/>
      <c r="I16" s="2391"/>
    </row>
    <row r="17" spans="1:9">
      <c r="A17" s="2372"/>
      <c r="B17" s="2373"/>
      <c r="C17" s="2375"/>
      <c r="D17" s="2384"/>
      <c r="E17" s="2384"/>
      <c r="F17" s="2375" t="s">
        <v>1108</v>
      </c>
      <c r="G17" s="2387">
        <v>23.01</v>
      </c>
      <c r="H17" s="2416">
        <f>Rates!F33</f>
        <v>17163.13</v>
      </c>
      <c r="I17" s="2431">
        <f>H17*G17</f>
        <v>394923.62130000006</v>
      </c>
    </row>
    <row r="18" spans="1:9">
      <c r="A18" s="2372"/>
      <c r="B18" s="2373"/>
      <c r="C18" s="2375"/>
      <c r="D18" s="2375"/>
      <c r="E18" s="2375"/>
      <c r="F18" s="2375"/>
      <c r="G18" s="2375"/>
      <c r="H18" s="2414"/>
      <c r="I18" s="2376"/>
    </row>
    <row r="19" spans="1:9">
      <c r="A19" s="2372" t="s">
        <v>3124</v>
      </c>
      <c r="B19" s="2373" t="s">
        <v>3005</v>
      </c>
      <c r="C19" s="2375"/>
      <c r="D19" s="2375"/>
      <c r="E19" s="2375"/>
      <c r="F19" s="2375"/>
      <c r="G19" s="2375"/>
      <c r="H19" s="2414"/>
      <c r="I19" s="2376"/>
    </row>
    <row r="20" spans="1:9">
      <c r="A20" s="2372"/>
      <c r="B20" s="2388" t="s">
        <v>987</v>
      </c>
      <c r="C20" s="2375">
        <v>1</v>
      </c>
      <c r="D20" s="2384">
        <v>14</v>
      </c>
      <c r="E20" s="2384"/>
      <c r="F20" s="2384">
        <v>0.5</v>
      </c>
      <c r="G20" s="2387">
        <v>7</v>
      </c>
      <c r="H20" s="2416"/>
      <c r="I20" s="2391"/>
    </row>
    <row r="21" spans="1:9">
      <c r="A21" s="2372"/>
      <c r="B21" s="2388" t="s">
        <v>3125</v>
      </c>
      <c r="C21" s="2375">
        <v>1</v>
      </c>
      <c r="D21" s="2384">
        <v>11.2</v>
      </c>
      <c r="E21" s="2384"/>
      <c r="F21" s="2384">
        <v>5.2</v>
      </c>
      <c r="G21" s="2387">
        <v>58.24</v>
      </c>
      <c r="H21" s="2416"/>
      <c r="I21" s="2391"/>
    </row>
    <row r="22" spans="1:9" ht="15">
      <c r="A22" s="2385"/>
      <c r="B22" s="2388" t="s">
        <v>3126</v>
      </c>
      <c r="C22" s="2375">
        <v>1</v>
      </c>
      <c r="D22" s="2384">
        <v>8.4</v>
      </c>
      <c r="E22" s="2384"/>
      <c r="F22" s="2384">
        <v>5.0999999999999996</v>
      </c>
      <c r="G22" s="2375">
        <v>42.84</v>
      </c>
      <c r="H22" s="2414"/>
      <c r="I22" s="2376"/>
    </row>
    <row r="23" spans="1:9" ht="15">
      <c r="A23" s="2385"/>
      <c r="B23" s="2388" t="s">
        <v>3127</v>
      </c>
      <c r="C23" s="2375">
        <v>1</v>
      </c>
      <c r="D23" s="2384">
        <v>2.7</v>
      </c>
      <c r="E23" s="2384"/>
      <c r="F23" s="2384">
        <v>1.5</v>
      </c>
      <c r="G23" s="2387">
        <v>4.05</v>
      </c>
      <c r="H23" s="2416"/>
      <c r="I23" s="2391"/>
    </row>
    <row r="24" spans="1:9">
      <c r="A24" s="2372"/>
      <c r="B24" s="2373"/>
      <c r="C24" s="2375"/>
      <c r="D24" s="2389"/>
      <c r="E24" s="2375"/>
      <c r="F24" s="2375" t="s">
        <v>1108</v>
      </c>
      <c r="G24" s="2375">
        <v>112.13</v>
      </c>
      <c r="H24" s="2424">
        <f>Rates!F40</f>
        <v>1322.68</v>
      </c>
      <c r="I24" s="2431">
        <f>H24*G24</f>
        <v>148312.1084</v>
      </c>
    </row>
    <row r="25" spans="1:9">
      <c r="A25" s="2372"/>
      <c r="B25" s="2373"/>
      <c r="C25" s="2375"/>
      <c r="D25" s="2389"/>
      <c r="E25" s="2375"/>
      <c r="F25" s="2375"/>
      <c r="G25" s="2375"/>
      <c r="H25" s="2414"/>
      <c r="I25" s="2376"/>
    </row>
    <row r="26" spans="1:9">
      <c r="A26" s="2372" t="s">
        <v>3128</v>
      </c>
      <c r="B26" s="2373" t="s">
        <v>3129</v>
      </c>
      <c r="C26" s="2375"/>
      <c r="D26" s="2387"/>
      <c r="E26" s="2390"/>
      <c r="F26" s="2390"/>
      <c r="G26" s="2387"/>
      <c r="H26" s="2416"/>
      <c r="I26" s="2391"/>
    </row>
    <row r="27" spans="1:9">
      <c r="A27" s="2372"/>
      <c r="B27" s="2388" t="s">
        <v>3130</v>
      </c>
      <c r="C27" s="2375">
        <v>38</v>
      </c>
      <c r="D27" s="2384">
        <v>5.3</v>
      </c>
      <c r="E27" s="2387" t="s">
        <v>407</v>
      </c>
      <c r="F27" s="2384">
        <v>0.89900000000000002</v>
      </c>
      <c r="G27" s="2375">
        <v>181.06</v>
      </c>
      <c r="H27" s="2414"/>
      <c r="I27" s="2376"/>
    </row>
    <row r="28" spans="1:9">
      <c r="A28" s="2372"/>
      <c r="B28" s="2388" t="s">
        <v>3131</v>
      </c>
      <c r="C28" s="2375">
        <v>52</v>
      </c>
      <c r="D28" s="2384">
        <v>4.0999999999999996</v>
      </c>
      <c r="E28" s="2387" t="s">
        <v>407</v>
      </c>
      <c r="F28" s="2384">
        <v>0.89900000000000002</v>
      </c>
      <c r="G28" s="2375">
        <v>191.67</v>
      </c>
      <c r="H28" s="2414"/>
      <c r="I28" s="2376"/>
    </row>
    <row r="29" spans="1:9">
      <c r="A29" s="2372"/>
      <c r="B29" s="2388" t="s">
        <v>3132</v>
      </c>
      <c r="C29" s="2375">
        <v>116</v>
      </c>
      <c r="D29" s="2384">
        <v>6.78</v>
      </c>
      <c r="E29" s="2387" t="s">
        <v>407</v>
      </c>
      <c r="F29" s="2384">
        <v>1.5980000000000001</v>
      </c>
      <c r="G29" s="2375">
        <v>1256.8</v>
      </c>
      <c r="H29" s="2414"/>
      <c r="I29" s="2376"/>
    </row>
    <row r="30" spans="1:9">
      <c r="A30" s="2372"/>
      <c r="B30" s="2388" t="s">
        <v>3133</v>
      </c>
      <c r="C30" s="2375">
        <v>44</v>
      </c>
      <c r="D30" s="2384">
        <v>6.78</v>
      </c>
      <c r="E30" s="2387" t="s">
        <v>407</v>
      </c>
      <c r="F30" s="2384">
        <v>1.5980000000000001</v>
      </c>
      <c r="G30" s="2375">
        <v>476.72</v>
      </c>
      <c r="H30" s="2414"/>
      <c r="I30" s="2376"/>
    </row>
    <row r="31" spans="1:9">
      <c r="A31" s="2372"/>
      <c r="B31" s="2388" t="s">
        <v>3134</v>
      </c>
      <c r="C31" s="2375">
        <v>31</v>
      </c>
      <c r="D31" s="2384">
        <v>22.4</v>
      </c>
      <c r="E31" s="2387" t="s">
        <v>407</v>
      </c>
      <c r="F31" s="2384">
        <v>0.89900000000000002</v>
      </c>
      <c r="G31" s="2375">
        <v>624.27</v>
      </c>
      <c r="H31" s="2414"/>
      <c r="I31" s="2376"/>
    </row>
    <row r="32" spans="1:9">
      <c r="A32" s="2372"/>
      <c r="B32" s="2388" t="s">
        <v>3135</v>
      </c>
      <c r="C32" s="2375">
        <v>20</v>
      </c>
      <c r="D32" s="2384">
        <v>3.7</v>
      </c>
      <c r="E32" s="2387" t="s">
        <v>407</v>
      </c>
      <c r="F32" s="2384">
        <v>0.4</v>
      </c>
      <c r="G32" s="2387">
        <v>29.6</v>
      </c>
      <c r="H32" s="2416"/>
      <c r="I32" s="2391"/>
    </row>
    <row r="33" spans="1:9">
      <c r="A33" s="2392"/>
      <c r="B33" s="2393" t="s">
        <v>3136</v>
      </c>
      <c r="C33" s="2394">
        <v>14</v>
      </c>
      <c r="D33" s="2395">
        <v>2.5</v>
      </c>
      <c r="E33" s="2396" t="s">
        <v>407</v>
      </c>
      <c r="F33" s="2395">
        <v>0.4</v>
      </c>
      <c r="G33" s="2396">
        <v>14</v>
      </c>
      <c r="H33" s="2417"/>
      <c r="I33" s="2397"/>
    </row>
    <row r="34" spans="1:9">
      <c r="A34" s="2367"/>
      <c r="B34" s="2398" t="s">
        <v>3137</v>
      </c>
      <c r="C34" s="2369">
        <v>34</v>
      </c>
      <c r="D34" s="2370">
        <v>1.9</v>
      </c>
      <c r="E34" s="2399" t="s">
        <v>407</v>
      </c>
      <c r="F34" s="2370">
        <v>0.4</v>
      </c>
      <c r="G34" s="2369">
        <v>25.84</v>
      </c>
      <c r="H34" s="2413"/>
      <c r="I34" s="2371"/>
    </row>
    <row r="35" spans="1:9">
      <c r="A35" s="2372"/>
      <c r="B35" s="2388" t="s">
        <v>3138</v>
      </c>
      <c r="C35" s="2375">
        <v>70</v>
      </c>
      <c r="D35" s="2384">
        <v>1.7</v>
      </c>
      <c r="E35" s="2387" t="s">
        <v>407</v>
      </c>
      <c r="F35" s="2384">
        <v>0.89900000000000002</v>
      </c>
      <c r="G35" s="2375">
        <v>106.98</v>
      </c>
      <c r="H35" s="2414"/>
      <c r="I35" s="2376"/>
    </row>
    <row r="36" spans="1:9">
      <c r="A36" s="2372"/>
      <c r="B36" s="2388" t="s">
        <v>3139</v>
      </c>
      <c r="C36" s="2374">
        <v>0.15</v>
      </c>
      <c r="D36" s="2387"/>
      <c r="E36" s="2390"/>
      <c r="F36" s="2390"/>
      <c r="G36" s="2375">
        <v>436.04</v>
      </c>
      <c r="H36" s="2414"/>
      <c r="I36" s="2376"/>
    </row>
    <row r="37" spans="1:9">
      <c r="A37" s="2372"/>
      <c r="B37" s="2400" t="s">
        <v>3140</v>
      </c>
      <c r="C37" s="2375"/>
      <c r="D37" s="2387"/>
      <c r="E37" s="2390"/>
      <c r="F37" s="2375" t="s">
        <v>1108</v>
      </c>
      <c r="G37" s="2387">
        <v>3343</v>
      </c>
      <c r="H37" s="2416">
        <f>Rates!F39</f>
        <v>125.35</v>
      </c>
      <c r="I37" s="2431">
        <f>H37*G37</f>
        <v>419045.05</v>
      </c>
    </row>
    <row r="38" spans="1:9">
      <c r="A38" s="2372"/>
      <c r="B38" s="2373"/>
      <c r="C38" s="2375"/>
      <c r="D38" s="2384"/>
      <c r="E38" s="2384"/>
      <c r="F38" s="2384"/>
      <c r="G38" s="2384"/>
      <c r="H38" s="2418"/>
      <c r="I38" s="2401"/>
    </row>
    <row r="39" spans="1:9">
      <c r="A39" s="2372" t="s">
        <v>3141</v>
      </c>
      <c r="B39" s="2373" t="s">
        <v>3142</v>
      </c>
      <c r="C39" s="2375"/>
      <c r="D39" s="2387"/>
      <c r="E39" s="2387"/>
      <c r="F39" s="2387"/>
      <c r="G39" s="2387"/>
      <c r="H39" s="2416"/>
      <c r="I39" s="2391"/>
    </row>
    <row r="40" spans="1:9">
      <c r="A40" s="2372"/>
      <c r="B40" s="2388" t="s">
        <v>3143</v>
      </c>
      <c r="C40" s="2375"/>
      <c r="D40" s="2923" t="s">
        <v>3144</v>
      </c>
      <c r="E40" s="2923"/>
      <c r="F40" s="2384"/>
      <c r="G40" s="2387">
        <v>42.84</v>
      </c>
      <c r="H40" s="2416"/>
      <c r="I40" s="2391"/>
    </row>
    <row r="41" spans="1:9" ht="15">
      <c r="A41" s="2385"/>
      <c r="B41" s="2388" t="s">
        <v>3145</v>
      </c>
      <c r="C41" s="2375">
        <v>1</v>
      </c>
      <c r="D41" s="2384">
        <v>2.7</v>
      </c>
      <c r="E41" s="2384">
        <v>1.5</v>
      </c>
      <c r="F41" s="2375"/>
      <c r="G41" s="2375">
        <v>4.05</v>
      </c>
      <c r="H41" s="2414"/>
      <c r="I41" s="2376"/>
    </row>
    <row r="42" spans="1:9">
      <c r="A42" s="2372"/>
      <c r="B42" s="2373"/>
      <c r="C42" s="2375"/>
      <c r="D42" s="2387"/>
      <c r="E42" s="2387"/>
      <c r="F42" s="2375" t="s">
        <v>1108</v>
      </c>
      <c r="G42" s="2375">
        <v>46.89</v>
      </c>
      <c r="H42" s="2424">
        <f>Rates!F67</f>
        <v>346.26</v>
      </c>
      <c r="I42" s="2431">
        <f>H42*G42</f>
        <v>16236.1314</v>
      </c>
    </row>
    <row r="43" spans="1:9">
      <c r="A43" s="2372"/>
      <c r="B43" s="2373"/>
      <c r="C43" s="2375"/>
      <c r="D43" s="2387"/>
      <c r="E43" s="2387"/>
      <c r="F43" s="2384"/>
      <c r="G43" s="2387"/>
      <c r="H43" s="2416"/>
      <c r="I43" s="2391"/>
    </row>
    <row r="44" spans="1:9">
      <c r="A44" s="2372" t="s">
        <v>3146</v>
      </c>
      <c r="B44" s="2373" t="s">
        <v>3147</v>
      </c>
      <c r="C44" s="2375">
        <v>1</v>
      </c>
      <c r="D44" s="2384">
        <v>2.7</v>
      </c>
      <c r="E44" s="2384">
        <v>1.5</v>
      </c>
      <c r="F44" s="2384"/>
      <c r="G44" s="2375">
        <v>4.05</v>
      </c>
      <c r="H44" s="2424">
        <f>Rates!F60</f>
        <v>503.61</v>
      </c>
      <c r="I44" s="2431">
        <f>H44*G44</f>
        <v>2039.6205</v>
      </c>
    </row>
    <row r="45" spans="1:9">
      <c r="A45" s="2372"/>
      <c r="B45" s="2373"/>
      <c r="C45" s="2375"/>
      <c r="D45" s="2389"/>
      <c r="E45" s="2389"/>
      <c r="F45" s="2375"/>
      <c r="G45" s="2402"/>
      <c r="H45" s="2419"/>
      <c r="I45" s="2432"/>
    </row>
    <row r="46" spans="1:9">
      <c r="A46" s="2372" t="s">
        <v>3148</v>
      </c>
      <c r="B46" s="2373" t="s">
        <v>3149</v>
      </c>
      <c r="C46" s="2375"/>
      <c r="D46" s="2375"/>
      <c r="E46" s="2375"/>
      <c r="F46" s="2375"/>
      <c r="G46" s="2375">
        <v>48.89</v>
      </c>
      <c r="H46" s="2414">
        <v>5000</v>
      </c>
      <c r="I46" s="2431">
        <f>H46*G46</f>
        <v>244450</v>
      </c>
    </row>
    <row r="47" spans="1:9" ht="15">
      <c r="A47" s="2385"/>
      <c r="B47" s="2386"/>
      <c r="C47" s="2375"/>
      <c r="D47" s="2402"/>
      <c r="E47" s="2402"/>
      <c r="F47" s="2402"/>
      <c r="G47" s="2402"/>
      <c r="H47" s="2419"/>
      <c r="I47" s="2432"/>
    </row>
    <row r="48" spans="1:9">
      <c r="A48" s="2372" t="s">
        <v>3150</v>
      </c>
      <c r="B48" s="2373" t="s">
        <v>3151</v>
      </c>
      <c r="C48" s="2375">
        <v>54</v>
      </c>
      <c r="D48" s="2389"/>
      <c r="E48" s="2389"/>
      <c r="F48" s="2402"/>
      <c r="G48" s="2387">
        <v>54</v>
      </c>
      <c r="H48" s="2416">
        <v>225</v>
      </c>
      <c r="I48" s="2431">
        <f>H48*G48</f>
        <v>12150</v>
      </c>
    </row>
    <row r="49" spans="1:9">
      <c r="A49" s="2372"/>
      <c r="B49" s="2373"/>
      <c r="C49" s="2375"/>
      <c r="D49" s="2389"/>
      <c r="E49" s="2389"/>
      <c r="F49" s="2402"/>
      <c r="G49" s="2402"/>
      <c r="H49" s="2419"/>
      <c r="I49" s="2432"/>
    </row>
    <row r="50" spans="1:9">
      <c r="A50" s="2372" t="s">
        <v>3152</v>
      </c>
      <c r="B50" s="2373" t="s">
        <v>3153</v>
      </c>
      <c r="C50" s="2375">
        <v>3</v>
      </c>
      <c r="D50" s="2389"/>
      <c r="E50" s="2389"/>
      <c r="F50" s="2402"/>
      <c r="G50" s="2387">
        <v>3</v>
      </c>
      <c r="H50" s="2416">
        <f>Rates!$F$93</f>
        <v>2479.6125000000002</v>
      </c>
      <c r="I50" s="2431">
        <f>H50*G50</f>
        <v>7438.8375000000005</v>
      </c>
    </row>
    <row r="51" spans="1:9">
      <c r="A51" s="2372"/>
      <c r="B51" s="2373"/>
      <c r="C51" s="2375"/>
      <c r="D51" s="2389"/>
      <c r="E51" s="2389"/>
      <c r="F51" s="2402"/>
      <c r="G51" s="2403"/>
      <c r="H51" s="2420"/>
      <c r="I51" s="2433"/>
    </row>
    <row r="52" spans="1:9">
      <c r="A52" s="2372" t="s">
        <v>965</v>
      </c>
      <c r="B52" s="2373" t="s">
        <v>3154</v>
      </c>
      <c r="C52" s="2375">
        <v>3</v>
      </c>
      <c r="D52" s="2384">
        <v>11.2</v>
      </c>
      <c r="E52" s="2375"/>
      <c r="F52" s="2375"/>
      <c r="G52" s="2387">
        <v>39</v>
      </c>
      <c r="H52" s="2416">
        <v>526</v>
      </c>
      <c r="I52" s="2431">
        <f>H52*G52</f>
        <v>20514</v>
      </c>
    </row>
    <row r="53" spans="1:9" ht="15" thickBot="1">
      <c r="A53" s="2404"/>
      <c r="B53" s="2405"/>
      <c r="C53" s="2406"/>
      <c r="D53" s="2406"/>
      <c r="E53" s="2407"/>
      <c r="F53" s="2408"/>
      <c r="G53" s="2408"/>
      <c r="H53" s="2421"/>
      <c r="I53" s="2409"/>
    </row>
    <row r="54" spans="1:9" ht="15.75" thickTop="1" thickBot="1">
      <c r="A54" s="2404" t="s">
        <v>3155</v>
      </c>
      <c r="B54" s="2405" t="s">
        <v>3156</v>
      </c>
      <c r="C54" s="2406">
        <v>1</v>
      </c>
      <c r="D54" s="2434"/>
      <c r="E54" s="2406"/>
      <c r="F54" s="2406"/>
      <c r="G54" s="2435">
        <v>1</v>
      </c>
      <c r="H54" s="2436">
        <v>500000</v>
      </c>
      <c r="I54" s="2437">
        <f>H54*G54</f>
        <v>500000</v>
      </c>
    </row>
    <row r="55" spans="1:9" ht="15.75" thickTop="1" thickBot="1">
      <c r="A55" s="2425"/>
      <c r="B55" s="2426"/>
      <c r="C55" s="2427"/>
      <c r="D55" s="2427"/>
      <c r="E55" s="2428"/>
      <c r="F55" s="2429"/>
      <c r="G55" s="2429"/>
      <c r="H55" s="2430"/>
      <c r="I55" s="2438">
        <f>SUM(I4:I54)</f>
        <v>2095279.6581000001</v>
      </c>
    </row>
    <row r="56" spans="1:9" ht="15" thickTop="1">
      <c r="B56" s="2363"/>
      <c r="D56" s="2363"/>
      <c r="E56" s="2363"/>
      <c r="F56" s="2363"/>
      <c r="G56" s="2363"/>
      <c r="H56" s="2363"/>
      <c r="I56" s="2363"/>
    </row>
    <row r="57" spans="1:9">
      <c r="B57" s="2363"/>
      <c r="D57" s="2363"/>
      <c r="E57" s="2363"/>
      <c r="F57" s="2363"/>
      <c r="G57" s="2363"/>
      <c r="H57" s="2363"/>
      <c r="I57" s="2363"/>
    </row>
    <row r="58" spans="1:9">
      <c r="B58" s="2363"/>
      <c r="D58" s="2363"/>
      <c r="E58" s="2363"/>
      <c r="F58" s="2363"/>
      <c r="G58" s="2363"/>
      <c r="H58" s="2363"/>
      <c r="I58" s="2363"/>
    </row>
    <row r="59" spans="1:9">
      <c r="B59" s="2363"/>
      <c r="D59" s="2363"/>
      <c r="E59" s="2363"/>
      <c r="F59" s="2363"/>
      <c r="G59" s="2363"/>
      <c r="H59" s="2363"/>
      <c r="I59" s="2363"/>
    </row>
    <row r="60" spans="1:9">
      <c r="B60" s="2363"/>
      <c r="D60" s="2363"/>
      <c r="E60" s="2363"/>
      <c r="F60" s="2363"/>
      <c r="G60" s="2363"/>
      <c r="H60" s="2363"/>
      <c r="I60" s="2363"/>
    </row>
    <row r="61" spans="1:9">
      <c r="B61" s="2363"/>
      <c r="D61" s="2363"/>
      <c r="E61" s="2363"/>
      <c r="F61" s="2363"/>
      <c r="G61" s="2363"/>
      <c r="H61" s="2363"/>
      <c r="I61" s="2363"/>
    </row>
    <row r="62" spans="1:9">
      <c r="B62" s="2363"/>
      <c r="D62" s="2363"/>
      <c r="E62" s="2363"/>
      <c r="F62" s="2363"/>
      <c r="G62" s="2363"/>
      <c r="H62" s="2363"/>
      <c r="I62" s="2363"/>
    </row>
    <row r="63" spans="1:9">
      <c r="B63" s="2363"/>
      <c r="D63" s="2363"/>
      <c r="E63" s="2363"/>
      <c r="F63" s="2363"/>
      <c r="G63" s="2363"/>
      <c r="H63" s="2363"/>
      <c r="I63" s="2363"/>
    </row>
    <row r="64" spans="1:9">
      <c r="B64" s="2363"/>
      <c r="D64" s="2363"/>
      <c r="E64" s="2363"/>
      <c r="F64" s="2363"/>
      <c r="G64" s="2363"/>
      <c r="H64" s="2363"/>
      <c r="I64" s="2363"/>
    </row>
    <row r="65" spans="2:9">
      <c r="B65" s="2363"/>
      <c r="D65" s="2363"/>
      <c r="E65" s="2363"/>
      <c r="F65" s="2363"/>
      <c r="G65" s="2363"/>
      <c r="H65" s="2363"/>
      <c r="I65" s="2363"/>
    </row>
    <row r="66" spans="2:9">
      <c r="B66" s="2363"/>
      <c r="D66" s="2363"/>
      <c r="E66" s="2363"/>
      <c r="F66" s="2363"/>
      <c r="G66" s="2363"/>
      <c r="H66" s="2363"/>
      <c r="I66" s="2363"/>
    </row>
    <row r="67" spans="2:9">
      <c r="B67" s="2363"/>
      <c r="D67" s="2363"/>
      <c r="E67" s="2363"/>
      <c r="F67" s="2363"/>
      <c r="G67" s="2363"/>
      <c r="H67" s="2363"/>
      <c r="I67" s="2363"/>
    </row>
    <row r="68" spans="2:9">
      <c r="B68" s="2363"/>
      <c r="D68" s="2363"/>
      <c r="E68" s="2363"/>
      <c r="F68" s="2363"/>
      <c r="G68" s="2363"/>
      <c r="H68" s="2363"/>
      <c r="I68" s="2363"/>
    </row>
    <row r="69" spans="2:9">
      <c r="B69" s="2363"/>
      <c r="D69" s="2363"/>
      <c r="E69" s="2363"/>
      <c r="F69" s="2363"/>
      <c r="G69" s="2363"/>
      <c r="H69" s="2363"/>
      <c r="I69" s="2363"/>
    </row>
    <row r="70" spans="2:9">
      <c r="B70" s="2363"/>
      <c r="D70" s="2363"/>
      <c r="E70" s="2363"/>
      <c r="F70" s="2363"/>
      <c r="G70" s="2363"/>
      <c r="H70" s="2363"/>
      <c r="I70" s="2363"/>
    </row>
    <row r="71" spans="2:9">
      <c r="B71" s="2363"/>
      <c r="D71" s="2363"/>
      <c r="E71" s="2363"/>
      <c r="F71" s="2363"/>
      <c r="G71" s="2363"/>
      <c r="H71" s="2363"/>
      <c r="I71" s="2363"/>
    </row>
    <row r="72" spans="2:9">
      <c r="B72" s="2363"/>
      <c r="D72" s="2363"/>
      <c r="E72" s="2363"/>
      <c r="F72" s="2363"/>
      <c r="G72" s="2363"/>
      <c r="H72" s="2363"/>
      <c r="I72" s="2363"/>
    </row>
    <row r="73" spans="2:9">
      <c r="C73" s="2920"/>
      <c r="D73" s="2920"/>
      <c r="E73" s="2920"/>
      <c r="F73" s="2920"/>
    </row>
    <row r="74" spans="2:9">
      <c r="C74" s="2920"/>
      <c r="D74" s="2920"/>
      <c r="E74" s="2920"/>
      <c r="F74" s="2920"/>
    </row>
    <row r="75" spans="2:9">
      <c r="C75" s="2920"/>
      <c r="D75" s="2920"/>
      <c r="E75" s="2920"/>
      <c r="F75" s="2920"/>
    </row>
    <row r="76" spans="2:9">
      <c r="C76" s="2920"/>
      <c r="D76" s="2920"/>
      <c r="E76" s="2920"/>
      <c r="F76" s="2920"/>
    </row>
    <row r="77" spans="2:9">
      <c r="C77" s="2920"/>
      <c r="D77" s="2920"/>
      <c r="E77" s="2920"/>
      <c r="F77" s="2920"/>
    </row>
    <row r="78" spans="2:9">
      <c r="C78" s="2920"/>
      <c r="D78" s="2920"/>
      <c r="E78" s="2920"/>
      <c r="F78" s="2920"/>
    </row>
    <row r="79" spans="2:9">
      <c r="C79" s="2920"/>
      <c r="D79" s="2920"/>
      <c r="E79" s="2920"/>
      <c r="F79" s="2920"/>
    </row>
    <row r="80" spans="2:9">
      <c r="C80" s="2920"/>
      <c r="D80" s="2920"/>
      <c r="E80" s="2920"/>
      <c r="F80" s="2920"/>
    </row>
    <row r="81" spans="3:6">
      <c r="C81" s="2920"/>
      <c r="D81" s="2920"/>
      <c r="E81" s="2920"/>
      <c r="F81" s="2920"/>
    </row>
    <row r="82" spans="3:6">
      <c r="C82" s="2920"/>
      <c r="D82" s="2920"/>
      <c r="E82" s="2920"/>
      <c r="F82" s="2920"/>
    </row>
    <row r="83" spans="3:6">
      <c r="C83" s="2920"/>
      <c r="D83" s="2920"/>
      <c r="E83" s="2920"/>
      <c r="F83" s="2920"/>
    </row>
    <row r="84" spans="3:6">
      <c r="C84" s="2920"/>
      <c r="D84" s="2920"/>
      <c r="E84" s="2920"/>
      <c r="F84" s="2920"/>
    </row>
    <row r="85" spans="3:6">
      <c r="C85" s="2920"/>
      <c r="D85" s="2920"/>
      <c r="E85" s="2920"/>
      <c r="F85" s="2920"/>
    </row>
    <row r="86" spans="3:6">
      <c r="C86" s="2920"/>
      <c r="D86" s="2920"/>
      <c r="E86" s="2920"/>
      <c r="F86" s="2920"/>
    </row>
    <row r="87" spans="3:6">
      <c r="C87" s="2920"/>
      <c r="D87" s="2920"/>
      <c r="E87" s="2920"/>
      <c r="F87" s="2920"/>
    </row>
  </sheetData>
  <mergeCells count="19">
    <mergeCell ref="C80:F80"/>
    <mergeCell ref="A1:I1"/>
    <mergeCell ref="A2:I2"/>
    <mergeCell ref="D6:F6"/>
    <mergeCell ref="D40:E40"/>
    <mergeCell ref="C73:F73"/>
    <mergeCell ref="C74:F74"/>
    <mergeCell ref="C75:F75"/>
    <mergeCell ref="C76:F76"/>
    <mergeCell ref="C77:F77"/>
    <mergeCell ref="C78:F78"/>
    <mergeCell ref="C79:F79"/>
    <mergeCell ref="C87:F87"/>
    <mergeCell ref="C81:F81"/>
    <mergeCell ref="C82:F82"/>
    <mergeCell ref="C83:F83"/>
    <mergeCell ref="C84:F84"/>
    <mergeCell ref="C85:F85"/>
    <mergeCell ref="C86:F86"/>
  </mergeCells>
  <pageMargins left="0.7" right="0.7" top="0.75" bottom="0.75" header="0.3" footer="0.3"/>
  <pageSetup paperSize="9" scale="8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pageSetUpPr fitToPage="1"/>
  </sheetPr>
  <dimension ref="A1:G15"/>
  <sheetViews>
    <sheetView workbookViewId="0"/>
  </sheetViews>
  <sheetFormatPr defaultColWidth="8.85546875" defaultRowHeight="15"/>
  <cols>
    <col min="1" max="1" width="5.85546875" style="2298" bestFit="1" customWidth="1"/>
    <col min="2" max="2" width="32.140625" style="2299" bestFit="1" customWidth="1"/>
    <col min="3" max="3" width="5.5703125" style="2298" bestFit="1" customWidth="1"/>
    <col min="4" max="4" width="9" style="2298" bestFit="1" customWidth="1"/>
    <col min="5" max="5" width="10.7109375" style="2341" bestFit="1" customWidth="1"/>
    <col min="6" max="6" width="15.140625" style="2342" customWidth="1"/>
    <col min="7" max="7" width="12.140625" style="2299" customWidth="1"/>
    <col min="8" max="16384" width="8.85546875" style="2299"/>
  </cols>
  <sheetData>
    <row r="1" spans="1:7" ht="18" thickBot="1">
      <c r="B1" s="2924" t="s">
        <v>3057</v>
      </c>
      <c r="C1" s="2924"/>
      <c r="D1" s="2924"/>
      <c r="E1" s="2924"/>
      <c r="F1" s="2924"/>
      <c r="G1" s="2924"/>
    </row>
    <row r="2" spans="1:7" ht="16.5" thickTop="1" thickBot="1">
      <c r="A2" s="2300" t="s">
        <v>1357</v>
      </c>
      <c r="B2" s="2301" t="s">
        <v>3058</v>
      </c>
      <c r="C2" s="2302" t="s">
        <v>2493</v>
      </c>
      <c r="D2" s="2302" t="s">
        <v>964</v>
      </c>
      <c r="E2" s="2303" t="s">
        <v>3059</v>
      </c>
      <c r="F2" s="2304" t="s">
        <v>52</v>
      </c>
      <c r="G2" s="2305" t="s">
        <v>1055</v>
      </c>
    </row>
    <row r="3" spans="1:7" ht="135.75" thickTop="1">
      <c r="A3" s="2306">
        <v>1</v>
      </c>
      <c r="B3" s="2307" t="s">
        <v>3060</v>
      </c>
      <c r="C3" s="2308" t="s">
        <v>1221</v>
      </c>
      <c r="D3" s="2308">
        <v>1</v>
      </c>
      <c r="E3" s="2309">
        <v>20000</v>
      </c>
      <c r="F3" s="2310">
        <f>E3*D3</f>
        <v>20000</v>
      </c>
      <c r="G3" s="2311"/>
    </row>
    <row r="4" spans="1:7" ht="45">
      <c r="A4" s="2306">
        <v>2</v>
      </c>
      <c r="B4" s="2307" t="s">
        <v>3061</v>
      </c>
      <c r="C4" s="2308" t="s">
        <v>520</v>
      </c>
      <c r="D4" s="2312">
        <f>'Qty Truss'!G9</f>
        <v>90</v>
      </c>
      <c r="E4" s="2309">
        <f>Rates!$F$9</f>
        <v>1480.63</v>
      </c>
      <c r="F4" s="2310">
        <f t="shared" ref="F4:F5" si="0">E4*D4</f>
        <v>133256.70000000001</v>
      </c>
      <c r="G4" s="2313"/>
    </row>
    <row r="5" spans="1:7" ht="90">
      <c r="A5" s="2306">
        <v>3</v>
      </c>
      <c r="B5" s="2307" t="s">
        <v>3063</v>
      </c>
      <c r="C5" s="2308" t="s">
        <v>520</v>
      </c>
      <c r="D5" s="2312">
        <f>'Qty Truss'!G11</f>
        <v>27</v>
      </c>
      <c r="E5" s="2309">
        <f>Rates!$F$14</f>
        <v>592.25</v>
      </c>
      <c r="F5" s="2310">
        <f t="shared" si="0"/>
        <v>15990.75</v>
      </c>
      <c r="G5" s="2313"/>
    </row>
    <row r="6" spans="1:7" ht="45">
      <c r="A6" s="2306">
        <v>4</v>
      </c>
      <c r="B6" s="2307" t="s">
        <v>3064</v>
      </c>
      <c r="C6" s="2308" t="s">
        <v>2862</v>
      </c>
      <c r="D6" s="2312">
        <f>'Qty Truss'!G14</f>
        <v>36</v>
      </c>
      <c r="E6" s="2309">
        <f>Rates!$F$28</f>
        <v>19440.439999999999</v>
      </c>
      <c r="F6" s="2310">
        <f>E6*D6</f>
        <v>699855.84</v>
      </c>
      <c r="G6" s="2313"/>
    </row>
    <row r="7" spans="1:7" ht="90">
      <c r="A7" s="2306">
        <v>5</v>
      </c>
      <c r="B7" s="2314" t="s">
        <v>3066</v>
      </c>
      <c r="C7" s="2308" t="s">
        <v>2862</v>
      </c>
      <c r="D7" s="2312">
        <f>'Qty Truss'!G18*0.075</f>
        <v>2.6999999999999997</v>
      </c>
      <c r="E7" s="2309">
        <f>Rates!$F$31</f>
        <v>14810.58</v>
      </c>
      <c r="F7" s="2310">
        <f>E7*D7</f>
        <v>39988.565999999999</v>
      </c>
      <c r="G7" s="2313"/>
    </row>
    <row r="8" spans="1:7" ht="75">
      <c r="A8" s="2306">
        <v>6</v>
      </c>
      <c r="B8" s="2315" t="s">
        <v>3067</v>
      </c>
      <c r="C8" s="2308" t="s">
        <v>520</v>
      </c>
      <c r="D8" s="2316">
        <f>'Qty Truss'!G21</f>
        <v>4.5</v>
      </c>
      <c r="E8" s="2309">
        <f>Rates!$F$33</f>
        <v>17163.13</v>
      </c>
      <c r="F8" s="2310">
        <f>E8*D8</f>
        <v>77234.085000000006</v>
      </c>
      <c r="G8" s="2313"/>
    </row>
    <row r="9" spans="1:7" ht="120">
      <c r="A9" s="2306">
        <v>7</v>
      </c>
      <c r="B9" s="2317" t="s">
        <v>3068</v>
      </c>
      <c r="C9" s="2308" t="s">
        <v>520</v>
      </c>
      <c r="D9" s="2318">
        <f>'Qty Truss'!G26</f>
        <v>58.5</v>
      </c>
      <c r="E9" s="2309">
        <f>Rates!F28</f>
        <v>19440.439999999999</v>
      </c>
      <c r="F9" s="2310">
        <f t="shared" ref="F9" si="1">E9*D9</f>
        <v>1137265.74</v>
      </c>
      <c r="G9" s="2313"/>
    </row>
    <row r="10" spans="1:7" ht="75">
      <c r="A10" s="2306">
        <v>8</v>
      </c>
      <c r="B10" s="2314" t="s">
        <v>3069</v>
      </c>
      <c r="C10" s="2308" t="s">
        <v>3070</v>
      </c>
      <c r="D10" s="2319">
        <f>'Qty Truss'!G33</f>
        <v>546.31326219512198</v>
      </c>
      <c r="E10" s="2309">
        <f>Rates!F39</f>
        <v>125.35</v>
      </c>
      <c r="F10" s="2310">
        <f>E10*D10</f>
        <v>68480.367416158537</v>
      </c>
      <c r="G10" s="2313"/>
    </row>
    <row r="11" spans="1:7" ht="75">
      <c r="A11" s="2306">
        <v>9</v>
      </c>
      <c r="B11" s="2314" t="s">
        <v>3071</v>
      </c>
      <c r="C11" s="2308" t="s">
        <v>3065</v>
      </c>
      <c r="D11" s="2320">
        <f>'Qty Truss'!G36</f>
        <v>485.75999999999993</v>
      </c>
      <c r="E11" s="2321">
        <f>Rates!$F$49</f>
        <v>1070.18</v>
      </c>
      <c r="F11" s="2310">
        <f>E11*D11</f>
        <v>519850.63679999998</v>
      </c>
      <c r="G11" s="2313"/>
    </row>
    <row r="12" spans="1:7" ht="75">
      <c r="A12" s="2306">
        <v>10</v>
      </c>
      <c r="B12" s="2314" t="s">
        <v>3072</v>
      </c>
      <c r="C12" s="2308" t="s">
        <v>3073</v>
      </c>
      <c r="D12" s="2322">
        <f>'Qty Truss'!G42</f>
        <v>36.799999999999997</v>
      </c>
      <c r="E12" s="2321">
        <f>Rates!F49</f>
        <v>1070.18</v>
      </c>
      <c r="F12" s="2310">
        <f>E12*D12</f>
        <v>39382.623999999996</v>
      </c>
      <c r="G12" s="2313"/>
    </row>
    <row r="13" spans="1:7" ht="45">
      <c r="A13" s="2323">
        <v>11</v>
      </c>
      <c r="B13" s="2324" t="s">
        <v>3074</v>
      </c>
      <c r="C13" s="2325" t="s">
        <v>3073</v>
      </c>
      <c r="D13" s="2326">
        <f>'Qty Truss'!G39</f>
        <v>18.399999999999999</v>
      </c>
      <c r="E13" s="2327">
        <f>Rates!F50</f>
        <v>1010.11</v>
      </c>
      <c r="F13" s="2328">
        <f t="shared" ref="F13" si="2">E13*D13</f>
        <v>18586.023999999998</v>
      </c>
      <c r="G13" s="2329"/>
    </row>
    <row r="14" spans="1:7" ht="75">
      <c r="A14" s="2330">
        <v>17</v>
      </c>
      <c r="B14" s="2331" t="s">
        <v>3075</v>
      </c>
      <c r="C14" s="2332" t="s">
        <v>1154</v>
      </c>
      <c r="D14" s="2333">
        <v>1</v>
      </c>
      <c r="E14" s="2334">
        <v>50000</v>
      </c>
      <c r="F14" s="2335">
        <f>E14*D14</f>
        <v>50000</v>
      </c>
      <c r="G14" s="2336"/>
    </row>
    <row r="15" spans="1:7" ht="18.75">
      <c r="A15" s="2337"/>
      <c r="B15" s="2338"/>
      <c r="C15" s="2337"/>
      <c r="D15" s="2337"/>
      <c r="E15" s="2339" t="s">
        <v>1108</v>
      </c>
      <c r="F15" s="2340">
        <f>SUM(F3:F14)</f>
        <v>2819891.3332161582</v>
      </c>
      <c r="G15" s="2338"/>
    </row>
  </sheetData>
  <mergeCells count="1">
    <mergeCell ref="B1:G1"/>
  </mergeCells>
  <pageMargins left="0.7" right="0.7" top="0.75" bottom="0.75" header="0.3" footer="0.3"/>
  <pageSetup fitToHeight="0" orientation="portrait" r:id="rId1"/>
  <rowBreaks count="1" manualBreakCount="1">
    <brk id="9" max="6"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57"/>
  <sheetViews>
    <sheetView workbookViewId="0">
      <selection sqref="A1:J1"/>
    </sheetView>
  </sheetViews>
  <sheetFormatPr defaultColWidth="8.85546875" defaultRowHeight="15"/>
  <cols>
    <col min="1" max="1" width="3.28515625" style="2223" customWidth="1"/>
    <col min="2" max="2" width="15" style="2267" customWidth="1"/>
    <col min="3" max="3" width="8.85546875" style="2223"/>
    <col min="4" max="8" width="7.5703125" style="2223" customWidth="1"/>
    <col min="9" max="10" width="10.7109375" style="2223" customWidth="1"/>
    <col min="11" max="16384" width="8.85546875" style="2223"/>
  </cols>
  <sheetData>
    <row r="1" spans="1:14" s="2096" customFormat="1" ht="15" customHeight="1">
      <c r="A1" s="2927" t="s">
        <v>708</v>
      </c>
      <c r="B1" s="2927"/>
      <c r="C1" s="2927"/>
      <c r="D1" s="2927"/>
      <c r="E1" s="2927"/>
      <c r="F1" s="2927"/>
      <c r="G1" s="2927"/>
      <c r="H1" s="2927"/>
      <c r="I1" s="2927"/>
      <c r="J1" s="2927"/>
    </row>
    <row r="2" spans="1:14" s="2217" customFormat="1" ht="12.75">
      <c r="A2" s="2214" t="str">
        <f>'sum cost_All'!$B$2</f>
        <v>Name of Scheme: Sankhu Drinking Water Supply Project</v>
      </c>
      <c r="B2" s="2215"/>
      <c r="C2" s="2216"/>
      <c r="D2" s="2216"/>
      <c r="E2" s="2216"/>
      <c r="F2" s="2216"/>
      <c r="G2" s="2216"/>
      <c r="H2" s="2216"/>
      <c r="I2" s="2216"/>
      <c r="J2" s="2216"/>
      <c r="K2" s="2216"/>
      <c r="L2" s="2216"/>
      <c r="M2" s="2216"/>
      <c r="N2" s="2216"/>
    </row>
    <row r="3" spans="1:14" s="2096" customFormat="1" ht="15" customHeight="1" thickBot="1">
      <c r="A3" s="2214" t="s">
        <v>3011</v>
      </c>
      <c r="C3" s="2218"/>
      <c r="D3" s="2219"/>
      <c r="E3" s="2219"/>
      <c r="F3" s="2219"/>
      <c r="G3" s="2220"/>
    </row>
    <row r="4" spans="1:14">
      <c r="A4" s="2221">
        <v>2</v>
      </c>
      <c r="B4" s="2222" t="s">
        <v>3012</v>
      </c>
      <c r="C4" s="2928"/>
      <c r="D4" s="2928"/>
      <c r="E4" s="2928"/>
      <c r="F4" s="2928"/>
      <c r="G4" s="2928"/>
      <c r="H4" s="2928"/>
      <c r="I4" s="2928"/>
      <c r="J4" s="2929"/>
    </row>
    <row r="5" spans="1:14" ht="26.25">
      <c r="A5" s="2224"/>
      <c r="B5" s="2225" t="s">
        <v>2898</v>
      </c>
      <c r="C5" s="2226" t="s">
        <v>3013</v>
      </c>
      <c r="D5" s="2227">
        <v>1</v>
      </c>
      <c r="E5" s="2227">
        <v>0.6</v>
      </c>
      <c r="F5" s="2227">
        <v>0.6</v>
      </c>
      <c r="G5" s="2227">
        <v>0.5</v>
      </c>
      <c r="H5" s="2227">
        <v>0.18</v>
      </c>
      <c r="I5" s="2228">
        <f>Rates!F10</f>
        <v>1883.36</v>
      </c>
      <c r="J5" s="2229">
        <f>H5*I5</f>
        <v>339.00479999999999</v>
      </c>
    </row>
    <row r="6" spans="1:14" ht="26.25">
      <c r="A6" s="2224"/>
      <c r="B6" s="2225" t="s">
        <v>3014</v>
      </c>
      <c r="C6" s="2226" t="s">
        <v>3013</v>
      </c>
      <c r="D6" s="2227">
        <v>2</v>
      </c>
      <c r="E6" s="2227">
        <v>0.6</v>
      </c>
      <c r="F6" s="2227">
        <v>0.1</v>
      </c>
      <c r="G6" s="2227">
        <v>0.15</v>
      </c>
      <c r="H6" s="2227">
        <v>1.7999999999999999E-2</v>
      </c>
      <c r="I6" s="2228">
        <f>Rates!F16</f>
        <v>710.7</v>
      </c>
      <c r="J6" s="2229">
        <f t="shared" ref="J6:J11" si="0">H6*I6</f>
        <v>12.7926</v>
      </c>
    </row>
    <row r="7" spans="1:14">
      <c r="A7" s="2224"/>
      <c r="B7" s="2225"/>
      <c r="C7" s="2226"/>
      <c r="D7" s="2227">
        <v>2</v>
      </c>
      <c r="E7" s="2227">
        <v>0.4</v>
      </c>
      <c r="F7" s="2227">
        <v>0.1</v>
      </c>
      <c r="G7" s="2227">
        <v>0.15</v>
      </c>
      <c r="H7" s="2227">
        <v>1.2E-2</v>
      </c>
      <c r="I7" s="2228">
        <f>I6</f>
        <v>710.7</v>
      </c>
      <c r="J7" s="2229">
        <f t="shared" si="0"/>
        <v>8.5284000000000013</v>
      </c>
    </row>
    <row r="8" spans="1:14">
      <c r="A8" s="2224"/>
      <c r="B8" s="2230" t="s">
        <v>2728</v>
      </c>
      <c r="C8" s="2226" t="s">
        <v>3013</v>
      </c>
      <c r="D8" s="2227">
        <v>1</v>
      </c>
      <c r="E8" s="2227">
        <v>0.6</v>
      </c>
      <c r="F8" s="2227">
        <v>0.6</v>
      </c>
      <c r="G8" s="2227">
        <v>0.2</v>
      </c>
      <c r="H8" s="2227">
        <v>7.1999999999999995E-2</v>
      </c>
      <c r="I8" s="2228">
        <f>Rates!F19</f>
        <v>5523.35</v>
      </c>
      <c r="J8" s="2229">
        <f t="shared" si="0"/>
        <v>397.68119999999999</v>
      </c>
    </row>
    <row r="9" spans="1:14">
      <c r="A9" s="2224"/>
      <c r="B9" s="2230" t="s">
        <v>3029</v>
      </c>
      <c r="C9" s="2226" t="s">
        <v>3013</v>
      </c>
      <c r="D9" s="2227">
        <v>1</v>
      </c>
      <c r="E9" s="2227">
        <v>0.6</v>
      </c>
      <c r="F9" s="2227">
        <v>0.6</v>
      </c>
      <c r="G9" s="2227">
        <v>0.15</v>
      </c>
      <c r="H9" s="2231">
        <v>5.3999999999999999E-2</v>
      </c>
      <c r="I9" s="2228">
        <f>Rates!F31</f>
        <v>14810.58</v>
      </c>
      <c r="J9" s="2229">
        <f t="shared" si="0"/>
        <v>799.77131999999995</v>
      </c>
    </row>
    <row r="10" spans="1:14">
      <c r="A10" s="2224"/>
      <c r="B10" s="2230" t="s">
        <v>3015</v>
      </c>
      <c r="C10" s="2226" t="s">
        <v>3013</v>
      </c>
      <c r="D10" s="2227">
        <v>1</v>
      </c>
      <c r="E10" s="2227">
        <v>0.4</v>
      </c>
      <c r="F10" s="2227">
        <v>0.4</v>
      </c>
      <c r="G10" s="2227">
        <v>1</v>
      </c>
      <c r="H10" s="2231">
        <v>0.16000000000000003</v>
      </c>
      <c r="I10" s="2228">
        <f>Rates!F24</f>
        <v>15619.64</v>
      </c>
      <c r="J10" s="2229">
        <f t="shared" si="0"/>
        <v>2499.1424000000002</v>
      </c>
    </row>
    <row r="11" spans="1:14">
      <c r="A11" s="2224"/>
      <c r="B11" s="2230" t="s">
        <v>3016</v>
      </c>
      <c r="C11" s="2226" t="s">
        <v>3013</v>
      </c>
      <c r="D11" s="2227">
        <v>1</v>
      </c>
      <c r="E11" s="2227">
        <v>0.4</v>
      </c>
      <c r="F11" s="2232">
        <v>0.4</v>
      </c>
      <c r="G11" s="2232">
        <v>0.1</v>
      </c>
      <c r="H11" s="2233">
        <v>1.6000000000000004E-2</v>
      </c>
      <c r="I11" s="2280">
        <f>Rates!F32</f>
        <v>16022.87</v>
      </c>
      <c r="J11" s="2229">
        <f t="shared" si="0"/>
        <v>256.36592000000007</v>
      </c>
    </row>
    <row r="12" spans="1:14" ht="15.75" thickBot="1">
      <c r="A12" s="2224"/>
      <c r="B12" s="2235"/>
      <c r="C12" s="2236"/>
      <c r="D12" s="2237"/>
      <c r="E12" s="2237"/>
      <c r="F12" s="2238"/>
      <c r="G12" s="2238"/>
      <c r="H12" s="2239"/>
      <c r="I12" s="2234"/>
      <c r="J12" s="2240">
        <f>SUM(J5:J11)</f>
        <v>4313.2866400000003</v>
      </c>
    </row>
    <row r="13" spans="1:14">
      <c r="A13" s="2241">
        <v>2</v>
      </c>
      <c r="B13" s="2242" t="s">
        <v>3012</v>
      </c>
      <c r="C13" s="2930"/>
      <c r="D13" s="2931"/>
      <c r="E13" s="2931"/>
      <c r="F13" s="2931"/>
      <c r="G13" s="2931"/>
      <c r="H13" s="2931"/>
      <c r="I13" s="2931"/>
      <c r="J13" s="2932"/>
    </row>
    <row r="14" spans="1:14" ht="26.25">
      <c r="A14" s="2243"/>
      <c r="B14" s="2225" t="s">
        <v>2898</v>
      </c>
      <c r="C14" s="2226" t="s">
        <v>3013</v>
      </c>
      <c r="D14" s="2227">
        <v>1</v>
      </c>
      <c r="E14" s="2227">
        <v>1</v>
      </c>
      <c r="F14" s="2227">
        <v>1</v>
      </c>
      <c r="G14" s="2227">
        <v>0.8</v>
      </c>
      <c r="H14" s="2227">
        <v>0.8</v>
      </c>
      <c r="I14" s="2228">
        <f t="shared" ref="I14:I19" si="1">I5</f>
        <v>1883.36</v>
      </c>
      <c r="J14" s="2244">
        <f t="shared" ref="J14:J21" si="2">H14*I14</f>
        <v>1506.6880000000001</v>
      </c>
    </row>
    <row r="15" spans="1:14" ht="26.25">
      <c r="A15" s="2243"/>
      <c r="B15" s="2225" t="s">
        <v>3014</v>
      </c>
      <c r="C15" s="2226" t="s">
        <v>3013</v>
      </c>
      <c r="D15" s="2227">
        <v>2</v>
      </c>
      <c r="E15" s="2227">
        <v>1</v>
      </c>
      <c r="F15" s="2227">
        <v>0.1</v>
      </c>
      <c r="G15" s="2227">
        <v>0.45</v>
      </c>
      <c r="H15" s="2227">
        <v>9.0000000000000011E-2</v>
      </c>
      <c r="I15" s="2228">
        <f t="shared" si="1"/>
        <v>710.7</v>
      </c>
      <c r="J15" s="2244">
        <f t="shared" si="2"/>
        <v>63.963000000000008</v>
      </c>
    </row>
    <row r="16" spans="1:14">
      <c r="A16" s="2243"/>
      <c r="B16" s="2225"/>
      <c r="C16" s="2226" t="s">
        <v>3013</v>
      </c>
      <c r="D16" s="2227">
        <v>2</v>
      </c>
      <c r="E16" s="2227">
        <v>0.8</v>
      </c>
      <c r="F16" s="2227">
        <v>0.1</v>
      </c>
      <c r="G16" s="2227">
        <v>0.45</v>
      </c>
      <c r="H16" s="2227">
        <v>7.2000000000000008E-2</v>
      </c>
      <c r="I16" s="2228">
        <f t="shared" si="1"/>
        <v>710.7</v>
      </c>
      <c r="J16" s="2244">
        <f t="shared" si="2"/>
        <v>51.170400000000008</v>
      </c>
    </row>
    <row r="17" spans="1:10">
      <c r="A17" s="2243"/>
      <c r="B17" s="2230" t="s">
        <v>2728</v>
      </c>
      <c r="C17" s="2226" t="s">
        <v>3013</v>
      </c>
      <c r="D17" s="2227">
        <v>1</v>
      </c>
      <c r="E17" s="2227">
        <v>1</v>
      </c>
      <c r="F17" s="2227">
        <v>1</v>
      </c>
      <c r="G17" s="2227">
        <v>0.2</v>
      </c>
      <c r="H17" s="2227">
        <v>0.2</v>
      </c>
      <c r="I17" s="2228">
        <f t="shared" si="1"/>
        <v>5523.35</v>
      </c>
      <c r="J17" s="2244">
        <f t="shared" si="2"/>
        <v>1104.67</v>
      </c>
    </row>
    <row r="18" spans="1:10">
      <c r="A18" s="2243"/>
      <c r="B18" s="2230" t="s">
        <v>3029</v>
      </c>
      <c r="C18" s="2226" t="s">
        <v>3013</v>
      </c>
      <c r="D18" s="2227">
        <v>1</v>
      </c>
      <c r="E18" s="2227">
        <v>1</v>
      </c>
      <c r="F18" s="2227">
        <v>1</v>
      </c>
      <c r="G18" s="2227">
        <v>0.15</v>
      </c>
      <c r="H18" s="2231">
        <v>0.15</v>
      </c>
      <c r="I18" s="2228">
        <f t="shared" si="1"/>
        <v>14810.58</v>
      </c>
      <c r="J18" s="2244">
        <f t="shared" si="2"/>
        <v>2221.587</v>
      </c>
    </row>
    <row r="19" spans="1:10">
      <c r="A19" s="2243"/>
      <c r="B19" s="2230" t="s">
        <v>3015</v>
      </c>
      <c r="C19" s="2226" t="s">
        <v>3013</v>
      </c>
      <c r="D19" s="2227">
        <v>1</v>
      </c>
      <c r="E19" s="2227">
        <v>0.8</v>
      </c>
      <c r="F19" s="2227">
        <v>0.8</v>
      </c>
      <c r="G19" s="2227">
        <v>1</v>
      </c>
      <c r="H19" s="2231">
        <v>0.64000000000000012</v>
      </c>
      <c r="I19" s="2228">
        <f t="shared" si="1"/>
        <v>15619.64</v>
      </c>
      <c r="J19" s="2244">
        <f t="shared" si="2"/>
        <v>9996.5696000000007</v>
      </c>
    </row>
    <row r="20" spans="1:10">
      <c r="A20" s="2243"/>
      <c r="B20" s="2230"/>
      <c r="C20" s="2226" t="s">
        <v>3013</v>
      </c>
      <c r="D20" s="2227">
        <v>1</v>
      </c>
      <c r="E20" s="2227">
        <v>0.4</v>
      </c>
      <c r="F20" s="2227">
        <v>0.4</v>
      </c>
      <c r="G20" s="2227">
        <v>1</v>
      </c>
      <c r="H20" s="2231">
        <v>0.16000000000000003</v>
      </c>
      <c r="I20" s="2228">
        <f>I10</f>
        <v>15619.64</v>
      </c>
      <c r="J20" s="2244">
        <f t="shared" si="2"/>
        <v>2499.1424000000002</v>
      </c>
    </row>
    <row r="21" spans="1:10">
      <c r="A21" s="2243"/>
      <c r="B21" s="2230" t="s">
        <v>3016</v>
      </c>
      <c r="C21" s="2226" t="s">
        <v>3013</v>
      </c>
      <c r="D21" s="2227">
        <v>1</v>
      </c>
      <c r="E21" s="2227">
        <v>0.4</v>
      </c>
      <c r="F21" s="2227">
        <v>0.4</v>
      </c>
      <c r="G21" s="2227">
        <v>0.1</v>
      </c>
      <c r="H21" s="2231">
        <v>1.6000000000000004E-2</v>
      </c>
      <c r="I21" s="2228">
        <f>I11</f>
        <v>16022.87</v>
      </c>
      <c r="J21" s="2244">
        <f t="shared" si="2"/>
        <v>256.36592000000007</v>
      </c>
    </row>
    <row r="22" spans="1:10" ht="15.75" thickBot="1">
      <c r="A22" s="2245"/>
      <c r="B22" s="2246"/>
      <c r="C22" s="2247"/>
      <c r="D22" s="2248"/>
      <c r="E22" s="2248"/>
      <c r="F22" s="2248"/>
      <c r="G22" s="2248"/>
      <c r="H22" s="2249"/>
      <c r="I22" s="2250"/>
      <c r="J22" s="2251">
        <f>SUM(J14:J21)</f>
        <v>17700.156320000002</v>
      </c>
    </row>
    <row r="23" spans="1:10">
      <c r="A23" s="2241">
        <v>3</v>
      </c>
      <c r="B23" s="2242" t="s">
        <v>3017</v>
      </c>
      <c r="C23" s="2930"/>
      <c r="D23" s="2931"/>
      <c r="E23" s="2931"/>
      <c r="F23" s="2931"/>
      <c r="G23" s="2931"/>
      <c r="H23" s="2931"/>
      <c r="I23" s="2931"/>
      <c r="J23" s="2932"/>
    </row>
    <row r="24" spans="1:10" ht="26.25">
      <c r="A24" s="2243"/>
      <c r="B24" s="2225" t="s">
        <v>2898</v>
      </c>
      <c r="C24" s="2226" t="s">
        <v>3013</v>
      </c>
      <c r="D24" s="2227">
        <v>1</v>
      </c>
      <c r="E24" s="2227">
        <v>1</v>
      </c>
      <c r="F24" s="2227">
        <v>1</v>
      </c>
      <c r="G24" s="2227">
        <v>0.8</v>
      </c>
      <c r="H24" s="2227">
        <v>0.8</v>
      </c>
      <c r="I24" s="2228">
        <f t="shared" ref="I24:I29" si="3">I14</f>
        <v>1883.36</v>
      </c>
      <c r="J24" s="2244">
        <f t="shared" ref="J24:J32" si="4">H24*I24</f>
        <v>1506.6880000000001</v>
      </c>
    </row>
    <row r="25" spans="1:10" ht="26.25">
      <c r="A25" s="2243"/>
      <c r="B25" s="2225" t="s">
        <v>3014</v>
      </c>
      <c r="C25" s="2226" t="s">
        <v>3013</v>
      </c>
      <c r="D25" s="2227">
        <v>2</v>
      </c>
      <c r="E25" s="2227">
        <v>1</v>
      </c>
      <c r="F25" s="2227">
        <v>0.1</v>
      </c>
      <c r="G25" s="2227">
        <v>0.45</v>
      </c>
      <c r="H25" s="2227">
        <v>9.0000000000000011E-2</v>
      </c>
      <c r="I25" s="2228">
        <f t="shared" si="3"/>
        <v>710.7</v>
      </c>
      <c r="J25" s="2244">
        <f t="shared" si="4"/>
        <v>63.963000000000008</v>
      </c>
    </row>
    <row r="26" spans="1:10">
      <c r="A26" s="2243"/>
      <c r="B26" s="2225"/>
      <c r="C26" s="2226" t="s">
        <v>3013</v>
      </c>
      <c r="D26" s="2227">
        <v>2</v>
      </c>
      <c r="E26" s="2227">
        <v>0.8</v>
      </c>
      <c r="F26" s="2227">
        <v>0.1</v>
      </c>
      <c r="G26" s="2227">
        <v>0.45</v>
      </c>
      <c r="H26" s="2227">
        <v>7.2000000000000008E-2</v>
      </c>
      <c r="I26" s="2228">
        <f t="shared" si="3"/>
        <v>710.7</v>
      </c>
      <c r="J26" s="2244">
        <f t="shared" si="4"/>
        <v>51.170400000000008</v>
      </c>
    </row>
    <row r="27" spans="1:10">
      <c r="A27" s="2243"/>
      <c r="B27" s="2230" t="s">
        <v>2728</v>
      </c>
      <c r="C27" s="2226" t="s">
        <v>3013</v>
      </c>
      <c r="D27" s="2227">
        <v>1</v>
      </c>
      <c r="E27" s="2227">
        <v>1</v>
      </c>
      <c r="F27" s="2227">
        <v>1</v>
      </c>
      <c r="G27" s="2227">
        <v>0.2</v>
      </c>
      <c r="H27" s="2227">
        <v>0.2</v>
      </c>
      <c r="I27" s="2228">
        <f t="shared" si="3"/>
        <v>5523.35</v>
      </c>
      <c r="J27" s="2244">
        <f t="shared" si="4"/>
        <v>1104.67</v>
      </c>
    </row>
    <row r="28" spans="1:10">
      <c r="A28" s="2243"/>
      <c r="B28" s="2230" t="s">
        <v>3029</v>
      </c>
      <c r="C28" s="2226" t="s">
        <v>3013</v>
      </c>
      <c r="D28" s="2227">
        <v>1</v>
      </c>
      <c r="E28" s="2227">
        <v>1</v>
      </c>
      <c r="F28" s="2227">
        <v>1</v>
      </c>
      <c r="G28" s="2227">
        <v>0.15</v>
      </c>
      <c r="H28" s="2231">
        <v>0.15</v>
      </c>
      <c r="I28" s="2228">
        <f t="shared" si="3"/>
        <v>14810.58</v>
      </c>
      <c r="J28" s="2244">
        <f t="shared" si="4"/>
        <v>2221.587</v>
      </c>
    </row>
    <row r="29" spans="1:10">
      <c r="A29" s="2243"/>
      <c r="B29" s="2230" t="s">
        <v>3015</v>
      </c>
      <c r="C29" s="2226" t="s">
        <v>3013</v>
      </c>
      <c r="D29" s="2227">
        <v>1</v>
      </c>
      <c r="E29" s="2227">
        <v>0.8</v>
      </c>
      <c r="F29" s="2227">
        <v>0.8</v>
      </c>
      <c r="G29" s="2227">
        <v>1</v>
      </c>
      <c r="H29" s="2231">
        <v>0.64000000000000012</v>
      </c>
      <c r="I29" s="2228">
        <f t="shared" si="3"/>
        <v>15619.64</v>
      </c>
      <c r="J29" s="2244">
        <f t="shared" si="4"/>
        <v>9996.5696000000007</v>
      </c>
    </row>
    <row r="30" spans="1:10">
      <c r="A30" s="2243"/>
      <c r="B30" s="2230"/>
      <c r="C30" s="2226" t="s">
        <v>3013</v>
      </c>
      <c r="D30" s="2227">
        <v>1</v>
      </c>
      <c r="E30" s="2227">
        <v>0.6</v>
      </c>
      <c r="F30" s="2227">
        <v>0.6</v>
      </c>
      <c r="G30" s="2227">
        <v>1</v>
      </c>
      <c r="H30" s="2231">
        <v>0.36</v>
      </c>
      <c r="I30" s="2228">
        <f>I19</f>
        <v>15619.64</v>
      </c>
      <c r="J30" s="2244">
        <f t="shared" si="4"/>
        <v>5623.0703999999996</v>
      </c>
    </row>
    <row r="31" spans="1:10">
      <c r="A31" s="2243"/>
      <c r="B31" s="2230"/>
      <c r="C31" s="2226" t="s">
        <v>3013</v>
      </c>
      <c r="D31" s="2227">
        <v>1</v>
      </c>
      <c r="E31" s="2227">
        <v>0.4</v>
      </c>
      <c r="F31" s="2227">
        <v>0.4</v>
      </c>
      <c r="G31" s="2227">
        <v>1</v>
      </c>
      <c r="H31" s="2231">
        <v>0.16000000000000003</v>
      </c>
      <c r="I31" s="2228">
        <f>I19</f>
        <v>15619.64</v>
      </c>
      <c r="J31" s="2244">
        <f t="shared" si="4"/>
        <v>2499.1424000000002</v>
      </c>
    </row>
    <row r="32" spans="1:10">
      <c r="A32" s="2243"/>
      <c r="B32" s="2230" t="s">
        <v>3016</v>
      </c>
      <c r="C32" s="2226" t="s">
        <v>3013</v>
      </c>
      <c r="D32" s="2227">
        <v>1</v>
      </c>
      <c r="E32" s="2227">
        <v>0.4</v>
      </c>
      <c r="F32" s="2227">
        <v>0.4</v>
      </c>
      <c r="G32" s="2227">
        <v>0.1</v>
      </c>
      <c r="H32" s="2231">
        <v>1.6000000000000004E-2</v>
      </c>
      <c r="I32" s="2228">
        <f>I21</f>
        <v>16022.87</v>
      </c>
      <c r="J32" s="2244">
        <f t="shared" si="4"/>
        <v>256.36592000000007</v>
      </c>
    </row>
    <row r="33" spans="1:10" ht="15.75" thickBot="1">
      <c r="A33" s="2245"/>
      <c r="B33" s="2246"/>
      <c r="C33" s="2247"/>
      <c r="D33" s="2248"/>
      <c r="E33" s="2248"/>
      <c r="F33" s="2248"/>
      <c r="G33" s="2248"/>
      <c r="H33" s="2249"/>
      <c r="I33" s="2250"/>
      <c r="J33" s="2252">
        <f>SUM(J24:J32)</f>
        <v>23323.226720000002</v>
      </c>
    </row>
    <row r="34" spans="1:10">
      <c r="A34" s="2253" t="s">
        <v>1729</v>
      </c>
      <c r="B34" s="2254" t="s">
        <v>3018</v>
      </c>
      <c r="C34" s="2933"/>
      <c r="D34" s="2933"/>
      <c r="E34" s="2933"/>
      <c r="F34" s="2933"/>
      <c r="G34" s="2933"/>
      <c r="H34" s="2933"/>
      <c r="I34" s="2933"/>
      <c r="J34" s="2934"/>
    </row>
    <row r="35" spans="1:10" ht="26.25">
      <c r="A35" s="2255">
        <v>1</v>
      </c>
      <c r="B35" s="2225" t="s">
        <v>2898</v>
      </c>
      <c r="C35" s="2226" t="s">
        <v>3013</v>
      </c>
      <c r="D35" s="2227">
        <v>1</v>
      </c>
      <c r="E35" s="2227">
        <v>1.2</v>
      </c>
      <c r="F35" s="2227">
        <v>1.2</v>
      </c>
      <c r="G35" s="2227">
        <v>0.9</v>
      </c>
      <c r="H35" s="2227">
        <v>1.296</v>
      </c>
      <c r="I35" s="2228">
        <f>I24</f>
        <v>1883.36</v>
      </c>
      <c r="J35" s="2256">
        <f t="shared" ref="J35:J40" si="5">H35*I35</f>
        <v>2440.8345599999998</v>
      </c>
    </row>
    <row r="36" spans="1:10" ht="26.25">
      <c r="A36" s="2255">
        <v>2</v>
      </c>
      <c r="B36" s="2225" t="s">
        <v>3014</v>
      </c>
      <c r="C36" s="2226" t="s">
        <v>3013</v>
      </c>
      <c r="D36" s="2227">
        <v>2</v>
      </c>
      <c r="E36" s="2227">
        <v>1.2</v>
      </c>
      <c r="F36" s="2227">
        <v>0.4</v>
      </c>
      <c r="G36" s="2227">
        <v>0.4</v>
      </c>
      <c r="H36" s="2227">
        <v>0.38400000000000006</v>
      </c>
      <c r="I36" s="2228">
        <f>I25</f>
        <v>710.7</v>
      </c>
      <c r="J36" s="2256">
        <f t="shared" si="5"/>
        <v>272.90880000000004</v>
      </c>
    </row>
    <row r="37" spans="1:10">
      <c r="A37" s="2255">
        <v>3</v>
      </c>
      <c r="B37" s="2225"/>
      <c r="C37" s="2226" t="s">
        <v>3013</v>
      </c>
      <c r="D37" s="2227">
        <v>2</v>
      </c>
      <c r="E37" s="2227">
        <v>0.4</v>
      </c>
      <c r="F37" s="2227">
        <v>0.4</v>
      </c>
      <c r="G37" s="2227">
        <v>0.4</v>
      </c>
      <c r="H37" s="2227">
        <v>0.12800000000000003</v>
      </c>
      <c r="I37" s="2228">
        <f>I25</f>
        <v>710.7</v>
      </c>
      <c r="J37" s="2256">
        <f t="shared" si="5"/>
        <v>90.969600000000028</v>
      </c>
    </row>
    <row r="38" spans="1:10">
      <c r="A38" s="2255">
        <v>4</v>
      </c>
      <c r="B38" s="2230" t="s">
        <v>2728</v>
      </c>
      <c r="C38" s="2226" t="s">
        <v>3013</v>
      </c>
      <c r="D38" s="2227">
        <v>1</v>
      </c>
      <c r="E38" s="2227">
        <v>1.2</v>
      </c>
      <c r="F38" s="2227">
        <v>1.2</v>
      </c>
      <c r="G38" s="2227">
        <v>0.2</v>
      </c>
      <c r="H38" s="2227">
        <v>0.28799999999999998</v>
      </c>
      <c r="I38" s="2228">
        <f>I27</f>
        <v>5523.35</v>
      </c>
      <c r="J38" s="2256">
        <f t="shared" si="5"/>
        <v>1590.7248</v>
      </c>
    </row>
    <row r="39" spans="1:10">
      <c r="A39" s="2255">
        <v>5</v>
      </c>
      <c r="B39" s="2230" t="s">
        <v>3019</v>
      </c>
      <c r="C39" s="2226" t="s">
        <v>3013</v>
      </c>
      <c r="D39" s="2227">
        <v>1</v>
      </c>
      <c r="E39" s="2227">
        <v>1.2</v>
      </c>
      <c r="F39" s="2227">
        <v>1.2</v>
      </c>
      <c r="G39" s="2227">
        <v>0.3</v>
      </c>
      <c r="H39" s="2231">
        <v>0.432</v>
      </c>
      <c r="I39" s="2228">
        <f>I11</f>
        <v>16022.87</v>
      </c>
      <c r="J39" s="2256">
        <f t="shared" si="5"/>
        <v>6921.8798400000005</v>
      </c>
    </row>
    <row r="40" spans="1:10">
      <c r="A40" s="2255"/>
      <c r="B40" s="2230"/>
      <c r="C40" s="2226" t="s">
        <v>3013</v>
      </c>
      <c r="D40" s="2227">
        <v>1</v>
      </c>
      <c r="E40" s="2227">
        <v>0.4</v>
      </c>
      <c r="F40" s="2227">
        <v>0.4</v>
      </c>
      <c r="G40" s="2227">
        <v>4</v>
      </c>
      <c r="H40" s="2231">
        <v>0.64000000000000012</v>
      </c>
      <c r="I40" s="2228">
        <f>I39</f>
        <v>16022.87</v>
      </c>
      <c r="J40" s="2256">
        <f t="shared" si="5"/>
        <v>10254.636800000002</v>
      </c>
    </row>
    <row r="41" spans="1:10">
      <c r="A41" s="2255">
        <v>6</v>
      </c>
      <c r="B41" s="2230" t="s">
        <v>3020</v>
      </c>
      <c r="C41" s="2226" t="s">
        <v>1034</v>
      </c>
      <c r="D41" s="2227">
        <v>16</v>
      </c>
      <c r="E41" s="2227">
        <v>1.2</v>
      </c>
      <c r="F41" s="2232" t="s">
        <v>44</v>
      </c>
      <c r="G41" s="2232" t="s">
        <v>44</v>
      </c>
      <c r="H41" s="2233">
        <v>19.2</v>
      </c>
      <c r="I41" s="2234"/>
      <c r="J41" s="2256"/>
    </row>
    <row r="42" spans="1:10">
      <c r="A42" s="2255"/>
      <c r="B42" s="2230"/>
      <c r="C42" s="2226" t="s">
        <v>1034</v>
      </c>
      <c r="D42" s="2227">
        <v>4</v>
      </c>
      <c r="E42" s="2227">
        <v>5</v>
      </c>
      <c r="F42" s="2232" t="s">
        <v>44</v>
      </c>
      <c r="G42" s="2232" t="s">
        <v>44</v>
      </c>
      <c r="H42" s="2257">
        <v>20</v>
      </c>
      <c r="I42" s="2234"/>
      <c r="J42" s="2256"/>
    </row>
    <row r="43" spans="1:10">
      <c r="A43" s="2255"/>
      <c r="B43" s="2230"/>
      <c r="C43" s="2226"/>
      <c r="D43" s="2227"/>
      <c r="E43" s="2227"/>
      <c r="F43" s="2232"/>
      <c r="G43" s="2232"/>
      <c r="H43" s="2231">
        <v>39.200000000000003</v>
      </c>
      <c r="I43" s="2234"/>
      <c r="J43" s="2256"/>
    </row>
    <row r="44" spans="1:10">
      <c r="A44" s="2255"/>
      <c r="B44" s="2230" t="s">
        <v>3021</v>
      </c>
      <c r="C44" s="2226"/>
      <c r="D44" s="2227"/>
      <c r="E44" s="2258"/>
      <c r="F44" s="2232"/>
      <c r="G44" s="2232"/>
      <c r="H44" s="2231">
        <v>34.888000000000005</v>
      </c>
      <c r="I44" s="2228">
        <f>Rates!F39</f>
        <v>125.35</v>
      </c>
      <c r="J44" s="2256">
        <f>H44*I44</f>
        <v>4373.2108000000007</v>
      </c>
    </row>
    <row r="45" spans="1:10">
      <c r="A45" s="2255"/>
      <c r="B45" s="2230"/>
      <c r="C45" s="2226" t="s">
        <v>1034</v>
      </c>
      <c r="D45" s="2227">
        <v>20</v>
      </c>
      <c r="E45" s="2227">
        <v>1.6</v>
      </c>
      <c r="F45" s="2227"/>
      <c r="G45" s="2227"/>
      <c r="H45" s="2231">
        <v>32</v>
      </c>
      <c r="I45" s="2234"/>
      <c r="J45" s="2256"/>
    </row>
    <row r="46" spans="1:10">
      <c r="A46" s="2255"/>
      <c r="B46" s="2230" t="s">
        <v>3022</v>
      </c>
      <c r="C46" s="2226"/>
      <c r="D46" s="2227"/>
      <c r="E46" s="2258"/>
      <c r="F46" s="2227"/>
      <c r="G46" s="2227"/>
      <c r="H46" s="2231">
        <v>12.64</v>
      </c>
      <c r="I46" s="2259">
        <f>I44</f>
        <v>125.35</v>
      </c>
      <c r="J46" s="2256">
        <f>H46*I46</f>
        <v>1584.424</v>
      </c>
    </row>
    <row r="47" spans="1:10">
      <c r="A47" s="2255">
        <v>7</v>
      </c>
      <c r="B47" s="2230" t="s">
        <v>3023</v>
      </c>
      <c r="C47" s="2226" t="s">
        <v>3024</v>
      </c>
      <c r="D47" s="2227">
        <v>4</v>
      </c>
      <c r="E47" s="2227">
        <v>1.2</v>
      </c>
      <c r="F47" s="2232" t="s">
        <v>44</v>
      </c>
      <c r="G47" s="2227">
        <v>0.3</v>
      </c>
      <c r="H47" s="2231">
        <v>1.44</v>
      </c>
      <c r="I47" s="2228">
        <f>Rates!F40</f>
        <v>1322.68</v>
      </c>
      <c r="J47" s="2256">
        <f t="shared" ref="J47:J48" si="6">H47*I47</f>
        <v>1904.6592000000001</v>
      </c>
    </row>
    <row r="48" spans="1:10">
      <c r="A48" s="2255"/>
      <c r="B48" s="2235"/>
      <c r="C48" s="2236"/>
      <c r="D48" s="2237">
        <v>4</v>
      </c>
      <c r="E48" s="2237">
        <v>0.4</v>
      </c>
      <c r="F48" s="2232" t="s">
        <v>44</v>
      </c>
      <c r="G48" s="2237">
        <v>4</v>
      </c>
      <c r="H48" s="2231">
        <v>6.4</v>
      </c>
      <c r="I48" s="2228">
        <f>I47</f>
        <v>1322.68</v>
      </c>
      <c r="J48" s="2256">
        <f t="shared" si="6"/>
        <v>8465.152</v>
      </c>
    </row>
    <row r="49" spans="1:10">
      <c r="A49" s="2260"/>
      <c r="B49" s="2261"/>
      <c r="C49" s="2262"/>
      <c r="D49" s="2263"/>
      <c r="E49" s="2263"/>
      <c r="F49" s="2263"/>
      <c r="G49" s="2263"/>
      <c r="H49" s="2264"/>
      <c r="I49" s="2265" t="s">
        <v>1108</v>
      </c>
      <c r="J49" s="2266">
        <f>SUM(J35:J48)</f>
        <v>37899.400400000006</v>
      </c>
    </row>
    <row r="50" spans="1:10">
      <c r="A50" s="2214" t="s">
        <v>3025</v>
      </c>
    </row>
    <row r="51" spans="1:10">
      <c r="A51" s="2268"/>
      <c r="B51" s="2269" t="s">
        <v>3026</v>
      </c>
      <c r="C51" s="2925"/>
      <c r="D51" s="2925"/>
      <c r="E51" s="2925"/>
      <c r="F51" s="2925"/>
      <c r="G51" s="2925"/>
      <c r="H51" s="2925"/>
      <c r="I51" s="2925"/>
      <c r="J51" s="2926"/>
    </row>
    <row r="52" spans="1:10">
      <c r="A52" s="2255"/>
      <c r="B52" s="2270" t="s">
        <v>1423</v>
      </c>
      <c r="C52" s="2271" t="s">
        <v>1035</v>
      </c>
      <c r="D52" s="2271" t="s">
        <v>1087</v>
      </c>
      <c r="E52" s="2271" t="s">
        <v>2459</v>
      </c>
      <c r="F52" s="2271" t="s">
        <v>712</v>
      </c>
      <c r="G52" s="2271" t="s">
        <v>2920</v>
      </c>
      <c r="H52" s="2271" t="s">
        <v>1310</v>
      </c>
      <c r="I52" s="2271" t="s">
        <v>97</v>
      </c>
      <c r="J52" s="2272"/>
    </row>
    <row r="53" spans="1:10">
      <c r="A53" s="2255"/>
      <c r="B53" s="2273"/>
      <c r="C53" s="2274"/>
      <c r="D53" s="2274"/>
      <c r="E53" s="2274"/>
      <c r="F53" s="2274"/>
      <c r="G53" s="2274"/>
      <c r="H53" s="2274"/>
      <c r="I53" s="2274"/>
      <c r="J53" s="2275"/>
    </row>
    <row r="54" spans="1:10">
      <c r="A54" s="2255">
        <v>1</v>
      </c>
      <c r="B54" s="2225" t="s">
        <v>3027</v>
      </c>
      <c r="C54" s="2226" t="s">
        <v>3013</v>
      </c>
      <c r="D54" s="2227">
        <v>1</v>
      </c>
      <c r="E54" s="2227">
        <v>1</v>
      </c>
      <c r="F54" s="2227">
        <v>1</v>
      </c>
      <c r="G54" s="2227">
        <v>1.2</v>
      </c>
      <c r="H54" s="2227">
        <v>1.2</v>
      </c>
      <c r="I54" s="2228">
        <f>I35</f>
        <v>1883.36</v>
      </c>
      <c r="J54" s="2256">
        <v>140.244</v>
      </c>
    </row>
    <row r="55" spans="1:10" ht="26.25">
      <c r="A55" s="2255">
        <v>2</v>
      </c>
      <c r="B55" s="2230" t="s">
        <v>3028</v>
      </c>
      <c r="C55" s="2226" t="s">
        <v>3013</v>
      </c>
      <c r="D55" s="2227">
        <v>1</v>
      </c>
      <c r="E55" s="2227">
        <v>1</v>
      </c>
      <c r="F55" s="2227">
        <v>1</v>
      </c>
      <c r="G55" s="2227">
        <v>1</v>
      </c>
      <c r="H55" s="2227">
        <v>1</v>
      </c>
      <c r="I55" s="2228">
        <f>I39</f>
        <v>16022.87</v>
      </c>
      <c r="J55" s="2256">
        <v>4263.96</v>
      </c>
    </row>
    <row r="56" spans="1:10">
      <c r="A56" s="2255">
        <v>3</v>
      </c>
      <c r="B56" s="2230" t="s">
        <v>3023</v>
      </c>
      <c r="C56" s="2226" t="s">
        <v>3024</v>
      </c>
      <c r="D56" s="2227">
        <v>4</v>
      </c>
      <c r="E56" s="2227">
        <v>1</v>
      </c>
      <c r="F56" s="2232" t="s">
        <v>44</v>
      </c>
      <c r="G56" s="2227">
        <v>1</v>
      </c>
      <c r="H56" s="2227">
        <v>4</v>
      </c>
      <c r="I56" s="2228">
        <f>I47</f>
        <v>1322.68</v>
      </c>
      <c r="J56" s="2256">
        <v>1091.08</v>
      </c>
    </row>
    <row r="57" spans="1:10">
      <c r="A57" s="2260"/>
      <c r="B57" s="2276"/>
      <c r="C57" s="2277"/>
      <c r="D57" s="2277"/>
      <c r="E57" s="2278"/>
      <c r="F57" s="2278"/>
      <c r="G57" s="2278"/>
      <c r="H57" s="2278"/>
      <c r="I57" s="2278"/>
      <c r="J57" s="2279">
        <f>SUM(J54:J56)</f>
        <v>5495.2839999999997</v>
      </c>
    </row>
  </sheetData>
  <mergeCells count="6">
    <mergeCell ref="C51:J51"/>
    <mergeCell ref="A1:J1"/>
    <mergeCell ref="C4:J4"/>
    <mergeCell ref="C13:J13"/>
    <mergeCell ref="C23:J23"/>
    <mergeCell ref="C34:J34"/>
  </mergeCells>
  <pageMargins left="0.7" right="0.7" top="0.75" bottom="0.75" header="0.3" footer="0.3"/>
  <pageSetup paperSize="9" orientation="portrait" r:id="rId1"/>
  <rowBreaks count="1" manualBreakCount="1">
    <brk id="33" max="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39997558519241921"/>
  </sheetPr>
  <dimension ref="A1:L52"/>
  <sheetViews>
    <sheetView workbookViewId="0">
      <selection sqref="A1:G1"/>
    </sheetView>
  </sheetViews>
  <sheetFormatPr defaultColWidth="9.140625" defaultRowHeight="15.75"/>
  <cols>
    <col min="1" max="1" width="4.85546875" style="1918" customWidth="1"/>
    <col min="2" max="2" width="39.7109375" style="1918" customWidth="1"/>
    <col min="3" max="3" width="9.140625" style="1918"/>
    <col min="4" max="4" width="9.28515625" style="1918" bestFit="1" customWidth="1"/>
    <col min="5" max="5" width="9.7109375" style="1918" bestFit="1" customWidth="1"/>
    <col min="6" max="6" width="16.5703125" style="1918" customWidth="1"/>
    <col min="7" max="7" width="6.5703125" style="1918" customWidth="1"/>
    <col min="8" max="8" width="13.42578125" style="1918" bestFit="1" customWidth="1"/>
    <col min="9" max="9" width="14" style="1918" bestFit="1" customWidth="1"/>
    <col min="10" max="10" width="12.5703125" style="1918" bestFit="1" customWidth="1"/>
    <col min="11" max="16384" width="9.140625" style="1918"/>
  </cols>
  <sheetData>
    <row r="1" spans="1:12">
      <c r="A1" s="2935" t="s">
        <v>2860</v>
      </c>
      <c r="B1" s="2935"/>
      <c r="C1" s="2935"/>
      <c r="D1" s="2935"/>
      <c r="E1" s="2935"/>
      <c r="F1" s="2935"/>
      <c r="G1" s="2935"/>
    </row>
    <row r="2" spans="1:12">
      <c r="A2" s="1919"/>
      <c r="B2" s="1919"/>
      <c r="C2" s="1919"/>
      <c r="D2" s="1919"/>
      <c r="E2" s="1919"/>
      <c r="F2" s="1919"/>
      <c r="G2" s="1919"/>
    </row>
    <row r="3" spans="1:12">
      <c r="A3" s="2936" t="s">
        <v>3048</v>
      </c>
      <c r="B3" s="2936"/>
      <c r="C3" s="1919"/>
      <c r="D3" s="1919"/>
      <c r="E3" s="1919"/>
      <c r="F3" s="1919"/>
      <c r="G3" s="1919"/>
    </row>
    <row r="4" spans="1:12">
      <c r="A4" s="1920"/>
      <c r="B4" s="1919"/>
      <c r="C4" s="1919"/>
      <c r="D4" s="1919"/>
      <c r="E4" s="1919"/>
      <c r="F4" s="1919"/>
      <c r="G4" s="1919"/>
    </row>
    <row r="5" spans="1:12" s="1924" customFormat="1">
      <c r="A5" s="1921" t="s">
        <v>908</v>
      </c>
      <c r="B5" s="1922" t="s">
        <v>2861</v>
      </c>
      <c r="C5" s="1922" t="s">
        <v>1035</v>
      </c>
      <c r="D5" s="1922" t="s">
        <v>964</v>
      </c>
      <c r="E5" s="1922" t="s">
        <v>97</v>
      </c>
      <c r="F5" s="1922" t="s">
        <v>52</v>
      </c>
      <c r="G5" s="1923" t="s">
        <v>1055</v>
      </c>
    </row>
    <row r="6" spans="1:12" s="1924" customFormat="1">
      <c r="A6" s="1925">
        <v>1</v>
      </c>
      <c r="B6" s="1926" t="s">
        <v>26</v>
      </c>
      <c r="C6" s="1927" t="s">
        <v>2862</v>
      </c>
      <c r="D6" s="1928">
        <f>Qty_in_1!H4</f>
        <v>170.4</v>
      </c>
      <c r="E6" s="1928">
        <f>Rates!$F$7</f>
        <v>149.5</v>
      </c>
      <c r="F6" s="1929">
        <f t="shared" ref="F6:F29" si="0">+ROUND(D6*E6,2)</f>
        <v>25474.799999999999</v>
      </c>
      <c r="G6" s="1930"/>
      <c r="I6" s="1924">
        <f>F7+F35</f>
        <v>170082.36</v>
      </c>
    </row>
    <row r="7" spans="1:12" s="1924" customFormat="1">
      <c r="A7" s="1931">
        <v>2</v>
      </c>
      <c r="B7" s="1932" t="s">
        <v>2863</v>
      </c>
      <c r="C7" s="1932" t="s">
        <v>1084</v>
      </c>
      <c r="D7" s="1933">
        <f>Qty_in_1!H11</f>
        <v>32.229999999999997</v>
      </c>
      <c r="E7" s="1933">
        <f>Rates!$F$11</f>
        <v>3553.5</v>
      </c>
      <c r="F7" s="1934">
        <f t="shared" si="0"/>
        <v>114529.31</v>
      </c>
      <c r="G7" s="1935"/>
    </row>
    <row r="8" spans="1:12" s="1924" customFormat="1">
      <c r="A8" s="1931">
        <v>3</v>
      </c>
      <c r="B8" s="1932" t="str">
        <f>Qty_in_1!B12</f>
        <v>Stone Soling</v>
      </c>
      <c r="C8" s="1932" t="str">
        <f>Qty_in_1!C16</f>
        <v>Cum</v>
      </c>
      <c r="D8" s="1936">
        <f>Qty_in_1!H16</f>
        <v>6.9300000000000006</v>
      </c>
      <c r="E8" s="1936">
        <f>Rates!$F$19</f>
        <v>5523.35</v>
      </c>
      <c r="F8" s="1934">
        <f t="shared" si="0"/>
        <v>38276.82</v>
      </c>
      <c r="G8" s="1937"/>
      <c r="H8" s="1924">
        <f>+F8</f>
        <v>38276.82</v>
      </c>
      <c r="I8" s="1924" t="e">
        <f>F8+F38+#REF!</f>
        <v>#REF!</v>
      </c>
    </row>
    <row r="9" spans="1:12" s="1924" customFormat="1">
      <c r="A9" s="1938">
        <v>4</v>
      </c>
      <c r="B9" s="1932" t="s">
        <v>2864</v>
      </c>
      <c r="C9" s="1932"/>
      <c r="D9" s="1936"/>
      <c r="E9" s="1936"/>
      <c r="F9" s="1934"/>
      <c r="G9" s="1937"/>
    </row>
    <row r="10" spans="1:12" s="1924" customFormat="1">
      <c r="A10" s="1931">
        <v>4.0999999999999996</v>
      </c>
      <c r="B10" s="1932" t="str">
        <f>Qty_in_1!B18</f>
        <v>PCC  M10</v>
      </c>
      <c r="C10" s="1932" t="str">
        <f>Qty_in_1!C22</f>
        <v>Cum</v>
      </c>
      <c r="D10" s="1936">
        <f>Qty_in_1!H22</f>
        <v>3.46</v>
      </c>
      <c r="E10" s="1936">
        <f>Rates!$F$31</f>
        <v>14810.58</v>
      </c>
      <c r="F10" s="1934">
        <f t="shared" si="0"/>
        <v>51244.61</v>
      </c>
      <c r="G10" s="1937"/>
      <c r="H10" s="1924">
        <f>+F10</f>
        <v>51244.61</v>
      </c>
      <c r="I10" s="1924">
        <f>F10+F42</f>
        <v>51244.61</v>
      </c>
    </row>
    <row r="11" spans="1:12" s="1924" customFormat="1">
      <c r="A11" s="1931">
        <v>4.2</v>
      </c>
      <c r="B11" s="1932" t="s">
        <v>2865</v>
      </c>
      <c r="C11" s="1932" t="s">
        <v>520</v>
      </c>
      <c r="D11" s="1936">
        <f>Qty_in_1!H35</f>
        <v>24.95</v>
      </c>
      <c r="E11" s="1936">
        <f>Rates!$F$33</f>
        <v>17163.13</v>
      </c>
      <c r="F11" s="1934">
        <f t="shared" si="0"/>
        <v>428220.09</v>
      </c>
      <c r="G11" s="1937"/>
    </row>
    <row r="12" spans="1:12" s="1924" customFormat="1">
      <c r="A12" s="1931">
        <v>5</v>
      </c>
      <c r="B12" s="1932" t="s">
        <v>2866</v>
      </c>
      <c r="C12" s="1932" t="s">
        <v>2862</v>
      </c>
      <c r="D12" s="1936">
        <f>Qty_in_1!H53</f>
        <v>125.78</v>
      </c>
      <c r="E12" s="1936">
        <f>Rates!$F$40</f>
        <v>1322.68</v>
      </c>
      <c r="F12" s="1934">
        <f t="shared" si="0"/>
        <v>166366.69</v>
      </c>
      <c r="G12" s="1937"/>
      <c r="H12" s="1924" t="e">
        <f>+F12+#REF!+F50</f>
        <v>#REF!</v>
      </c>
      <c r="I12" s="1924">
        <f>F12+F43</f>
        <v>166366.69</v>
      </c>
    </row>
    <row r="13" spans="1:12" s="1924" customFormat="1">
      <c r="A13" s="1931">
        <v>6</v>
      </c>
      <c r="B13" s="1932" t="s">
        <v>2867</v>
      </c>
      <c r="C13" s="1932" t="s">
        <v>1034</v>
      </c>
      <c r="D13" s="1936">
        <f>Qty_in_1!H54</f>
        <v>3965.5530000000003</v>
      </c>
      <c r="E13" s="1936">
        <f>Rates!$F$39</f>
        <v>125.35</v>
      </c>
      <c r="F13" s="1934">
        <f t="shared" si="0"/>
        <v>497082.07</v>
      </c>
      <c r="G13" s="1937"/>
      <c r="H13" s="1924" t="e">
        <f>+F13+#REF!+#REF!</f>
        <v>#REF!</v>
      </c>
    </row>
    <row r="14" spans="1:12" s="1924" customFormat="1">
      <c r="A14" s="1931">
        <v>7</v>
      </c>
      <c r="B14" s="1932" t="s">
        <v>2868</v>
      </c>
      <c r="C14" s="1932" t="s">
        <v>2862</v>
      </c>
      <c r="D14" s="1936">
        <f>Qty_in_1!H59</f>
        <v>5.25</v>
      </c>
      <c r="E14" s="1936">
        <f>+'[61]Analysis of rates'!E793</f>
        <v>439.26888559999998</v>
      </c>
      <c r="F14" s="1934">
        <f t="shared" si="0"/>
        <v>2306.16</v>
      </c>
      <c r="G14" s="1937"/>
    </row>
    <row r="15" spans="1:12" s="1924" customFormat="1">
      <c r="A15" s="1931">
        <v>8</v>
      </c>
      <c r="B15" s="1932" t="s">
        <v>2869</v>
      </c>
      <c r="C15" s="1932" t="s">
        <v>2862</v>
      </c>
      <c r="D15" s="1936">
        <f>Qty_in_1!H65</f>
        <v>61.15</v>
      </c>
      <c r="E15" s="1936">
        <f>+'[61]Analysis of rates'!E807</f>
        <v>220.97708803999998</v>
      </c>
      <c r="F15" s="1934">
        <f t="shared" si="0"/>
        <v>13512.75</v>
      </c>
      <c r="G15" s="1937"/>
    </row>
    <row r="16" spans="1:12" s="1924" customFormat="1" ht="25.5">
      <c r="A16" s="1931">
        <v>9</v>
      </c>
      <c r="B16" s="1939" t="s">
        <v>2870</v>
      </c>
      <c r="C16" s="1932" t="s">
        <v>2862</v>
      </c>
      <c r="D16" s="1936">
        <f>Qty_in_1!H74</f>
        <v>79.09</v>
      </c>
      <c r="E16" s="1936">
        <f>'[61]Analysis of rates'!E859</f>
        <v>351.50553344000002</v>
      </c>
      <c r="F16" s="1934">
        <f t="shared" si="0"/>
        <v>27800.57</v>
      </c>
      <c r="G16" s="1937"/>
      <c r="I16" s="1924">
        <f>F16+F44</f>
        <v>27800.57</v>
      </c>
      <c r="K16" s="1924">
        <v>2016</v>
      </c>
      <c r="L16" s="1924">
        <v>2073</v>
      </c>
    </row>
    <row r="17" spans="1:12" s="1924" customFormat="1">
      <c r="A17" s="1931">
        <v>10</v>
      </c>
      <c r="B17" s="1940" t="s">
        <v>2871</v>
      </c>
      <c r="C17" s="1941"/>
      <c r="D17" s="1942"/>
      <c r="E17" s="1942"/>
      <c r="F17" s="1934"/>
      <c r="G17" s="1943"/>
      <c r="K17" s="1924" t="e">
        <f>+K16-#REF!</f>
        <v>#REF!</v>
      </c>
      <c r="L17" s="1924">
        <v>2060</v>
      </c>
    </row>
    <row r="18" spans="1:12" s="1924" customFormat="1">
      <c r="A18" s="1931"/>
      <c r="B18" s="1940" t="s">
        <v>2872</v>
      </c>
      <c r="C18" s="1941"/>
      <c r="D18" s="1942"/>
      <c r="E18" s="1942"/>
      <c r="F18" s="1934"/>
      <c r="G18" s="1943"/>
      <c r="H18" s="1924" t="e">
        <f>+#REF!/12</f>
        <v>#REF!</v>
      </c>
      <c r="J18" s="1944"/>
    </row>
    <row r="19" spans="1:12" s="1924" customFormat="1">
      <c r="A19" s="1931"/>
      <c r="B19" s="1940" t="s">
        <v>2873</v>
      </c>
      <c r="C19" s="1941" t="s">
        <v>1084</v>
      </c>
      <c r="D19" s="1942">
        <f>Qty_in_1!H77</f>
        <v>44.52</v>
      </c>
      <c r="E19" s="1942">
        <f>'[61]Analysis of rates'!E2318</f>
        <v>6073.6219600000004</v>
      </c>
      <c r="F19" s="1934">
        <f t="shared" si="0"/>
        <v>270397.65000000002</v>
      </c>
      <c r="G19" s="1943"/>
      <c r="J19" s="1944"/>
    </row>
    <row r="20" spans="1:12" s="1924" customFormat="1">
      <c r="A20" s="1931">
        <v>12</v>
      </c>
      <c r="B20" s="1945" t="s">
        <v>2874</v>
      </c>
      <c r="C20" s="1941" t="s">
        <v>1087</v>
      </c>
      <c r="D20" s="1942">
        <f>Qty_in_1!H78</f>
        <v>2</v>
      </c>
      <c r="E20" s="1942">
        <v>15000</v>
      </c>
      <c r="F20" s="1934">
        <f t="shared" si="0"/>
        <v>30000</v>
      </c>
      <c r="G20" s="1943"/>
      <c r="J20" s="1944"/>
    </row>
    <row r="21" spans="1:12" s="1924" customFormat="1" hidden="1">
      <c r="A21" s="1931">
        <v>13</v>
      </c>
      <c r="B21" s="1945" t="s">
        <v>2875</v>
      </c>
      <c r="C21" s="1941"/>
      <c r="D21" s="1942"/>
      <c r="E21" s="1942"/>
      <c r="F21" s="1946"/>
      <c r="G21" s="1943"/>
    </row>
    <row r="22" spans="1:12" s="1924" customFormat="1" hidden="1">
      <c r="A22" s="1938"/>
      <c r="B22" s="1947" t="s">
        <v>2876</v>
      </c>
      <c r="C22" s="1941" t="s">
        <v>1087</v>
      </c>
      <c r="D22" s="1942"/>
      <c r="E22" s="1948">
        <f>320*1.1</f>
        <v>352</v>
      </c>
      <c r="F22" s="1934">
        <f t="shared" si="0"/>
        <v>0</v>
      </c>
      <c r="G22" s="1943"/>
    </row>
    <row r="23" spans="1:12" s="1924" customFormat="1" hidden="1">
      <c r="A23" s="1938"/>
      <c r="B23" s="1947" t="s">
        <v>2877</v>
      </c>
      <c r="C23" s="1941" t="s">
        <v>1087</v>
      </c>
      <c r="D23" s="1942"/>
      <c r="E23" s="1948">
        <f>285*1.1</f>
        <v>313.5</v>
      </c>
      <c r="F23" s="1934">
        <f t="shared" si="0"/>
        <v>0</v>
      </c>
      <c r="G23" s="1943"/>
    </row>
    <row r="24" spans="1:12" s="1924" customFormat="1" hidden="1">
      <c r="A24" s="1938"/>
      <c r="B24" s="1947" t="s">
        <v>2878</v>
      </c>
      <c r="C24" s="1941" t="s">
        <v>1087</v>
      </c>
      <c r="D24" s="1942"/>
      <c r="E24" s="1948">
        <f>'[61]rate73-74'!O46</f>
        <v>452.17999999999995</v>
      </c>
      <c r="F24" s="1934">
        <f t="shared" si="0"/>
        <v>0</v>
      </c>
      <c r="G24" s="1943"/>
    </row>
    <row r="25" spans="1:12" s="1924" customFormat="1" hidden="1">
      <c r="A25" s="1938"/>
      <c r="B25" s="1947" t="s">
        <v>2879</v>
      </c>
      <c r="C25" s="1941" t="s">
        <v>1087</v>
      </c>
      <c r="D25" s="1942"/>
      <c r="E25" s="1948">
        <f>11087+'[61]GI fittings'!K17</f>
        <v>11221.095965</v>
      </c>
      <c r="F25" s="1934">
        <f t="shared" si="0"/>
        <v>0</v>
      </c>
      <c r="G25" s="1943"/>
    </row>
    <row r="26" spans="1:12" s="1924" customFormat="1" hidden="1">
      <c r="A26" s="1938"/>
      <c r="B26" s="1947" t="s">
        <v>2880</v>
      </c>
      <c r="C26" s="1941" t="s">
        <v>1087</v>
      </c>
      <c r="D26" s="1942"/>
      <c r="E26" s="1948">
        <f>976+'[61]GI fittings'!K35</f>
        <v>1046.278492375</v>
      </c>
      <c r="F26" s="1934">
        <f t="shared" si="0"/>
        <v>0</v>
      </c>
      <c r="G26" s="1943"/>
    </row>
    <row r="27" spans="1:12" s="1924" customFormat="1" hidden="1">
      <c r="A27" s="1938"/>
      <c r="B27" s="1947" t="s">
        <v>2881</v>
      </c>
      <c r="C27" s="1941" t="s">
        <v>1087</v>
      </c>
      <c r="D27" s="1942"/>
      <c r="E27" s="1948">
        <f>373+'[61]GI fittings'!K35</f>
        <v>443.27849237499998</v>
      </c>
      <c r="F27" s="1934">
        <f t="shared" si="0"/>
        <v>0</v>
      </c>
      <c r="G27" s="1943"/>
    </row>
    <row r="28" spans="1:12" s="1924" customFormat="1" hidden="1">
      <c r="A28" s="1938"/>
      <c r="B28" s="1947" t="s">
        <v>2882</v>
      </c>
      <c r="C28" s="1941" t="s">
        <v>1087</v>
      </c>
      <c r="D28" s="1942"/>
      <c r="E28" s="1948">
        <f>1586+'[61]GI fittings'!K35</f>
        <v>1656.278492375</v>
      </c>
      <c r="F28" s="1934">
        <f t="shared" si="0"/>
        <v>0</v>
      </c>
      <c r="G28" s="1943"/>
    </row>
    <row r="29" spans="1:12" s="1924" customFormat="1" hidden="1">
      <c r="A29" s="1938"/>
      <c r="B29" s="1947" t="s">
        <v>2883</v>
      </c>
      <c r="C29" s="1941" t="s">
        <v>1087</v>
      </c>
      <c r="D29" s="1942"/>
      <c r="E29" s="1948">
        <f>'[61]rate73-74'!O46*1.15</f>
        <v>520.00699999999995</v>
      </c>
      <c r="F29" s="1934">
        <f t="shared" si="0"/>
        <v>0</v>
      </c>
      <c r="G29" s="1943"/>
    </row>
    <row r="30" spans="1:12" s="1924" customFormat="1">
      <c r="A30" s="1949"/>
      <c r="B30" s="1950"/>
      <c r="C30" s="1951"/>
      <c r="D30" s="1952"/>
      <c r="E30" s="1952"/>
      <c r="F30" s="1953">
        <f>SUM(F6:F29)</f>
        <v>1665211.52</v>
      </c>
      <c r="G30" s="1954"/>
    </row>
    <row r="31" spans="1:12">
      <c r="A31" s="1920"/>
      <c r="B31" s="1919"/>
      <c r="C31" s="1919"/>
      <c r="D31" s="1919"/>
      <c r="E31" s="1919"/>
      <c r="F31" s="1919"/>
      <c r="G31" s="1919"/>
    </row>
    <row r="32" spans="1:12">
      <c r="A32" s="1920"/>
      <c r="B32" s="1919"/>
      <c r="C32" s="1919"/>
      <c r="D32" s="1919"/>
      <c r="E32" s="1919"/>
      <c r="F32" s="1919"/>
      <c r="G32" s="1919"/>
    </row>
    <row r="33" spans="1:12">
      <c r="A33" s="2937" t="s">
        <v>2925</v>
      </c>
      <c r="B33" s="2937"/>
      <c r="C33" s="1919"/>
      <c r="D33" s="1919"/>
      <c r="E33" s="1919"/>
      <c r="F33" s="1919"/>
      <c r="G33" s="1919"/>
    </row>
    <row r="34" spans="1:12">
      <c r="A34" s="1921" t="s">
        <v>908</v>
      </c>
      <c r="B34" s="1922" t="s">
        <v>2861</v>
      </c>
      <c r="C34" s="1922" t="s">
        <v>1035</v>
      </c>
      <c r="D34" s="1922" t="s">
        <v>964</v>
      </c>
      <c r="E34" s="1922" t="s">
        <v>97</v>
      </c>
      <c r="F34" s="1922" t="s">
        <v>52</v>
      </c>
      <c r="G34" s="1923" t="s">
        <v>1055</v>
      </c>
    </row>
    <row r="35" spans="1:12">
      <c r="A35" s="1938">
        <v>1</v>
      </c>
      <c r="B35" s="1932" t="s">
        <v>2863</v>
      </c>
      <c r="C35" s="1932" t="s">
        <v>1084</v>
      </c>
      <c r="D35" s="1936">
        <f>Qty_in_1!H93</f>
        <v>134</v>
      </c>
      <c r="E35" s="1936">
        <f>'[61]Analysis of rates'!E67</f>
        <v>414.57499999999999</v>
      </c>
      <c r="F35" s="1936">
        <f>+ROUND(D35*E35,2)</f>
        <v>55553.05</v>
      </c>
      <c r="G35" s="1937"/>
    </row>
    <row r="36" spans="1:12">
      <c r="A36" s="1938">
        <v>2</v>
      </c>
      <c r="B36" s="1932" t="s">
        <v>2884</v>
      </c>
      <c r="C36" s="1932" t="s">
        <v>1084</v>
      </c>
      <c r="D36" s="1936">
        <f>Qty_in_1!H96</f>
        <v>30</v>
      </c>
      <c r="E36" s="1936">
        <f>'[61]Analysis of rates'!E78</f>
        <v>296.125</v>
      </c>
      <c r="F36" s="1936">
        <f>+ROUND(D36*E36,2)</f>
        <v>8883.75</v>
      </c>
      <c r="G36" s="1937"/>
    </row>
    <row r="37" spans="1:12">
      <c r="A37" s="1938">
        <v>3</v>
      </c>
      <c r="B37" s="1932" t="s">
        <v>2885</v>
      </c>
      <c r="C37" s="1932"/>
      <c r="D37" s="1932"/>
      <c r="E37" s="1932"/>
      <c r="F37" s="1932"/>
      <c r="G37" s="1937"/>
    </row>
    <row r="38" spans="1:12">
      <c r="A38" s="1938">
        <v>3.1</v>
      </c>
      <c r="B38" s="1932" t="s">
        <v>2886</v>
      </c>
      <c r="C38" s="1932" t="s">
        <v>1084</v>
      </c>
      <c r="D38" s="1936">
        <f>Qty_in_1!H100</f>
        <v>16.8</v>
      </c>
      <c r="E38" s="1936">
        <f>'[61]Analysis of rates'!E1593</f>
        <v>4565</v>
      </c>
      <c r="F38" s="1936">
        <f>+ROUND(D38*E38,2)</f>
        <v>76692</v>
      </c>
      <c r="G38" s="1937"/>
    </row>
    <row r="39" spans="1:12" hidden="1">
      <c r="A39" s="1938">
        <v>3.2</v>
      </c>
      <c r="B39" s="1932" t="s">
        <v>2887</v>
      </c>
      <c r="C39" s="1932" t="s">
        <v>1084</v>
      </c>
      <c r="D39" s="1936">
        <v>0</v>
      </c>
      <c r="E39" s="1936">
        <f>'[61]Analysis of rates'!E1534</f>
        <v>8027</v>
      </c>
      <c r="F39" s="1936">
        <f>+ROUND(D39*E39,2)</f>
        <v>0</v>
      </c>
      <c r="G39" s="1937"/>
    </row>
    <row r="40" spans="1:12">
      <c r="A40" s="1938">
        <v>4</v>
      </c>
      <c r="B40" s="1932" t="s">
        <v>2864</v>
      </c>
      <c r="C40" s="1932"/>
      <c r="D40" s="1932"/>
      <c r="E40" s="1932"/>
      <c r="F40" s="1932"/>
      <c r="G40" s="1937"/>
    </row>
    <row r="41" spans="1:12">
      <c r="A41" s="1955">
        <v>4.0999999999999996</v>
      </c>
      <c r="B41" s="1932" t="s">
        <v>2888</v>
      </c>
      <c r="C41" s="1932" t="s">
        <v>1084</v>
      </c>
      <c r="D41" s="1936">
        <f>Qty_in_1!H110</f>
        <v>8.4499999999999993</v>
      </c>
      <c r="E41" s="1936">
        <f>'[61]Analysis of rates'!E166</f>
        <v>10715.087556</v>
      </c>
      <c r="F41" s="1936">
        <f>+ROUND(D41*E41,2)</f>
        <v>90542.49</v>
      </c>
      <c r="G41" s="1937"/>
    </row>
    <row r="42" spans="1:12" hidden="1">
      <c r="A42" s="1931">
        <v>4.2</v>
      </c>
      <c r="B42" s="1932" t="s">
        <v>2889</v>
      </c>
      <c r="C42" s="1932" t="s">
        <v>1084</v>
      </c>
      <c r="D42" s="1936">
        <v>0</v>
      </c>
      <c r="E42" s="1936">
        <f>'[61]Analysis of rates'!E181</f>
        <v>12897.012686</v>
      </c>
      <c r="F42" s="1936">
        <f>+ROUND(D42*E42,2)</f>
        <v>0</v>
      </c>
      <c r="G42" s="1937"/>
    </row>
    <row r="43" spans="1:12" hidden="1">
      <c r="A43" s="1931">
        <v>5</v>
      </c>
      <c r="B43" s="1932" t="s">
        <v>2866</v>
      </c>
      <c r="C43" s="1932" t="s">
        <v>2862</v>
      </c>
      <c r="D43" s="1936">
        <v>0</v>
      </c>
      <c r="E43" s="1936">
        <f>'[61]Analysis of rates'!E343</f>
        <v>764.33147666666673</v>
      </c>
      <c r="F43" s="1936">
        <f>+ROUND(D43*E43,2)</f>
        <v>0</v>
      </c>
      <c r="G43" s="1937"/>
      <c r="L43" s="1918">
        <f>2.4*3*1.5</f>
        <v>10.799999999999999</v>
      </c>
    </row>
    <row r="44" spans="1:12" ht="25.5" hidden="1">
      <c r="A44" s="1931">
        <v>6</v>
      </c>
      <c r="B44" s="1939" t="s">
        <v>2890</v>
      </c>
      <c r="C44" s="1932" t="s">
        <v>2862</v>
      </c>
      <c r="D44" s="1936">
        <v>0</v>
      </c>
      <c r="E44" s="1936">
        <f>E16</f>
        <v>351.50553344000002</v>
      </c>
      <c r="F44" s="1936">
        <f>+ROUND(D44*E44,2)</f>
        <v>0</v>
      </c>
      <c r="G44" s="1937"/>
      <c r="K44" s="1918">
        <f>3.6/3.281</f>
        <v>1.097226455348979</v>
      </c>
    </row>
    <row r="45" spans="1:12" ht="38.25" hidden="1">
      <c r="A45" s="1931">
        <v>7</v>
      </c>
      <c r="B45" s="1939" t="s">
        <v>2891</v>
      </c>
      <c r="C45" s="1932" t="s">
        <v>2862</v>
      </c>
      <c r="D45" s="1936">
        <v>0</v>
      </c>
      <c r="E45" s="1956">
        <f>'[61]Analysis of rates'!E2333</f>
        <v>2250.1799999999998</v>
      </c>
      <c r="F45" s="1936">
        <f>+ROUND(D45*E45,2)</f>
        <v>0</v>
      </c>
      <c r="G45" s="1937"/>
    </row>
    <row r="46" spans="1:12" hidden="1">
      <c r="A46" s="1931">
        <v>8</v>
      </c>
      <c r="B46" s="1939" t="s">
        <v>2892</v>
      </c>
      <c r="C46" s="1932"/>
      <c r="D46" s="1936"/>
      <c r="E46" s="1956"/>
      <c r="F46" s="1936"/>
      <c r="G46" s="1937"/>
    </row>
    <row r="47" spans="1:12" hidden="1">
      <c r="A47" s="1931"/>
      <c r="B47" s="1932" t="s">
        <v>2893</v>
      </c>
      <c r="C47" s="1932" t="s">
        <v>1084</v>
      </c>
      <c r="D47" s="1936">
        <v>0</v>
      </c>
      <c r="E47" s="1936">
        <f>'[61]Analysis of rates'!E2263</f>
        <v>2605.6284620000001</v>
      </c>
      <c r="F47" s="1936">
        <f>+ROUND(D47*E47,2)</f>
        <v>0</v>
      </c>
      <c r="G47" s="1937"/>
    </row>
    <row r="48" spans="1:12">
      <c r="A48" s="1931"/>
      <c r="B48" s="1932"/>
      <c r="C48" s="1932"/>
      <c r="D48" s="1932"/>
      <c r="E48" s="1932"/>
      <c r="F48" s="1932"/>
      <c r="G48" s="1937"/>
    </row>
    <row r="49" spans="1:7">
      <c r="A49" s="1957"/>
      <c r="B49" s="1952"/>
      <c r="C49" s="1952"/>
      <c r="D49" s="1952"/>
      <c r="E49" s="1958" t="s">
        <v>1108</v>
      </c>
      <c r="F49" s="1953">
        <f>SUM(F35:F41)</f>
        <v>231671.28999999998</v>
      </c>
      <c r="G49" s="1954"/>
    </row>
    <row r="50" spans="1:7">
      <c r="A50" s="1959"/>
      <c r="B50" s="1959"/>
      <c r="C50" s="1959"/>
      <c r="D50" s="1959"/>
      <c r="E50" s="1959"/>
      <c r="F50" s="1959"/>
      <c r="G50" s="1959"/>
    </row>
    <row r="52" spans="1:7">
      <c r="F52" s="1960"/>
    </row>
  </sheetData>
  <mergeCells count="3">
    <mergeCell ref="A1:G1"/>
    <mergeCell ref="A3:B3"/>
    <mergeCell ref="A33:B33"/>
  </mergeCells>
  <printOptions horizontalCentered="1"/>
  <pageMargins left="0.4" right="0.1" top="0.75" bottom="0.3" header="0.3" footer="0.2"/>
  <pageSetup paperSize="9" scale="93" orientation="portrait" r:id="rId1"/>
  <headerFooter alignWithMargins="0"/>
  <rowBreaks count="1" manualBreakCount="1">
    <brk id="49"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30"/>
  <sheetViews>
    <sheetView workbookViewId="0">
      <selection sqref="A1:H1"/>
    </sheetView>
  </sheetViews>
  <sheetFormatPr defaultColWidth="9.140625" defaultRowHeight="15.95" customHeight="1"/>
  <cols>
    <col min="1" max="1" width="4.7109375" style="513" customWidth="1"/>
    <col min="2" max="2" width="42.7109375" style="513" customWidth="1"/>
    <col min="3" max="3" width="7.140625" style="515" customWidth="1"/>
    <col min="4" max="4" width="7.42578125" style="516" customWidth="1"/>
    <col min="5" max="5" width="7.7109375" style="516" customWidth="1"/>
    <col min="6" max="6" width="7.140625" style="516" customWidth="1"/>
    <col min="7" max="7" width="10.140625" style="517" customWidth="1"/>
    <col min="8" max="8" width="5.5703125" style="513" customWidth="1"/>
    <col min="9" max="256" width="9.140625" style="513"/>
    <col min="257" max="257" width="4.7109375" style="513" customWidth="1"/>
    <col min="258" max="258" width="42.7109375" style="513" customWidth="1"/>
    <col min="259" max="259" width="7.140625" style="513" customWidth="1"/>
    <col min="260" max="260" width="7.42578125" style="513" customWidth="1"/>
    <col min="261" max="261" width="7.7109375" style="513" customWidth="1"/>
    <col min="262" max="262" width="7.140625" style="513" customWidth="1"/>
    <col min="263" max="263" width="10.140625" style="513" customWidth="1"/>
    <col min="264" max="264" width="5.5703125" style="513" customWidth="1"/>
    <col min="265" max="512" width="9.140625" style="513"/>
    <col min="513" max="513" width="4.7109375" style="513" customWidth="1"/>
    <col min="514" max="514" width="42.7109375" style="513" customWidth="1"/>
    <col min="515" max="515" width="7.140625" style="513" customWidth="1"/>
    <col min="516" max="516" width="7.42578125" style="513" customWidth="1"/>
    <col min="517" max="517" width="7.7109375" style="513" customWidth="1"/>
    <col min="518" max="518" width="7.140625" style="513" customWidth="1"/>
    <col min="519" max="519" width="10.140625" style="513" customWidth="1"/>
    <col min="520" max="520" width="5.5703125" style="513" customWidth="1"/>
    <col min="521" max="768" width="9.140625" style="513"/>
    <col min="769" max="769" width="4.7109375" style="513" customWidth="1"/>
    <col min="770" max="770" width="42.7109375" style="513" customWidth="1"/>
    <col min="771" max="771" width="7.140625" style="513" customWidth="1"/>
    <col min="772" max="772" width="7.42578125" style="513" customWidth="1"/>
    <col min="773" max="773" width="7.7109375" style="513" customWidth="1"/>
    <col min="774" max="774" width="7.140625" style="513" customWidth="1"/>
    <col min="775" max="775" width="10.140625" style="513" customWidth="1"/>
    <col min="776" max="776" width="5.5703125" style="513" customWidth="1"/>
    <col min="777" max="1024" width="9.140625" style="513"/>
    <col min="1025" max="1025" width="4.7109375" style="513" customWidth="1"/>
    <col min="1026" max="1026" width="42.7109375" style="513" customWidth="1"/>
    <col min="1027" max="1027" width="7.140625" style="513" customWidth="1"/>
    <col min="1028" max="1028" width="7.42578125" style="513" customWidth="1"/>
    <col min="1029" max="1029" width="7.7109375" style="513" customWidth="1"/>
    <col min="1030" max="1030" width="7.140625" style="513" customWidth="1"/>
    <col min="1031" max="1031" width="10.140625" style="513" customWidth="1"/>
    <col min="1032" max="1032" width="5.5703125" style="513" customWidth="1"/>
    <col min="1033" max="1280" width="9.140625" style="513"/>
    <col min="1281" max="1281" width="4.7109375" style="513" customWidth="1"/>
    <col min="1282" max="1282" width="42.7109375" style="513" customWidth="1"/>
    <col min="1283" max="1283" width="7.140625" style="513" customWidth="1"/>
    <col min="1284" max="1284" width="7.42578125" style="513" customWidth="1"/>
    <col min="1285" max="1285" width="7.7109375" style="513" customWidth="1"/>
    <col min="1286" max="1286" width="7.140625" style="513" customWidth="1"/>
    <col min="1287" max="1287" width="10.140625" style="513" customWidth="1"/>
    <col min="1288" max="1288" width="5.5703125" style="513" customWidth="1"/>
    <col min="1289" max="1536" width="9.140625" style="513"/>
    <col min="1537" max="1537" width="4.7109375" style="513" customWidth="1"/>
    <col min="1538" max="1538" width="42.7109375" style="513" customWidth="1"/>
    <col min="1539" max="1539" width="7.140625" style="513" customWidth="1"/>
    <col min="1540" max="1540" width="7.42578125" style="513" customWidth="1"/>
    <col min="1541" max="1541" width="7.7109375" style="513" customWidth="1"/>
    <col min="1542" max="1542" width="7.140625" style="513" customWidth="1"/>
    <col min="1543" max="1543" width="10.140625" style="513" customWidth="1"/>
    <col min="1544" max="1544" width="5.5703125" style="513" customWidth="1"/>
    <col min="1545" max="1792" width="9.140625" style="513"/>
    <col min="1793" max="1793" width="4.7109375" style="513" customWidth="1"/>
    <col min="1794" max="1794" width="42.7109375" style="513" customWidth="1"/>
    <col min="1795" max="1795" width="7.140625" style="513" customWidth="1"/>
    <col min="1796" max="1796" width="7.42578125" style="513" customWidth="1"/>
    <col min="1797" max="1797" width="7.7109375" style="513" customWidth="1"/>
    <col min="1798" max="1798" width="7.140625" style="513" customWidth="1"/>
    <col min="1799" max="1799" width="10.140625" style="513" customWidth="1"/>
    <col min="1800" max="1800" width="5.5703125" style="513" customWidth="1"/>
    <col min="1801" max="2048" width="9.140625" style="513"/>
    <col min="2049" max="2049" width="4.7109375" style="513" customWidth="1"/>
    <col min="2050" max="2050" width="42.7109375" style="513" customWidth="1"/>
    <col min="2051" max="2051" width="7.140625" style="513" customWidth="1"/>
    <col min="2052" max="2052" width="7.42578125" style="513" customWidth="1"/>
    <col min="2053" max="2053" width="7.7109375" style="513" customWidth="1"/>
    <col min="2054" max="2054" width="7.140625" style="513" customWidth="1"/>
    <col min="2055" max="2055" width="10.140625" style="513" customWidth="1"/>
    <col min="2056" max="2056" width="5.5703125" style="513" customWidth="1"/>
    <col min="2057" max="2304" width="9.140625" style="513"/>
    <col min="2305" max="2305" width="4.7109375" style="513" customWidth="1"/>
    <col min="2306" max="2306" width="42.7109375" style="513" customWidth="1"/>
    <col min="2307" max="2307" width="7.140625" style="513" customWidth="1"/>
    <col min="2308" max="2308" width="7.42578125" style="513" customWidth="1"/>
    <col min="2309" max="2309" width="7.7109375" style="513" customWidth="1"/>
    <col min="2310" max="2310" width="7.140625" style="513" customWidth="1"/>
    <col min="2311" max="2311" width="10.140625" style="513" customWidth="1"/>
    <col min="2312" max="2312" width="5.5703125" style="513" customWidth="1"/>
    <col min="2313" max="2560" width="9.140625" style="513"/>
    <col min="2561" max="2561" width="4.7109375" style="513" customWidth="1"/>
    <col min="2562" max="2562" width="42.7109375" style="513" customWidth="1"/>
    <col min="2563" max="2563" width="7.140625" style="513" customWidth="1"/>
    <col min="2564" max="2564" width="7.42578125" style="513" customWidth="1"/>
    <col min="2565" max="2565" width="7.7109375" style="513" customWidth="1"/>
    <col min="2566" max="2566" width="7.140625" style="513" customWidth="1"/>
    <col min="2567" max="2567" width="10.140625" style="513" customWidth="1"/>
    <col min="2568" max="2568" width="5.5703125" style="513" customWidth="1"/>
    <col min="2569" max="2816" width="9.140625" style="513"/>
    <col min="2817" max="2817" width="4.7109375" style="513" customWidth="1"/>
    <col min="2818" max="2818" width="42.7109375" style="513" customWidth="1"/>
    <col min="2819" max="2819" width="7.140625" style="513" customWidth="1"/>
    <col min="2820" max="2820" width="7.42578125" style="513" customWidth="1"/>
    <col min="2821" max="2821" width="7.7109375" style="513" customWidth="1"/>
    <col min="2822" max="2822" width="7.140625" style="513" customWidth="1"/>
    <col min="2823" max="2823" width="10.140625" style="513" customWidth="1"/>
    <col min="2824" max="2824" width="5.5703125" style="513" customWidth="1"/>
    <col min="2825" max="3072" width="9.140625" style="513"/>
    <col min="3073" max="3073" width="4.7109375" style="513" customWidth="1"/>
    <col min="3074" max="3074" width="42.7109375" style="513" customWidth="1"/>
    <col min="3075" max="3075" width="7.140625" style="513" customWidth="1"/>
    <col min="3076" max="3076" width="7.42578125" style="513" customWidth="1"/>
    <col min="3077" max="3077" width="7.7109375" style="513" customWidth="1"/>
    <col min="3078" max="3078" width="7.140625" style="513" customWidth="1"/>
    <col min="3079" max="3079" width="10.140625" style="513" customWidth="1"/>
    <col min="3080" max="3080" width="5.5703125" style="513" customWidth="1"/>
    <col min="3081" max="3328" width="9.140625" style="513"/>
    <col min="3329" max="3329" width="4.7109375" style="513" customWidth="1"/>
    <col min="3330" max="3330" width="42.7109375" style="513" customWidth="1"/>
    <col min="3331" max="3331" width="7.140625" style="513" customWidth="1"/>
    <col min="3332" max="3332" width="7.42578125" style="513" customWidth="1"/>
    <col min="3333" max="3333" width="7.7109375" style="513" customWidth="1"/>
    <col min="3334" max="3334" width="7.140625" style="513" customWidth="1"/>
    <col min="3335" max="3335" width="10.140625" style="513" customWidth="1"/>
    <col min="3336" max="3336" width="5.5703125" style="513" customWidth="1"/>
    <col min="3337" max="3584" width="9.140625" style="513"/>
    <col min="3585" max="3585" width="4.7109375" style="513" customWidth="1"/>
    <col min="3586" max="3586" width="42.7109375" style="513" customWidth="1"/>
    <col min="3587" max="3587" width="7.140625" style="513" customWidth="1"/>
    <col min="3588" max="3588" width="7.42578125" style="513" customWidth="1"/>
    <col min="3589" max="3589" width="7.7109375" style="513" customWidth="1"/>
    <col min="3590" max="3590" width="7.140625" style="513" customWidth="1"/>
    <col min="3591" max="3591" width="10.140625" style="513" customWidth="1"/>
    <col min="3592" max="3592" width="5.5703125" style="513" customWidth="1"/>
    <col min="3593" max="3840" width="9.140625" style="513"/>
    <col min="3841" max="3841" width="4.7109375" style="513" customWidth="1"/>
    <col min="3842" max="3842" width="42.7109375" style="513" customWidth="1"/>
    <col min="3843" max="3843" width="7.140625" style="513" customWidth="1"/>
    <col min="3844" max="3844" width="7.42578125" style="513" customWidth="1"/>
    <col min="3845" max="3845" width="7.7109375" style="513" customWidth="1"/>
    <col min="3846" max="3846" width="7.140625" style="513" customWidth="1"/>
    <col min="3847" max="3847" width="10.140625" style="513" customWidth="1"/>
    <col min="3848" max="3848" width="5.5703125" style="513" customWidth="1"/>
    <col min="3849" max="4096" width="9.140625" style="513"/>
    <col min="4097" max="4097" width="4.7109375" style="513" customWidth="1"/>
    <col min="4098" max="4098" width="42.7109375" style="513" customWidth="1"/>
    <col min="4099" max="4099" width="7.140625" style="513" customWidth="1"/>
    <col min="4100" max="4100" width="7.42578125" style="513" customWidth="1"/>
    <col min="4101" max="4101" width="7.7109375" style="513" customWidth="1"/>
    <col min="4102" max="4102" width="7.140625" style="513" customWidth="1"/>
    <col min="4103" max="4103" width="10.140625" style="513" customWidth="1"/>
    <col min="4104" max="4104" width="5.5703125" style="513" customWidth="1"/>
    <col min="4105" max="4352" width="9.140625" style="513"/>
    <col min="4353" max="4353" width="4.7109375" style="513" customWidth="1"/>
    <col min="4354" max="4354" width="42.7109375" style="513" customWidth="1"/>
    <col min="4355" max="4355" width="7.140625" style="513" customWidth="1"/>
    <col min="4356" max="4356" width="7.42578125" style="513" customWidth="1"/>
    <col min="4357" max="4357" width="7.7109375" style="513" customWidth="1"/>
    <col min="4358" max="4358" width="7.140625" style="513" customWidth="1"/>
    <col min="4359" max="4359" width="10.140625" style="513" customWidth="1"/>
    <col min="4360" max="4360" width="5.5703125" style="513" customWidth="1"/>
    <col min="4361" max="4608" width="9.140625" style="513"/>
    <col min="4609" max="4609" width="4.7109375" style="513" customWidth="1"/>
    <col min="4610" max="4610" width="42.7109375" style="513" customWidth="1"/>
    <col min="4611" max="4611" width="7.140625" style="513" customWidth="1"/>
    <col min="4612" max="4612" width="7.42578125" style="513" customWidth="1"/>
    <col min="4613" max="4613" width="7.7109375" style="513" customWidth="1"/>
    <col min="4614" max="4614" width="7.140625" style="513" customWidth="1"/>
    <col min="4615" max="4615" width="10.140625" style="513" customWidth="1"/>
    <col min="4616" max="4616" width="5.5703125" style="513" customWidth="1"/>
    <col min="4617" max="4864" width="9.140625" style="513"/>
    <col min="4865" max="4865" width="4.7109375" style="513" customWidth="1"/>
    <col min="4866" max="4866" width="42.7109375" style="513" customWidth="1"/>
    <col min="4867" max="4867" width="7.140625" style="513" customWidth="1"/>
    <col min="4868" max="4868" width="7.42578125" style="513" customWidth="1"/>
    <col min="4869" max="4869" width="7.7109375" style="513" customWidth="1"/>
    <col min="4870" max="4870" width="7.140625" style="513" customWidth="1"/>
    <col min="4871" max="4871" width="10.140625" style="513" customWidth="1"/>
    <col min="4872" max="4872" width="5.5703125" style="513" customWidth="1"/>
    <col min="4873" max="5120" width="9.140625" style="513"/>
    <col min="5121" max="5121" width="4.7109375" style="513" customWidth="1"/>
    <col min="5122" max="5122" width="42.7109375" style="513" customWidth="1"/>
    <col min="5123" max="5123" width="7.140625" style="513" customWidth="1"/>
    <col min="5124" max="5124" width="7.42578125" style="513" customWidth="1"/>
    <col min="5125" max="5125" width="7.7109375" style="513" customWidth="1"/>
    <col min="5126" max="5126" width="7.140625" style="513" customWidth="1"/>
    <col min="5127" max="5127" width="10.140625" style="513" customWidth="1"/>
    <col min="5128" max="5128" width="5.5703125" style="513" customWidth="1"/>
    <col min="5129" max="5376" width="9.140625" style="513"/>
    <col min="5377" max="5377" width="4.7109375" style="513" customWidth="1"/>
    <col min="5378" max="5378" width="42.7109375" style="513" customWidth="1"/>
    <col min="5379" max="5379" width="7.140625" style="513" customWidth="1"/>
    <col min="5380" max="5380" width="7.42578125" style="513" customWidth="1"/>
    <col min="5381" max="5381" width="7.7109375" style="513" customWidth="1"/>
    <col min="5382" max="5382" width="7.140625" style="513" customWidth="1"/>
    <col min="5383" max="5383" width="10.140625" style="513" customWidth="1"/>
    <col min="5384" max="5384" width="5.5703125" style="513" customWidth="1"/>
    <col min="5385" max="5632" width="9.140625" style="513"/>
    <col min="5633" max="5633" width="4.7109375" style="513" customWidth="1"/>
    <col min="5634" max="5634" width="42.7109375" style="513" customWidth="1"/>
    <col min="5635" max="5635" width="7.140625" style="513" customWidth="1"/>
    <col min="5636" max="5636" width="7.42578125" style="513" customWidth="1"/>
    <col min="5637" max="5637" width="7.7109375" style="513" customWidth="1"/>
    <col min="5638" max="5638" width="7.140625" style="513" customWidth="1"/>
    <col min="5639" max="5639" width="10.140625" style="513" customWidth="1"/>
    <col min="5640" max="5640" width="5.5703125" style="513" customWidth="1"/>
    <col min="5641" max="5888" width="9.140625" style="513"/>
    <col min="5889" max="5889" width="4.7109375" style="513" customWidth="1"/>
    <col min="5890" max="5890" width="42.7109375" style="513" customWidth="1"/>
    <col min="5891" max="5891" width="7.140625" style="513" customWidth="1"/>
    <col min="5892" max="5892" width="7.42578125" style="513" customWidth="1"/>
    <col min="5893" max="5893" width="7.7109375" style="513" customWidth="1"/>
    <col min="5894" max="5894" width="7.140625" style="513" customWidth="1"/>
    <col min="5895" max="5895" width="10.140625" style="513" customWidth="1"/>
    <col min="5896" max="5896" width="5.5703125" style="513" customWidth="1"/>
    <col min="5897" max="6144" width="9.140625" style="513"/>
    <col min="6145" max="6145" width="4.7109375" style="513" customWidth="1"/>
    <col min="6146" max="6146" width="42.7109375" style="513" customWidth="1"/>
    <col min="6147" max="6147" width="7.140625" style="513" customWidth="1"/>
    <col min="6148" max="6148" width="7.42578125" style="513" customWidth="1"/>
    <col min="6149" max="6149" width="7.7109375" style="513" customWidth="1"/>
    <col min="6150" max="6150" width="7.140625" style="513" customWidth="1"/>
    <col min="6151" max="6151" width="10.140625" style="513" customWidth="1"/>
    <col min="6152" max="6152" width="5.5703125" style="513" customWidth="1"/>
    <col min="6153" max="6400" width="9.140625" style="513"/>
    <col min="6401" max="6401" width="4.7109375" style="513" customWidth="1"/>
    <col min="6402" max="6402" width="42.7109375" style="513" customWidth="1"/>
    <col min="6403" max="6403" width="7.140625" style="513" customWidth="1"/>
    <col min="6404" max="6404" width="7.42578125" style="513" customWidth="1"/>
    <col min="6405" max="6405" width="7.7109375" style="513" customWidth="1"/>
    <col min="6406" max="6406" width="7.140625" style="513" customWidth="1"/>
    <col min="6407" max="6407" width="10.140625" style="513" customWidth="1"/>
    <col min="6408" max="6408" width="5.5703125" style="513" customWidth="1"/>
    <col min="6409" max="6656" width="9.140625" style="513"/>
    <col min="6657" max="6657" width="4.7109375" style="513" customWidth="1"/>
    <col min="6658" max="6658" width="42.7109375" style="513" customWidth="1"/>
    <col min="6659" max="6659" width="7.140625" style="513" customWidth="1"/>
    <col min="6660" max="6660" width="7.42578125" style="513" customWidth="1"/>
    <col min="6661" max="6661" width="7.7109375" style="513" customWidth="1"/>
    <col min="6662" max="6662" width="7.140625" style="513" customWidth="1"/>
    <col min="6663" max="6663" width="10.140625" style="513" customWidth="1"/>
    <col min="6664" max="6664" width="5.5703125" style="513" customWidth="1"/>
    <col min="6665" max="6912" width="9.140625" style="513"/>
    <col min="6913" max="6913" width="4.7109375" style="513" customWidth="1"/>
    <col min="6914" max="6914" width="42.7109375" style="513" customWidth="1"/>
    <col min="6915" max="6915" width="7.140625" style="513" customWidth="1"/>
    <col min="6916" max="6916" width="7.42578125" style="513" customWidth="1"/>
    <col min="6917" max="6917" width="7.7109375" style="513" customWidth="1"/>
    <col min="6918" max="6918" width="7.140625" style="513" customWidth="1"/>
    <col min="6919" max="6919" width="10.140625" style="513" customWidth="1"/>
    <col min="6920" max="6920" width="5.5703125" style="513" customWidth="1"/>
    <col min="6921" max="7168" width="9.140625" style="513"/>
    <col min="7169" max="7169" width="4.7109375" style="513" customWidth="1"/>
    <col min="7170" max="7170" width="42.7109375" style="513" customWidth="1"/>
    <col min="7171" max="7171" width="7.140625" style="513" customWidth="1"/>
    <col min="7172" max="7172" width="7.42578125" style="513" customWidth="1"/>
    <col min="7173" max="7173" width="7.7109375" style="513" customWidth="1"/>
    <col min="7174" max="7174" width="7.140625" style="513" customWidth="1"/>
    <col min="7175" max="7175" width="10.140625" style="513" customWidth="1"/>
    <col min="7176" max="7176" width="5.5703125" style="513" customWidth="1"/>
    <col min="7177" max="7424" width="9.140625" style="513"/>
    <col min="7425" max="7425" width="4.7109375" style="513" customWidth="1"/>
    <col min="7426" max="7426" width="42.7109375" style="513" customWidth="1"/>
    <col min="7427" max="7427" width="7.140625" style="513" customWidth="1"/>
    <col min="7428" max="7428" width="7.42578125" style="513" customWidth="1"/>
    <col min="7429" max="7429" width="7.7109375" style="513" customWidth="1"/>
    <col min="7430" max="7430" width="7.140625" style="513" customWidth="1"/>
    <col min="7431" max="7431" width="10.140625" style="513" customWidth="1"/>
    <col min="7432" max="7432" width="5.5703125" style="513" customWidth="1"/>
    <col min="7433" max="7680" width="9.140625" style="513"/>
    <col min="7681" max="7681" width="4.7109375" style="513" customWidth="1"/>
    <col min="7682" max="7682" width="42.7109375" style="513" customWidth="1"/>
    <col min="7683" max="7683" width="7.140625" style="513" customWidth="1"/>
    <col min="7684" max="7684" width="7.42578125" style="513" customWidth="1"/>
    <col min="7685" max="7685" width="7.7109375" style="513" customWidth="1"/>
    <col min="7686" max="7686" width="7.140625" style="513" customWidth="1"/>
    <col min="7687" max="7687" width="10.140625" style="513" customWidth="1"/>
    <col min="7688" max="7688" width="5.5703125" style="513" customWidth="1"/>
    <col min="7689" max="7936" width="9.140625" style="513"/>
    <col min="7937" max="7937" width="4.7109375" style="513" customWidth="1"/>
    <col min="7938" max="7938" width="42.7109375" style="513" customWidth="1"/>
    <col min="7939" max="7939" width="7.140625" style="513" customWidth="1"/>
    <col min="7940" max="7940" width="7.42578125" style="513" customWidth="1"/>
    <col min="7941" max="7941" width="7.7109375" style="513" customWidth="1"/>
    <col min="7942" max="7942" width="7.140625" style="513" customWidth="1"/>
    <col min="7943" max="7943" width="10.140625" style="513" customWidth="1"/>
    <col min="7944" max="7944" width="5.5703125" style="513" customWidth="1"/>
    <col min="7945" max="8192" width="9.140625" style="513"/>
    <col min="8193" max="8193" width="4.7109375" style="513" customWidth="1"/>
    <col min="8194" max="8194" width="42.7109375" style="513" customWidth="1"/>
    <col min="8195" max="8195" width="7.140625" style="513" customWidth="1"/>
    <col min="8196" max="8196" width="7.42578125" style="513" customWidth="1"/>
    <col min="8197" max="8197" width="7.7109375" style="513" customWidth="1"/>
    <col min="8198" max="8198" width="7.140625" style="513" customWidth="1"/>
    <col min="8199" max="8199" width="10.140625" style="513" customWidth="1"/>
    <col min="8200" max="8200" width="5.5703125" style="513" customWidth="1"/>
    <col min="8201" max="8448" width="9.140625" style="513"/>
    <col min="8449" max="8449" width="4.7109375" style="513" customWidth="1"/>
    <col min="8450" max="8450" width="42.7109375" style="513" customWidth="1"/>
    <col min="8451" max="8451" width="7.140625" style="513" customWidth="1"/>
    <col min="8452" max="8452" width="7.42578125" style="513" customWidth="1"/>
    <col min="8453" max="8453" width="7.7109375" style="513" customWidth="1"/>
    <col min="8454" max="8454" width="7.140625" style="513" customWidth="1"/>
    <col min="8455" max="8455" width="10.140625" style="513" customWidth="1"/>
    <col min="8456" max="8456" width="5.5703125" style="513" customWidth="1"/>
    <col min="8457" max="8704" width="9.140625" style="513"/>
    <col min="8705" max="8705" width="4.7109375" style="513" customWidth="1"/>
    <col min="8706" max="8706" width="42.7109375" style="513" customWidth="1"/>
    <col min="8707" max="8707" width="7.140625" style="513" customWidth="1"/>
    <col min="8708" max="8708" width="7.42578125" style="513" customWidth="1"/>
    <col min="8709" max="8709" width="7.7109375" style="513" customWidth="1"/>
    <col min="8710" max="8710" width="7.140625" style="513" customWidth="1"/>
    <col min="8711" max="8711" width="10.140625" style="513" customWidth="1"/>
    <col min="8712" max="8712" width="5.5703125" style="513" customWidth="1"/>
    <col min="8713" max="8960" width="9.140625" style="513"/>
    <col min="8961" max="8961" width="4.7109375" style="513" customWidth="1"/>
    <col min="8962" max="8962" width="42.7109375" style="513" customWidth="1"/>
    <col min="8963" max="8963" width="7.140625" style="513" customWidth="1"/>
    <col min="8964" max="8964" width="7.42578125" style="513" customWidth="1"/>
    <col min="8965" max="8965" width="7.7109375" style="513" customWidth="1"/>
    <col min="8966" max="8966" width="7.140625" style="513" customWidth="1"/>
    <col min="8967" max="8967" width="10.140625" style="513" customWidth="1"/>
    <col min="8968" max="8968" width="5.5703125" style="513" customWidth="1"/>
    <col min="8969" max="9216" width="9.140625" style="513"/>
    <col min="9217" max="9217" width="4.7109375" style="513" customWidth="1"/>
    <col min="9218" max="9218" width="42.7109375" style="513" customWidth="1"/>
    <col min="9219" max="9219" width="7.140625" style="513" customWidth="1"/>
    <col min="9220" max="9220" width="7.42578125" style="513" customWidth="1"/>
    <col min="9221" max="9221" width="7.7109375" style="513" customWidth="1"/>
    <col min="9222" max="9222" width="7.140625" style="513" customWidth="1"/>
    <col min="9223" max="9223" width="10.140625" style="513" customWidth="1"/>
    <col min="9224" max="9224" width="5.5703125" style="513" customWidth="1"/>
    <col min="9225" max="9472" width="9.140625" style="513"/>
    <col min="9473" max="9473" width="4.7109375" style="513" customWidth="1"/>
    <col min="9474" max="9474" width="42.7109375" style="513" customWidth="1"/>
    <col min="9475" max="9475" width="7.140625" style="513" customWidth="1"/>
    <col min="9476" max="9476" width="7.42578125" style="513" customWidth="1"/>
    <col min="9477" max="9477" width="7.7109375" style="513" customWidth="1"/>
    <col min="9478" max="9478" width="7.140625" style="513" customWidth="1"/>
    <col min="9479" max="9479" width="10.140625" style="513" customWidth="1"/>
    <col min="9480" max="9480" width="5.5703125" style="513" customWidth="1"/>
    <col min="9481" max="9728" width="9.140625" style="513"/>
    <col min="9729" max="9729" width="4.7109375" style="513" customWidth="1"/>
    <col min="9730" max="9730" width="42.7109375" style="513" customWidth="1"/>
    <col min="9731" max="9731" width="7.140625" style="513" customWidth="1"/>
    <col min="9732" max="9732" width="7.42578125" style="513" customWidth="1"/>
    <col min="9733" max="9733" width="7.7109375" style="513" customWidth="1"/>
    <col min="9734" max="9734" width="7.140625" style="513" customWidth="1"/>
    <col min="9735" max="9735" width="10.140625" style="513" customWidth="1"/>
    <col min="9736" max="9736" width="5.5703125" style="513" customWidth="1"/>
    <col min="9737" max="9984" width="9.140625" style="513"/>
    <col min="9985" max="9985" width="4.7109375" style="513" customWidth="1"/>
    <col min="9986" max="9986" width="42.7109375" style="513" customWidth="1"/>
    <col min="9987" max="9987" width="7.140625" style="513" customWidth="1"/>
    <col min="9988" max="9988" width="7.42578125" style="513" customWidth="1"/>
    <col min="9989" max="9989" width="7.7109375" style="513" customWidth="1"/>
    <col min="9990" max="9990" width="7.140625" style="513" customWidth="1"/>
    <col min="9991" max="9991" width="10.140625" style="513" customWidth="1"/>
    <col min="9992" max="9992" width="5.5703125" style="513" customWidth="1"/>
    <col min="9993" max="10240" width="9.140625" style="513"/>
    <col min="10241" max="10241" width="4.7109375" style="513" customWidth="1"/>
    <col min="10242" max="10242" width="42.7109375" style="513" customWidth="1"/>
    <col min="10243" max="10243" width="7.140625" style="513" customWidth="1"/>
    <col min="10244" max="10244" width="7.42578125" style="513" customWidth="1"/>
    <col min="10245" max="10245" width="7.7109375" style="513" customWidth="1"/>
    <col min="10246" max="10246" width="7.140625" style="513" customWidth="1"/>
    <col min="10247" max="10247" width="10.140625" style="513" customWidth="1"/>
    <col min="10248" max="10248" width="5.5703125" style="513" customWidth="1"/>
    <col min="10249" max="10496" width="9.140625" style="513"/>
    <col min="10497" max="10497" width="4.7109375" style="513" customWidth="1"/>
    <col min="10498" max="10498" width="42.7109375" style="513" customWidth="1"/>
    <col min="10499" max="10499" width="7.140625" style="513" customWidth="1"/>
    <col min="10500" max="10500" width="7.42578125" style="513" customWidth="1"/>
    <col min="10501" max="10501" width="7.7109375" style="513" customWidth="1"/>
    <col min="10502" max="10502" width="7.140625" style="513" customWidth="1"/>
    <col min="10503" max="10503" width="10.140625" style="513" customWidth="1"/>
    <col min="10504" max="10504" width="5.5703125" style="513" customWidth="1"/>
    <col min="10505" max="10752" width="9.140625" style="513"/>
    <col min="10753" max="10753" width="4.7109375" style="513" customWidth="1"/>
    <col min="10754" max="10754" width="42.7109375" style="513" customWidth="1"/>
    <col min="10755" max="10755" width="7.140625" style="513" customWidth="1"/>
    <col min="10756" max="10756" width="7.42578125" style="513" customWidth="1"/>
    <col min="10757" max="10757" width="7.7109375" style="513" customWidth="1"/>
    <col min="10758" max="10758" width="7.140625" style="513" customWidth="1"/>
    <col min="10759" max="10759" width="10.140625" style="513" customWidth="1"/>
    <col min="10760" max="10760" width="5.5703125" style="513" customWidth="1"/>
    <col min="10761" max="11008" width="9.140625" style="513"/>
    <col min="11009" max="11009" width="4.7109375" style="513" customWidth="1"/>
    <col min="11010" max="11010" width="42.7109375" style="513" customWidth="1"/>
    <col min="11011" max="11011" width="7.140625" style="513" customWidth="1"/>
    <col min="11012" max="11012" width="7.42578125" style="513" customWidth="1"/>
    <col min="11013" max="11013" width="7.7109375" style="513" customWidth="1"/>
    <col min="11014" max="11014" width="7.140625" style="513" customWidth="1"/>
    <col min="11015" max="11015" width="10.140625" style="513" customWidth="1"/>
    <col min="11016" max="11016" width="5.5703125" style="513" customWidth="1"/>
    <col min="11017" max="11264" width="9.140625" style="513"/>
    <col min="11265" max="11265" width="4.7109375" style="513" customWidth="1"/>
    <col min="11266" max="11266" width="42.7109375" style="513" customWidth="1"/>
    <col min="11267" max="11267" width="7.140625" style="513" customWidth="1"/>
    <col min="11268" max="11268" width="7.42578125" style="513" customWidth="1"/>
    <col min="11269" max="11269" width="7.7109375" style="513" customWidth="1"/>
    <col min="11270" max="11270" width="7.140625" style="513" customWidth="1"/>
    <col min="11271" max="11271" width="10.140625" style="513" customWidth="1"/>
    <col min="11272" max="11272" width="5.5703125" style="513" customWidth="1"/>
    <col min="11273" max="11520" width="9.140625" style="513"/>
    <col min="11521" max="11521" width="4.7109375" style="513" customWidth="1"/>
    <col min="11522" max="11522" width="42.7109375" style="513" customWidth="1"/>
    <col min="11523" max="11523" width="7.140625" style="513" customWidth="1"/>
    <col min="11524" max="11524" width="7.42578125" style="513" customWidth="1"/>
    <col min="11525" max="11525" width="7.7109375" style="513" customWidth="1"/>
    <col min="11526" max="11526" width="7.140625" style="513" customWidth="1"/>
    <col min="11527" max="11527" width="10.140625" style="513" customWidth="1"/>
    <col min="11528" max="11528" width="5.5703125" style="513" customWidth="1"/>
    <col min="11529" max="11776" width="9.140625" style="513"/>
    <col min="11777" max="11777" width="4.7109375" style="513" customWidth="1"/>
    <col min="11778" max="11778" width="42.7109375" style="513" customWidth="1"/>
    <col min="11779" max="11779" width="7.140625" style="513" customWidth="1"/>
    <col min="11780" max="11780" width="7.42578125" style="513" customWidth="1"/>
    <col min="11781" max="11781" width="7.7109375" style="513" customWidth="1"/>
    <col min="11782" max="11782" width="7.140625" style="513" customWidth="1"/>
    <col min="11783" max="11783" width="10.140625" style="513" customWidth="1"/>
    <col min="11784" max="11784" width="5.5703125" style="513" customWidth="1"/>
    <col min="11785" max="12032" width="9.140625" style="513"/>
    <col min="12033" max="12033" width="4.7109375" style="513" customWidth="1"/>
    <col min="12034" max="12034" width="42.7109375" style="513" customWidth="1"/>
    <col min="12035" max="12035" width="7.140625" style="513" customWidth="1"/>
    <col min="12036" max="12036" width="7.42578125" style="513" customWidth="1"/>
    <col min="12037" max="12037" width="7.7109375" style="513" customWidth="1"/>
    <col min="12038" max="12038" width="7.140625" style="513" customWidth="1"/>
    <col min="12039" max="12039" width="10.140625" style="513" customWidth="1"/>
    <col min="12040" max="12040" width="5.5703125" style="513" customWidth="1"/>
    <col min="12041" max="12288" width="9.140625" style="513"/>
    <col min="12289" max="12289" width="4.7109375" style="513" customWidth="1"/>
    <col min="12290" max="12290" width="42.7109375" style="513" customWidth="1"/>
    <col min="12291" max="12291" width="7.140625" style="513" customWidth="1"/>
    <col min="12292" max="12292" width="7.42578125" style="513" customWidth="1"/>
    <col min="12293" max="12293" width="7.7109375" style="513" customWidth="1"/>
    <col min="12294" max="12294" width="7.140625" style="513" customWidth="1"/>
    <col min="12295" max="12295" width="10.140625" style="513" customWidth="1"/>
    <col min="12296" max="12296" width="5.5703125" style="513" customWidth="1"/>
    <col min="12297" max="12544" width="9.140625" style="513"/>
    <col min="12545" max="12545" width="4.7109375" style="513" customWidth="1"/>
    <col min="12546" max="12546" width="42.7109375" style="513" customWidth="1"/>
    <col min="12547" max="12547" width="7.140625" style="513" customWidth="1"/>
    <col min="12548" max="12548" width="7.42578125" style="513" customWidth="1"/>
    <col min="12549" max="12549" width="7.7109375" style="513" customWidth="1"/>
    <col min="12550" max="12550" width="7.140625" style="513" customWidth="1"/>
    <col min="12551" max="12551" width="10.140625" style="513" customWidth="1"/>
    <col min="12552" max="12552" width="5.5703125" style="513" customWidth="1"/>
    <col min="12553" max="12800" width="9.140625" style="513"/>
    <col min="12801" max="12801" width="4.7109375" style="513" customWidth="1"/>
    <col min="12802" max="12802" width="42.7109375" style="513" customWidth="1"/>
    <col min="12803" max="12803" width="7.140625" style="513" customWidth="1"/>
    <col min="12804" max="12804" width="7.42578125" style="513" customWidth="1"/>
    <col min="12805" max="12805" width="7.7109375" style="513" customWidth="1"/>
    <col min="12806" max="12806" width="7.140625" style="513" customWidth="1"/>
    <col min="12807" max="12807" width="10.140625" style="513" customWidth="1"/>
    <col min="12808" max="12808" width="5.5703125" style="513" customWidth="1"/>
    <col min="12809" max="13056" width="9.140625" style="513"/>
    <col min="13057" max="13057" width="4.7109375" style="513" customWidth="1"/>
    <col min="13058" max="13058" width="42.7109375" style="513" customWidth="1"/>
    <col min="13059" max="13059" width="7.140625" style="513" customWidth="1"/>
    <col min="13060" max="13060" width="7.42578125" style="513" customWidth="1"/>
    <col min="13061" max="13061" width="7.7109375" style="513" customWidth="1"/>
    <col min="13062" max="13062" width="7.140625" style="513" customWidth="1"/>
    <col min="13063" max="13063" width="10.140625" style="513" customWidth="1"/>
    <col min="13064" max="13064" width="5.5703125" style="513" customWidth="1"/>
    <col min="13065" max="13312" width="9.140625" style="513"/>
    <col min="13313" max="13313" width="4.7109375" style="513" customWidth="1"/>
    <col min="13314" max="13314" width="42.7109375" style="513" customWidth="1"/>
    <col min="13315" max="13315" width="7.140625" style="513" customWidth="1"/>
    <col min="13316" max="13316" width="7.42578125" style="513" customWidth="1"/>
    <col min="13317" max="13317" width="7.7109375" style="513" customWidth="1"/>
    <col min="13318" max="13318" width="7.140625" style="513" customWidth="1"/>
    <col min="13319" max="13319" width="10.140625" style="513" customWidth="1"/>
    <col min="13320" max="13320" width="5.5703125" style="513" customWidth="1"/>
    <col min="13321" max="13568" width="9.140625" style="513"/>
    <col min="13569" max="13569" width="4.7109375" style="513" customWidth="1"/>
    <col min="13570" max="13570" width="42.7109375" style="513" customWidth="1"/>
    <col min="13571" max="13571" width="7.140625" style="513" customWidth="1"/>
    <col min="13572" max="13572" width="7.42578125" style="513" customWidth="1"/>
    <col min="13573" max="13573" width="7.7109375" style="513" customWidth="1"/>
    <col min="13574" max="13574" width="7.140625" style="513" customWidth="1"/>
    <col min="13575" max="13575" width="10.140625" style="513" customWidth="1"/>
    <col min="13576" max="13576" width="5.5703125" style="513" customWidth="1"/>
    <col min="13577" max="13824" width="9.140625" style="513"/>
    <col min="13825" max="13825" width="4.7109375" style="513" customWidth="1"/>
    <col min="13826" max="13826" width="42.7109375" style="513" customWidth="1"/>
    <col min="13827" max="13827" width="7.140625" style="513" customWidth="1"/>
    <col min="13828" max="13828" width="7.42578125" style="513" customWidth="1"/>
    <col min="13829" max="13829" width="7.7109375" style="513" customWidth="1"/>
    <col min="13830" max="13830" width="7.140625" style="513" customWidth="1"/>
    <col min="13831" max="13831" width="10.140625" style="513" customWidth="1"/>
    <col min="13832" max="13832" width="5.5703125" style="513" customWidth="1"/>
    <col min="13833" max="14080" width="9.140625" style="513"/>
    <col min="14081" max="14081" width="4.7109375" style="513" customWidth="1"/>
    <col min="14082" max="14082" width="42.7109375" style="513" customWidth="1"/>
    <col min="14083" max="14083" width="7.140625" style="513" customWidth="1"/>
    <col min="14084" max="14084" width="7.42578125" style="513" customWidth="1"/>
    <col min="14085" max="14085" width="7.7109375" style="513" customWidth="1"/>
    <col min="14086" max="14086" width="7.140625" style="513" customWidth="1"/>
    <col min="14087" max="14087" width="10.140625" style="513" customWidth="1"/>
    <col min="14088" max="14088" width="5.5703125" style="513" customWidth="1"/>
    <col min="14089" max="14336" width="9.140625" style="513"/>
    <col min="14337" max="14337" width="4.7109375" style="513" customWidth="1"/>
    <col min="14338" max="14338" width="42.7109375" style="513" customWidth="1"/>
    <col min="14339" max="14339" width="7.140625" style="513" customWidth="1"/>
    <col min="14340" max="14340" width="7.42578125" style="513" customWidth="1"/>
    <col min="14341" max="14341" width="7.7109375" style="513" customWidth="1"/>
    <col min="14342" max="14342" width="7.140625" style="513" customWidth="1"/>
    <col min="14343" max="14343" width="10.140625" style="513" customWidth="1"/>
    <col min="14344" max="14344" width="5.5703125" style="513" customWidth="1"/>
    <col min="14345" max="14592" width="9.140625" style="513"/>
    <col min="14593" max="14593" width="4.7109375" style="513" customWidth="1"/>
    <col min="14594" max="14594" width="42.7109375" style="513" customWidth="1"/>
    <col min="14595" max="14595" width="7.140625" style="513" customWidth="1"/>
    <col min="14596" max="14596" width="7.42578125" style="513" customWidth="1"/>
    <col min="14597" max="14597" width="7.7109375" style="513" customWidth="1"/>
    <col min="14598" max="14598" width="7.140625" style="513" customWidth="1"/>
    <col min="14599" max="14599" width="10.140625" style="513" customWidth="1"/>
    <col min="14600" max="14600" width="5.5703125" style="513" customWidth="1"/>
    <col min="14601" max="14848" width="9.140625" style="513"/>
    <col min="14849" max="14849" width="4.7109375" style="513" customWidth="1"/>
    <col min="14850" max="14850" width="42.7109375" style="513" customWidth="1"/>
    <col min="14851" max="14851" width="7.140625" style="513" customWidth="1"/>
    <col min="14852" max="14852" width="7.42578125" style="513" customWidth="1"/>
    <col min="14853" max="14853" width="7.7109375" style="513" customWidth="1"/>
    <col min="14854" max="14854" width="7.140625" style="513" customWidth="1"/>
    <col min="14855" max="14855" width="10.140625" style="513" customWidth="1"/>
    <col min="14856" max="14856" width="5.5703125" style="513" customWidth="1"/>
    <col min="14857" max="15104" width="9.140625" style="513"/>
    <col min="15105" max="15105" width="4.7109375" style="513" customWidth="1"/>
    <col min="15106" max="15106" width="42.7109375" style="513" customWidth="1"/>
    <col min="15107" max="15107" width="7.140625" style="513" customWidth="1"/>
    <col min="15108" max="15108" width="7.42578125" style="513" customWidth="1"/>
    <col min="15109" max="15109" width="7.7109375" style="513" customWidth="1"/>
    <col min="15110" max="15110" width="7.140625" style="513" customWidth="1"/>
    <col min="15111" max="15111" width="10.140625" style="513" customWidth="1"/>
    <col min="15112" max="15112" width="5.5703125" style="513" customWidth="1"/>
    <col min="15113" max="15360" width="9.140625" style="513"/>
    <col min="15361" max="15361" width="4.7109375" style="513" customWidth="1"/>
    <col min="15362" max="15362" width="42.7109375" style="513" customWidth="1"/>
    <col min="15363" max="15363" width="7.140625" style="513" customWidth="1"/>
    <col min="15364" max="15364" width="7.42578125" style="513" customWidth="1"/>
    <col min="15365" max="15365" width="7.7109375" style="513" customWidth="1"/>
    <col min="15366" max="15366" width="7.140625" style="513" customWidth="1"/>
    <col min="15367" max="15367" width="10.140625" style="513" customWidth="1"/>
    <col min="15368" max="15368" width="5.5703125" style="513" customWidth="1"/>
    <col min="15369" max="15616" width="9.140625" style="513"/>
    <col min="15617" max="15617" width="4.7109375" style="513" customWidth="1"/>
    <col min="15618" max="15618" width="42.7109375" style="513" customWidth="1"/>
    <col min="15619" max="15619" width="7.140625" style="513" customWidth="1"/>
    <col min="15620" max="15620" width="7.42578125" style="513" customWidth="1"/>
    <col min="15621" max="15621" width="7.7109375" style="513" customWidth="1"/>
    <col min="15622" max="15622" width="7.140625" style="513" customWidth="1"/>
    <col min="15623" max="15623" width="10.140625" style="513" customWidth="1"/>
    <col min="15624" max="15624" width="5.5703125" style="513" customWidth="1"/>
    <col min="15625" max="15872" width="9.140625" style="513"/>
    <col min="15873" max="15873" width="4.7109375" style="513" customWidth="1"/>
    <col min="15874" max="15874" width="42.7109375" style="513" customWidth="1"/>
    <col min="15875" max="15875" width="7.140625" style="513" customWidth="1"/>
    <col min="15876" max="15876" width="7.42578125" style="513" customWidth="1"/>
    <col min="15877" max="15877" width="7.7109375" style="513" customWidth="1"/>
    <col min="15878" max="15878" width="7.140625" style="513" customWidth="1"/>
    <col min="15879" max="15879" width="10.140625" style="513" customWidth="1"/>
    <col min="15880" max="15880" width="5.5703125" style="513" customWidth="1"/>
    <col min="15881" max="16128" width="9.140625" style="513"/>
    <col min="16129" max="16129" width="4.7109375" style="513" customWidth="1"/>
    <col min="16130" max="16130" width="42.7109375" style="513" customWidth="1"/>
    <col min="16131" max="16131" width="7.140625" style="513" customWidth="1"/>
    <col min="16132" max="16132" width="7.42578125" style="513" customWidth="1"/>
    <col min="16133" max="16133" width="7.7109375" style="513" customWidth="1"/>
    <col min="16134" max="16134" width="7.140625" style="513" customWidth="1"/>
    <col min="16135" max="16135" width="10.140625" style="513" customWidth="1"/>
    <col min="16136" max="16136" width="5.5703125" style="513" customWidth="1"/>
    <col min="16137" max="16384" width="9.140625" style="513"/>
  </cols>
  <sheetData>
    <row r="1" spans="1:8" ht="15" customHeight="1">
      <c r="A1" s="2961" t="s">
        <v>708</v>
      </c>
      <c r="B1" s="2961"/>
      <c r="C1" s="2961"/>
      <c r="D1" s="2961"/>
      <c r="E1" s="2961"/>
      <c r="F1" s="2961"/>
      <c r="G1" s="2961"/>
      <c r="H1" s="2961"/>
    </row>
    <row r="2" spans="1:8" ht="12" customHeight="1">
      <c r="A2" s="10"/>
      <c r="B2" s="10"/>
      <c r="C2" s="464"/>
      <c r="D2" s="436"/>
      <c r="E2" s="436"/>
      <c r="F2" s="436"/>
      <c r="G2" s="464"/>
      <c r="H2" s="464"/>
    </row>
    <row r="3" spans="1:8" ht="14.1" customHeight="1">
      <c r="A3" s="285" t="s">
        <v>21</v>
      </c>
    </row>
    <row r="4" spans="1:8" ht="8.25" customHeight="1"/>
    <row r="5" spans="1:8" ht="14.1" customHeight="1">
      <c r="A5" s="1634" t="s">
        <v>961</v>
      </c>
      <c r="B5" s="1634" t="s">
        <v>962</v>
      </c>
      <c r="C5" s="1635" t="s">
        <v>963</v>
      </c>
      <c r="D5" s="1636" t="s">
        <v>1051</v>
      </c>
      <c r="E5" s="1636" t="s">
        <v>1052</v>
      </c>
      <c r="F5" s="1636" t="s">
        <v>1053</v>
      </c>
      <c r="G5" s="1637" t="s">
        <v>964</v>
      </c>
      <c r="H5" s="1634" t="s">
        <v>1054</v>
      </c>
    </row>
    <row r="6" spans="1:8" ht="14.1" customHeight="1">
      <c r="A6" s="471">
        <v>1</v>
      </c>
      <c r="B6" s="192" t="s">
        <v>966</v>
      </c>
      <c r="C6" s="192">
        <v>1</v>
      </c>
      <c r="D6" s="472">
        <v>14</v>
      </c>
      <c r="E6" s="472">
        <v>6</v>
      </c>
      <c r="F6" s="472"/>
      <c r="G6" s="489">
        <f>ROUND((C6*D6*E6),2)</f>
        <v>84</v>
      </c>
      <c r="H6" s="474" t="s">
        <v>1182</v>
      </c>
    </row>
    <row r="7" spans="1:8" ht="14.1" customHeight="1">
      <c r="A7" s="475">
        <v>2</v>
      </c>
      <c r="B7" s="482" t="s">
        <v>900</v>
      </c>
      <c r="C7" s="477"/>
      <c r="D7" s="478"/>
      <c r="E7" s="478"/>
      <c r="F7" s="478"/>
      <c r="G7" s="479"/>
      <c r="H7" s="480"/>
    </row>
    <row r="8" spans="1:8" ht="14.1" customHeight="1">
      <c r="A8" s="475"/>
      <c r="B8" s="476" t="s">
        <v>552</v>
      </c>
      <c r="C8" s="477">
        <v>1</v>
      </c>
      <c r="D8" s="478">
        <v>13.52</v>
      </c>
      <c r="E8" s="478">
        <v>5.52</v>
      </c>
      <c r="F8" s="478">
        <v>0.3</v>
      </c>
      <c r="G8" s="479">
        <f>ROUND((C8*D8*E8*F8),2)</f>
        <v>22.39</v>
      </c>
      <c r="H8" s="480"/>
    </row>
    <row r="9" spans="1:8" ht="14.1" customHeight="1">
      <c r="A9" s="475"/>
      <c r="B9" s="476" t="s">
        <v>968</v>
      </c>
      <c r="C9" s="477"/>
      <c r="D9" s="478"/>
      <c r="E9" s="478"/>
      <c r="F9" s="478"/>
      <c r="G9" s="479"/>
      <c r="H9" s="480"/>
    </row>
    <row r="10" spans="1:8" ht="14.1" customHeight="1">
      <c r="A10" s="475"/>
      <c r="B10" s="476" t="s">
        <v>1107</v>
      </c>
      <c r="C10" s="477">
        <v>1</v>
      </c>
      <c r="D10" s="478">
        <v>13.52</v>
      </c>
      <c r="E10" s="478">
        <v>5.52</v>
      </c>
      <c r="F10" s="478">
        <v>1.48</v>
      </c>
      <c r="G10" s="479">
        <f>ROUND((C10*D10*E10*F10),2)</f>
        <v>110.45</v>
      </c>
      <c r="H10" s="480"/>
    </row>
    <row r="11" spans="1:8" ht="14.1" customHeight="1">
      <c r="A11" s="475"/>
      <c r="B11" s="476" t="s">
        <v>1059</v>
      </c>
      <c r="C11" s="477">
        <v>1</v>
      </c>
      <c r="D11" s="478">
        <v>1.83</v>
      </c>
      <c r="E11" s="478">
        <v>1.86</v>
      </c>
      <c r="F11" s="478">
        <v>1.48</v>
      </c>
      <c r="G11" s="479">
        <f>ROUND((C11*D11*E11*F11),2)</f>
        <v>5.04</v>
      </c>
      <c r="H11" s="480"/>
    </row>
    <row r="12" spans="1:8" ht="14.1" customHeight="1">
      <c r="A12" s="475"/>
      <c r="B12" s="476" t="s">
        <v>1060</v>
      </c>
      <c r="C12" s="477">
        <v>1</v>
      </c>
      <c r="D12" s="478">
        <v>1.83</v>
      </c>
      <c r="E12" s="478">
        <v>1.86</v>
      </c>
      <c r="F12" s="478">
        <v>1.48</v>
      </c>
      <c r="G12" s="479">
        <f>ROUND((C12*D12*E12*F12),2)</f>
        <v>5.04</v>
      </c>
      <c r="H12" s="480"/>
    </row>
    <row r="13" spans="1:8" ht="14.1" customHeight="1">
      <c r="A13" s="475"/>
      <c r="B13" s="476"/>
      <c r="C13" s="477"/>
      <c r="D13" s="478"/>
      <c r="E13" s="478" t="s">
        <v>1108</v>
      </c>
      <c r="F13" s="478"/>
      <c r="G13" s="481">
        <f>ROUND(SUM(G8:G12),2)</f>
        <v>142.91999999999999</v>
      </c>
      <c r="H13" s="480" t="s">
        <v>1174</v>
      </c>
    </row>
    <row r="14" spans="1:8" ht="14.1" customHeight="1">
      <c r="A14" s="475">
        <v>3</v>
      </c>
      <c r="B14" s="482" t="s">
        <v>1002</v>
      </c>
      <c r="C14" s="477"/>
      <c r="D14" s="478"/>
      <c r="E14" s="478"/>
      <c r="F14" s="478"/>
      <c r="G14" s="479"/>
      <c r="H14" s="480"/>
    </row>
    <row r="15" spans="1:8" ht="14.1" customHeight="1">
      <c r="A15" s="475"/>
      <c r="B15" s="476" t="s">
        <v>1109</v>
      </c>
      <c r="C15" s="477">
        <v>2</v>
      </c>
      <c r="D15" s="478">
        <v>13.52</v>
      </c>
      <c r="E15" s="478">
        <v>0.6</v>
      </c>
      <c r="F15" s="478">
        <v>1.48</v>
      </c>
      <c r="G15" s="479">
        <f>ROUND((C15*D15*E15*F15),2)</f>
        <v>24.01</v>
      </c>
      <c r="H15" s="480"/>
    </row>
    <row r="16" spans="1:8" ht="14.1" customHeight="1">
      <c r="A16" s="475"/>
      <c r="B16" s="476" t="s">
        <v>1110</v>
      </c>
      <c r="C16" s="477">
        <v>2</v>
      </c>
      <c r="D16" s="478">
        <v>4.32</v>
      </c>
      <c r="E16" s="478">
        <v>0.6</v>
      </c>
      <c r="F16" s="478">
        <v>1.48</v>
      </c>
      <c r="G16" s="479">
        <f>ROUND((C16*D16*E16*F16),2)</f>
        <v>7.67</v>
      </c>
      <c r="H16" s="480"/>
    </row>
    <row r="17" spans="1:8" ht="14.1" customHeight="1">
      <c r="A17" s="475"/>
      <c r="B17" s="476" t="s">
        <v>1059</v>
      </c>
      <c r="C17" s="477">
        <v>1</v>
      </c>
      <c r="D17" s="478">
        <v>1.83</v>
      </c>
      <c r="E17" s="478">
        <v>0.2</v>
      </c>
      <c r="F17" s="478">
        <v>1.48</v>
      </c>
      <c r="G17" s="479">
        <f>ROUND((C17*D17*E17*F17),2)</f>
        <v>0.54</v>
      </c>
      <c r="H17" s="480"/>
    </row>
    <row r="18" spans="1:8" ht="14.1" customHeight="1">
      <c r="A18" s="475"/>
      <c r="B18" s="476" t="s">
        <v>1060</v>
      </c>
      <c r="C18" s="477">
        <v>1</v>
      </c>
      <c r="D18" s="478">
        <v>1.83</v>
      </c>
      <c r="E18" s="478">
        <v>0.2</v>
      </c>
      <c r="F18" s="478">
        <v>1.48</v>
      </c>
      <c r="G18" s="479">
        <f>ROUND((C18*D18*E18*F18),2)</f>
        <v>0.54</v>
      </c>
      <c r="H18" s="480"/>
    </row>
    <row r="19" spans="1:8" ht="14.1" customHeight="1">
      <c r="A19" s="475"/>
      <c r="B19" s="476"/>
      <c r="C19" s="477"/>
      <c r="D19" s="478"/>
      <c r="E19" s="478" t="s">
        <v>1111</v>
      </c>
      <c r="F19" s="478"/>
      <c r="G19" s="481">
        <f>ROUND(SUM(G15:G18),2)</f>
        <v>32.76</v>
      </c>
      <c r="H19" s="480" t="s">
        <v>1174</v>
      </c>
    </row>
    <row r="20" spans="1:8" ht="14.1" customHeight="1">
      <c r="A20" s="475"/>
      <c r="B20" s="476" t="s">
        <v>1112</v>
      </c>
      <c r="C20" s="477"/>
      <c r="D20" s="478"/>
      <c r="E20" s="478"/>
      <c r="F20" s="478"/>
      <c r="G20" s="479"/>
      <c r="H20" s="480"/>
    </row>
    <row r="21" spans="1:8" ht="14.1" customHeight="1">
      <c r="A21" s="475"/>
      <c r="B21" s="476" t="s">
        <v>1057</v>
      </c>
      <c r="C21" s="477">
        <v>2</v>
      </c>
      <c r="D21" s="478">
        <v>13.52</v>
      </c>
      <c r="E21" s="478">
        <v>0.15</v>
      </c>
      <c r="F21" s="478">
        <v>0.48</v>
      </c>
      <c r="G21" s="479">
        <f>ROUND((C21*D21*E21*F21),2)</f>
        <v>1.95</v>
      </c>
      <c r="H21" s="480"/>
    </row>
    <row r="22" spans="1:8" ht="14.1" customHeight="1">
      <c r="A22" s="475"/>
      <c r="B22" s="476" t="s">
        <v>1110</v>
      </c>
      <c r="C22" s="477">
        <v>2</v>
      </c>
      <c r="D22" s="478">
        <v>4.32</v>
      </c>
      <c r="E22" s="478">
        <v>0.15</v>
      </c>
      <c r="F22" s="478">
        <v>0.48</v>
      </c>
      <c r="G22" s="479">
        <f>ROUND((C22*D22*E22*F22),2)</f>
        <v>0.62</v>
      </c>
      <c r="H22" s="480"/>
    </row>
    <row r="23" spans="1:8" ht="14.1" customHeight="1">
      <c r="A23" s="475"/>
      <c r="B23" s="476" t="s">
        <v>1059</v>
      </c>
      <c r="C23" s="477">
        <v>1</v>
      </c>
      <c r="D23" s="478">
        <v>1.83</v>
      </c>
      <c r="E23" s="478">
        <v>0.05</v>
      </c>
      <c r="F23" s="478">
        <v>0.35</v>
      </c>
      <c r="G23" s="479">
        <f>ROUND((C23*D23*E23*F23),2)</f>
        <v>0.03</v>
      </c>
      <c r="H23" s="480"/>
    </row>
    <row r="24" spans="1:8" ht="14.1" customHeight="1">
      <c r="A24" s="475"/>
      <c r="B24" s="476" t="s">
        <v>1060</v>
      </c>
      <c r="C24" s="477">
        <v>1</v>
      </c>
      <c r="D24" s="478">
        <v>1.83</v>
      </c>
      <c r="E24" s="478">
        <v>0.05</v>
      </c>
      <c r="F24" s="478">
        <v>0.35</v>
      </c>
      <c r="G24" s="479">
        <f>ROUND((C24*D24*E24*F24),2)</f>
        <v>0.03</v>
      </c>
      <c r="H24" s="480"/>
    </row>
    <row r="25" spans="1:8" ht="14.1" customHeight="1">
      <c r="A25" s="475"/>
      <c r="B25" s="476"/>
      <c r="C25" s="477"/>
      <c r="D25" s="478"/>
      <c r="E25" s="478" t="s">
        <v>1108</v>
      </c>
      <c r="F25" s="478"/>
      <c r="G25" s="481">
        <f>ROUND((G19-G21-G22-G23-G24),2)</f>
        <v>30.13</v>
      </c>
      <c r="H25" s="480" t="s">
        <v>1174</v>
      </c>
    </row>
    <row r="26" spans="1:8" ht="14.1" customHeight="1">
      <c r="A26" s="475" t="s">
        <v>984</v>
      </c>
      <c r="B26" s="482" t="s">
        <v>1113</v>
      </c>
      <c r="C26" s="477"/>
      <c r="D26" s="478"/>
      <c r="E26" s="478"/>
      <c r="F26" s="478"/>
      <c r="G26" s="479"/>
      <c r="H26" s="480"/>
    </row>
    <row r="27" spans="1:8" ht="14.1" customHeight="1">
      <c r="A27" s="475"/>
      <c r="B27" s="482" t="s">
        <v>1114</v>
      </c>
      <c r="C27" s="477">
        <v>1</v>
      </c>
      <c r="D27" s="478">
        <v>13.22</v>
      </c>
      <c r="E27" s="478">
        <v>5.22</v>
      </c>
      <c r="F27" s="478">
        <v>0.2</v>
      </c>
      <c r="G27" s="479">
        <f>ROUND((C27*D27*E27*F27),2)</f>
        <v>13.8</v>
      </c>
      <c r="H27" s="480"/>
    </row>
    <row r="28" spans="1:8" ht="14.1" customHeight="1">
      <c r="A28" s="475"/>
      <c r="B28" s="476" t="s">
        <v>1059</v>
      </c>
      <c r="C28" s="477">
        <v>1</v>
      </c>
      <c r="D28" s="478">
        <v>1.73</v>
      </c>
      <c r="E28" s="478">
        <v>1.76</v>
      </c>
      <c r="F28" s="478">
        <v>0.2</v>
      </c>
      <c r="G28" s="479">
        <f>ROUND((C28*D28*E28*F28),2)</f>
        <v>0.61</v>
      </c>
      <c r="H28" s="480"/>
    </row>
    <row r="29" spans="1:8" ht="14.1" customHeight="1">
      <c r="A29" s="475"/>
      <c r="B29" s="476" t="s">
        <v>1060</v>
      </c>
      <c r="C29" s="477">
        <v>1</v>
      </c>
      <c r="D29" s="478">
        <v>1.73</v>
      </c>
      <c r="E29" s="478">
        <v>1.76</v>
      </c>
      <c r="F29" s="478">
        <v>0.2</v>
      </c>
      <c r="G29" s="479">
        <f>ROUND((C29*D29*E29*F29),2)</f>
        <v>0.61</v>
      </c>
      <c r="H29" s="480"/>
    </row>
    <row r="30" spans="1:8" ht="14.1" customHeight="1">
      <c r="A30" s="475"/>
      <c r="B30" s="476"/>
      <c r="C30" s="477"/>
      <c r="D30" s="478"/>
      <c r="E30" s="478" t="s">
        <v>1108</v>
      </c>
      <c r="F30" s="478"/>
      <c r="G30" s="481">
        <f>ROUND(SUM(G27:G29),2)</f>
        <v>15.02</v>
      </c>
      <c r="H30" s="480" t="s">
        <v>1174</v>
      </c>
    </row>
    <row r="31" spans="1:8" ht="14.1" customHeight="1">
      <c r="A31" s="475" t="s">
        <v>985</v>
      </c>
      <c r="B31" s="482" t="s">
        <v>986</v>
      </c>
      <c r="C31" s="477"/>
      <c r="D31" s="478"/>
      <c r="E31" s="478"/>
      <c r="F31" s="478"/>
      <c r="G31" s="479"/>
      <c r="H31" s="480"/>
    </row>
    <row r="32" spans="1:8" ht="14.1" customHeight="1">
      <c r="A32" s="475"/>
      <c r="B32" s="482" t="s">
        <v>1115</v>
      </c>
      <c r="C32" s="477">
        <v>1</v>
      </c>
      <c r="D32" s="478">
        <v>13.8</v>
      </c>
      <c r="E32" s="478">
        <v>5.22</v>
      </c>
      <c r="F32" s="478">
        <v>0.1</v>
      </c>
      <c r="G32" s="479">
        <f>ROUND((C32*D32*E32*F32),2)</f>
        <v>7.2</v>
      </c>
      <c r="H32" s="480"/>
    </row>
    <row r="33" spans="1:8" ht="14.1" customHeight="1">
      <c r="A33" s="475"/>
      <c r="B33" s="476" t="s">
        <v>1059</v>
      </c>
      <c r="C33" s="477">
        <v>1</v>
      </c>
      <c r="D33" s="478">
        <v>1.73</v>
      </c>
      <c r="E33" s="478">
        <v>1.76</v>
      </c>
      <c r="F33" s="478">
        <v>0.1</v>
      </c>
      <c r="G33" s="479">
        <f>ROUND((C33*D33*E33*F33),2)</f>
        <v>0.3</v>
      </c>
      <c r="H33" s="480"/>
    </row>
    <row r="34" spans="1:8" ht="14.1" customHeight="1">
      <c r="A34" s="475"/>
      <c r="B34" s="476" t="s">
        <v>1060</v>
      </c>
      <c r="C34" s="477">
        <v>1</v>
      </c>
      <c r="D34" s="478">
        <v>1.73</v>
      </c>
      <c r="E34" s="478">
        <v>1.76</v>
      </c>
      <c r="F34" s="478">
        <v>0.1</v>
      </c>
      <c r="G34" s="479">
        <f>ROUND((C34*D34*E34*F34),2)</f>
        <v>0.3</v>
      </c>
      <c r="H34" s="480"/>
    </row>
    <row r="35" spans="1:8" ht="14.1" customHeight="1">
      <c r="A35" s="475"/>
      <c r="B35" s="476"/>
      <c r="C35" s="477"/>
      <c r="D35" s="478"/>
      <c r="E35" s="478" t="s">
        <v>1108</v>
      </c>
      <c r="F35" s="478"/>
      <c r="G35" s="481">
        <f>ROUND(SUM(G32:G34),2)</f>
        <v>7.8</v>
      </c>
      <c r="H35" s="480" t="s">
        <v>1174</v>
      </c>
    </row>
    <row r="36" spans="1:8" ht="14.1" customHeight="1">
      <c r="A36" s="475" t="s">
        <v>990</v>
      </c>
      <c r="B36" s="482" t="s">
        <v>1116</v>
      </c>
      <c r="C36" s="477"/>
      <c r="D36" s="478"/>
      <c r="E36" s="478"/>
      <c r="F36" s="478"/>
      <c r="G36" s="479"/>
      <c r="H36" s="480"/>
    </row>
    <row r="37" spans="1:8" ht="14.1" customHeight="1">
      <c r="A37" s="475"/>
      <c r="B37" s="482" t="s">
        <v>1117</v>
      </c>
      <c r="C37" s="477">
        <v>1</v>
      </c>
      <c r="D37" s="478">
        <v>13.8</v>
      </c>
      <c r="E37" s="478">
        <v>5.22</v>
      </c>
      <c r="F37" s="478"/>
      <c r="G37" s="479">
        <f>ROUND((C37*D37*E37),2)</f>
        <v>72.040000000000006</v>
      </c>
      <c r="H37" s="480"/>
    </row>
    <row r="38" spans="1:8" ht="14.1" customHeight="1">
      <c r="A38" s="475"/>
      <c r="B38" s="476"/>
      <c r="C38" s="477"/>
      <c r="D38" s="478"/>
      <c r="E38" s="478" t="s">
        <v>1108</v>
      </c>
      <c r="F38" s="478"/>
      <c r="G38" s="481">
        <f>ROUND(SUM(G37:G37),2)</f>
        <v>72.040000000000006</v>
      </c>
      <c r="H38" s="480" t="s">
        <v>1174</v>
      </c>
    </row>
    <row r="39" spans="1:8" ht="14.1" customHeight="1">
      <c r="A39" s="475" t="s">
        <v>988</v>
      </c>
      <c r="B39" s="482" t="s">
        <v>899</v>
      </c>
      <c r="C39" s="477"/>
      <c r="D39" s="478"/>
      <c r="E39" s="478"/>
      <c r="F39" s="478"/>
      <c r="G39" s="479"/>
      <c r="H39" s="480"/>
    </row>
    <row r="40" spans="1:8" ht="14.1" customHeight="1">
      <c r="A40" s="475"/>
      <c r="B40" s="476" t="s">
        <v>983</v>
      </c>
      <c r="C40" s="477"/>
      <c r="D40" s="478"/>
      <c r="E40" s="478"/>
      <c r="F40" s="478"/>
      <c r="G40" s="479"/>
      <c r="H40" s="480"/>
    </row>
    <row r="41" spans="1:8" ht="14.1" customHeight="1">
      <c r="A41" s="475"/>
      <c r="B41" s="476" t="s">
        <v>1003</v>
      </c>
      <c r="C41" s="477">
        <v>1</v>
      </c>
      <c r="D41" s="478">
        <v>13.22</v>
      </c>
      <c r="E41" s="478">
        <v>5.22</v>
      </c>
      <c r="F41" s="478">
        <v>0.18</v>
      </c>
      <c r="G41" s="479">
        <f t="shared" ref="G41:G50" si="0">ROUND((C41*D41*E41*F41),2)</f>
        <v>12.42</v>
      </c>
      <c r="H41" s="480"/>
    </row>
    <row r="42" spans="1:8" ht="14.1" customHeight="1">
      <c r="A42" s="475"/>
      <c r="B42" s="476" t="s">
        <v>1061</v>
      </c>
      <c r="C42" s="477">
        <v>2</v>
      </c>
      <c r="D42" s="478">
        <v>12.32</v>
      </c>
      <c r="E42" s="478">
        <v>0.16</v>
      </c>
      <c r="F42" s="478">
        <v>1</v>
      </c>
      <c r="G42" s="479">
        <f t="shared" si="0"/>
        <v>3.94</v>
      </c>
      <c r="H42" s="480"/>
    </row>
    <row r="43" spans="1:8" ht="14.1" customHeight="1">
      <c r="A43" s="475"/>
      <c r="B43" s="476" t="s">
        <v>1004</v>
      </c>
      <c r="C43" s="477">
        <v>2</v>
      </c>
      <c r="D43" s="478">
        <v>12.32</v>
      </c>
      <c r="E43" s="478">
        <v>0.18</v>
      </c>
      <c r="F43" s="478">
        <v>1.4</v>
      </c>
      <c r="G43" s="479">
        <f t="shared" si="0"/>
        <v>6.21</v>
      </c>
      <c r="H43" s="480"/>
    </row>
    <row r="44" spans="1:8" ht="14.1" customHeight="1">
      <c r="A44" s="475"/>
      <c r="B44" s="476" t="s">
        <v>1006</v>
      </c>
      <c r="C44" s="477">
        <v>2</v>
      </c>
      <c r="D44" s="478">
        <v>4</v>
      </c>
      <c r="E44" s="478">
        <v>0.16</v>
      </c>
      <c r="F44" s="478">
        <v>1</v>
      </c>
      <c r="G44" s="479">
        <f t="shared" si="0"/>
        <v>1.28</v>
      </c>
      <c r="H44" s="480"/>
    </row>
    <row r="45" spans="1:8" ht="14.1" customHeight="1">
      <c r="A45" s="475"/>
      <c r="B45" s="476" t="s">
        <v>1006</v>
      </c>
      <c r="C45" s="477">
        <v>2</v>
      </c>
      <c r="D45" s="478">
        <v>4</v>
      </c>
      <c r="E45" s="478">
        <v>0.18</v>
      </c>
      <c r="F45" s="478">
        <v>1.4</v>
      </c>
      <c r="G45" s="479">
        <f t="shared" si="0"/>
        <v>2.02</v>
      </c>
      <c r="H45" s="480"/>
    </row>
    <row r="46" spans="1:8" ht="15.95" customHeight="1">
      <c r="A46" s="475"/>
      <c r="B46" s="476" t="s">
        <v>1118</v>
      </c>
      <c r="C46" s="477">
        <v>2</v>
      </c>
      <c r="D46" s="478">
        <v>4.16</v>
      </c>
      <c r="E46" s="478">
        <v>0.35</v>
      </c>
      <c r="F46" s="478">
        <v>7.4999999999999997E-2</v>
      </c>
      <c r="G46" s="479">
        <f t="shared" si="0"/>
        <v>0.22</v>
      </c>
      <c r="H46" s="480"/>
    </row>
    <row r="47" spans="1:8" ht="15.95" customHeight="1">
      <c r="A47" s="475"/>
      <c r="B47" s="476" t="s">
        <v>1119</v>
      </c>
      <c r="C47" s="477">
        <v>2</v>
      </c>
      <c r="D47" s="478">
        <v>4.16</v>
      </c>
      <c r="E47" s="478">
        <v>0.15</v>
      </c>
      <c r="F47" s="478">
        <v>7.4999999999999997E-2</v>
      </c>
      <c r="G47" s="479">
        <f t="shared" si="0"/>
        <v>0.09</v>
      </c>
      <c r="H47" s="480"/>
    </row>
    <row r="48" spans="1:8" ht="15.95" customHeight="1">
      <c r="A48" s="475"/>
      <c r="B48" s="476" t="s">
        <v>1120</v>
      </c>
      <c r="C48" s="477">
        <v>1</v>
      </c>
      <c r="D48" s="478">
        <v>4.16</v>
      </c>
      <c r="E48" s="478">
        <v>0.35</v>
      </c>
      <c r="F48" s="478">
        <v>7.4999999999999997E-2</v>
      </c>
      <c r="G48" s="479">
        <f t="shared" si="0"/>
        <v>0.11</v>
      </c>
      <c r="H48" s="480"/>
    </row>
    <row r="49" spans="1:8" ht="15.95" customHeight="1">
      <c r="A49" s="475"/>
      <c r="B49" s="476" t="s">
        <v>1119</v>
      </c>
      <c r="C49" s="477">
        <v>1</v>
      </c>
      <c r="D49" s="478">
        <v>4.16</v>
      </c>
      <c r="E49" s="478">
        <v>0.15</v>
      </c>
      <c r="F49" s="478">
        <v>7.4999999999999997E-2</v>
      </c>
      <c r="G49" s="479">
        <f t="shared" si="0"/>
        <v>0.05</v>
      </c>
      <c r="H49" s="480"/>
    </row>
    <row r="50" spans="1:8" ht="13.5" customHeight="1">
      <c r="A50" s="491"/>
      <c r="B50" s="487" t="s">
        <v>1105</v>
      </c>
      <c r="C50" s="488">
        <v>1</v>
      </c>
      <c r="D50" s="484">
        <v>4</v>
      </c>
      <c r="E50" s="484">
        <v>7.4999999999999997E-2</v>
      </c>
      <c r="F50" s="484">
        <v>1.2</v>
      </c>
      <c r="G50" s="483">
        <f t="shared" si="0"/>
        <v>0.36</v>
      </c>
      <c r="H50" s="485"/>
    </row>
    <row r="51" spans="1:8" ht="13.5" customHeight="1">
      <c r="A51" s="1629"/>
      <c r="B51" s="1629"/>
      <c r="C51" s="359"/>
      <c r="D51" s="360"/>
      <c r="E51" s="360"/>
      <c r="F51" s="360"/>
      <c r="G51" s="389"/>
      <c r="H51" s="1629"/>
    </row>
    <row r="52" spans="1:8" ht="17.25" customHeight="1">
      <c r="A52" s="285" t="s">
        <v>21</v>
      </c>
    </row>
    <row r="53" spans="1:8" ht="8.25" customHeight="1">
      <c r="A53" s="285"/>
      <c r="B53" s="1638"/>
      <c r="C53" s="1639"/>
      <c r="D53" s="1640"/>
      <c r="E53" s="1640"/>
      <c r="F53" s="1640"/>
      <c r="G53" s="1641"/>
      <c r="H53" s="1638"/>
    </row>
    <row r="54" spans="1:8" ht="13.5" customHeight="1">
      <c r="A54" s="1634" t="s">
        <v>961</v>
      </c>
      <c r="B54" s="1634" t="s">
        <v>962</v>
      </c>
      <c r="C54" s="1635" t="s">
        <v>963</v>
      </c>
      <c r="D54" s="1636" t="s">
        <v>1051</v>
      </c>
      <c r="E54" s="1636" t="s">
        <v>1052</v>
      </c>
      <c r="F54" s="1636" t="s">
        <v>1053</v>
      </c>
      <c r="G54" s="1637" t="s">
        <v>964</v>
      </c>
      <c r="H54" s="1634" t="s">
        <v>1054</v>
      </c>
    </row>
    <row r="55" spans="1:8" ht="13.5" customHeight="1">
      <c r="A55" s="471"/>
      <c r="B55" s="192" t="s">
        <v>1121</v>
      </c>
      <c r="C55" s="192">
        <v>1</v>
      </c>
      <c r="D55" s="472">
        <v>2</v>
      </c>
      <c r="E55" s="472">
        <v>0.4</v>
      </c>
      <c r="F55" s="472">
        <v>7.4999999999999997E-2</v>
      </c>
      <c r="G55" s="473">
        <f>ROUND((C55*D55*E55*F55),2)</f>
        <v>0.06</v>
      </c>
      <c r="H55" s="474"/>
    </row>
    <row r="56" spans="1:8" ht="13.5" customHeight="1">
      <c r="A56" s="475"/>
      <c r="B56" s="476" t="s">
        <v>1059</v>
      </c>
      <c r="C56" s="477">
        <v>1</v>
      </c>
      <c r="D56" s="478">
        <v>1.73</v>
      </c>
      <c r="E56" s="478">
        <v>1.76</v>
      </c>
      <c r="F56" s="478">
        <v>0.1</v>
      </c>
      <c r="G56" s="479">
        <f>ROUND((C56*D56*E56*F56),2)</f>
        <v>0.3</v>
      </c>
      <c r="H56" s="480"/>
    </row>
    <row r="57" spans="1:8" ht="13.5" customHeight="1">
      <c r="A57" s="475"/>
      <c r="B57" s="476" t="s">
        <v>1060</v>
      </c>
      <c r="C57" s="477">
        <v>1</v>
      </c>
      <c r="D57" s="478">
        <v>1.73</v>
      </c>
      <c r="E57" s="478">
        <v>1.76</v>
      </c>
      <c r="F57" s="478">
        <v>0.1</v>
      </c>
      <c r="G57" s="479">
        <f>ROUND((C57*D57*E57*F57),2)</f>
        <v>0.3</v>
      </c>
      <c r="H57" s="480"/>
    </row>
    <row r="58" spans="1:8" ht="13.5" customHeight="1">
      <c r="A58" s="475"/>
      <c r="B58" s="476" t="s">
        <v>1071</v>
      </c>
      <c r="C58" s="477">
        <v>1</v>
      </c>
      <c r="D58" s="478">
        <v>1.66</v>
      </c>
      <c r="E58" s="478">
        <v>1.46</v>
      </c>
      <c r="F58" s="478">
        <v>0.1</v>
      </c>
      <c r="G58" s="479">
        <f>ROUND((C58*D58*E58*F58),2)</f>
        <v>0.24</v>
      </c>
      <c r="H58" s="480"/>
    </row>
    <row r="59" spans="1:8" ht="13.5" customHeight="1">
      <c r="A59" s="475"/>
      <c r="B59" s="476" t="s">
        <v>1072</v>
      </c>
      <c r="C59" s="477">
        <v>1</v>
      </c>
      <c r="D59" s="478">
        <v>1.66</v>
      </c>
      <c r="E59" s="478">
        <v>1.46</v>
      </c>
      <c r="F59" s="478">
        <v>0.1</v>
      </c>
      <c r="G59" s="479">
        <f>ROUND((C59*D59*E59*F59),2)</f>
        <v>0.24</v>
      </c>
      <c r="H59" s="480"/>
    </row>
    <row r="60" spans="1:8" ht="13.5" customHeight="1">
      <c r="A60" s="475"/>
      <c r="B60" s="476"/>
      <c r="C60" s="477"/>
      <c r="D60" s="478"/>
      <c r="E60" s="478" t="s">
        <v>1111</v>
      </c>
      <c r="F60" s="478"/>
      <c r="G60" s="479">
        <f>ROUND(SUM(G41:G59),2)</f>
        <v>27.84</v>
      </c>
      <c r="H60" s="480" t="s">
        <v>1174</v>
      </c>
    </row>
    <row r="61" spans="1:8" ht="13.5" customHeight="1">
      <c r="A61" s="475"/>
      <c r="B61" s="476" t="s">
        <v>1099</v>
      </c>
      <c r="C61" s="477">
        <v>2</v>
      </c>
      <c r="D61" s="478">
        <v>0.28260000000000002</v>
      </c>
      <c r="E61" s="478"/>
      <c r="F61" s="478">
        <v>0.1</v>
      </c>
      <c r="G61" s="479">
        <f>ROUND((C61*D61*F61),2)</f>
        <v>0.06</v>
      </c>
      <c r="H61" s="480"/>
    </row>
    <row r="62" spans="1:8" ht="13.5" customHeight="1">
      <c r="A62" s="475"/>
      <c r="B62" s="476"/>
      <c r="C62" s="477"/>
      <c r="D62" s="478"/>
      <c r="E62" s="478" t="s">
        <v>1108</v>
      </c>
      <c r="F62" s="478"/>
      <c r="G62" s="481">
        <f>ROUND((G60-G61),2)</f>
        <v>27.78</v>
      </c>
      <c r="H62" s="480" t="s">
        <v>1174</v>
      </c>
    </row>
    <row r="63" spans="1:8" ht="13.5" customHeight="1">
      <c r="A63" s="475">
        <v>8</v>
      </c>
      <c r="B63" s="482" t="s">
        <v>970</v>
      </c>
      <c r="C63" s="477"/>
      <c r="D63" s="478"/>
      <c r="E63" s="478"/>
      <c r="F63" s="478"/>
      <c r="G63" s="479"/>
      <c r="H63" s="480"/>
    </row>
    <row r="64" spans="1:8" ht="13.5" customHeight="1">
      <c r="A64" s="475"/>
      <c r="B64" s="482" t="s">
        <v>725</v>
      </c>
      <c r="C64" s="477"/>
      <c r="D64" s="478"/>
      <c r="E64" s="478"/>
      <c r="F64" s="478"/>
      <c r="G64" s="479"/>
      <c r="H64" s="480"/>
    </row>
    <row r="65" spans="1:8" ht="13.5" customHeight="1">
      <c r="A65" s="475"/>
      <c r="B65" s="476" t="s">
        <v>1074</v>
      </c>
      <c r="C65" s="477">
        <v>2</v>
      </c>
      <c r="D65" s="478">
        <v>13.22</v>
      </c>
      <c r="E65" s="478"/>
      <c r="F65" s="478">
        <v>0.28000000000000003</v>
      </c>
      <c r="G65" s="479">
        <f>ROUND((C65*D65*F65),2)</f>
        <v>7.4</v>
      </c>
      <c r="H65" s="480"/>
    </row>
    <row r="66" spans="1:8" ht="13.5" customHeight="1">
      <c r="A66" s="475"/>
      <c r="B66" s="476" t="s">
        <v>1006</v>
      </c>
      <c r="C66" s="477">
        <v>2</v>
      </c>
      <c r="D66" s="478"/>
      <c r="E66" s="478">
        <v>5.22</v>
      </c>
      <c r="F66" s="478">
        <v>0.28000000000000003</v>
      </c>
      <c r="G66" s="479">
        <f>ROUND((C66*E66*F66),2)</f>
        <v>2.92</v>
      </c>
      <c r="H66" s="480"/>
    </row>
    <row r="67" spans="1:8" ht="13.5" customHeight="1">
      <c r="A67" s="475"/>
      <c r="B67" s="476" t="s">
        <v>1122</v>
      </c>
      <c r="C67" s="477">
        <v>2</v>
      </c>
      <c r="D67" s="478">
        <v>12.32</v>
      </c>
      <c r="E67" s="478"/>
      <c r="F67" s="478">
        <v>2.4</v>
      </c>
      <c r="G67" s="479">
        <f>ROUND((C67*D67*F67),2)</f>
        <v>59.14</v>
      </c>
      <c r="H67" s="480"/>
    </row>
    <row r="68" spans="1:8" ht="13.5" customHeight="1">
      <c r="A68" s="475"/>
      <c r="B68" s="476" t="s">
        <v>1078</v>
      </c>
      <c r="C68" s="477">
        <v>2</v>
      </c>
      <c r="D68" s="478">
        <v>12</v>
      </c>
      <c r="E68" s="478"/>
      <c r="F68" s="478">
        <v>2.4</v>
      </c>
      <c r="G68" s="479">
        <f>ROUND((C68*D68*F68),2)</f>
        <v>57.6</v>
      </c>
      <c r="H68" s="480"/>
    </row>
    <row r="69" spans="1:8" ht="13.5" customHeight="1">
      <c r="A69" s="475"/>
      <c r="B69" s="476" t="s">
        <v>1064</v>
      </c>
      <c r="C69" s="477">
        <v>2</v>
      </c>
      <c r="D69" s="478">
        <v>4.32</v>
      </c>
      <c r="E69" s="478"/>
      <c r="F69" s="478">
        <v>2.4</v>
      </c>
      <c r="G69" s="479">
        <f>ROUND((C69*D69*F69),2)</f>
        <v>20.74</v>
      </c>
      <c r="H69" s="480"/>
    </row>
    <row r="70" spans="1:8" ht="13.5" customHeight="1">
      <c r="A70" s="475"/>
      <c r="B70" s="476" t="s">
        <v>1065</v>
      </c>
      <c r="C70" s="477">
        <v>4</v>
      </c>
      <c r="D70" s="478">
        <v>4</v>
      </c>
      <c r="E70" s="478"/>
      <c r="F70" s="478">
        <v>2.4</v>
      </c>
      <c r="G70" s="479">
        <f>ROUND((C70*D70*F70),2)</f>
        <v>38.4</v>
      </c>
      <c r="H70" s="480"/>
    </row>
    <row r="71" spans="1:8" ht="13.5" customHeight="1">
      <c r="A71" s="475"/>
      <c r="B71" s="476" t="s">
        <v>1086</v>
      </c>
      <c r="C71" s="477">
        <v>2</v>
      </c>
      <c r="D71" s="478">
        <v>4.16</v>
      </c>
      <c r="E71" s="478">
        <v>0.35</v>
      </c>
      <c r="F71" s="478">
        <v>0.375</v>
      </c>
      <c r="G71" s="479">
        <f>ROUND((C71*D71*E71*F71),2)</f>
        <v>1.0900000000000001</v>
      </c>
      <c r="H71" s="480"/>
    </row>
    <row r="72" spans="1:8" ht="13.5" customHeight="1">
      <c r="A72" s="475"/>
      <c r="B72" s="476" t="s">
        <v>1088</v>
      </c>
      <c r="C72" s="477">
        <v>1</v>
      </c>
      <c r="D72" s="478">
        <v>4.16</v>
      </c>
      <c r="E72" s="478">
        <v>0.35</v>
      </c>
      <c r="F72" s="478">
        <v>0.375</v>
      </c>
      <c r="G72" s="479">
        <f>ROUND((C72*D72*E72*F72),2)</f>
        <v>0.55000000000000004</v>
      </c>
      <c r="H72" s="480"/>
    </row>
    <row r="73" spans="1:8" ht="13.5" customHeight="1">
      <c r="A73" s="475"/>
      <c r="B73" s="476" t="s">
        <v>1071</v>
      </c>
      <c r="C73" s="477">
        <v>1</v>
      </c>
      <c r="D73" s="478">
        <v>1.2</v>
      </c>
      <c r="E73" s="478">
        <v>1</v>
      </c>
      <c r="F73" s="478"/>
      <c r="G73" s="479">
        <f>ROUND((C73*D73*E73),2)</f>
        <v>1.2</v>
      </c>
      <c r="H73" s="480"/>
    </row>
    <row r="74" spans="1:8" ht="13.5" customHeight="1">
      <c r="A74" s="475"/>
      <c r="B74" s="476" t="s">
        <v>1072</v>
      </c>
      <c r="C74" s="477">
        <v>1</v>
      </c>
      <c r="D74" s="478">
        <v>1.2</v>
      </c>
      <c r="E74" s="478">
        <v>1</v>
      </c>
      <c r="F74" s="478"/>
      <c r="G74" s="479">
        <f t="shared" ref="G74:G79" si="1">ROUND((C74*D74*E74),2)</f>
        <v>1.2</v>
      </c>
      <c r="H74" s="480"/>
    </row>
    <row r="75" spans="1:8" ht="13.5" customHeight="1">
      <c r="A75" s="475"/>
      <c r="B75" s="476" t="s">
        <v>1091</v>
      </c>
      <c r="C75" s="477">
        <v>2</v>
      </c>
      <c r="D75" s="478">
        <v>4.32</v>
      </c>
      <c r="E75" s="478">
        <v>0.1</v>
      </c>
      <c r="F75" s="478"/>
      <c r="G75" s="479">
        <f t="shared" si="1"/>
        <v>0.86</v>
      </c>
      <c r="H75" s="480"/>
    </row>
    <row r="76" spans="1:8" ht="13.5" customHeight="1">
      <c r="A76" s="475"/>
      <c r="B76" s="476" t="s">
        <v>1092</v>
      </c>
      <c r="C76" s="477">
        <v>2</v>
      </c>
      <c r="D76" s="478">
        <v>4.32</v>
      </c>
      <c r="E76" s="478">
        <v>0.1</v>
      </c>
      <c r="F76" s="478"/>
      <c r="G76" s="479">
        <f t="shared" si="1"/>
        <v>0.86</v>
      </c>
      <c r="H76" s="480"/>
    </row>
    <row r="77" spans="1:8" ht="13.5" customHeight="1">
      <c r="A77" s="475"/>
      <c r="B77" s="476" t="s">
        <v>1123</v>
      </c>
      <c r="C77" s="477">
        <v>1</v>
      </c>
      <c r="D77" s="478">
        <v>4</v>
      </c>
      <c r="E77" s="478">
        <v>7.4999999999999997E-2</v>
      </c>
      <c r="F77" s="478"/>
      <c r="G77" s="479">
        <f t="shared" si="1"/>
        <v>0.3</v>
      </c>
      <c r="H77" s="480"/>
    </row>
    <row r="78" spans="1:8" ht="13.5" customHeight="1">
      <c r="A78" s="475"/>
      <c r="B78" s="476" t="s">
        <v>1124</v>
      </c>
      <c r="C78" s="477">
        <v>2</v>
      </c>
      <c r="D78" s="478">
        <v>4</v>
      </c>
      <c r="E78" s="478"/>
      <c r="F78" s="478">
        <v>1.2</v>
      </c>
      <c r="G78" s="479">
        <f>ROUND((C78*D78*F78),2)</f>
        <v>9.6</v>
      </c>
      <c r="H78" s="480"/>
    </row>
    <row r="79" spans="1:8" ht="13.5" customHeight="1">
      <c r="A79" s="475"/>
      <c r="B79" s="476" t="s">
        <v>1121</v>
      </c>
      <c r="C79" s="477">
        <v>1</v>
      </c>
      <c r="D79" s="478">
        <v>2</v>
      </c>
      <c r="E79" s="478">
        <v>0.4</v>
      </c>
      <c r="F79" s="478"/>
      <c r="G79" s="479">
        <f t="shared" si="1"/>
        <v>0.8</v>
      </c>
      <c r="H79" s="480"/>
    </row>
    <row r="80" spans="1:8" ht="13.5" customHeight="1">
      <c r="A80" s="475"/>
      <c r="B80" s="476" t="s">
        <v>1125</v>
      </c>
      <c r="C80" s="477">
        <v>1</v>
      </c>
      <c r="D80" s="478">
        <v>3.2</v>
      </c>
      <c r="E80" s="478"/>
      <c r="F80" s="478">
        <v>7.4999999999999997E-2</v>
      </c>
      <c r="G80" s="479">
        <f>ROUND((C80*D80*F80),2)</f>
        <v>0.24</v>
      </c>
      <c r="H80" s="480"/>
    </row>
    <row r="81" spans="1:8" ht="13.5" customHeight="1">
      <c r="A81" s="475"/>
      <c r="B81" s="476"/>
      <c r="C81" s="477"/>
      <c r="D81" s="478"/>
      <c r="E81" s="478" t="s">
        <v>1111</v>
      </c>
      <c r="F81" s="478"/>
      <c r="G81" s="479">
        <f>ROUND(SUM(G65:G76),2)</f>
        <v>191.96</v>
      </c>
      <c r="H81" s="480"/>
    </row>
    <row r="82" spans="1:8" ht="13.5" customHeight="1">
      <c r="A82" s="475"/>
      <c r="B82" s="476" t="s">
        <v>1099</v>
      </c>
      <c r="C82" s="477">
        <v>2</v>
      </c>
      <c r="D82" s="478">
        <v>0.28260000000000002</v>
      </c>
      <c r="E82" s="478"/>
      <c r="F82" s="478"/>
      <c r="G82" s="479">
        <f>ROUND((C82*D82),2)</f>
        <v>0.56999999999999995</v>
      </c>
      <c r="H82" s="480"/>
    </row>
    <row r="83" spans="1:8" ht="13.5" customHeight="1">
      <c r="A83" s="475"/>
      <c r="B83" s="476"/>
      <c r="C83" s="477"/>
      <c r="D83" s="478"/>
      <c r="E83" s="478" t="s">
        <v>1108</v>
      </c>
      <c r="F83" s="478"/>
      <c r="G83" s="481">
        <f>ROUND((G81-G82),2)</f>
        <v>191.39</v>
      </c>
      <c r="H83" s="480" t="s">
        <v>1182</v>
      </c>
    </row>
    <row r="84" spans="1:8" ht="13.5" customHeight="1">
      <c r="A84" s="475">
        <v>9</v>
      </c>
      <c r="B84" s="482" t="s">
        <v>1126</v>
      </c>
      <c r="C84" s="477"/>
      <c r="D84" s="478"/>
      <c r="E84" s="478"/>
      <c r="F84" s="478"/>
      <c r="G84" s="479"/>
      <c r="H84" s="480"/>
    </row>
    <row r="85" spans="1:8" ht="13.5" customHeight="1">
      <c r="A85" s="475"/>
      <c r="B85" s="482" t="s">
        <v>19</v>
      </c>
      <c r="C85" s="477"/>
      <c r="D85" s="478"/>
      <c r="E85" s="478"/>
      <c r="F85" s="478"/>
      <c r="G85" s="479"/>
      <c r="H85" s="480"/>
    </row>
    <row r="86" spans="1:8" ht="13.5" customHeight="1">
      <c r="A86" s="475"/>
      <c r="B86" s="482" t="s">
        <v>20</v>
      </c>
      <c r="C86" s="477"/>
      <c r="D86" s="478"/>
      <c r="E86" s="478"/>
      <c r="F86" s="478"/>
      <c r="G86" s="479"/>
      <c r="H86" s="480"/>
    </row>
    <row r="87" spans="1:8" ht="13.5" customHeight="1">
      <c r="A87" s="475"/>
      <c r="B87" s="490" t="s">
        <v>1003</v>
      </c>
      <c r="C87" s="477"/>
      <c r="D87" s="478"/>
      <c r="E87" s="478"/>
      <c r="F87" s="478"/>
      <c r="G87" s="479"/>
      <c r="H87" s="480"/>
    </row>
    <row r="88" spans="1:8" ht="13.5" customHeight="1">
      <c r="A88" s="475"/>
      <c r="B88" s="476" t="s">
        <v>2763</v>
      </c>
      <c r="C88" s="477">
        <v>77</v>
      </c>
      <c r="D88" s="478">
        <v>6.42</v>
      </c>
      <c r="E88" s="478">
        <v>0.88171200000000005</v>
      </c>
      <c r="F88" s="478" t="s">
        <v>1067</v>
      </c>
      <c r="G88" s="479">
        <f>ROUND((C88*D88*E88),2)</f>
        <v>435.87</v>
      </c>
      <c r="H88" s="480"/>
    </row>
    <row r="89" spans="1:8" ht="13.5" customHeight="1">
      <c r="A89" s="475"/>
      <c r="B89" s="476" t="s">
        <v>472</v>
      </c>
      <c r="C89" s="477">
        <v>28</v>
      </c>
      <c r="D89" s="478">
        <v>14.22</v>
      </c>
      <c r="E89" s="478">
        <v>0.61230000000000007</v>
      </c>
      <c r="F89" s="478" t="s">
        <v>1067</v>
      </c>
      <c r="G89" s="479">
        <f>ROUND((C89*D89*E89),2)</f>
        <v>243.79</v>
      </c>
      <c r="H89" s="480"/>
    </row>
    <row r="90" spans="1:8" ht="13.5" customHeight="1">
      <c r="A90" s="475"/>
      <c r="B90" s="476" t="s">
        <v>2764</v>
      </c>
      <c r="C90" s="477">
        <v>77</v>
      </c>
      <c r="D90" s="478">
        <v>6.42</v>
      </c>
      <c r="E90" s="478">
        <v>0.88171200000000005</v>
      </c>
      <c r="F90" s="478" t="s">
        <v>1067</v>
      </c>
      <c r="G90" s="479">
        <f>ROUND((C90*D90*E90),2)</f>
        <v>435.87</v>
      </c>
      <c r="H90" s="480"/>
    </row>
    <row r="91" spans="1:8" ht="13.5" customHeight="1">
      <c r="A91" s="475"/>
      <c r="B91" s="476" t="s">
        <v>473</v>
      </c>
      <c r="C91" s="477">
        <v>28</v>
      </c>
      <c r="D91" s="478">
        <v>14.22</v>
      </c>
      <c r="E91" s="478">
        <v>0.61230000000000007</v>
      </c>
      <c r="F91" s="478" t="s">
        <v>1067</v>
      </c>
      <c r="G91" s="479">
        <f>ROUND((C91*D91*E91),2)</f>
        <v>243.79</v>
      </c>
      <c r="H91" s="480"/>
    </row>
    <row r="92" spans="1:8" ht="13.5" customHeight="1">
      <c r="A92" s="475"/>
      <c r="B92" s="476" t="s">
        <v>1031</v>
      </c>
      <c r="C92" s="477"/>
      <c r="D92" s="478"/>
      <c r="E92" s="478"/>
      <c r="F92" s="478"/>
      <c r="G92" s="479"/>
      <c r="H92" s="480"/>
    </row>
    <row r="93" spans="1:8" ht="13.5" customHeight="1">
      <c r="A93" s="475"/>
      <c r="B93" s="476" t="s">
        <v>474</v>
      </c>
      <c r="C93" s="477">
        <v>135</v>
      </c>
      <c r="D93" s="478">
        <v>1.2</v>
      </c>
      <c r="E93" s="478">
        <v>0.88171200000000005</v>
      </c>
      <c r="F93" s="478" t="s">
        <v>1067</v>
      </c>
      <c r="G93" s="479">
        <f>ROUND((C93*D93*E93),2)</f>
        <v>142.84</v>
      </c>
      <c r="H93" s="480"/>
    </row>
    <row r="94" spans="1:8" ht="13.5" customHeight="1">
      <c r="A94" s="475"/>
      <c r="B94" s="476" t="s">
        <v>475</v>
      </c>
      <c r="C94" s="477">
        <v>55</v>
      </c>
      <c r="D94" s="478">
        <v>1.2</v>
      </c>
      <c r="E94" s="478">
        <v>0.88171200000000005</v>
      </c>
      <c r="F94" s="478" t="s">
        <v>1067</v>
      </c>
      <c r="G94" s="479">
        <f>ROUND((C94*D94*E94),2)</f>
        <v>58.19</v>
      </c>
      <c r="H94" s="480"/>
    </row>
    <row r="95" spans="1:8" ht="13.5" customHeight="1">
      <c r="A95" s="475"/>
      <c r="B95" s="476"/>
      <c r="C95" s="477"/>
      <c r="D95" s="478"/>
      <c r="E95" s="478"/>
      <c r="F95" s="478"/>
      <c r="G95" s="481">
        <f>ROUND(SUM(G88:G94),2)</f>
        <v>1560.35</v>
      </c>
      <c r="H95" s="480" t="s">
        <v>1034</v>
      </c>
    </row>
    <row r="96" spans="1:8" ht="13.5" customHeight="1">
      <c r="A96" s="475"/>
      <c r="B96" s="490" t="s">
        <v>1019</v>
      </c>
      <c r="C96" s="477"/>
      <c r="D96" s="478"/>
      <c r="E96" s="478"/>
      <c r="F96" s="478"/>
      <c r="G96" s="479"/>
      <c r="H96" s="480"/>
    </row>
    <row r="97" spans="1:8" ht="15" customHeight="1">
      <c r="A97" s="475"/>
      <c r="B97" s="476" t="s">
        <v>2765</v>
      </c>
      <c r="C97" s="477">
        <v>167</v>
      </c>
      <c r="D97" s="478">
        <v>3.18</v>
      </c>
      <c r="E97" s="478">
        <v>0.88171200000000005</v>
      </c>
      <c r="F97" s="478" t="s">
        <v>1067</v>
      </c>
      <c r="G97" s="479">
        <f>ROUND((C97*D97*E97),2)</f>
        <v>468.24</v>
      </c>
      <c r="H97" s="480"/>
    </row>
    <row r="98" spans="1:8" ht="15" customHeight="1">
      <c r="A98" s="475"/>
      <c r="B98" s="476" t="s">
        <v>476</v>
      </c>
      <c r="C98" s="477">
        <v>18</v>
      </c>
      <c r="D98" s="478">
        <v>13.32</v>
      </c>
      <c r="E98" s="478">
        <v>0.61230000000000007</v>
      </c>
      <c r="F98" s="478" t="s">
        <v>1067</v>
      </c>
      <c r="G98" s="479">
        <f>ROUND((C98*D98*E98),2)</f>
        <v>146.81</v>
      </c>
      <c r="H98" s="480"/>
    </row>
    <row r="99" spans="1:8" ht="15" customHeight="1">
      <c r="A99" s="475"/>
      <c r="B99" s="476" t="s">
        <v>477</v>
      </c>
      <c r="C99" s="477">
        <v>126</v>
      </c>
      <c r="D99" s="478">
        <v>3.18</v>
      </c>
      <c r="E99" s="478">
        <v>0.88171200000000005</v>
      </c>
      <c r="F99" s="478" t="s">
        <v>1067</v>
      </c>
      <c r="G99" s="479">
        <f>ROUND((C99*D99*E99),2)</f>
        <v>353.28</v>
      </c>
      <c r="H99" s="480"/>
    </row>
    <row r="100" spans="1:8" ht="15" customHeight="1">
      <c r="A100" s="475"/>
      <c r="B100" s="476" t="s">
        <v>478</v>
      </c>
      <c r="C100" s="477">
        <v>18</v>
      </c>
      <c r="D100" s="478">
        <v>13.32</v>
      </c>
      <c r="E100" s="478">
        <v>0.61230000000000007</v>
      </c>
      <c r="F100" s="478" t="s">
        <v>1067</v>
      </c>
      <c r="G100" s="479">
        <f>ROUND((C100*D100*E100),2)</f>
        <v>146.81</v>
      </c>
      <c r="H100" s="480"/>
    </row>
    <row r="101" spans="1:8" ht="15" customHeight="1">
      <c r="A101" s="358"/>
      <c r="B101" s="1638"/>
      <c r="C101" s="361"/>
      <c r="D101" s="1630"/>
      <c r="E101" s="1630"/>
      <c r="F101" s="1630"/>
      <c r="G101" s="390">
        <f>ROUND(SUM(G97:G100),2)</f>
        <v>1115.1400000000001</v>
      </c>
      <c r="H101" s="1642" t="s">
        <v>1034</v>
      </c>
    </row>
    <row r="102" spans="1:8" ht="15" customHeight="1">
      <c r="A102" s="1629"/>
      <c r="B102" s="1629"/>
      <c r="C102" s="359"/>
      <c r="D102" s="360"/>
      <c r="E102" s="360"/>
      <c r="F102" s="360"/>
      <c r="G102" s="389"/>
      <c r="H102" s="1629"/>
    </row>
    <row r="103" spans="1:8" ht="15" customHeight="1">
      <c r="A103" s="285" t="s">
        <v>21</v>
      </c>
    </row>
    <row r="104" spans="1:8" ht="8.25" customHeight="1">
      <c r="A104" s="285"/>
    </row>
    <row r="105" spans="1:8" ht="15" customHeight="1">
      <c r="A105" s="1634" t="s">
        <v>961</v>
      </c>
      <c r="B105" s="1634" t="s">
        <v>962</v>
      </c>
      <c r="C105" s="1635" t="s">
        <v>963</v>
      </c>
      <c r="D105" s="1636" t="s">
        <v>1051</v>
      </c>
      <c r="E105" s="1636" t="s">
        <v>1052</v>
      </c>
      <c r="F105" s="1636" t="s">
        <v>1053</v>
      </c>
      <c r="G105" s="1637" t="s">
        <v>964</v>
      </c>
      <c r="H105" s="1634" t="s">
        <v>1054</v>
      </c>
    </row>
    <row r="106" spans="1:8" ht="15" customHeight="1">
      <c r="A106" s="471"/>
      <c r="B106" s="192" t="s">
        <v>1006</v>
      </c>
      <c r="C106" s="192"/>
      <c r="D106" s="472"/>
      <c r="E106" s="472"/>
      <c r="F106" s="472"/>
      <c r="G106" s="473"/>
      <c r="H106" s="474"/>
    </row>
    <row r="107" spans="1:8" ht="15" customHeight="1">
      <c r="A107" s="475"/>
      <c r="B107" s="476" t="s">
        <v>479</v>
      </c>
      <c r="C107" s="477">
        <v>26</v>
      </c>
      <c r="D107" s="478">
        <v>4.92</v>
      </c>
      <c r="E107" s="478">
        <v>0.88171200000000005</v>
      </c>
      <c r="F107" s="478" t="s">
        <v>1067</v>
      </c>
      <c r="G107" s="479">
        <f t="shared" ref="G107:G119" si="2">ROUND((C107*D107*E107),2)</f>
        <v>112.79</v>
      </c>
      <c r="H107" s="480"/>
    </row>
    <row r="108" spans="1:8" ht="15" customHeight="1">
      <c r="A108" s="475"/>
      <c r="B108" s="476" t="s">
        <v>480</v>
      </c>
      <c r="C108" s="477">
        <v>31</v>
      </c>
      <c r="D108" s="478">
        <v>32.58</v>
      </c>
      <c r="E108" s="478">
        <v>0.61230000000000007</v>
      </c>
      <c r="F108" s="478" t="s">
        <v>1067</v>
      </c>
      <c r="G108" s="479">
        <f t="shared" si="2"/>
        <v>618.41</v>
      </c>
      <c r="H108" s="480"/>
    </row>
    <row r="109" spans="1:8" ht="15" customHeight="1">
      <c r="A109" s="475"/>
      <c r="B109" s="476" t="s">
        <v>481</v>
      </c>
      <c r="C109" s="477">
        <v>26</v>
      </c>
      <c r="D109" s="478">
        <v>4.92</v>
      </c>
      <c r="E109" s="478">
        <v>0.88171200000000005</v>
      </c>
      <c r="F109" s="478" t="s">
        <v>1067</v>
      </c>
      <c r="G109" s="479">
        <f t="shared" si="2"/>
        <v>112.79</v>
      </c>
      <c r="H109" s="480"/>
    </row>
    <row r="110" spans="1:8" ht="15" customHeight="1">
      <c r="A110" s="475"/>
      <c r="B110" s="476" t="s">
        <v>478</v>
      </c>
      <c r="C110" s="477">
        <v>31</v>
      </c>
      <c r="D110" s="478">
        <v>32.58</v>
      </c>
      <c r="E110" s="478">
        <v>0.61230000000000007</v>
      </c>
      <c r="F110" s="478" t="s">
        <v>1067</v>
      </c>
      <c r="G110" s="479">
        <f t="shared" si="2"/>
        <v>618.41</v>
      </c>
      <c r="H110" s="480"/>
    </row>
    <row r="111" spans="1:8" ht="15" customHeight="1">
      <c r="A111" s="475"/>
      <c r="B111" s="476"/>
      <c r="C111" s="477"/>
      <c r="D111" s="478"/>
      <c r="E111" s="478"/>
      <c r="F111" s="478"/>
      <c r="G111" s="481">
        <f>ROUND(SUM(G107:G110),2)</f>
        <v>1462.4</v>
      </c>
      <c r="H111" s="480" t="s">
        <v>1034</v>
      </c>
    </row>
    <row r="112" spans="1:8" ht="15" customHeight="1">
      <c r="A112" s="475"/>
      <c r="B112" s="482" t="s">
        <v>482</v>
      </c>
      <c r="C112" s="477">
        <v>341</v>
      </c>
      <c r="D112" s="478">
        <v>1.78</v>
      </c>
      <c r="E112" s="478">
        <v>0.88171200000000005</v>
      </c>
      <c r="F112" s="478" t="s">
        <v>1067</v>
      </c>
      <c r="G112" s="479">
        <f t="shared" si="2"/>
        <v>535.17999999999995</v>
      </c>
      <c r="H112" s="480"/>
    </row>
    <row r="113" spans="1:8" ht="15" customHeight="1">
      <c r="A113" s="475"/>
      <c r="B113" s="476" t="s">
        <v>1086</v>
      </c>
      <c r="C113" s="477"/>
      <c r="D113" s="478"/>
      <c r="E113" s="478"/>
      <c r="F113" s="478"/>
      <c r="G113" s="479"/>
      <c r="H113" s="480"/>
    </row>
    <row r="114" spans="1:8" ht="15" customHeight="1">
      <c r="A114" s="475"/>
      <c r="B114" s="476" t="s">
        <v>1089</v>
      </c>
      <c r="C114" s="477">
        <v>29</v>
      </c>
      <c r="D114" s="478">
        <v>1</v>
      </c>
      <c r="E114" s="478">
        <v>0.61230000000000007</v>
      </c>
      <c r="F114" s="478" t="s">
        <v>1067</v>
      </c>
      <c r="G114" s="479">
        <f t="shared" si="2"/>
        <v>17.760000000000002</v>
      </c>
      <c r="H114" s="480"/>
    </row>
    <row r="115" spans="1:8" ht="15" customHeight="1">
      <c r="A115" s="475"/>
      <c r="B115" s="476" t="s">
        <v>1090</v>
      </c>
      <c r="C115" s="477">
        <v>14</v>
      </c>
      <c r="D115" s="478">
        <v>4.16</v>
      </c>
      <c r="E115" s="478">
        <v>0.61230000000000007</v>
      </c>
      <c r="F115" s="478" t="s">
        <v>1067</v>
      </c>
      <c r="G115" s="479">
        <f t="shared" si="2"/>
        <v>35.659999999999997</v>
      </c>
      <c r="H115" s="480"/>
    </row>
    <row r="116" spans="1:8" ht="15" customHeight="1">
      <c r="A116" s="475"/>
      <c r="B116" s="476" t="s">
        <v>1088</v>
      </c>
      <c r="C116" s="477">
        <v>29</v>
      </c>
      <c r="D116" s="478">
        <v>1</v>
      </c>
      <c r="E116" s="478">
        <v>0.61230000000000007</v>
      </c>
      <c r="F116" s="478" t="s">
        <v>1067</v>
      </c>
      <c r="G116" s="479">
        <f t="shared" si="2"/>
        <v>17.760000000000002</v>
      </c>
      <c r="H116" s="480"/>
    </row>
    <row r="117" spans="1:8" ht="15" customHeight="1">
      <c r="A117" s="475"/>
      <c r="B117" s="476"/>
      <c r="C117" s="477">
        <v>14</v>
      </c>
      <c r="D117" s="478">
        <v>4.16</v>
      </c>
      <c r="E117" s="478">
        <v>0.61230000000000007</v>
      </c>
      <c r="F117" s="478" t="s">
        <v>1067</v>
      </c>
      <c r="G117" s="479">
        <f t="shared" si="2"/>
        <v>35.659999999999997</v>
      </c>
      <c r="H117" s="480"/>
    </row>
    <row r="118" spans="1:8" ht="15" customHeight="1">
      <c r="A118" s="475"/>
      <c r="B118" s="476" t="s">
        <v>1123</v>
      </c>
      <c r="C118" s="477">
        <v>25</v>
      </c>
      <c r="D118" s="478">
        <v>0.75</v>
      </c>
      <c r="E118" s="478">
        <v>0.61230000000000007</v>
      </c>
      <c r="F118" s="478" t="s">
        <v>1067</v>
      </c>
      <c r="G118" s="479">
        <f t="shared" si="2"/>
        <v>11.48</v>
      </c>
      <c r="H118" s="480"/>
    </row>
    <row r="119" spans="1:8" ht="15" customHeight="1">
      <c r="A119" s="475"/>
      <c r="B119" s="476" t="s">
        <v>1124</v>
      </c>
      <c r="C119" s="477">
        <v>25</v>
      </c>
      <c r="D119" s="478">
        <v>1</v>
      </c>
      <c r="E119" s="478">
        <v>0.61230000000000007</v>
      </c>
      <c r="F119" s="478" t="s">
        <v>1067</v>
      </c>
      <c r="G119" s="479">
        <f t="shared" si="2"/>
        <v>15.31</v>
      </c>
      <c r="H119" s="480"/>
    </row>
    <row r="120" spans="1:8" ht="15" customHeight="1">
      <c r="A120" s="475"/>
      <c r="B120" s="476"/>
      <c r="C120" s="477"/>
      <c r="D120" s="478"/>
      <c r="E120" s="478"/>
      <c r="F120" s="478"/>
      <c r="G120" s="481">
        <f>ROUND(SUM(G114:G119),2)</f>
        <v>133.63</v>
      </c>
      <c r="H120" s="480"/>
    </row>
    <row r="121" spans="1:8" ht="15" customHeight="1">
      <c r="A121" s="475"/>
      <c r="B121" s="476" t="s">
        <v>1068</v>
      </c>
      <c r="C121" s="477"/>
      <c r="D121" s="478"/>
      <c r="E121" s="478"/>
      <c r="F121" s="478"/>
      <c r="G121" s="479"/>
      <c r="H121" s="480"/>
    </row>
    <row r="122" spans="1:8" ht="15" customHeight="1">
      <c r="A122" s="475"/>
      <c r="B122" s="476" t="s">
        <v>1069</v>
      </c>
      <c r="C122" s="477">
        <v>9</v>
      </c>
      <c r="D122" s="478">
        <v>1.63</v>
      </c>
      <c r="E122" s="478">
        <v>0.61230000000000007</v>
      </c>
      <c r="F122" s="478" t="s">
        <v>1067</v>
      </c>
      <c r="G122" s="479">
        <f>ROUND((C122*D122*E122),2)</f>
        <v>8.98</v>
      </c>
      <c r="H122" s="480"/>
    </row>
    <row r="123" spans="1:8" ht="15" customHeight="1">
      <c r="A123" s="475"/>
      <c r="B123" s="476" t="s">
        <v>1070</v>
      </c>
      <c r="C123" s="477">
        <v>9</v>
      </c>
      <c r="D123" s="478">
        <v>1.66</v>
      </c>
      <c r="E123" s="478">
        <v>0.61230000000000007</v>
      </c>
      <c r="F123" s="478" t="s">
        <v>1067</v>
      </c>
      <c r="G123" s="479">
        <f>ROUND((C123*D123*E123),2)</f>
        <v>9.15</v>
      </c>
      <c r="H123" s="480"/>
    </row>
    <row r="124" spans="1:8" ht="15" customHeight="1">
      <c r="A124" s="475"/>
      <c r="B124" s="476" t="s">
        <v>1131</v>
      </c>
      <c r="C124" s="477">
        <v>9</v>
      </c>
      <c r="D124" s="478">
        <v>1.63</v>
      </c>
      <c r="E124" s="478">
        <v>0.61230000000000007</v>
      </c>
      <c r="F124" s="478" t="s">
        <v>1067</v>
      </c>
      <c r="G124" s="479">
        <f>ROUND((C124*D124*E124),2)</f>
        <v>8.98</v>
      </c>
      <c r="H124" s="480"/>
    </row>
    <row r="125" spans="1:8" ht="15" customHeight="1">
      <c r="A125" s="475"/>
      <c r="B125" s="476" t="s">
        <v>1070</v>
      </c>
      <c r="C125" s="477">
        <v>9</v>
      </c>
      <c r="D125" s="478">
        <v>1.66</v>
      </c>
      <c r="E125" s="478">
        <v>0.61230000000000007</v>
      </c>
      <c r="F125" s="478" t="s">
        <v>1067</v>
      </c>
      <c r="G125" s="479">
        <f>ROUND((C125*D125*E125),2)</f>
        <v>9.15</v>
      </c>
      <c r="H125" s="480"/>
    </row>
    <row r="126" spans="1:8" ht="15" customHeight="1">
      <c r="A126" s="475"/>
      <c r="B126" s="476"/>
      <c r="C126" s="477"/>
      <c r="D126" s="478"/>
      <c r="E126" s="478"/>
      <c r="F126" s="478"/>
      <c r="G126" s="479">
        <f>ROUND(SUM(G122:G125),2)</f>
        <v>36.26</v>
      </c>
      <c r="H126" s="480"/>
    </row>
    <row r="127" spans="1:8" ht="15" customHeight="1">
      <c r="A127" s="475"/>
      <c r="B127" s="482" t="s">
        <v>724</v>
      </c>
      <c r="C127" s="477">
        <v>52</v>
      </c>
      <c r="D127" s="478">
        <v>3.504</v>
      </c>
      <c r="E127" s="478">
        <v>0.88171200000000005</v>
      </c>
      <c r="F127" s="478" t="s">
        <v>1067</v>
      </c>
      <c r="G127" s="479">
        <f>ROUND((C127*D127*E127),2)</f>
        <v>160.65</v>
      </c>
      <c r="H127" s="480"/>
    </row>
    <row r="128" spans="1:8" ht="15" customHeight="1">
      <c r="A128" s="475"/>
      <c r="B128" s="476"/>
      <c r="C128" s="477"/>
      <c r="D128" s="478"/>
      <c r="E128" s="478"/>
      <c r="F128" s="478"/>
      <c r="G128" s="479"/>
      <c r="H128" s="480"/>
    </row>
    <row r="129" spans="1:8" ht="15" customHeight="1">
      <c r="A129" s="475"/>
      <c r="B129" s="476"/>
      <c r="C129" s="477"/>
      <c r="D129" s="478"/>
      <c r="E129" s="478" t="s">
        <v>1111</v>
      </c>
      <c r="F129" s="478"/>
      <c r="G129" s="481">
        <f>ROUND((G95+G101+G111+G112+G120+G126+G127),2)</f>
        <v>5003.6099999999997</v>
      </c>
      <c r="H129" s="480" t="s">
        <v>1034</v>
      </c>
    </row>
    <row r="130" spans="1:8" ht="15" customHeight="1">
      <c r="A130" s="475"/>
      <c r="B130" s="476" t="s">
        <v>1093</v>
      </c>
      <c r="C130" s="477">
        <v>2</v>
      </c>
      <c r="D130" s="478">
        <v>0.28260000000000002</v>
      </c>
      <c r="E130" s="478"/>
      <c r="F130" s="478"/>
      <c r="G130" s="479">
        <f>ROUND((C130*D130),2)</f>
        <v>0.56999999999999995</v>
      </c>
      <c r="H130" s="480"/>
    </row>
    <row r="131" spans="1:8" ht="15" customHeight="1">
      <c r="A131" s="475"/>
      <c r="B131" s="476" t="s">
        <v>1094</v>
      </c>
      <c r="C131" s="477"/>
      <c r="D131" s="478"/>
      <c r="E131" s="478" t="s">
        <v>1108</v>
      </c>
      <c r="F131" s="478"/>
      <c r="G131" s="481">
        <f>ROUND((G129-G130),2)</f>
        <v>5003.04</v>
      </c>
      <c r="H131" s="480" t="s">
        <v>1034</v>
      </c>
    </row>
    <row r="132" spans="1:8" ht="15" customHeight="1">
      <c r="A132" s="475">
        <v>10</v>
      </c>
      <c r="B132" s="482" t="s">
        <v>738</v>
      </c>
      <c r="C132" s="477"/>
      <c r="D132" s="478"/>
      <c r="E132" s="478"/>
      <c r="F132" s="478"/>
      <c r="G132" s="479"/>
      <c r="H132" s="480"/>
    </row>
    <row r="133" spans="1:8" ht="15" customHeight="1">
      <c r="A133" s="475"/>
      <c r="B133" s="482" t="s">
        <v>737</v>
      </c>
      <c r="C133" s="477"/>
      <c r="D133" s="478"/>
      <c r="E133" s="478"/>
      <c r="F133" s="478"/>
      <c r="G133" s="479"/>
      <c r="H133" s="480"/>
    </row>
    <row r="134" spans="1:8" ht="15" customHeight="1">
      <c r="A134" s="475"/>
      <c r="B134" s="476" t="s">
        <v>1097</v>
      </c>
      <c r="C134" s="477">
        <v>2</v>
      </c>
      <c r="D134" s="478">
        <v>1.43</v>
      </c>
      <c r="E134" s="478">
        <v>0.23</v>
      </c>
      <c r="F134" s="478">
        <v>1.48</v>
      </c>
      <c r="G134" s="479">
        <f>ROUND((C134*D134*E134*F134),2)</f>
        <v>0.97</v>
      </c>
      <c r="H134" s="480"/>
    </row>
    <row r="135" spans="1:8" ht="15" customHeight="1">
      <c r="A135" s="475"/>
      <c r="B135" s="476" t="s">
        <v>1058</v>
      </c>
      <c r="C135" s="477">
        <v>1</v>
      </c>
      <c r="D135" s="478">
        <v>1</v>
      </c>
      <c r="E135" s="478">
        <v>0.23</v>
      </c>
      <c r="F135" s="478">
        <v>1.48</v>
      </c>
      <c r="G135" s="479">
        <f>ROUND((C135*D135*E135*F135),2)</f>
        <v>0.34</v>
      </c>
      <c r="H135" s="480"/>
    </row>
    <row r="136" spans="1:8" ht="15" customHeight="1">
      <c r="A136" s="475"/>
      <c r="B136" s="476" t="s">
        <v>1098</v>
      </c>
      <c r="C136" s="477">
        <v>2</v>
      </c>
      <c r="D136" s="478">
        <v>1.43</v>
      </c>
      <c r="E136" s="478">
        <v>0.23</v>
      </c>
      <c r="F136" s="478">
        <v>1.48</v>
      </c>
      <c r="G136" s="479">
        <f>ROUND((C136*D136*E136*F136),2)</f>
        <v>0.97</v>
      </c>
      <c r="H136" s="480"/>
    </row>
    <row r="137" spans="1:8" ht="15" customHeight="1">
      <c r="A137" s="475"/>
      <c r="B137" s="476" t="s">
        <v>1058</v>
      </c>
      <c r="C137" s="477">
        <v>1</v>
      </c>
      <c r="D137" s="478">
        <v>1</v>
      </c>
      <c r="E137" s="478">
        <v>0.23</v>
      </c>
      <c r="F137" s="478">
        <v>1.48</v>
      </c>
      <c r="G137" s="479">
        <f>ROUND((C137*D137*E137*F137),2)</f>
        <v>0.34</v>
      </c>
      <c r="H137" s="480"/>
    </row>
    <row r="138" spans="1:8" ht="15" customHeight="1">
      <c r="A138" s="475"/>
      <c r="B138" s="476"/>
      <c r="C138" s="477"/>
      <c r="D138" s="478"/>
      <c r="E138" s="478" t="s">
        <v>1108</v>
      </c>
      <c r="F138" s="478"/>
      <c r="G138" s="481">
        <f>ROUND(SUM(G134:G137),2)</f>
        <v>2.62</v>
      </c>
      <c r="H138" s="480"/>
    </row>
    <row r="139" spans="1:8" ht="15" customHeight="1">
      <c r="A139" s="475">
        <v>11</v>
      </c>
      <c r="B139" s="482" t="s">
        <v>1133</v>
      </c>
      <c r="C139" s="477"/>
      <c r="D139" s="478"/>
      <c r="E139" s="478"/>
      <c r="F139" s="478"/>
      <c r="G139" s="479"/>
      <c r="H139" s="480"/>
    </row>
    <row r="140" spans="1:8" ht="15" customHeight="1">
      <c r="A140" s="475"/>
      <c r="B140" s="482" t="s">
        <v>1134</v>
      </c>
      <c r="C140" s="477"/>
      <c r="D140" s="478"/>
      <c r="E140" s="478"/>
      <c r="F140" s="478"/>
      <c r="G140" s="479"/>
      <c r="H140" s="480"/>
    </row>
    <row r="141" spans="1:8" ht="15" customHeight="1">
      <c r="A141" s="475"/>
      <c r="B141" s="476" t="s">
        <v>1135</v>
      </c>
      <c r="C141" s="477"/>
      <c r="D141" s="478"/>
      <c r="E141" s="478"/>
      <c r="F141" s="478"/>
      <c r="G141" s="479"/>
      <c r="H141" s="480"/>
    </row>
    <row r="142" spans="1:8" ht="15" customHeight="1">
      <c r="A142" s="475"/>
      <c r="B142" s="476" t="s">
        <v>1062</v>
      </c>
      <c r="C142" s="477">
        <v>2</v>
      </c>
      <c r="D142" s="478">
        <v>12.32</v>
      </c>
      <c r="E142" s="478"/>
      <c r="F142" s="478">
        <v>1.6</v>
      </c>
      <c r="G142" s="479">
        <f>ROUND((C142*D142*F142),2)</f>
        <v>39.42</v>
      </c>
      <c r="H142" s="480"/>
    </row>
    <row r="143" spans="1:8" ht="15" customHeight="1">
      <c r="A143" s="475"/>
      <c r="B143" s="476" t="s">
        <v>1063</v>
      </c>
      <c r="C143" s="477">
        <v>2</v>
      </c>
      <c r="D143" s="478">
        <v>12</v>
      </c>
      <c r="E143" s="478"/>
      <c r="F143" s="478">
        <v>2.4</v>
      </c>
      <c r="G143" s="479">
        <f>ROUND((C143*D143*F143),2)</f>
        <v>57.6</v>
      </c>
      <c r="H143" s="480"/>
    </row>
    <row r="144" spans="1:8" ht="15" customHeight="1">
      <c r="A144" s="475"/>
      <c r="B144" s="476" t="s">
        <v>1064</v>
      </c>
      <c r="C144" s="477">
        <v>2</v>
      </c>
      <c r="D144" s="478">
        <v>4.4800000000000004</v>
      </c>
      <c r="E144" s="478"/>
      <c r="F144" s="478">
        <v>1.6</v>
      </c>
      <c r="G144" s="479">
        <f>ROUND((C144*D144*F144),2)</f>
        <v>14.34</v>
      </c>
      <c r="H144" s="480"/>
    </row>
    <row r="145" spans="1:8" ht="15" customHeight="1">
      <c r="A145" s="486"/>
      <c r="B145" s="487" t="s">
        <v>1065</v>
      </c>
      <c r="C145" s="488">
        <v>2</v>
      </c>
      <c r="D145" s="484">
        <v>4</v>
      </c>
      <c r="E145" s="484"/>
      <c r="F145" s="484">
        <v>2.4</v>
      </c>
      <c r="G145" s="483">
        <f>ROUND((C145*D145*F145),2)</f>
        <v>19.2</v>
      </c>
      <c r="H145" s="485"/>
    </row>
    <row r="146" spans="1:8" ht="14.1" customHeight="1">
      <c r="A146" s="1629"/>
      <c r="B146" s="1629"/>
      <c r="C146" s="359"/>
      <c r="D146" s="360"/>
      <c r="E146" s="360"/>
      <c r="F146" s="360"/>
      <c r="G146" s="389"/>
      <c r="H146" s="1629"/>
    </row>
    <row r="147" spans="1:8" ht="14.1" customHeight="1">
      <c r="A147" s="285" t="s">
        <v>21</v>
      </c>
    </row>
    <row r="148" spans="1:8" ht="7.5" customHeight="1">
      <c r="A148" s="1638"/>
      <c r="B148" s="1638"/>
      <c r="C148" s="1639"/>
      <c r="D148" s="1640"/>
      <c r="E148" s="1640"/>
      <c r="F148" s="1640"/>
      <c r="G148" s="1641"/>
      <c r="H148" s="1638"/>
    </row>
    <row r="149" spans="1:8" ht="14.1" customHeight="1">
      <c r="A149" s="1634" t="s">
        <v>961</v>
      </c>
      <c r="B149" s="1634" t="s">
        <v>962</v>
      </c>
      <c r="C149" s="1635" t="s">
        <v>963</v>
      </c>
      <c r="D149" s="1636" t="s">
        <v>1051</v>
      </c>
      <c r="E149" s="1636" t="s">
        <v>1052</v>
      </c>
      <c r="F149" s="1636" t="s">
        <v>1053</v>
      </c>
      <c r="G149" s="1637" t="s">
        <v>964</v>
      </c>
      <c r="H149" s="1634" t="s">
        <v>1054</v>
      </c>
    </row>
    <row r="150" spans="1:8" ht="14.1" customHeight="1">
      <c r="A150" s="471"/>
      <c r="B150" s="192" t="s">
        <v>1075</v>
      </c>
      <c r="C150" s="192"/>
      <c r="D150" s="472"/>
      <c r="E150" s="472"/>
      <c r="F150" s="472"/>
      <c r="G150" s="473"/>
      <c r="H150" s="474"/>
    </row>
    <row r="151" spans="1:8" ht="14.1" customHeight="1">
      <c r="A151" s="475"/>
      <c r="B151" s="476" t="s">
        <v>1057</v>
      </c>
      <c r="C151" s="477">
        <v>2</v>
      </c>
      <c r="D151" s="478">
        <v>12.32</v>
      </c>
      <c r="E151" s="478">
        <v>0.16</v>
      </c>
      <c r="F151" s="478"/>
      <c r="G151" s="479">
        <f t="shared" ref="G151:G156" si="3">ROUND((C151*D151*E151),2)</f>
        <v>3.94</v>
      </c>
      <c r="H151" s="480"/>
    </row>
    <row r="152" spans="1:8" ht="14.1" customHeight="1">
      <c r="A152" s="475"/>
      <c r="B152" s="476" t="s">
        <v>1076</v>
      </c>
      <c r="C152" s="477">
        <v>2</v>
      </c>
      <c r="D152" s="478">
        <v>4</v>
      </c>
      <c r="E152" s="478">
        <v>0.16</v>
      </c>
      <c r="F152" s="478"/>
      <c r="G152" s="479">
        <f t="shared" si="3"/>
        <v>1.28</v>
      </c>
      <c r="H152" s="480"/>
    </row>
    <row r="153" spans="1:8" ht="14.1" customHeight="1">
      <c r="A153" s="475"/>
      <c r="B153" s="476" t="s">
        <v>1086</v>
      </c>
      <c r="C153" s="477">
        <v>2</v>
      </c>
      <c r="D153" s="478">
        <v>4.16</v>
      </c>
      <c r="E153" s="478">
        <v>0.625</v>
      </c>
      <c r="F153" s="478"/>
      <c r="G153" s="479">
        <f t="shared" si="3"/>
        <v>5.2</v>
      </c>
      <c r="H153" s="480"/>
    </row>
    <row r="154" spans="1:8" ht="14.1" customHeight="1">
      <c r="A154" s="475"/>
      <c r="B154" s="476"/>
      <c r="C154" s="477">
        <v>2</v>
      </c>
      <c r="D154" s="478">
        <v>4.16</v>
      </c>
      <c r="E154" s="478">
        <v>0.45</v>
      </c>
      <c r="F154" s="478"/>
      <c r="G154" s="479">
        <f t="shared" si="3"/>
        <v>3.74</v>
      </c>
      <c r="H154" s="480"/>
    </row>
    <row r="155" spans="1:8" ht="14.1" customHeight="1">
      <c r="A155" s="475"/>
      <c r="B155" s="476" t="s">
        <v>1088</v>
      </c>
      <c r="C155" s="477">
        <v>1</v>
      </c>
      <c r="D155" s="478">
        <v>4.16</v>
      </c>
      <c r="E155" s="478">
        <v>0.625</v>
      </c>
      <c r="F155" s="478"/>
      <c r="G155" s="479">
        <f t="shared" si="3"/>
        <v>2.6</v>
      </c>
      <c r="H155" s="480"/>
    </row>
    <row r="156" spans="1:8" ht="14.1" customHeight="1">
      <c r="A156" s="475"/>
      <c r="B156" s="476"/>
      <c r="C156" s="477">
        <v>1</v>
      </c>
      <c r="D156" s="478">
        <v>4.16</v>
      </c>
      <c r="E156" s="478">
        <v>0.45</v>
      </c>
      <c r="F156" s="478"/>
      <c r="G156" s="479">
        <f t="shared" si="3"/>
        <v>1.87</v>
      </c>
      <c r="H156" s="480"/>
    </row>
    <row r="157" spans="1:8" ht="14.1" customHeight="1">
      <c r="A157" s="475"/>
      <c r="B157" s="476" t="s">
        <v>1077</v>
      </c>
      <c r="C157" s="477"/>
      <c r="D157" s="478"/>
      <c r="E157" s="478"/>
      <c r="F157" s="478"/>
      <c r="G157" s="479"/>
      <c r="H157" s="480"/>
    </row>
    <row r="158" spans="1:8" ht="14.1" customHeight="1">
      <c r="A158" s="475"/>
      <c r="B158" s="476" t="s">
        <v>1100</v>
      </c>
      <c r="C158" s="477">
        <v>2</v>
      </c>
      <c r="D158" s="478">
        <v>1.43</v>
      </c>
      <c r="E158" s="478"/>
      <c r="F158" s="478">
        <v>0.5</v>
      </c>
      <c r="G158" s="479">
        <f>ROUND((C158*D158*F158),2)</f>
        <v>1.43</v>
      </c>
      <c r="H158" s="480"/>
    </row>
    <row r="159" spans="1:8" ht="14.1" customHeight="1">
      <c r="A159" s="475"/>
      <c r="B159" s="476" t="s">
        <v>1078</v>
      </c>
      <c r="C159" s="477">
        <v>2</v>
      </c>
      <c r="D159" s="478">
        <v>1.2</v>
      </c>
      <c r="E159" s="478"/>
      <c r="F159" s="478">
        <v>1.48</v>
      </c>
      <c r="G159" s="479">
        <f t="shared" ref="G159:G165" si="4">ROUND((C159*D159*F159),2)</f>
        <v>3.55</v>
      </c>
      <c r="H159" s="480"/>
    </row>
    <row r="160" spans="1:8" ht="14.1" customHeight="1">
      <c r="A160" s="475"/>
      <c r="B160" s="476" t="s">
        <v>1064</v>
      </c>
      <c r="C160" s="477">
        <v>2</v>
      </c>
      <c r="D160" s="478">
        <v>1.46</v>
      </c>
      <c r="E160" s="478"/>
      <c r="F160" s="478">
        <v>0.3</v>
      </c>
      <c r="G160" s="479">
        <f t="shared" si="4"/>
        <v>0.88</v>
      </c>
      <c r="H160" s="480"/>
    </row>
    <row r="161" spans="1:8" ht="14.1" customHeight="1">
      <c r="A161" s="475"/>
      <c r="B161" s="476" t="s">
        <v>1065</v>
      </c>
      <c r="C161" s="477">
        <v>2</v>
      </c>
      <c r="D161" s="478">
        <v>1</v>
      </c>
      <c r="E161" s="478"/>
      <c r="F161" s="478">
        <v>1.48</v>
      </c>
      <c r="G161" s="479">
        <f t="shared" si="4"/>
        <v>2.96</v>
      </c>
      <c r="H161" s="480"/>
    </row>
    <row r="162" spans="1:8" ht="14.1" customHeight="1">
      <c r="A162" s="475"/>
      <c r="B162" s="476" t="s">
        <v>1101</v>
      </c>
      <c r="C162" s="477">
        <v>2</v>
      </c>
      <c r="D162" s="478">
        <v>1.66</v>
      </c>
      <c r="E162" s="478"/>
      <c r="F162" s="478">
        <v>0.5</v>
      </c>
      <c r="G162" s="479">
        <f t="shared" si="4"/>
        <v>1.66</v>
      </c>
      <c r="H162" s="480"/>
    </row>
    <row r="163" spans="1:8" ht="14.1" customHeight="1">
      <c r="A163" s="475"/>
      <c r="B163" s="476" t="s">
        <v>1078</v>
      </c>
      <c r="C163" s="477">
        <v>2</v>
      </c>
      <c r="D163" s="478">
        <v>1.2</v>
      </c>
      <c r="E163" s="478"/>
      <c r="F163" s="478">
        <v>1.48</v>
      </c>
      <c r="G163" s="479">
        <f t="shared" si="4"/>
        <v>3.55</v>
      </c>
      <c r="H163" s="480"/>
    </row>
    <row r="164" spans="1:8" ht="14.1" customHeight="1">
      <c r="A164" s="475"/>
      <c r="B164" s="476" t="s">
        <v>1064</v>
      </c>
      <c r="C164" s="477">
        <v>2</v>
      </c>
      <c r="D164" s="478">
        <v>1.46</v>
      </c>
      <c r="E164" s="478"/>
      <c r="F164" s="478">
        <v>0.3</v>
      </c>
      <c r="G164" s="479">
        <f t="shared" si="4"/>
        <v>0.88</v>
      </c>
      <c r="H164" s="480"/>
    </row>
    <row r="165" spans="1:8" ht="14.1" customHeight="1">
      <c r="A165" s="475"/>
      <c r="B165" s="476" t="s">
        <v>1065</v>
      </c>
      <c r="C165" s="477">
        <v>2</v>
      </c>
      <c r="D165" s="478">
        <v>1</v>
      </c>
      <c r="E165" s="478"/>
      <c r="F165" s="478">
        <v>1.48</v>
      </c>
      <c r="G165" s="479">
        <f t="shared" si="4"/>
        <v>2.96</v>
      </c>
      <c r="H165" s="480"/>
    </row>
    <row r="166" spans="1:8" ht="14.1" customHeight="1">
      <c r="A166" s="475"/>
      <c r="B166" s="476" t="s">
        <v>1075</v>
      </c>
      <c r="C166" s="477"/>
      <c r="D166" s="478"/>
      <c r="E166" s="478"/>
      <c r="F166" s="478"/>
      <c r="G166" s="479"/>
      <c r="H166" s="480"/>
    </row>
    <row r="167" spans="1:8" ht="14.1" customHeight="1">
      <c r="A167" s="475"/>
      <c r="B167" s="476" t="s">
        <v>1057</v>
      </c>
      <c r="C167" s="477">
        <v>4</v>
      </c>
      <c r="D167" s="478">
        <v>1.43</v>
      </c>
      <c r="E167" s="478">
        <v>0.16</v>
      </c>
      <c r="F167" s="478"/>
      <c r="G167" s="479">
        <f>ROUND((C167*D167*E167),2)</f>
        <v>0.92</v>
      </c>
      <c r="H167" s="480"/>
    </row>
    <row r="168" spans="1:8" ht="14.1" customHeight="1">
      <c r="A168" s="475"/>
      <c r="B168" s="476" t="s">
        <v>1076</v>
      </c>
      <c r="C168" s="477">
        <v>4</v>
      </c>
      <c r="D168" s="478">
        <v>1</v>
      </c>
      <c r="E168" s="478">
        <v>0.16</v>
      </c>
      <c r="F168" s="478"/>
      <c r="G168" s="479">
        <f>ROUND((C168*D168*E168),2)</f>
        <v>0.64</v>
      </c>
      <c r="H168" s="480"/>
    </row>
    <row r="169" spans="1:8" ht="14.1" customHeight="1">
      <c r="A169" s="475"/>
      <c r="B169" s="476" t="s">
        <v>1079</v>
      </c>
      <c r="C169" s="477"/>
      <c r="D169" s="478"/>
      <c r="E169" s="478"/>
      <c r="F169" s="478"/>
      <c r="G169" s="479"/>
      <c r="H169" s="480"/>
    </row>
    <row r="170" spans="1:8" ht="14.1" customHeight="1">
      <c r="A170" s="475"/>
      <c r="B170" s="476" t="s">
        <v>1071</v>
      </c>
      <c r="C170" s="477">
        <v>1</v>
      </c>
      <c r="D170" s="478">
        <v>1.2</v>
      </c>
      <c r="E170" s="478">
        <v>1.46</v>
      </c>
      <c r="F170" s="478"/>
      <c r="G170" s="479">
        <f>ROUND((C170*D170*E170),2)</f>
        <v>1.75</v>
      </c>
      <c r="H170" s="480"/>
    </row>
    <row r="171" spans="1:8" ht="14.1" customHeight="1">
      <c r="A171" s="475"/>
      <c r="B171" s="476" t="s">
        <v>1072</v>
      </c>
      <c r="C171" s="477">
        <v>1</v>
      </c>
      <c r="D171" s="478">
        <v>1.2</v>
      </c>
      <c r="E171" s="478">
        <v>1.46</v>
      </c>
      <c r="F171" s="478"/>
      <c r="G171" s="479">
        <f>ROUND((C171*D171*E171),2)</f>
        <v>1.75</v>
      </c>
      <c r="H171" s="480"/>
    </row>
    <row r="172" spans="1:8" ht="14.1" customHeight="1">
      <c r="A172" s="475"/>
      <c r="B172" s="476"/>
      <c r="C172" s="477"/>
      <c r="D172" s="478"/>
      <c r="E172" s="478"/>
      <c r="F172" s="478"/>
      <c r="G172" s="479">
        <f>ROUND(SUM(G142:G171),2)</f>
        <v>172.12</v>
      </c>
      <c r="H172" s="480"/>
    </row>
    <row r="173" spans="1:8" ht="14.1" customHeight="1">
      <c r="A173" s="475"/>
      <c r="B173" s="476" t="s">
        <v>1093</v>
      </c>
      <c r="C173" s="477">
        <v>2</v>
      </c>
      <c r="D173" s="478">
        <v>0.28260000000000002</v>
      </c>
      <c r="E173" s="478"/>
      <c r="F173" s="478"/>
      <c r="G173" s="479">
        <f>ROUND((C173*D173),2)</f>
        <v>0.56999999999999995</v>
      </c>
      <c r="H173" s="480"/>
    </row>
    <row r="174" spans="1:8" ht="14.1" customHeight="1">
      <c r="A174" s="475"/>
      <c r="B174" s="476"/>
      <c r="C174" s="477"/>
      <c r="D174" s="478"/>
      <c r="E174" s="478" t="s">
        <v>1108</v>
      </c>
      <c r="F174" s="478"/>
      <c r="G174" s="481">
        <f>ROUND((G172-G173),2)</f>
        <v>171.55</v>
      </c>
      <c r="H174" s="480" t="s">
        <v>1182</v>
      </c>
    </row>
    <row r="175" spans="1:8" ht="14.1" customHeight="1">
      <c r="A175" s="475">
        <v>12</v>
      </c>
      <c r="B175" s="482" t="s">
        <v>976</v>
      </c>
      <c r="C175" s="477"/>
      <c r="D175" s="478"/>
      <c r="E175" s="478"/>
      <c r="F175" s="478"/>
      <c r="G175" s="479"/>
      <c r="H175" s="480"/>
    </row>
    <row r="176" spans="1:8" ht="14.1" customHeight="1">
      <c r="A176" s="475"/>
      <c r="B176" s="482" t="s">
        <v>1020</v>
      </c>
      <c r="C176" s="477"/>
      <c r="D176" s="478"/>
      <c r="E176" s="478"/>
      <c r="F176" s="478"/>
      <c r="G176" s="479"/>
      <c r="H176" s="480"/>
    </row>
    <row r="177" spans="1:8" ht="14.1" customHeight="1">
      <c r="A177" s="475"/>
      <c r="B177" s="476" t="s">
        <v>983</v>
      </c>
      <c r="C177" s="477">
        <v>2</v>
      </c>
      <c r="D177" s="478">
        <v>12</v>
      </c>
      <c r="E177" s="478">
        <v>4</v>
      </c>
      <c r="F177" s="478"/>
      <c r="G177" s="479">
        <f>ROUND((C177*D177*E177),2)</f>
        <v>96</v>
      </c>
      <c r="H177" s="480"/>
    </row>
    <row r="178" spans="1:8" ht="14.1" customHeight="1">
      <c r="A178" s="475"/>
      <c r="B178" s="476"/>
      <c r="C178" s="477"/>
      <c r="D178" s="478"/>
      <c r="E178" s="478" t="s">
        <v>1108</v>
      </c>
      <c r="F178" s="478"/>
      <c r="G178" s="481">
        <f>ROUND(SUM(G177:G177),2)</f>
        <v>96</v>
      </c>
      <c r="H178" s="480" t="s">
        <v>1182</v>
      </c>
    </row>
    <row r="179" spans="1:8" ht="14.1" customHeight="1">
      <c r="A179" s="475">
        <v>13</v>
      </c>
      <c r="B179" s="482" t="s">
        <v>977</v>
      </c>
      <c r="C179" s="477"/>
      <c r="D179" s="478"/>
      <c r="E179" s="478"/>
      <c r="F179" s="478"/>
      <c r="G179" s="481"/>
      <c r="H179" s="480"/>
    </row>
    <row r="180" spans="1:8" ht="14.1" customHeight="1">
      <c r="A180" s="475"/>
      <c r="B180" s="482" t="s">
        <v>969</v>
      </c>
      <c r="C180" s="477" t="s">
        <v>1080</v>
      </c>
      <c r="D180" s="478"/>
      <c r="E180" s="478"/>
      <c r="F180" s="478"/>
      <c r="G180" s="481">
        <f>G143+G145+G177</f>
        <v>172.8</v>
      </c>
      <c r="H180" s="480" t="s">
        <v>1182</v>
      </c>
    </row>
    <row r="181" spans="1:8" ht="14.1" customHeight="1">
      <c r="A181" s="475"/>
      <c r="B181" s="476"/>
      <c r="C181" s="477"/>
      <c r="D181" s="478"/>
      <c r="E181" s="478"/>
      <c r="F181" s="478"/>
      <c r="G181" s="481"/>
      <c r="H181" s="480"/>
    </row>
    <row r="182" spans="1:8" ht="14.1" customHeight="1">
      <c r="A182" s="199"/>
      <c r="B182" s="199" t="s">
        <v>1086</v>
      </c>
      <c r="C182" s="199">
        <v>1</v>
      </c>
      <c r="D182" s="306">
        <v>4.16</v>
      </c>
      <c r="E182" s="306">
        <v>0.57499999999999996</v>
      </c>
      <c r="F182" s="306"/>
      <c r="G182" s="479">
        <f>ROUND((C182*D182*E182),2)</f>
        <v>2.39</v>
      </c>
      <c r="H182" s="1643"/>
    </row>
    <row r="183" spans="1:8" ht="14.1" customHeight="1">
      <c r="A183" s="199"/>
      <c r="B183" s="199" t="s">
        <v>1088</v>
      </c>
      <c r="C183" s="199">
        <v>1</v>
      </c>
      <c r="D183" s="306">
        <v>4.16</v>
      </c>
      <c r="E183" s="306">
        <v>1.3</v>
      </c>
      <c r="F183" s="306"/>
      <c r="G183" s="479">
        <f>ROUND((C183*D183*E183),2)</f>
        <v>5.41</v>
      </c>
      <c r="H183" s="1643"/>
    </row>
    <row r="184" spans="1:8" ht="14.1" customHeight="1">
      <c r="A184" s="199"/>
      <c r="B184" s="199"/>
      <c r="C184" s="199"/>
      <c r="D184" s="306"/>
      <c r="E184" s="2938" t="s">
        <v>1108</v>
      </c>
      <c r="F184" s="2939"/>
      <c r="G184" s="1644">
        <f>ROUND(SUM(G182:G183),2)</f>
        <v>7.8</v>
      </c>
      <c r="H184" s="1643" t="s">
        <v>1182</v>
      </c>
    </row>
    <row r="185" spans="1:8" ht="14.1" customHeight="1">
      <c r="A185" s="199">
        <v>14</v>
      </c>
      <c r="B185" s="196" t="s">
        <v>1021</v>
      </c>
      <c r="C185" s="199"/>
      <c r="D185" s="306"/>
      <c r="E185" s="306"/>
      <c r="F185" s="306"/>
      <c r="G185" s="1645"/>
      <c r="H185" s="196"/>
    </row>
    <row r="186" spans="1:8" ht="14.1" customHeight="1">
      <c r="A186" s="199"/>
      <c r="B186" s="196" t="s">
        <v>1022</v>
      </c>
      <c r="C186" s="2945" t="s">
        <v>1083</v>
      </c>
      <c r="D186" s="2946"/>
      <c r="E186" s="2947"/>
      <c r="F186" s="306"/>
      <c r="G186" s="1645"/>
      <c r="H186" s="196"/>
    </row>
    <row r="187" spans="1:8" ht="14.1" customHeight="1">
      <c r="A187" s="199"/>
      <c r="B187" s="196" t="s">
        <v>1023</v>
      </c>
      <c r="C187" s="2948"/>
      <c r="D187" s="2949"/>
      <c r="E187" s="2950"/>
      <c r="F187" s="306"/>
      <c r="G187" s="1644">
        <f>G142+G144+G151+G152+G158+G160+G162+G164+G167+G168+G170+G171</f>
        <v>68.89</v>
      </c>
      <c r="H187" s="1643" t="s">
        <v>1182</v>
      </c>
    </row>
    <row r="188" spans="1:8" ht="14.1" customHeight="1">
      <c r="A188" s="199">
        <v>15</v>
      </c>
      <c r="B188" s="196" t="s">
        <v>2766</v>
      </c>
      <c r="C188" s="199"/>
      <c r="D188" s="306"/>
      <c r="E188" s="2938"/>
      <c r="F188" s="2939"/>
      <c r="G188" s="1645"/>
      <c r="H188" s="196"/>
    </row>
    <row r="189" spans="1:8" ht="14.1" customHeight="1">
      <c r="A189" s="199"/>
      <c r="B189" s="196" t="s">
        <v>1136</v>
      </c>
      <c r="C189" s="199"/>
      <c r="D189" s="306"/>
      <c r="E189" s="2938"/>
      <c r="F189" s="2939"/>
      <c r="G189" s="1645"/>
      <c r="H189" s="1643"/>
    </row>
    <row r="190" spans="1:8" ht="15.95" customHeight="1">
      <c r="A190" s="199"/>
      <c r="B190" s="196" t="s">
        <v>1137</v>
      </c>
      <c r="C190" s="2957" t="s">
        <v>980</v>
      </c>
      <c r="D190" s="2958"/>
      <c r="E190" s="306"/>
      <c r="F190" s="306"/>
      <c r="G190" s="1644" t="s">
        <v>1081</v>
      </c>
      <c r="H190" s="1643"/>
    </row>
    <row r="191" spans="1:8" ht="15.95" customHeight="1">
      <c r="A191" s="199">
        <v>16</v>
      </c>
      <c r="B191" s="196" t="s">
        <v>1095</v>
      </c>
      <c r="C191" s="199"/>
      <c r="D191" s="306"/>
      <c r="E191" s="306"/>
      <c r="F191" s="306"/>
      <c r="G191" s="1645"/>
      <c r="H191" s="1643"/>
    </row>
    <row r="192" spans="1:8" ht="15.95" customHeight="1">
      <c r="A192" s="199"/>
      <c r="B192" s="196" t="s">
        <v>1096</v>
      </c>
      <c r="C192" s="199"/>
      <c r="D192" s="306"/>
      <c r="E192" s="306"/>
      <c r="F192" s="306"/>
      <c r="G192" s="1645"/>
      <c r="H192" s="1643"/>
    </row>
    <row r="193" spans="1:8" ht="15.95" customHeight="1">
      <c r="A193" s="1646"/>
      <c r="B193" s="1647" t="s">
        <v>978</v>
      </c>
      <c r="C193" s="1646"/>
      <c r="D193" s="1648"/>
      <c r="E193" s="1648"/>
      <c r="F193" s="1648"/>
      <c r="G193" s="1649"/>
      <c r="H193" s="1650"/>
    </row>
    <row r="194" spans="1:8" ht="15" customHeight="1">
      <c r="A194" s="358"/>
      <c r="B194" s="299" t="s">
        <v>979</v>
      </c>
      <c r="C194" s="358">
        <v>2</v>
      </c>
      <c r="D194" s="1630"/>
      <c r="E194" s="1630"/>
      <c r="F194" s="1630"/>
      <c r="G194" s="390">
        <f>C194</f>
        <v>2</v>
      </c>
      <c r="H194" s="299" t="s">
        <v>1082</v>
      </c>
    </row>
    <row r="195" spans="1:8" ht="15" customHeight="1"/>
    <row r="196" spans="1:8" ht="15" customHeight="1">
      <c r="A196" s="285" t="s">
        <v>53</v>
      </c>
    </row>
    <row r="197" spans="1:8" ht="8.25" customHeight="1">
      <c r="A197" s="285"/>
      <c r="B197" s="1638"/>
      <c r="C197" s="1639"/>
      <c r="D197" s="1640"/>
      <c r="E197" s="1640"/>
      <c r="F197" s="1640"/>
      <c r="G197" s="1641"/>
      <c r="H197" s="1638"/>
    </row>
    <row r="198" spans="1:8" ht="15" customHeight="1">
      <c r="A198" s="1634" t="s">
        <v>961</v>
      </c>
      <c r="B198" s="1634" t="s">
        <v>962</v>
      </c>
      <c r="C198" s="1635" t="s">
        <v>963</v>
      </c>
      <c r="D198" s="1636" t="s">
        <v>1051</v>
      </c>
      <c r="E198" s="1636" t="s">
        <v>1052</v>
      </c>
      <c r="F198" s="1636" t="s">
        <v>1053</v>
      </c>
      <c r="G198" s="1637" t="s">
        <v>964</v>
      </c>
      <c r="H198" s="1634" t="s">
        <v>1054</v>
      </c>
    </row>
    <row r="199" spans="1:8" ht="15" customHeight="1">
      <c r="A199" s="471">
        <v>1</v>
      </c>
      <c r="B199" s="192" t="s">
        <v>966</v>
      </c>
      <c r="C199" s="192">
        <v>1</v>
      </c>
      <c r="D199" s="472">
        <v>9</v>
      </c>
      <c r="E199" s="472">
        <v>9</v>
      </c>
      <c r="F199" s="472"/>
      <c r="G199" s="473">
        <f>ROUND((C199*D199*E199),2)</f>
        <v>81</v>
      </c>
      <c r="H199" s="474" t="s">
        <v>1182</v>
      </c>
    </row>
    <row r="200" spans="1:8" ht="15" customHeight="1">
      <c r="A200" s="475">
        <v>2</v>
      </c>
      <c r="B200" s="482" t="s">
        <v>967</v>
      </c>
      <c r="C200" s="477"/>
      <c r="D200" s="478"/>
      <c r="E200" s="478"/>
      <c r="F200" s="478"/>
      <c r="G200" s="479"/>
      <c r="H200" s="480"/>
    </row>
    <row r="201" spans="1:8" ht="15" customHeight="1">
      <c r="A201" s="199"/>
      <c r="B201" s="196" t="s">
        <v>552</v>
      </c>
      <c r="C201" s="199">
        <v>1</v>
      </c>
      <c r="D201" s="306">
        <v>10.88</v>
      </c>
      <c r="E201" s="306">
        <v>8.74</v>
      </c>
      <c r="F201" s="306">
        <v>0.3</v>
      </c>
      <c r="G201" s="479">
        <f>ROUND((C201*D201*E201*F201),2)</f>
        <v>28.53</v>
      </c>
      <c r="H201" s="196"/>
    </row>
    <row r="202" spans="1:8" ht="15" customHeight="1">
      <c r="A202" s="199"/>
      <c r="B202" s="196" t="s">
        <v>968</v>
      </c>
      <c r="C202" s="199">
        <v>1</v>
      </c>
      <c r="D202" s="306">
        <v>10.88</v>
      </c>
      <c r="E202" s="306">
        <v>8.74</v>
      </c>
      <c r="F202" s="306">
        <v>0.98</v>
      </c>
      <c r="G202" s="479">
        <f>ROUND((C202*D202*E202*F202),2)</f>
        <v>93.19</v>
      </c>
      <c r="H202" s="1643"/>
    </row>
    <row r="203" spans="1:8" ht="15" customHeight="1">
      <c r="A203" s="199"/>
      <c r="B203" s="196" t="s">
        <v>1172</v>
      </c>
      <c r="C203" s="199">
        <v>1</v>
      </c>
      <c r="D203" s="306">
        <v>1.83</v>
      </c>
      <c r="E203" s="306">
        <v>1.86</v>
      </c>
      <c r="F203" s="306">
        <v>0.75</v>
      </c>
      <c r="G203" s="479">
        <f>ROUND((C203*D203*E203*F203),2)</f>
        <v>2.5499999999999998</v>
      </c>
      <c r="H203" s="1643"/>
    </row>
    <row r="204" spans="1:8" ht="15" customHeight="1">
      <c r="A204" s="199"/>
      <c r="B204" s="196" t="s">
        <v>1173</v>
      </c>
      <c r="C204" s="199">
        <v>2</v>
      </c>
      <c r="D204" s="306">
        <v>1.83</v>
      </c>
      <c r="E204" s="306">
        <v>1.86</v>
      </c>
      <c r="F204" s="306">
        <v>0.75</v>
      </c>
      <c r="G204" s="479">
        <f>ROUND((C204*D204*E204*F204),2)</f>
        <v>5.1100000000000003</v>
      </c>
      <c r="H204" s="1643"/>
    </row>
    <row r="205" spans="1:8" ht="15" customHeight="1">
      <c r="A205" s="199"/>
      <c r="B205" s="196"/>
      <c r="C205" s="199"/>
      <c r="D205" s="306"/>
      <c r="E205" s="2938" t="s">
        <v>1108</v>
      </c>
      <c r="F205" s="2939"/>
      <c r="G205" s="1651">
        <f>ROUND(SUM(G201:G204),2)</f>
        <v>129.38</v>
      </c>
      <c r="H205" s="1643" t="s">
        <v>1174</v>
      </c>
    </row>
    <row r="206" spans="1:8" ht="15" customHeight="1">
      <c r="A206" s="199">
        <v>3</v>
      </c>
      <c r="B206" s="312" t="s">
        <v>1175</v>
      </c>
      <c r="C206" s="199"/>
      <c r="D206" s="306"/>
      <c r="E206" s="306"/>
      <c r="F206" s="306"/>
      <c r="G206" s="1645"/>
      <c r="H206" s="1643"/>
    </row>
    <row r="207" spans="1:8" ht="15" customHeight="1">
      <c r="A207" s="199"/>
      <c r="B207" s="312" t="s">
        <v>728</v>
      </c>
      <c r="C207" s="199">
        <v>2</v>
      </c>
      <c r="D207" s="306">
        <v>10.88</v>
      </c>
      <c r="E207" s="306">
        <v>0.6</v>
      </c>
      <c r="F207" s="306">
        <v>0.75</v>
      </c>
      <c r="G207" s="479">
        <f t="shared" ref="G207:G219" si="5">ROUND((C207*D207*E207*F207),2)</f>
        <v>9.7899999999999991</v>
      </c>
      <c r="H207" s="1643"/>
    </row>
    <row r="208" spans="1:8" ht="15" customHeight="1">
      <c r="A208" s="199"/>
      <c r="B208" s="199" t="s">
        <v>1058</v>
      </c>
      <c r="C208" s="199">
        <v>2</v>
      </c>
      <c r="D208" s="306">
        <v>7.54</v>
      </c>
      <c r="E208" s="306">
        <v>0.6</v>
      </c>
      <c r="F208" s="306">
        <v>0.75</v>
      </c>
      <c r="G208" s="479">
        <f t="shared" si="5"/>
        <v>6.79</v>
      </c>
      <c r="H208" s="1643"/>
    </row>
    <row r="209" spans="1:8" ht="15" customHeight="1">
      <c r="A209" s="199"/>
      <c r="B209" s="196" t="s">
        <v>726</v>
      </c>
      <c r="C209" s="199">
        <v>2</v>
      </c>
      <c r="D209" s="306">
        <v>1.83</v>
      </c>
      <c r="E209" s="306">
        <v>0.2</v>
      </c>
      <c r="F209" s="306">
        <v>0.75</v>
      </c>
      <c r="G209" s="479">
        <f t="shared" si="5"/>
        <v>0.55000000000000004</v>
      </c>
      <c r="H209" s="1643"/>
    </row>
    <row r="210" spans="1:8" ht="15" customHeight="1">
      <c r="A210" s="199"/>
      <c r="B210" s="199" t="s">
        <v>1076</v>
      </c>
      <c r="C210" s="199">
        <v>1</v>
      </c>
      <c r="D210" s="306">
        <v>1.46</v>
      </c>
      <c r="E210" s="306">
        <v>0.2</v>
      </c>
      <c r="F210" s="306">
        <v>0.75</v>
      </c>
      <c r="G210" s="479">
        <f t="shared" si="5"/>
        <v>0.22</v>
      </c>
      <c r="H210" s="1643"/>
    </row>
    <row r="211" spans="1:8" ht="15" customHeight="1">
      <c r="A211" s="199"/>
      <c r="B211" s="196" t="s">
        <v>727</v>
      </c>
      <c r="C211" s="199">
        <v>2</v>
      </c>
      <c r="D211" s="306">
        <v>1.83</v>
      </c>
      <c r="E211" s="306">
        <v>0.2</v>
      </c>
      <c r="F211" s="306">
        <v>0.75</v>
      </c>
      <c r="G211" s="479">
        <f t="shared" si="5"/>
        <v>0.55000000000000004</v>
      </c>
      <c r="H211" s="1643"/>
    </row>
    <row r="212" spans="1:8" ht="15" customHeight="1">
      <c r="A212" s="199"/>
      <c r="B212" s="199" t="s">
        <v>1076</v>
      </c>
      <c r="C212" s="199">
        <v>1</v>
      </c>
      <c r="D212" s="306">
        <v>1.46</v>
      </c>
      <c r="E212" s="306">
        <v>0.2</v>
      </c>
      <c r="F212" s="306">
        <v>0.75</v>
      </c>
      <c r="G212" s="479">
        <f t="shared" si="5"/>
        <v>0.22</v>
      </c>
      <c r="H212" s="1643"/>
    </row>
    <row r="213" spans="1:8" ht="15" customHeight="1">
      <c r="A213" s="199"/>
      <c r="B213" s="199"/>
      <c r="C213" s="199"/>
      <c r="D213" s="306"/>
      <c r="E213" s="2938" t="s">
        <v>1111</v>
      </c>
      <c r="F213" s="2939"/>
      <c r="G213" s="1652">
        <f>ROUND(SUM(G207:G212),2)</f>
        <v>18.12</v>
      </c>
      <c r="H213" s="1643" t="s">
        <v>1174</v>
      </c>
    </row>
    <row r="214" spans="1:8" ht="15" customHeight="1">
      <c r="A214" s="199"/>
      <c r="B214" s="199" t="s">
        <v>605</v>
      </c>
      <c r="C214" s="199">
        <v>2</v>
      </c>
      <c r="D214" s="306">
        <v>10.88</v>
      </c>
      <c r="E214" s="306">
        <v>0.45</v>
      </c>
      <c r="F214" s="306">
        <v>0.48</v>
      </c>
      <c r="G214" s="479">
        <f t="shared" si="5"/>
        <v>4.7</v>
      </c>
      <c r="H214" s="1643"/>
    </row>
    <row r="215" spans="1:8" ht="15" customHeight="1">
      <c r="A215" s="199"/>
      <c r="B215" s="199" t="s">
        <v>1110</v>
      </c>
      <c r="C215" s="199">
        <v>2</v>
      </c>
      <c r="D215" s="306">
        <v>7.54</v>
      </c>
      <c r="E215" s="306">
        <v>0.45</v>
      </c>
      <c r="F215" s="306">
        <v>0.48</v>
      </c>
      <c r="G215" s="479">
        <f t="shared" si="5"/>
        <v>3.26</v>
      </c>
      <c r="H215" s="1643"/>
    </row>
    <row r="216" spans="1:8" ht="15" customHeight="1">
      <c r="A216" s="199"/>
      <c r="B216" s="196" t="s">
        <v>1176</v>
      </c>
      <c r="C216" s="199">
        <v>2</v>
      </c>
      <c r="D216" s="306">
        <v>1.83</v>
      </c>
      <c r="E216" s="306">
        <v>0.15</v>
      </c>
      <c r="F216" s="306">
        <v>0.35</v>
      </c>
      <c r="G216" s="479">
        <f t="shared" si="5"/>
        <v>0.19</v>
      </c>
      <c r="H216" s="1643"/>
    </row>
    <row r="217" spans="1:8" ht="15" customHeight="1">
      <c r="A217" s="199"/>
      <c r="B217" s="199" t="s">
        <v>1076</v>
      </c>
      <c r="C217" s="199">
        <v>1</v>
      </c>
      <c r="D217" s="306">
        <v>1.46</v>
      </c>
      <c r="E217" s="306">
        <v>0.15</v>
      </c>
      <c r="F217" s="306">
        <v>0.35</v>
      </c>
      <c r="G217" s="479">
        <f t="shared" si="5"/>
        <v>0.08</v>
      </c>
      <c r="H217" s="1643"/>
    </row>
    <row r="218" spans="1:8" ht="15" customHeight="1">
      <c r="A218" s="199"/>
      <c r="B218" s="196" t="s">
        <v>1177</v>
      </c>
      <c r="C218" s="199">
        <v>2</v>
      </c>
      <c r="D218" s="306">
        <v>1.83</v>
      </c>
      <c r="E218" s="306">
        <v>0.15</v>
      </c>
      <c r="F218" s="306">
        <v>0.35</v>
      </c>
      <c r="G218" s="479">
        <f t="shared" si="5"/>
        <v>0.19</v>
      </c>
      <c r="H218" s="1643"/>
    </row>
    <row r="219" spans="1:8" ht="15" customHeight="1">
      <c r="A219" s="199"/>
      <c r="B219" s="199" t="s">
        <v>1076</v>
      </c>
      <c r="C219" s="199">
        <v>1</v>
      </c>
      <c r="D219" s="306">
        <v>1.46</v>
      </c>
      <c r="E219" s="306">
        <v>0.15</v>
      </c>
      <c r="F219" s="306">
        <v>0.75</v>
      </c>
      <c r="G219" s="479">
        <f t="shared" si="5"/>
        <v>0.16</v>
      </c>
      <c r="H219" s="1643"/>
    </row>
    <row r="220" spans="1:8" ht="15" customHeight="1">
      <c r="A220" s="199"/>
      <c r="B220" s="1643"/>
      <c r="C220" s="199"/>
      <c r="D220" s="1653"/>
      <c r="E220" s="2938" t="s">
        <v>1111</v>
      </c>
      <c r="F220" s="2939"/>
      <c r="G220" s="1652">
        <f>ROUND(SUM(G214:G219),2)</f>
        <v>8.58</v>
      </c>
      <c r="H220" s="1643"/>
    </row>
    <row r="221" spans="1:8" ht="15" customHeight="1">
      <c r="A221" s="199"/>
      <c r="B221" s="199"/>
      <c r="C221" s="199"/>
      <c r="D221" s="306"/>
      <c r="E221" s="2938" t="s">
        <v>1108</v>
      </c>
      <c r="F221" s="2939"/>
      <c r="G221" s="1644">
        <f>ROUND((G213-G220),2)</f>
        <v>9.5399999999999991</v>
      </c>
      <c r="H221" s="1643" t="s">
        <v>1174</v>
      </c>
    </row>
    <row r="222" spans="1:8" ht="15" customHeight="1">
      <c r="A222" s="199" t="s">
        <v>984</v>
      </c>
      <c r="B222" s="196" t="s">
        <v>1178</v>
      </c>
      <c r="C222" s="199"/>
      <c r="D222" s="306"/>
      <c r="E222" s="306"/>
      <c r="F222" s="306"/>
      <c r="G222" s="1645"/>
      <c r="H222" s="1643"/>
    </row>
    <row r="223" spans="1:8" ht="15" customHeight="1">
      <c r="A223" s="199"/>
      <c r="B223" s="196" t="s">
        <v>1179</v>
      </c>
      <c r="C223" s="199">
        <v>1</v>
      </c>
      <c r="D223" s="306">
        <v>10.58</v>
      </c>
      <c r="E223" s="306">
        <v>7.54</v>
      </c>
      <c r="F223" s="306">
        <v>0.2</v>
      </c>
      <c r="G223" s="479">
        <f>ROUND((C223*D223*E223*F223),2)</f>
        <v>15.95</v>
      </c>
      <c r="H223" s="1643"/>
    </row>
    <row r="224" spans="1:8" ht="15" customHeight="1">
      <c r="A224" s="199"/>
      <c r="B224" s="199" t="s">
        <v>1059</v>
      </c>
      <c r="C224" s="199">
        <v>1</v>
      </c>
      <c r="D224" s="306">
        <v>1.73</v>
      </c>
      <c r="E224" s="306">
        <v>1.76</v>
      </c>
      <c r="F224" s="306">
        <v>0.15</v>
      </c>
      <c r="G224" s="479">
        <f>ROUND((C224*D224*E224*F224),2)</f>
        <v>0.46</v>
      </c>
      <c r="H224" s="1643"/>
    </row>
    <row r="225" spans="1:8" ht="15" customHeight="1">
      <c r="A225" s="199"/>
      <c r="B225" s="199" t="s">
        <v>1060</v>
      </c>
      <c r="C225" s="199">
        <v>1</v>
      </c>
      <c r="D225" s="306">
        <v>1.73</v>
      </c>
      <c r="E225" s="306">
        <v>1.76</v>
      </c>
      <c r="F225" s="306">
        <v>0.15</v>
      </c>
      <c r="G225" s="479">
        <f>ROUND((C225*D225*E225*F225),2)</f>
        <v>0.46</v>
      </c>
      <c r="H225" s="1643"/>
    </row>
    <row r="226" spans="1:8" ht="15" customHeight="1">
      <c r="A226" s="199"/>
      <c r="B226" s="199"/>
      <c r="C226" s="199"/>
      <c r="D226" s="306"/>
      <c r="E226" s="2938" t="s">
        <v>1108</v>
      </c>
      <c r="F226" s="2939"/>
      <c r="G226" s="1651">
        <f>ROUND(SUM(G223:G225),2)</f>
        <v>16.87</v>
      </c>
      <c r="H226" s="1643" t="s">
        <v>1174</v>
      </c>
    </row>
    <row r="227" spans="1:8" ht="15" customHeight="1">
      <c r="A227" s="199" t="s">
        <v>985</v>
      </c>
      <c r="B227" s="196" t="s">
        <v>986</v>
      </c>
      <c r="C227" s="199"/>
      <c r="D227" s="306"/>
      <c r="E227" s="306"/>
      <c r="F227" s="306"/>
      <c r="G227" s="1645"/>
      <c r="H227" s="1643"/>
    </row>
    <row r="228" spans="1:8" ht="15" customHeight="1">
      <c r="A228" s="199"/>
      <c r="B228" s="196" t="s">
        <v>1180</v>
      </c>
      <c r="C228" s="199">
        <v>1</v>
      </c>
      <c r="D228" s="306">
        <v>10.58</v>
      </c>
      <c r="E228" s="306">
        <v>7.54</v>
      </c>
      <c r="F228" s="306">
        <v>0.1</v>
      </c>
      <c r="G228" s="479">
        <f>ROUND((C228*D228*E228*F228),2)</f>
        <v>7.98</v>
      </c>
      <c r="H228" s="1643"/>
    </row>
    <row r="229" spans="1:8" ht="15" customHeight="1">
      <c r="A229" s="199"/>
      <c r="B229" s="199" t="s">
        <v>1059</v>
      </c>
      <c r="C229" s="199">
        <v>1</v>
      </c>
      <c r="D229" s="306">
        <v>1.73</v>
      </c>
      <c r="E229" s="306">
        <v>1.76</v>
      </c>
      <c r="F229" s="306">
        <v>0.1</v>
      </c>
      <c r="G229" s="479">
        <f>ROUND((C229*D229*E229*F229),2)</f>
        <v>0.3</v>
      </c>
      <c r="H229" s="1643"/>
    </row>
    <row r="230" spans="1:8" ht="15" customHeight="1">
      <c r="A230" s="199"/>
      <c r="B230" s="199" t="s">
        <v>1060</v>
      </c>
      <c r="C230" s="199">
        <v>1</v>
      </c>
      <c r="D230" s="306">
        <v>1.73</v>
      </c>
      <c r="E230" s="306">
        <v>1.76</v>
      </c>
      <c r="F230" s="306">
        <v>0.1</v>
      </c>
      <c r="G230" s="479">
        <f>ROUND((C230*D230*E230*F230),2)</f>
        <v>0.3</v>
      </c>
      <c r="H230" s="1643"/>
    </row>
    <row r="231" spans="1:8" ht="15" customHeight="1">
      <c r="A231" s="199"/>
      <c r="B231" s="199"/>
      <c r="C231" s="199"/>
      <c r="D231" s="306"/>
      <c r="E231" s="2938" t="s">
        <v>1108</v>
      </c>
      <c r="F231" s="2939"/>
      <c r="G231" s="1651">
        <f>ROUND(SUM(G228:G230),2)</f>
        <v>8.58</v>
      </c>
      <c r="H231" s="1643" t="s">
        <v>1174</v>
      </c>
    </row>
    <row r="232" spans="1:8" ht="15" customHeight="1">
      <c r="A232" s="199">
        <v>6</v>
      </c>
      <c r="B232" s="196" t="s">
        <v>1116</v>
      </c>
      <c r="C232" s="199"/>
      <c r="D232" s="306"/>
      <c r="E232" s="306"/>
      <c r="F232" s="306"/>
      <c r="G232" s="1645"/>
      <c r="H232" s="1643"/>
    </row>
    <row r="233" spans="1:8" ht="15" customHeight="1">
      <c r="A233" s="199"/>
      <c r="B233" s="196" t="s">
        <v>1181</v>
      </c>
      <c r="C233" s="199">
        <v>1</v>
      </c>
      <c r="D233" s="306">
        <v>10.58</v>
      </c>
      <c r="E233" s="306">
        <v>8.44</v>
      </c>
      <c r="F233" s="306"/>
      <c r="G233" s="481">
        <f>ROUND((C233*D233*E233),2)</f>
        <v>89.3</v>
      </c>
      <c r="H233" s="1643" t="s">
        <v>1182</v>
      </c>
    </row>
    <row r="234" spans="1:8" ht="15" customHeight="1">
      <c r="A234" s="199">
        <v>7</v>
      </c>
      <c r="B234" s="312" t="s">
        <v>899</v>
      </c>
      <c r="C234" s="199"/>
      <c r="D234" s="306"/>
      <c r="E234" s="306"/>
      <c r="F234" s="306"/>
      <c r="G234" s="1645"/>
      <c r="H234" s="1643"/>
    </row>
    <row r="235" spans="1:8" ht="15" customHeight="1">
      <c r="A235" s="199"/>
      <c r="B235" s="199" t="s">
        <v>1183</v>
      </c>
      <c r="C235" s="199">
        <v>1</v>
      </c>
      <c r="D235" s="306">
        <v>10.58</v>
      </c>
      <c r="E235" s="306">
        <v>7.54</v>
      </c>
      <c r="F235" s="306">
        <v>0.18</v>
      </c>
      <c r="G235" s="479">
        <f t="shared" ref="G235:G242" si="6">ROUND((C235*D235*E235*F235),2)</f>
        <v>14.36</v>
      </c>
      <c r="H235" s="1643"/>
    </row>
    <row r="236" spans="1:8" ht="15" customHeight="1">
      <c r="A236" s="199"/>
      <c r="B236" s="199" t="s">
        <v>1030</v>
      </c>
      <c r="C236" s="199">
        <v>2</v>
      </c>
      <c r="D236" s="306">
        <v>9.68</v>
      </c>
      <c r="E236" s="306">
        <v>0.18</v>
      </c>
      <c r="F236" s="306">
        <v>1.6</v>
      </c>
      <c r="G236" s="479">
        <f t="shared" si="6"/>
        <v>5.58</v>
      </c>
      <c r="H236" s="1643"/>
    </row>
    <row r="237" spans="1:8" ht="15" customHeight="1">
      <c r="A237" s="199"/>
      <c r="B237" s="199" t="s">
        <v>996</v>
      </c>
      <c r="C237" s="199">
        <v>1</v>
      </c>
      <c r="D237" s="306">
        <v>9.68</v>
      </c>
      <c r="E237" s="306">
        <v>0.18</v>
      </c>
      <c r="F237" s="306">
        <v>1.6</v>
      </c>
      <c r="G237" s="479">
        <f t="shared" si="6"/>
        <v>2.79</v>
      </c>
      <c r="H237" s="1643"/>
    </row>
    <row r="238" spans="1:8" ht="15.95" customHeight="1">
      <c r="A238" s="199"/>
      <c r="B238" s="199" t="s">
        <v>997</v>
      </c>
      <c r="C238" s="199">
        <v>2</v>
      </c>
      <c r="D238" s="306">
        <v>7.54</v>
      </c>
      <c r="E238" s="306">
        <v>0.18</v>
      </c>
      <c r="F238" s="306">
        <v>1.6</v>
      </c>
      <c r="G238" s="479">
        <f t="shared" si="6"/>
        <v>4.34</v>
      </c>
      <c r="H238" s="1643"/>
    </row>
    <row r="239" spans="1:8" ht="15.95" customHeight="1">
      <c r="A239" s="199"/>
      <c r="B239" s="199" t="s">
        <v>1005</v>
      </c>
      <c r="C239" s="199">
        <v>8</v>
      </c>
      <c r="D239" s="306">
        <v>3.5</v>
      </c>
      <c r="E239" s="306">
        <v>0.18</v>
      </c>
      <c r="F239" s="306">
        <v>1.6</v>
      </c>
      <c r="G239" s="479">
        <f t="shared" si="6"/>
        <v>8.06</v>
      </c>
      <c r="H239" s="1643"/>
    </row>
    <row r="240" spans="1:8" ht="15.95" customHeight="1">
      <c r="A240" s="199"/>
      <c r="B240" s="199" t="s">
        <v>1184</v>
      </c>
      <c r="C240" s="199">
        <v>2</v>
      </c>
      <c r="D240" s="306">
        <v>7.72</v>
      </c>
      <c r="E240" s="306">
        <v>0.3</v>
      </c>
      <c r="F240" s="306">
        <v>7.4999999999999997E-2</v>
      </c>
      <c r="G240" s="479">
        <f t="shared" si="6"/>
        <v>0.35</v>
      </c>
      <c r="H240" s="1643"/>
    </row>
    <row r="241" spans="1:8" ht="15.95" customHeight="1">
      <c r="A241" s="199"/>
      <c r="B241" s="199" t="s">
        <v>1185</v>
      </c>
      <c r="C241" s="199">
        <v>2</v>
      </c>
      <c r="D241" s="306">
        <v>7.72</v>
      </c>
      <c r="E241" s="306">
        <v>7.4999999999999997E-2</v>
      </c>
      <c r="F241" s="306">
        <v>0.15</v>
      </c>
      <c r="G241" s="479">
        <f t="shared" si="6"/>
        <v>0.17</v>
      </c>
      <c r="H241" s="1643"/>
    </row>
    <row r="242" spans="1:8" ht="15.95" customHeight="1">
      <c r="A242" s="200"/>
      <c r="B242" s="200" t="s">
        <v>1059</v>
      </c>
      <c r="C242" s="200">
        <v>1</v>
      </c>
      <c r="D242" s="314">
        <v>1.73</v>
      </c>
      <c r="E242" s="314">
        <v>1.76</v>
      </c>
      <c r="F242" s="314">
        <v>0.1</v>
      </c>
      <c r="G242" s="483">
        <f t="shared" si="6"/>
        <v>0.3</v>
      </c>
      <c r="H242" s="1654"/>
    </row>
    <row r="243" spans="1:8" ht="15" customHeight="1"/>
    <row r="244" spans="1:8" ht="15" customHeight="1">
      <c r="A244" s="285" t="s">
        <v>53</v>
      </c>
    </row>
    <row r="245" spans="1:8" ht="9" customHeight="1">
      <c r="A245" s="285"/>
      <c r="B245" s="1638"/>
      <c r="C245" s="1639"/>
      <c r="D245" s="1640"/>
      <c r="E245" s="1640"/>
      <c r="F245" s="1640"/>
      <c r="G245" s="1641"/>
      <c r="H245" s="1638"/>
    </row>
    <row r="246" spans="1:8" ht="15" customHeight="1">
      <c r="A246" s="1634" t="s">
        <v>961</v>
      </c>
      <c r="B246" s="1634" t="s">
        <v>962</v>
      </c>
      <c r="C246" s="1635" t="s">
        <v>963</v>
      </c>
      <c r="D246" s="1636" t="s">
        <v>1051</v>
      </c>
      <c r="E246" s="1636" t="s">
        <v>1052</v>
      </c>
      <c r="F246" s="1636" t="s">
        <v>1053</v>
      </c>
      <c r="G246" s="1637" t="s">
        <v>964</v>
      </c>
      <c r="H246" s="1634" t="s">
        <v>1054</v>
      </c>
    </row>
    <row r="247" spans="1:8" ht="15" customHeight="1">
      <c r="A247" s="471"/>
      <c r="B247" s="192" t="s">
        <v>1060</v>
      </c>
      <c r="C247" s="192">
        <v>1</v>
      </c>
      <c r="D247" s="472">
        <v>1.73</v>
      </c>
      <c r="E247" s="472">
        <v>1.76</v>
      </c>
      <c r="F247" s="472">
        <v>0.1</v>
      </c>
      <c r="G247" s="473">
        <f>ROUND((C247*D247*E247*F247),2)</f>
        <v>0.3</v>
      </c>
      <c r="H247" s="474"/>
    </row>
    <row r="248" spans="1:8" ht="15" customHeight="1">
      <c r="A248" s="475"/>
      <c r="B248" s="476" t="s">
        <v>1186</v>
      </c>
      <c r="C248" s="477">
        <v>1</v>
      </c>
      <c r="D248" s="478">
        <v>1.43</v>
      </c>
      <c r="E248" s="478">
        <v>1.46</v>
      </c>
      <c r="F248" s="478">
        <v>0.1</v>
      </c>
      <c r="G248" s="479">
        <f>ROUND((C248*D248*E248*F248),2)</f>
        <v>0.21</v>
      </c>
      <c r="H248" s="480"/>
    </row>
    <row r="249" spans="1:8" ht="15" customHeight="1">
      <c r="A249" s="199"/>
      <c r="B249" s="199" t="s">
        <v>1187</v>
      </c>
      <c r="C249" s="199">
        <v>1</v>
      </c>
      <c r="D249" s="306">
        <v>1.43</v>
      </c>
      <c r="E249" s="306">
        <v>1.46</v>
      </c>
      <c r="F249" s="306">
        <v>0.1</v>
      </c>
      <c r="G249" s="479">
        <f>ROUND((C249*D249*E249*F249),2)</f>
        <v>0.21</v>
      </c>
      <c r="H249" s="1643"/>
    </row>
    <row r="250" spans="1:8" ht="15" customHeight="1">
      <c r="A250" s="199"/>
      <c r="B250" s="312"/>
      <c r="C250" s="199"/>
      <c r="D250" s="306"/>
      <c r="E250" s="2938" t="s">
        <v>1111</v>
      </c>
      <c r="F250" s="2939"/>
      <c r="G250" s="1652">
        <f>ROUND(SUM(G235:G249),2)</f>
        <v>36.67</v>
      </c>
      <c r="H250" s="1643" t="s">
        <v>1174</v>
      </c>
    </row>
    <row r="251" spans="1:8" ht="15" customHeight="1">
      <c r="A251" s="199"/>
      <c r="B251" s="312" t="s">
        <v>1188</v>
      </c>
      <c r="C251" s="199">
        <v>1</v>
      </c>
      <c r="D251" s="306">
        <v>9.68</v>
      </c>
      <c r="E251" s="306">
        <v>0.18</v>
      </c>
      <c r="F251" s="306">
        <v>0.1</v>
      </c>
      <c r="G251" s="479">
        <f>ROUND((C251*D251*E251*F251),2)</f>
        <v>0.17</v>
      </c>
      <c r="H251" s="1643"/>
    </row>
    <row r="252" spans="1:8" ht="15" customHeight="1">
      <c r="A252" s="199"/>
      <c r="B252" s="199" t="s">
        <v>1189</v>
      </c>
      <c r="C252" s="199">
        <v>2</v>
      </c>
      <c r="D252" s="306">
        <v>0.28260000000000002</v>
      </c>
      <c r="E252" s="306"/>
      <c r="F252" s="306">
        <v>0.1</v>
      </c>
      <c r="G252" s="479">
        <f>ROUND((C252*D252*F252),2)</f>
        <v>0.06</v>
      </c>
      <c r="H252" s="1643"/>
    </row>
    <row r="253" spans="1:8" ht="15" customHeight="1">
      <c r="A253" s="199"/>
      <c r="B253" s="312"/>
      <c r="C253" s="199"/>
      <c r="D253" s="306"/>
      <c r="E253" s="2938" t="s">
        <v>1111</v>
      </c>
      <c r="F253" s="2939"/>
      <c r="G253" s="1652">
        <f>ROUND(SUM(G251:G252),2)</f>
        <v>0.23</v>
      </c>
      <c r="H253" s="1643"/>
    </row>
    <row r="254" spans="1:8" ht="15" customHeight="1">
      <c r="A254" s="199"/>
      <c r="B254" s="312" t="s">
        <v>1190</v>
      </c>
      <c r="C254" s="199"/>
      <c r="D254" s="306"/>
      <c r="E254" s="2938" t="s">
        <v>1108</v>
      </c>
      <c r="F254" s="2939"/>
      <c r="G254" s="1644">
        <f>ROUND((G250-G253),2)</f>
        <v>36.44</v>
      </c>
      <c r="H254" s="1643" t="s">
        <v>1174</v>
      </c>
    </row>
    <row r="255" spans="1:8" ht="15" customHeight="1">
      <c r="A255" s="199">
        <v>8</v>
      </c>
      <c r="B255" s="312" t="s">
        <v>970</v>
      </c>
      <c r="C255" s="199"/>
      <c r="D255" s="306"/>
      <c r="E255" s="306"/>
      <c r="F255" s="306"/>
      <c r="G255" s="1645"/>
      <c r="H255" s="1643"/>
    </row>
    <row r="256" spans="1:8" ht="15" customHeight="1">
      <c r="A256" s="199"/>
      <c r="B256" s="199" t="s">
        <v>971</v>
      </c>
      <c r="C256" s="199"/>
      <c r="D256" s="306"/>
      <c r="E256" s="306"/>
      <c r="F256" s="306"/>
      <c r="G256" s="1645"/>
      <c r="H256" s="1643"/>
    </row>
    <row r="257" spans="1:8" ht="15" customHeight="1">
      <c r="A257" s="199"/>
      <c r="B257" s="199" t="s">
        <v>1191</v>
      </c>
      <c r="C257" s="199">
        <v>2</v>
      </c>
      <c r="D257" s="306">
        <v>10.58</v>
      </c>
      <c r="E257" s="1653"/>
      <c r="F257" s="306">
        <v>0.28000000000000003</v>
      </c>
      <c r="G257" s="479">
        <f>ROUND((C257*D257*F257),2)</f>
        <v>5.92</v>
      </c>
      <c r="H257" s="1643"/>
    </row>
    <row r="258" spans="1:8" ht="15" customHeight="1">
      <c r="A258" s="199"/>
      <c r="B258" s="199" t="s">
        <v>1192</v>
      </c>
      <c r="C258" s="199">
        <v>2</v>
      </c>
      <c r="D258" s="306">
        <v>7.54</v>
      </c>
      <c r="E258" s="306"/>
      <c r="F258" s="306">
        <v>0.28000000000000003</v>
      </c>
      <c r="G258" s="479">
        <f t="shared" ref="G258:G264" si="7">ROUND((C258*D258*F258),2)</f>
        <v>4.22</v>
      </c>
      <c r="H258" s="1643"/>
    </row>
    <row r="259" spans="1:8" ht="15" customHeight="1">
      <c r="A259" s="199"/>
      <c r="B259" s="199" t="s">
        <v>1193</v>
      </c>
      <c r="C259" s="199">
        <v>2</v>
      </c>
      <c r="D259" s="306">
        <v>9.68</v>
      </c>
      <c r="E259" s="306"/>
      <c r="F259" s="306">
        <v>1.6</v>
      </c>
      <c r="G259" s="479">
        <f t="shared" si="7"/>
        <v>30.98</v>
      </c>
      <c r="H259" s="1643"/>
    </row>
    <row r="260" spans="1:8" ht="15" customHeight="1">
      <c r="A260" s="199"/>
      <c r="B260" s="199" t="s">
        <v>997</v>
      </c>
      <c r="C260" s="199">
        <v>2</v>
      </c>
      <c r="D260" s="306">
        <v>7.54</v>
      </c>
      <c r="E260" s="306"/>
      <c r="F260" s="306">
        <v>1.6</v>
      </c>
      <c r="G260" s="479">
        <f t="shared" si="7"/>
        <v>24.13</v>
      </c>
      <c r="H260" s="1643"/>
    </row>
    <row r="261" spans="1:8" ht="15" customHeight="1">
      <c r="A261" s="199"/>
      <c r="B261" s="199" t="s">
        <v>1194</v>
      </c>
      <c r="C261" s="199">
        <v>20</v>
      </c>
      <c r="D261" s="306">
        <v>3.5</v>
      </c>
      <c r="E261" s="306"/>
      <c r="F261" s="306">
        <v>1.6</v>
      </c>
      <c r="G261" s="479">
        <f t="shared" si="7"/>
        <v>112</v>
      </c>
      <c r="H261" s="1643"/>
    </row>
    <row r="262" spans="1:8" ht="15" customHeight="1">
      <c r="A262" s="199"/>
      <c r="B262" s="199" t="s">
        <v>1195</v>
      </c>
      <c r="C262" s="199">
        <v>4</v>
      </c>
      <c r="D262" s="306">
        <v>2</v>
      </c>
      <c r="E262" s="306"/>
      <c r="F262" s="306">
        <v>1.6</v>
      </c>
      <c r="G262" s="479">
        <f t="shared" si="7"/>
        <v>12.8</v>
      </c>
      <c r="H262" s="1643"/>
    </row>
    <row r="263" spans="1:8" ht="15" customHeight="1">
      <c r="A263" s="199"/>
      <c r="B263" s="199" t="s">
        <v>1195</v>
      </c>
      <c r="C263" s="199">
        <v>8</v>
      </c>
      <c r="D263" s="306">
        <v>3</v>
      </c>
      <c r="E263" s="306"/>
      <c r="F263" s="306">
        <v>1.6</v>
      </c>
      <c r="G263" s="479">
        <f t="shared" si="7"/>
        <v>38.4</v>
      </c>
      <c r="H263" s="1643"/>
    </row>
    <row r="264" spans="1:8" ht="15" customHeight="1">
      <c r="A264" s="199"/>
      <c r="B264" s="199" t="s">
        <v>1195</v>
      </c>
      <c r="C264" s="199">
        <v>8</v>
      </c>
      <c r="D264" s="306">
        <v>0.8</v>
      </c>
      <c r="E264" s="306"/>
      <c r="F264" s="306">
        <v>1.6</v>
      </c>
      <c r="G264" s="479">
        <f t="shared" si="7"/>
        <v>10.24</v>
      </c>
      <c r="H264" s="1643"/>
    </row>
    <row r="265" spans="1:8" ht="15" customHeight="1">
      <c r="A265" s="199"/>
      <c r="B265" s="196" t="s">
        <v>1196</v>
      </c>
      <c r="C265" s="199"/>
      <c r="D265" s="306"/>
      <c r="E265" s="306"/>
      <c r="F265" s="306"/>
      <c r="G265" s="1655"/>
      <c r="H265" s="1643"/>
    </row>
    <row r="266" spans="1:8" ht="15" customHeight="1">
      <c r="A266" s="199"/>
      <c r="B266" s="199" t="s">
        <v>1197</v>
      </c>
      <c r="C266" s="199">
        <v>2</v>
      </c>
      <c r="D266" s="306">
        <v>7.54</v>
      </c>
      <c r="E266" s="306">
        <v>0.3</v>
      </c>
      <c r="F266" s="306"/>
      <c r="G266" s="479">
        <f>ROUND((C266*D266*E266),2)</f>
        <v>4.5199999999999996</v>
      </c>
      <c r="H266" s="1643"/>
    </row>
    <row r="267" spans="1:8" ht="15" customHeight="1">
      <c r="A267" s="199"/>
      <c r="B267" s="199" t="s">
        <v>1198</v>
      </c>
      <c r="C267" s="199">
        <v>2</v>
      </c>
      <c r="D267" s="306">
        <v>7.54</v>
      </c>
      <c r="E267" s="306"/>
      <c r="F267" s="306">
        <v>0.375</v>
      </c>
      <c r="G267" s="479">
        <f>ROUND((C267*D267*F267),2)</f>
        <v>5.66</v>
      </c>
      <c r="H267" s="196"/>
    </row>
    <row r="268" spans="1:8" ht="15" customHeight="1">
      <c r="A268" s="199"/>
      <c r="B268" s="199" t="s">
        <v>1071</v>
      </c>
      <c r="C268" s="199">
        <v>1</v>
      </c>
      <c r="D268" s="306">
        <v>1.2</v>
      </c>
      <c r="E268" s="306">
        <v>1</v>
      </c>
      <c r="F268" s="306"/>
      <c r="G268" s="479">
        <f>ROUND((C268*D268*E268),2)</f>
        <v>1.2</v>
      </c>
      <c r="H268" s="196"/>
    </row>
    <row r="269" spans="1:8" ht="15" customHeight="1">
      <c r="A269" s="199"/>
      <c r="B269" s="199" t="s">
        <v>1072</v>
      </c>
      <c r="C269" s="199">
        <v>1</v>
      </c>
      <c r="D269" s="306">
        <v>1.2</v>
      </c>
      <c r="E269" s="306">
        <v>1</v>
      </c>
      <c r="F269" s="306"/>
      <c r="G269" s="479">
        <f>ROUND((C269*D269*E269),2)</f>
        <v>1.2</v>
      </c>
      <c r="H269" s="196"/>
    </row>
    <row r="270" spans="1:8" ht="15" customHeight="1">
      <c r="A270" s="199"/>
      <c r="B270" s="199" t="s">
        <v>1091</v>
      </c>
      <c r="C270" s="199">
        <v>2</v>
      </c>
      <c r="D270" s="306">
        <v>4.32</v>
      </c>
      <c r="E270" s="306">
        <v>0.1</v>
      </c>
      <c r="F270" s="306"/>
      <c r="G270" s="479">
        <f>ROUND((C270*D270*E270),2)</f>
        <v>0.86</v>
      </c>
      <c r="H270" s="196"/>
    </row>
    <row r="271" spans="1:8" ht="15" customHeight="1">
      <c r="A271" s="199"/>
      <c r="B271" s="199" t="s">
        <v>1092</v>
      </c>
      <c r="C271" s="199">
        <v>2</v>
      </c>
      <c r="D271" s="306">
        <v>4.32</v>
      </c>
      <c r="E271" s="306">
        <v>0.1</v>
      </c>
      <c r="F271" s="306"/>
      <c r="G271" s="479">
        <f>ROUND((C271*D271*E271),2)</f>
        <v>0.86</v>
      </c>
      <c r="H271" s="196"/>
    </row>
    <row r="272" spans="1:8" ht="15" customHeight="1">
      <c r="A272" s="199"/>
      <c r="B272" s="199"/>
      <c r="C272" s="199"/>
      <c r="D272" s="306"/>
      <c r="E272" s="2938" t="s">
        <v>1111</v>
      </c>
      <c r="F272" s="2939"/>
      <c r="G272" s="1645">
        <f>ROUND(SUM(G257:G271),2)</f>
        <v>252.99</v>
      </c>
      <c r="H272" s="1643" t="s">
        <v>1182</v>
      </c>
    </row>
    <row r="273" spans="1:8" ht="15" customHeight="1">
      <c r="A273" s="199"/>
      <c r="B273" s="312" t="s">
        <v>1199</v>
      </c>
      <c r="C273" s="199">
        <v>2</v>
      </c>
      <c r="D273" s="306">
        <v>0.28260000000000002</v>
      </c>
      <c r="E273" s="306"/>
      <c r="F273" s="306">
        <v>0.1</v>
      </c>
      <c r="G273" s="1645">
        <f>ROUND((C273*D273*F273),2)</f>
        <v>0.06</v>
      </c>
      <c r="H273" s="196"/>
    </row>
    <row r="274" spans="1:8" ht="15" customHeight="1">
      <c r="A274" s="199"/>
      <c r="B274" s="312"/>
      <c r="C274" s="199"/>
      <c r="D274" s="306"/>
      <c r="E274" s="2938" t="s">
        <v>1108</v>
      </c>
      <c r="F274" s="2939"/>
      <c r="G274" s="1644">
        <f>ROUND((G272-G273),2)</f>
        <v>252.93</v>
      </c>
      <c r="H274" s="1643" t="s">
        <v>1182</v>
      </c>
    </row>
    <row r="275" spans="1:8" ht="15" customHeight="1">
      <c r="A275" s="199">
        <v>9</v>
      </c>
      <c r="B275" s="196" t="s">
        <v>1066</v>
      </c>
      <c r="C275" s="199"/>
      <c r="D275" s="306"/>
      <c r="E275" s="306"/>
      <c r="F275" s="306"/>
      <c r="G275" s="1645"/>
      <c r="H275" s="1643"/>
    </row>
    <row r="276" spans="1:8" ht="15" customHeight="1">
      <c r="A276" s="199"/>
      <c r="B276" s="196" t="s">
        <v>974</v>
      </c>
      <c r="C276" s="199"/>
      <c r="D276" s="306"/>
      <c r="E276" s="306"/>
      <c r="F276" s="306"/>
      <c r="G276" s="1645"/>
      <c r="H276" s="1643"/>
    </row>
    <row r="277" spans="1:8" ht="15" customHeight="1">
      <c r="A277" s="199"/>
      <c r="B277" s="196" t="s">
        <v>975</v>
      </c>
      <c r="C277" s="199"/>
      <c r="D277" s="306"/>
      <c r="E277" s="306"/>
      <c r="F277" s="306"/>
      <c r="G277" s="1645"/>
      <c r="H277" s="1643"/>
    </row>
    <row r="278" spans="1:8" ht="15" customHeight="1">
      <c r="A278" s="199"/>
      <c r="B278" s="1656" t="s">
        <v>1003</v>
      </c>
      <c r="C278" s="199"/>
      <c r="D278" s="306"/>
      <c r="E278" s="306"/>
      <c r="F278" s="306"/>
      <c r="G278" s="1645"/>
      <c r="H278" s="1643"/>
    </row>
    <row r="279" spans="1:8" ht="15" customHeight="1">
      <c r="A279" s="199"/>
      <c r="B279" s="196" t="s">
        <v>483</v>
      </c>
      <c r="C279" s="1657">
        <v>54</v>
      </c>
      <c r="D279" s="306">
        <v>9.64</v>
      </c>
      <c r="E279" s="306">
        <v>0.88171200000000005</v>
      </c>
      <c r="F279" s="1658" t="s">
        <v>1067</v>
      </c>
      <c r="G279" s="479">
        <f>ROUND((C279*D279*E279),2)</f>
        <v>458.98</v>
      </c>
      <c r="H279" s="1643"/>
    </row>
    <row r="280" spans="1:8" ht="15" customHeight="1">
      <c r="A280" s="199"/>
      <c r="B280" s="196" t="s">
        <v>484</v>
      </c>
      <c r="C280" s="1657">
        <v>44</v>
      </c>
      <c r="D280" s="306">
        <v>11.78</v>
      </c>
      <c r="E280" s="306">
        <v>0.88171200000000005</v>
      </c>
      <c r="F280" s="1658" t="s">
        <v>1067</v>
      </c>
      <c r="G280" s="479">
        <f>ROUND((C280*D280*E280),2)</f>
        <v>457.01</v>
      </c>
      <c r="H280" s="1643"/>
    </row>
    <row r="281" spans="1:8" ht="15" customHeight="1">
      <c r="A281" s="199"/>
      <c r="B281" s="196" t="s">
        <v>485</v>
      </c>
      <c r="C281" s="1657">
        <v>54</v>
      </c>
      <c r="D281" s="306">
        <v>9.64</v>
      </c>
      <c r="E281" s="306">
        <v>0.88171200000000005</v>
      </c>
      <c r="F281" s="1658" t="s">
        <v>1067</v>
      </c>
      <c r="G281" s="479">
        <f>ROUND((C281*D281*E281),2)</f>
        <v>458.98</v>
      </c>
      <c r="H281" s="1643"/>
    </row>
    <row r="282" spans="1:8" ht="15" customHeight="1">
      <c r="A282" s="199"/>
      <c r="B282" s="196" t="s">
        <v>486</v>
      </c>
      <c r="C282" s="1657">
        <v>44</v>
      </c>
      <c r="D282" s="306">
        <v>11.78</v>
      </c>
      <c r="E282" s="306">
        <v>0.88171200000000005</v>
      </c>
      <c r="F282" s="1658" t="s">
        <v>1067</v>
      </c>
      <c r="G282" s="479">
        <f>ROUND((C282*D282*E282),2)</f>
        <v>457.01</v>
      </c>
      <c r="H282" s="1643"/>
    </row>
    <row r="283" spans="1:8" ht="15" customHeight="1">
      <c r="A283" s="199"/>
      <c r="B283" s="199" t="s">
        <v>1031</v>
      </c>
      <c r="C283" s="199"/>
      <c r="D283" s="306"/>
      <c r="E283" s="306"/>
      <c r="F283" s="1659"/>
      <c r="G283" s="1645"/>
      <c r="H283" s="1643"/>
    </row>
    <row r="284" spans="1:8" ht="15" customHeight="1">
      <c r="A284" s="199"/>
      <c r="B284" s="196" t="s">
        <v>487</v>
      </c>
      <c r="C284" s="1657">
        <v>54</v>
      </c>
      <c r="D284" s="306">
        <v>1.2</v>
      </c>
      <c r="E284" s="306">
        <v>0.88171200000000005</v>
      </c>
      <c r="F284" s="1658" t="s">
        <v>1067</v>
      </c>
      <c r="G284" s="479">
        <f>ROUND((C284*D284*E284),2)</f>
        <v>57.13</v>
      </c>
      <c r="H284" s="1643"/>
    </row>
    <row r="285" spans="1:8" ht="15" customHeight="1">
      <c r="A285" s="199"/>
      <c r="B285" s="196" t="s">
        <v>487</v>
      </c>
      <c r="C285" s="1657">
        <v>44</v>
      </c>
      <c r="D285" s="306">
        <v>1.2</v>
      </c>
      <c r="E285" s="306">
        <v>0.88171200000000005</v>
      </c>
      <c r="F285" s="1658" t="s">
        <v>1067</v>
      </c>
      <c r="G285" s="479">
        <f>ROUND((C285*D285*E285),2)</f>
        <v>46.55</v>
      </c>
      <c r="H285" s="1643"/>
    </row>
    <row r="286" spans="1:8" ht="15" customHeight="1">
      <c r="A286" s="200"/>
      <c r="B286" s="308"/>
      <c r="C286" s="200"/>
      <c r="D286" s="314"/>
      <c r="E286" s="2953" t="s">
        <v>1111</v>
      </c>
      <c r="F286" s="2954"/>
      <c r="G286" s="1660">
        <f>ROUND(SUM(G279:G285),2)</f>
        <v>1935.66</v>
      </c>
      <c r="H286" s="1654" t="s">
        <v>1034</v>
      </c>
    </row>
    <row r="288" spans="1:8" ht="15.95" customHeight="1">
      <c r="A288" s="285" t="s">
        <v>53</v>
      </c>
    </row>
    <row r="289" spans="1:8" ht="7.5" customHeight="1">
      <c r="A289" s="285"/>
      <c r="B289" s="1638"/>
      <c r="C289" s="1639"/>
      <c r="D289" s="1640"/>
      <c r="E289" s="1640"/>
      <c r="F289" s="1640"/>
      <c r="G289" s="1641"/>
      <c r="H289" s="1638"/>
    </row>
    <row r="290" spans="1:8" ht="15.95" customHeight="1">
      <c r="A290" s="1634" t="s">
        <v>961</v>
      </c>
      <c r="B290" s="1634" t="s">
        <v>962</v>
      </c>
      <c r="C290" s="1635" t="s">
        <v>963</v>
      </c>
      <c r="D290" s="1636" t="s">
        <v>1051</v>
      </c>
      <c r="E290" s="1636" t="s">
        <v>1052</v>
      </c>
      <c r="F290" s="1636" t="s">
        <v>1053</v>
      </c>
      <c r="G290" s="1637" t="s">
        <v>964</v>
      </c>
      <c r="H290" s="1634" t="s">
        <v>1054</v>
      </c>
    </row>
    <row r="291" spans="1:8" ht="15.95" customHeight="1">
      <c r="A291" s="471"/>
      <c r="B291" s="192" t="s">
        <v>54</v>
      </c>
      <c r="C291" s="192"/>
      <c r="D291" s="472"/>
      <c r="E291" s="472"/>
      <c r="F291" s="472"/>
      <c r="G291" s="473"/>
      <c r="H291" s="474"/>
    </row>
    <row r="292" spans="1:8" ht="33.75" customHeight="1">
      <c r="A292" s="475"/>
      <c r="B292" s="492" t="s">
        <v>488</v>
      </c>
      <c r="C292" s="477">
        <v>27</v>
      </c>
      <c r="D292" s="478">
        <v>10.88</v>
      </c>
      <c r="E292" s="478">
        <v>0.88171200000000005</v>
      </c>
      <c r="F292" s="478" t="s">
        <v>1067</v>
      </c>
      <c r="G292" s="479">
        <f t="shared" ref="G292:G298" si="8">ROUND((C292*D292*E292),2)</f>
        <v>259.01</v>
      </c>
      <c r="H292" s="480"/>
    </row>
    <row r="293" spans="1:8" ht="25.5">
      <c r="A293" s="199"/>
      <c r="B293" s="492" t="s">
        <v>489</v>
      </c>
      <c r="C293" s="1657">
        <v>86</v>
      </c>
      <c r="D293" s="306">
        <v>2.38</v>
      </c>
      <c r="E293" s="306">
        <v>0.61230000000000007</v>
      </c>
      <c r="F293" s="1658" t="s">
        <v>1067</v>
      </c>
      <c r="G293" s="479">
        <f t="shared" si="8"/>
        <v>125.33</v>
      </c>
      <c r="H293" s="1643"/>
    </row>
    <row r="294" spans="1:8" ht="12.75">
      <c r="A294" s="199"/>
      <c r="B294" s="492" t="s">
        <v>490</v>
      </c>
      <c r="C294" s="1657">
        <v>17</v>
      </c>
      <c r="D294" s="306">
        <v>10.88</v>
      </c>
      <c r="E294" s="306">
        <v>0.88171200000000005</v>
      </c>
      <c r="F294" s="1658" t="s">
        <v>1067</v>
      </c>
      <c r="G294" s="479">
        <f t="shared" si="8"/>
        <v>163.08000000000001</v>
      </c>
      <c r="H294" s="1643"/>
    </row>
    <row r="295" spans="1:8" ht="25.5">
      <c r="A295" s="199"/>
      <c r="B295" s="492" t="s">
        <v>491</v>
      </c>
      <c r="C295" s="1657">
        <v>86</v>
      </c>
      <c r="D295" s="306">
        <v>2.38</v>
      </c>
      <c r="E295" s="306">
        <v>0.61230000000000007</v>
      </c>
      <c r="F295" s="1658" t="s">
        <v>1067</v>
      </c>
      <c r="G295" s="479">
        <f t="shared" si="8"/>
        <v>125.33</v>
      </c>
      <c r="H295" s="1643"/>
    </row>
    <row r="296" spans="1:8" ht="15.95" customHeight="1">
      <c r="A296" s="199"/>
      <c r="B296" s="1656" t="s">
        <v>55</v>
      </c>
      <c r="C296" s="199"/>
      <c r="D296" s="306"/>
      <c r="E296" s="306"/>
      <c r="F296" s="1659"/>
      <c r="G296" s="1645"/>
      <c r="H296" s="1643"/>
    </row>
    <row r="297" spans="1:8" ht="12.75">
      <c r="A297" s="199"/>
      <c r="B297" s="492" t="s">
        <v>492</v>
      </c>
      <c r="C297" s="1657">
        <v>17</v>
      </c>
      <c r="D297" s="306">
        <v>10.88</v>
      </c>
      <c r="E297" s="306">
        <v>0.88171200000000005</v>
      </c>
      <c r="F297" s="1658" t="s">
        <v>1067</v>
      </c>
      <c r="G297" s="479">
        <f t="shared" si="8"/>
        <v>163.08000000000001</v>
      </c>
      <c r="H297" s="1643"/>
    </row>
    <row r="298" spans="1:8" ht="12.75">
      <c r="A298" s="199"/>
      <c r="B298" s="492" t="s">
        <v>493</v>
      </c>
      <c r="C298" s="1657">
        <v>86</v>
      </c>
      <c r="D298" s="306">
        <v>2.38</v>
      </c>
      <c r="E298" s="306">
        <v>0.61230000000000007</v>
      </c>
      <c r="F298" s="1658" t="s">
        <v>1067</v>
      </c>
      <c r="G298" s="479">
        <f t="shared" si="8"/>
        <v>125.33</v>
      </c>
      <c r="H298" s="1643"/>
    </row>
    <row r="299" spans="1:8" ht="15.95" customHeight="1">
      <c r="A299" s="199"/>
      <c r="B299" s="196"/>
      <c r="C299" s="1657"/>
      <c r="D299" s="306"/>
      <c r="E299" s="2955" t="s">
        <v>1111</v>
      </c>
      <c r="F299" s="2956"/>
      <c r="G299" s="1644">
        <f>ROUND(SUM(G292:G298),2)</f>
        <v>961.16</v>
      </c>
      <c r="H299" s="1643" t="s">
        <v>1034</v>
      </c>
    </row>
    <row r="300" spans="1:8" ht="15.95" customHeight="1">
      <c r="A300" s="199"/>
      <c r="B300" s="348" t="s">
        <v>1006</v>
      </c>
      <c r="C300" s="1657"/>
      <c r="D300" s="306"/>
      <c r="E300" s="306"/>
      <c r="F300" s="1653"/>
      <c r="G300" s="1645"/>
      <c r="H300" s="1643"/>
    </row>
    <row r="301" spans="1:8" ht="15.95" customHeight="1">
      <c r="A301" s="199"/>
      <c r="B301" s="196" t="s">
        <v>494</v>
      </c>
      <c r="C301" s="1657">
        <v>17</v>
      </c>
      <c r="D301" s="306">
        <v>8.5399999999999991</v>
      </c>
      <c r="E301" s="306">
        <v>0.88171200000000005</v>
      </c>
      <c r="F301" s="1658" t="s">
        <v>1067</v>
      </c>
      <c r="G301" s="479">
        <f>ROUND((C301*D301*E301),2)</f>
        <v>128.01</v>
      </c>
      <c r="H301" s="1643"/>
    </row>
    <row r="302" spans="1:8" ht="15.95" customHeight="1">
      <c r="A302" s="199"/>
      <c r="B302" s="196" t="s">
        <v>495</v>
      </c>
      <c r="C302" s="1657">
        <v>62</v>
      </c>
      <c r="D302" s="306">
        <v>2.78</v>
      </c>
      <c r="E302" s="306">
        <v>0.61230000000000007</v>
      </c>
      <c r="F302" s="1658" t="s">
        <v>1067</v>
      </c>
      <c r="G302" s="479">
        <f>ROUND((C302*D302*E302),2)</f>
        <v>105.54</v>
      </c>
      <c r="H302" s="1643"/>
    </row>
    <row r="303" spans="1:8" ht="15.95" customHeight="1">
      <c r="A303" s="199"/>
      <c r="B303" s="196" t="s">
        <v>496</v>
      </c>
      <c r="C303" s="1657">
        <v>17</v>
      </c>
      <c r="D303" s="306">
        <v>8.5399999999999991</v>
      </c>
      <c r="E303" s="306">
        <v>0.88171200000000005</v>
      </c>
      <c r="F303" s="1658" t="s">
        <v>1067</v>
      </c>
      <c r="G303" s="479">
        <f>ROUND((C303*D303*E303),2)</f>
        <v>128.01</v>
      </c>
      <c r="H303" s="1643"/>
    </row>
    <row r="304" spans="1:8" ht="15.95" customHeight="1">
      <c r="A304" s="199"/>
      <c r="B304" s="196" t="s">
        <v>497</v>
      </c>
      <c r="C304" s="1657">
        <v>62</v>
      </c>
      <c r="D304" s="306">
        <v>2.78</v>
      </c>
      <c r="E304" s="306">
        <v>0.61230000000000007</v>
      </c>
      <c r="F304" s="1658" t="s">
        <v>1067</v>
      </c>
      <c r="G304" s="479">
        <f>ROUND((C304*D304*E304),2)</f>
        <v>105.54</v>
      </c>
      <c r="H304" s="1643"/>
    </row>
    <row r="305" spans="1:8" ht="15.95" customHeight="1">
      <c r="A305" s="199"/>
      <c r="B305" s="196" t="s">
        <v>729</v>
      </c>
      <c r="C305" s="1657"/>
      <c r="D305" s="306"/>
      <c r="E305" s="306"/>
      <c r="F305" s="1658"/>
      <c r="G305" s="1645"/>
      <c r="H305" s="1643"/>
    </row>
    <row r="306" spans="1:8" ht="15.95" customHeight="1">
      <c r="A306" s="199"/>
      <c r="B306" s="196" t="s">
        <v>494</v>
      </c>
      <c r="C306" s="1657">
        <v>33</v>
      </c>
      <c r="D306" s="306">
        <v>8.5399999999999991</v>
      </c>
      <c r="E306" s="306">
        <v>0.88171200000000005</v>
      </c>
      <c r="F306" s="1658" t="s">
        <v>1067</v>
      </c>
      <c r="G306" s="479">
        <f t="shared" ref="G306:G317" si="9">ROUND((C306*D306*E306),2)</f>
        <v>248.48</v>
      </c>
      <c r="H306" s="1643"/>
    </row>
    <row r="307" spans="1:8" ht="15.95" customHeight="1">
      <c r="A307" s="199"/>
      <c r="B307" s="196" t="s">
        <v>495</v>
      </c>
      <c r="C307" s="1657">
        <v>122</v>
      </c>
      <c r="D307" s="306">
        <v>2.78</v>
      </c>
      <c r="E307" s="306">
        <v>0.61230000000000007</v>
      </c>
      <c r="F307" s="1658" t="s">
        <v>1067</v>
      </c>
      <c r="G307" s="479">
        <f t="shared" si="9"/>
        <v>207.67</v>
      </c>
      <c r="H307" s="1643"/>
    </row>
    <row r="308" spans="1:8" ht="15.95" customHeight="1">
      <c r="A308" s="199"/>
      <c r="B308" s="1656"/>
      <c r="C308" s="199"/>
      <c r="D308" s="306"/>
      <c r="E308" s="2938" t="s">
        <v>1111</v>
      </c>
      <c r="F308" s="2939"/>
      <c r="G308" s="1644">
        <f>ROUND(SUM(G301:G307),2)</f>
        <v>923.25</v>
      </c>
      <c r="H308" s="1643" t="s">
        <v>1034</v>
      </c>
    </row>
    <row r="309" spans="1:8" ht="15.95" customHeight="1">
      <c r="A309" s="199"/>
      <c r="B309" s="312" t="s">
        <v>724</v>
      </c>
      <c r="C309" s="1657">
        <v>36</v>
      </c>
      <c r="D309" s="306">
        <v>3.5839999999999996</v>
      </c>
      <c r="E309" s="306">
        <v>0.88171200000000005</v>
      </c>
      <c r="F309" s="1653" t="s">
        <v>1067</v>
      </c>
      <c r="G309" s="479">
        <f t="shared" si="9"/>
        <v>113.76</v>
      </c>
      <c r="H309" s="1643"/>
    </row>
    <row r="310" spans="1:8" ht="15.95" customHeight="1">
      <c r="A310" s="199"/>
      <c r="B310" s="195" t="s">
        <v>1086</v>
      </c>
      <c r="C310" s="199"/>
      <c r="D310" s="306"/>
      <c r="E310" s="306"/>
      <c r="F310" s="1659"/>
      <c r="G310" s="1645"/>
      <c r="H310" s="1643"/>
    </row>
    <row r="311" spans="1:8" ht="15.95" customHeight="1">
      <c r="A311" s="199"/>
      <c r="B311" s="196" t="s">
        <v>1089</v>
      </c>
      <c r="C311" s="1657">
        <v>104</v>
      </c>
      <c r="D311" s="306">
        <v>0.45</v>
      </c>
      <c r="E311" s="306">
        <v>0.61230000000000007</v>
      </c>
      <c r="F311" s="1658" t="s">
        <v>1067</v>
      </c>
      <c r="G311" s="479">
        <f t="shared" si="9"/>
        <v>28.66</v>
      </c>
      <c r="H311" s="1643"/>
    </row>
    <row r="312" spans="1:8" ht="15.95" customHeight="1">
      <c r="A312" s="199"/>
      <c r="B312" s="196" t="s">
        <v>1090</v>
      </c>
      <c r="C312" s="1657">
        <v>47</v>
      </c>
      <c r="D312" s="306">
        <v>7.54</v>
      </c>
      <c r="E312" s="306">
        <v>0.61230000000000007</v>
      </c>
      <c r="F312" s="1658" t="s">
        <v>1067</v>
      </c>
      <c r="G312" s="479">
        <f t="shared" si="9"/>
        <v>216.99</v>
      </c>
      <c r="H312" s="1643"/>
    </row>
    <row r="313" spans="1:8" ht="15.95" customHeight="1">
      <c r="A313" s="199"/>
      <c r="B313" s="199" t="s">
        <v>1068</v>
      </c>
      <c r="C313" s="199"/>
      <c r="D313" s="306"/>
      <c r="E313" s="306"/>
      <c r="F313" s="1658"/>
      <c r="G313" s="1645"/>
      <c r="H313" s="1643"/>
    </row>
    <row r="314" spans="1:8" ht="20.25" customHeight="1">
      <c r="A314" s="199"/>
      <c r="B314" s="199" t="s">
        <v>1069</v>
      </c>
      <c r="C314" s="1657">
        <v>9</v>
      </c>
      <c r="D314" s="306">
        <v>1.2</v>
      </c>
      <c r="E314" s="306">
        <v>0.61230000000000007</v>
      </c>
      <c r="F314" s="1658" t="s">
        <v>1067</v>
      </c>
      <c r="G314" s="479">
        <f t="shared" si="9"/>
        <v>6.61</v>
      </c>
      <c r="H314" s="1643"/>
    </row>
    <row r="315" spans="1:8" ht="15.95" customHeight="1">
      <c r="A315" s="199"/>
      <c r="B315" s="199" t="s">
        <v>1070</v>
      </c>
      <c r="C315" s="1657">
        <v>8</v>
      </c>
      <c r="D315" s="306">
        <v>1.4</v>
      </c>
      <c r="E315" s="306">
        <v>0.61230000000000007</v>
      </c>
      <c r="F315" s="1658" t="s">
        <v>1067</v>
      </c>
      <c r="G315" s="479">
        <f t="shared" si="9"/>
        <v>6.86</v>
      </c>
      <c r="H315" s="1643"/>
    </row>
    <row r="316" spans="1:8" ht="12.75">
      <c r="A316" s="199"/>
      <c r="B316" s="199" t="s">
        <v>1131</v>
      </c>
      <c r="C316" s="1657">
        <v>9</v>
      </c>
      <c r="D316" s="306">
        <v>1.2</v>
      </c>
      <c r="E316" s="306">
        <v>0.61230000000000007</v>
      </c>
      <c r="F316" s="1658" t="s">
        <v>1067</v>
      </c>
      <c r="G316" s="479">
        <f t="shared" si="9"/>
        <v>6.61</v>
      </c>
      <c r="H316" s="1643"/>
    </row>
    <row r="317" spans="1:8" ht="15.95" customHeight="1">
      <c r="A317" s="199"/>
      <c r="B317" s="199" t="s">
        <v>1070</v>
      </c>
      <c r="C317" s="1657">
        <v>8</v>
      </c>
      <c r="D317" s="306">
        <v>1.4</v>
      </c>
      <c r="E317" s="306">
        <v>0.61230000000000007</v>
      </c>
      <c r="F317" s="1658" t="s">
        <v>1067</v>
      </c>
      <c r="G317" s="479">
        <f t="shared" si="9"/>
        <v>6.86</v>
      </c>
      <c r="H317" s="1643"/>
    </row>
    <row r="318" spans="1:8" ht="15.95" customHeight="1">
      <c r="A318" s="199"/>
      <c r="B318" s="199"/>
      <c r="C318" s="1657"/>
      <c r="D318" s="306"/>
      <c r="E318" s="2938" t="s">
        <v>1111</v>
      </c>
      <c r="F318" s="2939"/>
      <c r="G318" s="1644">
        <f>ROUND(SUM(G309:G317),2)</f>
        <v>386.35</v>
      </c>
      <c r="H318" s="1643"/>
    </row>
    <row r="319" spans="1:8" ht="15.95" customHeight="1">
      <c r="A319" s="199"/>
      <c r="B319" s="199"/>
      <c r="C319" s="1657"/>
      <c r="D319" s="306"/>
      <c r="E319" s="2938" t="s">
        <v>1111</v>
      </c>
      <c r="F319" s="2939"/>
      <c r="G319" s="1644">
        <f>ROUND((G286+G299+G308+G318),2)</f>
        <v>4206.42</v>
      </c>
      <c r="H319" s="1643" t="s">
        <v>1034</v>
      </c>
    </row>
    <row r="320" spans="1:8" ht="15.95" customHeight="1">
      <c r="A320" s="199"/>
      <c r="B320" s="199" t="s">
        <v>1093</v>
      </c>
      <c r="C320" s="199">
        <v>2</v>
      </c>
      <c r="D320" s="306">
        <v>0.28260000000000002</v>
      </c>
      <c r="E320" s="306"/>
      <c r="F320" s="306"/>
      <c r="G320" s="479">
        <f>ROUND((C320*D320),2)</f>
        <v>0.56999999999999995</v>
      </c>
      <c r="H320" s="1643"/>
    </row>
    <row r="321" spans="1:8" ht="15.95" customHeight="1">
      <c r="A321" s="199"/>
      <c r="B321" s="196" t="s">
        <v>1094</v>
      </c>
      <c r="C321" s="199"/>
      <c r="D321" s="306"/>
      <c r="E321" s="306"/>
      <c r="F321" s="306"/>
      <c r="G321" s="1644">
        <f>ROUND((G319-G320),2)</f>
        <v>4205.8500000000004</v>
      </c>
      <c r="H321" s="1643" t="s">
        <v>1034</v>
      </c>
    </row>
    <row r="322" spans="1:8" ht="15.95" customHeight="1">
      <c r="A322" s="199">
        <v>10</v>
      </c>
      <c r="B322" s="196" t="s">
        <v>593</v>
      </c>
      <c r="C322" s="199"/>
      <c r="D322" s="306"/>
      <c r="E322" s="306"/>
      <c r="F322" s="306"/>
      <c r="G322" s="1645"/>
      <c r="H322" s="1643"/>
    </row>
    <row r="323" spans="1:8" ht="15.95" customHeight="1">
      <c r="A323" s="199"/>
      <c r="B323" s="312" t="s">
        <v>1200</v>
      </c>
      <c r="C323" s="199">
        <v>2</v>
      </c>
      <c r="D323" s="306">
        <v>1.43</v>
      </c>
      <c r="E323" s="306">
        <v>0.23</v>
      </c>
      <c r="F323" s="306">
        <v>0.68</v>
      </c>
      <c r="G323" s="479">
        <f>ROUND((C323*D323*E323*F323),2)</f>
        <v>0.45</v>
      </c>
      <c r="H323" s="1643"/>
    </row>
    <row r="324" spans="1:8" ht="15.95" customHeight="1">
      <c r="A324" s="196"/>
      <c r="B324" s="199" t="s">
        <v>1058</v>
      </c>
      <c r="C324" s="199">
        <v>1</v>
      </c>
      <c r="D324" s="306">
        <v>1</v>
      </c>
      <c r="E324" s="306">
        <v>0.23</v>
      </c>
      <c r="F324" s="306">
        <v>0.68</v>
      </c>
      <c r="G324" s="479">
        <f>ROUND((C324*D324*E324*F324),2)</f>
        <v>0.16</v>
      </c>
      <c r="H324" s="1643"/>
    </row>
    <row r="325" spans="1:8" ht="15.95" customHeight="1">
      <c r="A325" s="196"/>
      <c r="B325" s="196" t="s">
        <v>1098</v>
      </c>
      <c r="C325" s="199">
        <v>2</v>
      </c>
      <c r="D325" s="306">
        <v>1.43</v>
      </c>
      <c r="E325" s="306">
        <v>0.23</v>
      </c>
      <c r="F325" s="306">
        <v>0.68</v>
      </c>
      <c r="G325" s="479">
        <f>ROUND((C325*D325*E325*F325),2)</f>
        <v>0.45</v>
      </c>
      <c r="H325" s="1643"/>
    </row>
    <row r="326" spans="1:8" ht="15.95" customHeight="1">
      <c r="A326" s="196"/>
      <c r="B326" s="196" t="s">
        <v>1058</v>
      </c>
      <c r="C326" s="199">
        <v>1</v>
      </c>
      <c r="D326" s="306">
        <v>1</v>
      </c>
      <c r="E326" s="306">
        <v>0.23</v>
      </c>
      <c r="F326" s="306">
        <v>0.68</v>
      </c>
      <c r="G326" s="479">
        <f>ROUND((C326*D326*E326*F326),2)</f>
        <v>0.16</v>
      </c>
      <c r="H326" s="1643"/>
    </row>
    <row r="327" spans="1:8" ht="15" customHeight="1">
      <c r="A327" s="308"/>
      <c r="B327" s="308"/>
      <c r="C327" s="200"/>
      <c r="D327" s="314"/>
      <c r="E327" s="2953" t="s">
        <v>1108</v>
      </c>
      <c r="F327" s="2954"/>
      <c r="G327" s="1660">
        <f>ROUND(SUM(G323:G326),2)</f>
        <v>1.22</v>
      </c>
      <c r="H327" s="1654"/>
    </row>
    <row r="328" spans="1:8" ht="15" customHeight="1"/>
    <row r="329" spans="1:8" ht="15" customHeight="1">
      <c r="A329" s="285" t="s">
        <v>53</v>
      </c>
    </row>
    <row r="330" spans="1:8" ht="9" customHeight="1">
      <c r="A330" s="285"/>
      <c r="B330" s="1638"/>
      <c r="C330" s="1639"/>
      <c r="D330" s="1640"/>
      <c r="E330" s="1640"/>
      <c r="F330" s="1640"/>
      <c r="G330" s="1641"/>
      <c r="H330" s="1638"/>
    </row>
    <row r="331" spans="1:8" ht="15" customHeight="1">
      <c r="A331" s="1634" t="s">
        <v>961</v>
      </c>
      <c r="B331" s="1634" t="s">
        <v>962</v>
      </c>
      <c r="C331" s="1635" t="s">
        <v>963</v>
      </c>
      <c r="D331" s="1636" t="s">
        <v>1051</v>
      </c>
      <c r="E331" s="1636" t="s">
        <v>1052</v>
      </c>
      <c r="F331" s="1636" t="s">
        <v>1053</v>
      </c>
      <c r="G331" s="1637" t="s">
        <v>964</v>
      </c>
      <c r="H331" s="1634" t="s">
        <v>1054</v>
      </c>
    </row>
    <row r="332" spans="1:8" ht="15" customHeight="1">
      <c r="A332" s="471">
        <v>11</v>
      </c>
      <c r="B332" s="192" t="s">
        <v>1007</v>
      </c>
      <c r="C332" s="192"/>
      <c r="D332" s="472"/>
      <c r="E332" s="472"/>
      <c r="F332" s="472"/>
      <c r="G332" s="473"/>
      <c r="H332" s="474"/>
    </row>
    <row r="333" spans="1:8" ht="15" customHeight="1">
      <c r="A333" s="475"/>
      <c r="B333" s="482" t="s">
        <v>1017</v>
      </c>
      <c r="C333" s="477"/>
      <c r="D333" s="478"/>
      <c r="E333" s="478"/>
      <c r="F333" s="478"/>
      <c r="G333" s="479"/>
      <c r="H333" s="480"/>
    </row>
    <row r="334" spans="1:8" ht="15" customHeight="1">
      <c r="A334" s="199"/>
      <c r="B334" s="196" t="s">
        <v>1018</v>
      </c>
      <c r="C334" s="199"/>
      <c r="D334" s="306"/>
      <c r="E334" s="306"/>
      <c r="F334" s="306"/>
      <c r="G334" s="1645"/>
      <c r="H334" s="196"/>
    </row>
    <row r="335" spans="1:8" ht="15" customHeight="1">
      <c r="A335" s="199"/>
      <c r="B335" s="199" t="s">
        <v>1201</v>
      </c>
      <c r="C335" s="199">
        <v>2</v>
      </c>
      <c r="D335" s="306">
        <v>9.68</v>
      </c>
      <c r="E335" s="306"/>
      <c r="F335" s="306">
        <v>1.4</v>
      </c>
      <c r="G335" s="479">
        <f t="shared" ref="G335:G340" si="10">ROUND((C335*D335*F335),2)</f>
        <v>27.1</v>
      </c>
      <c r="H335" s="196"/>
    </row>
    <row r="336" spans="1:8" ht="15" customHeight="1">
      <c r="A336" s="199"/>
      <c r="B336" s="199" t="s">
        <v>997</v>
      </c>
      <c r="C336" s="199">
        <v>2</v>
      </c>
      <c r="D336" s="306">
        <v>7.54</v>
      </c>
      <c r="E336" s="306"/>
      <c r="F336" s="306">
        <v>1.4</v>
      </c>
      <c r="G336" s="479">
        <f t="shared" si="10"/>
        <v>21.11</v>
      </c>
      <c r="H336" s="196"/>
    </row>
    <row r="337" spans="1:8" ht="15" customHeight="1">
      <c r="A337" s="199"/>
      <c r="B337" s="199" t="s">
        <v>1194</v>
      </c>
      <c r="C337" s="199">
        <v>20</v>
      </c>
      <c r="D337" s="306">
        <v>3.5</v>
      </c>
      <c r="E337" s="306"/>
      <c r="F337" s="306">
        <v>1.6</v>
      </c>
      <c r="G337" s="479">
        <f t="shared" si="10"/>
        <v>112</v>
      </c>
      <c r="H337" s="196"/>
    </row>
    <row r="338" spans="1:8" ht="15" customHeight="1">
      <c r="A338" s="199"/>
      <c r="B338" s="199" t="s">
        <v>1195</v>
      </c>
      <c r="C338" s="199">
        <v>4</v>
      </c>
      <c r="D338" s="306">
        <v>2</v>
      </c>
      <c r="E338" s="306"/>
      <c r="F338" s="306">
        <v>1.6</v>
      </c>
      <c r="G338" s="479">
        <f t="shared" si="10"/>
        <v>12.8</v>
      </c>
      <c r="H338" s="196"/>
    </row>
    <row r="339" spans="1:8" ht="15" customHeight="1">
      <c r="A339" s="199"/>
      <c r="B339" s="196"/>
      <c r="C339" s="199">
        <v>8</v>
      </c>
      <c r="D339" s="306">
        <v>3</v>
      </c>
      <c r="E339" s="306"/>
      <c r="F339" s="306">
        <v>1.6</v>
      </c>
      <c r="G339" s="479">
        <f t="shared" si="10"/>
        <v>38.4</v>
      </c>
      <c r="H339" s="196"/>
    </row>
    <row r="340" spans="1:8" ht="15" customHeight="1">
      <c r="A340" s="199"/>
      <c r="B340" s="196"/>
      <c r="C340" s="199">
        <v>8</v>
      </c>
      <c r="D340" s="306">
        <v>0.8</v>
      </c>
      <c r="E340" s="306"/>
      <c r="F340" s="306">
        <v>1.6</v>
      </c>
      <c r="G340" s="479">
        <f t="shared" si="10"/>
        <v>10.24</v>
      </c>
      <c r="H340" s="196"/>
    </row>
    <row r="341" spans="1:8" ht="15" customHeight="1">
      <c r="A341" s="199"/>
      <c r="B341" s="196" t="s">
        <v>1202</v>
      </c>
      <c r="C341" s="199">
        <v>2</v>
      </c>
      <c r="D341" s="306">
        <v>3.5</v>
      </c>
      <c r="E341" s="306">
        <v>0.8</v>
      </c>
      <c r="F341" s="306"/>
      <c r="G341" s="479">
        <f>ROUND((C341*D341*E341),2)</f>
        <v>5.6</v>
      </c>
      <c r="H341" s="196"/>
    </row>
    <row r="342" spans="1:8" ht="15" customHeight="1">
      <c r="A342" s="199"/>
      <c r="B342" s="196" t="s">
        <v>1196</v>
      </c>
      <c r="C342" s="199"/>
      <c r="D342" s="306"/>
      <c r="E342" s="306"/>
      <c r="F342" s="306"/>
      <c r="G342" s="1655"/>
      <c r="H342" s="196"/>
    </row>
    <row r="343" spans="1:8" ht="15" customHeight="1">
      <c r="A343" s="199"/>
      <c r="B343" s="199" t="s">
        <v>1197</v>
      </c>
      <c r="C343" s="199">
        <v>2</v>
      </c>
      <c r="D343" s="306">
        <v>7.54</v>
      </c>
      <c r="E343" s="306">
        <v>0.3</v>
      </c>
      <c r="F343" s="306"/>
      <c r="G343" s="479">
        <f>ROUND((C343*D343*E343),2)</f>
        <v>4.5199999999999996</v>
      </c>
      <c r="H343" s="196"/>
    </row>
    <row r="344" spans="1:8" ht="15" customHeight="1">
      <c r="A344" s="199"/>
      <c r="B344" s="199" t="s">
        <v>1198</v>
      </c>
      <c r="C344" s="199">
        <v>2</v>
      </c>
      <c r="D344" s="306">
        <v>7.54</v>
      </c>
      <c r="E344" s="306"/>
      <c r="F344" s="306">
        <v>0.375</v>
      </c>
      <c r="G344" s="479">
        <f>ROUND((C344*D344*F344),2)</f>
        <v>5.66</v>
      </c>
      <c r="H344" s="196"/>
    </row>
    <row r="345" spans="1:8" ht="15" customHeight="1">
      <c r="A345" s="199"/>
      <c r="B345" s="199" t="s">
        <v>1203</v>
      </c>
      <c r="C345" s="199">
        <v>2</v>
      </c>
      <c r="D345" s="306">
        <v>7.54</v>
      </c>
      <c r="E345" s="306"/>
      <c r="F345" s="306">
        <v>0.3</v>
      </c>
      <c r="G345" s="479">
        <f>ROUND((C345*D345*F345),2)</f>
        <v>4.5199999999999996</v>
      </c>
      <c r="H345" s="196"/>
    </row>
    <row r="346" spans="1:8" ht="15" customHeight="1">
      <c r="A346" s="199"/>
      <c r="B346" s="199"/>
      <c r="C346" s="199"/>
      <c r="D346" s="306"/>
      <c r="E346" s="306"/>
      <c r="F346" s="306"/>
      <c r="G346" s="1655"/>
      <c r="H346" s="196"/>
    </row>
    <row r="347" spans="1:8" ht="15" customHeight="1">
      <c r="A347" s="199"/>
      <c r="B347" s="199" t="s">
        <v>1071</v>
      </c>
      <c r="C347" s="199">
        <v>1</v>
      </c>
      <c r="D347" s="306">
        <v>1.2</v>
      </c>
      <c r="E347" s="306">
        <v>1</v>
      </c>
      <c r="F347" s="306"/>
      <c r="G347" s="479">
        <f t="shared" ref="G347:G355" si="11">ROUND((C347*D347*E347),2)</f>
        <v>1.2</v>
      </c>
      <c r="H347" s="196"/>
    </row>
    <row r="348" spans="1:8" ht="15" customHeight="1">
      <c r="A348" s="199"/>
      <c r="B348" s="199" t="s">
        <v>1072</v>
      </c>
      <c r="C348" s="199">
        <v>1</v>
      </c>
      <c r="D348" s="306">
        <v>1.2</v>
      </c>
      <c r="E348" s="306">
        <v>1</v>
      </c>
      <c r="F348" s="306"/>
      <c r="G348" s="479">
        <f t="shared" si="11"/>
        <v>1.2</v>
      </c>
      <c r="H348" s="196"/>
    </row>
    <row r="349" spans="1:8" ht="15" customHeight="1">
      <c r="A349" s="199"/>
      <c r="B349" s="199" t="s">
        <v>1091</v>
      </c>
      <c r="C349" s="199">
        <v>2</v>
      </c>
      <c r="D349" s="306">
        <v>4.32</v>
      </c>
      <c r="E349" s="306">
        <v>0.1</v>
      </c>
      <c r="F349" s="306"/>
      <c r="G349" s="479">
        <f t="shared" si="11"/>
        <v>0.86</v>
      </c>
      <c r="H349" s="196"/>
    </row>
    <row r="350" spans="1:8" ht="15" customHeight="1">
      <c r="A350" s="199"/>
      <c r="B350" s="199" t="s">
        <v>1092</v>
      </c>
      <c r="C350" s="199">
        <v>2</v>
      </c>
      <c r="D350" s="306">
        <v>4.32</v>
      </c>
      <c r="E350" s="306">
        <v>0.1</v>
      </c>
      <c r="F350" s="306"/>
      <c r="G350" s="479">
        <f t="shared" si="11"/>
        <v>0.86</v>
      </c>
      <c r="H350" s="196"/>
    </row>
    <row r="351" spans="1:8" ht="15" customHeight="1">
      <c r="A351" s="199"/>
      <c r="B351" s="199" t="s">
        <v>1204</v>
      </c>
      <c r="C351" s="199">
        <v>2</v>
      </c>
      <c r="D351" s="306">
        <v>9.68</v>
      </c>
      <c r="E351" s="306">
        <v>0.18</v>
      </c>
      <c r="F351" s="306"/>
      <c r="G351" s="479">
        <f t="shared" si="11"/>
        <v>3.48</v>
      </c>
      <c r="H351" s="196"/>
    </row>
    <row r="352" spans="1:8" ht="15" customHeight="1">
      <c r="A352" s="199"/>
      <c r="B352" s="199" t="s">
        <v>1205</v>
      </c>
      <c r="C352" s="199">
        <v>1</v>
      </c>
      <c r="D352" s="306">
        <v>9.68</v>
      </c>
      <c r="E352" s="306">
        <v>0.18</v>
      </c>
      <c r="F352" s="306"/>
      <c r="G352" s="479">
        <f t="shared" si="11"/>
        <v>1.74</v>
      </c>
      <c r="H352" s="196"/>
    </row>
    <row r="353" spans="1:8" ht="15" customHeight="1">
      <c r="A353" s="199"/>
      <c r="B353" s="199" t="s">
        <v>1206</v>
      </c>
      <c r="C353" s="199">
        <v>2</v>
      </c>
      <c r="D353" s="306">
        <v>7.54</v>
      </c>
      <c r="E353" s="306">
        <v>0.18</v>
      </c>
      <c r="F353" s="306"/>
      <c r="G353" s="479">
        <f t="shared" si="11"/>
        <v>2.71</v>
      </c>
      <c r="H353" s="196"/>
    </row>
    <row r="354" spans="1:8" ht="15" customHeight="1">
      <c r="A354" s="199"/>
      <c r="B354" s="199" t="s">
        <v>1207</v>
      </c>
      <c r="C354" s="199">
        <v>8</v>
      </c>
      <c r="D354" s="306">
        <v>3.5</v>
      </c>
      <c r="E354" s="306">
        <v>7.4999999999999997E-2</v>
      </c>
      <c r="F354" s="306"/>
      <c r="G354" s="479">
        <f t="shared" si="11"/>
        <v>2.1</v>
      </c>
      <c r="H354" s="196"/>
    </row>
    <row r="355" spans="1:8" ht="15" customHeight="1">
      <c r="A355" s="199"/>
      <c r="B355" s="199" t="s">
        <v>1208</v>
      </c>
      <c r="C355" s="199">
        <v>2</v>
      </c>
      <c r="D355" s="306">
        <v>7.54</v>
      </c>
      <c r="E355" s="306">
        <v>7.4999999999999997E-2</v>
      </c>
      <c r="F355" s="306"/>
      <c r="G355" s="479">
        <f t="shared" si="11"/>
        <v>1.1299999999999999</v>
      </c>
      <c r="H355" s="196"/>
    </row>
    <row r="356" spans="1:8" ht="15" customHeight="1">
      <c r="A356" s="199"/>
      <c r="B356" s="199" t="s">
        <v>1209</v>
      </c>
      <c r="C356" s="199">
        <v>2</v>
      </c>
      <c r="D356" s="306">
        <v>1.43</v>
      </c>
      <c r="E356" s="306"/>
      <c r="F356" s="306">
        <v>0.6</v>
      </c>
      <c r="G356" s="479">
        <f t="shared" ref="G356:G364" si="12">ROUND((C356*D356*F356),2)</f>
        <v>1.72</v>
      </c>
      <c r="H356" s="196"/>
    </row>
    <row r="357" spans="1:8" ht="15" customHeight="1">
      <c r="A357" s="199"/>
      <c r="B357" s="199" t="s">
        <v>1210</v>
      </c>
      <c r="C357" s="199">
        <v>1</v>
      </c>
      <c r="D357" s="306">
        <v>1.46</v>
      </c>
      <c r="E357" s="306"/>
      <c r="F357" s="306">
        <v>0.6</v>
      </c>
      <c r="G357" s="479">
        <f t="shared" si="12"/>
        <v>0.88</v>
      </c>
      <c r="H357" s="196"/>
    </row>
    <row r="358" spans="1:8" ht="15" customHeight="1">
      <c r="A358" s="199"/>
      <c r="B358" s="199" t="s">
        <v>1211</v>
      </c>
      <c r="C358" s="199">
        <v>2</v>
      </c>
      <c r="D358" s="306">
        <v>1.2</v>
      </c>
      <c r="E358" s="306"/>
      <c r="F358" s="306">
        <v>0.68</v>
      </c>
      <c r="G358" s="479">
        <f t="shared" si="12"/>
        <v>1.63</v>
      </c>
      <c r="H358" s="196"/>
    </row>
    <row r="359" spans="1:8" ht="15" customHeight="1">
      <c r="A359" s="199"/>
      <c r="B359" s="199" t="s">
        <v>1058</v>
      </c>
      <c r="C359" s="199">
        <v>1</v>
      </c>
      <c r="D359" s="306">
        <v>1</v>
      </c>
      <c r="E359" s="306"/>
      <c r="F359" s="306">
        <v>0.68</v>
      </c>
      <c r="G359" s="479">
        <f t="shared" si="12"/>
        <v>0.68</v>
      </c>
      <c r="H359" s="196"/>
    </row>
    <row r="360" spans="1:8" ht="15" customHeight="1">
      <c r="A360" s="199"/>
      <c r="B360" s="199" t="s">
        <v>1212</v>
      </c>
      <c r="C360" s="199">
        <v>1</v>
      </c>
      <c r="D360" s="306">
        <v>1.43</v>
      </c>
      <c r="E360" s="306">
        <v>1.46</v>
      </c>
      <c r="F360" s="306"/>
      <c r="G360" s="479">
        <f>ROUND((C360*D360*E360),2)</f>
        <v>2.09</v>
      </c>
      <c r="H360" s="196"/>
    </row>
    <row r="361" spans="1:8" ht="15" customHeight="1">
      <c r="A361" s="199"/>
      <c r="B361" s="199" t="s">
        <v>1209</v>
      </c>
      <c r="C361" s="199">
        <v>2</v>
      </c>
      <c r="D361" s="306">
        <v>1.43</v>
      </c>
      <c r="E361" s="306"/>
      <c r="F361" s="306">
        <v>0.6</v>
      </c>
      <c r="G361" s="479">
        <f t="shared" si="12"/>
        <v>1.72</v>
      </c>
      <c r="H361" s="196"/>
    </row>
    <row r="362" spans="1:8" ht="15" customHeight="1">
      <c r="A362" s="199"/>
      <c r="B362" s="199" t="s">
        <v>1210</v>
      </c>
      <c r="C362" s="199">
        <v>1</v>
      </c>
      <c r="D362" s="306">
        <v>1.46</v>
      </c>
      <c r="E362" s="306"/>
      <c r="F362" s="306">
        <v>0.6</v>
      </c>
      <c r="G362" s="479">
        <f t="shared" si="12"/>
        <v>0.88</v>
      </c>
      <c r="H362" s="196"/>
    </row>
    <row r="363" spans="1:8" ht="15" customHeight="1">
      <c r="A363" s="199"/>
      <c r="B363" s="199" t="s">
        <v>1213</v>
      </c>
      <c r="C363" s="199">
        <v>2</v>
      </c>
      <c r="D363" s="306">
        <v>1.2</v>
      </c>
      <c r="E363" s="306"/>
      <c r="F363" s="306">
        <v>0.68</v>
      </c>
      <c r="G363" s="479">
        <f t="shared" si="12"/>
        <v>1.63</v>
      </c>
      <c r="H363" s="196"/>
    </row>
    <row r="364" spans="1:8" ht="15" customHeight="1">
      <c r="A364" s="199"/>
      <c r="B364" s="199" t="s">
        <v>1058</v>
      </c>
      <c r="C364" s="199">
        <v>1</v>
      </c>
      <c r="D364" s="306">
        <v>1</v>
      </c>
      <c r="E364" s="306"/>
      <c r="F364" s="306">
        <v>0.68</v>
      </c>
      <c r="G364" s="479">
        <f t="shared" si="12"/>
        <v>0.68</v>
      </c>
      <c r="H364" s="196"/>
    </row>
    <row r="365" spans="1:8" ht="15" customHeight="1">
      <c r="A365" s="199"/>
      <c r="B365" s="199" t="s">
        <v>1214</v>
      </c>
      <c r="C365" s="199">
        <v>1</v>
      </c>
      <c r="D365" s="306">
        <v>1.43</v>
      </c>
      <c r="E365" s="306">
        <v>1.46</v>
      </c>
      <c r="F365" s="306"/>
      <c r="G365" s="479">
        <f>ROUND((C365*D365*E365),2)</f>
        <v>2.09</v>
      </c>
      <c r="H365" s="196"/>
    </row>
    <row r="366" spans="1:8" ht="15" customHeight="1">
      <c r="A366" s="199"/>
      <c r="B366" s="199"/>
      <c r="C366" s="199"/>
      <c r="D366" s="306"/>
      <c r="E366" s="2938" t="s">
        <v>1111</v>
      </c>
      <c r="F366" s="2939"/>
      <c r="G366" s="1645">
        <f>ROUND(SUM(G335:G365),2)</f>
        <v>271.23</v>
      </c>
      <c r="H366" s="1643" t="s">
        <v>1182</v>
      </c>
    </row>
    <row r="367" spans="1:8" ht="15" customHeight="1">
      <c r="A367" s="199"/>
      <c r="B367" s="312" t="s">
        <v>1199</v>
      </c>
      <c r="C367" s="199">
        <v>2</v>
      </c>
      <c r="D367" s="306">
        <v>0.28260000000000002</v>
      </c>
      <c r="E367" s="306"/>
      <c r="F367" s="306">
        <v>0.1</v>
      </c>
      <c r="G367" s="1645">
        <f>ROUND((C367*D367*F367),2)</f>
        <v>0.06</v>
      </c>
      <c r="H367" s="196"/>
    </row>
    <row r="368" spans="1:8" ht="15" customHeight="1">
      <c r="A368" s="199"/>
      <c r="B368" s="199"/>
      <c r="C368" s="199"/>
      <c r="D368" s="306"/>
      <c r="E368" s="2938" t="s">
        <v>1108</v>
      </c>
      <c r="F368" s="2939"/>
      <c r="G368" s="1644">
        <f>ROUND((G366-G367),2)</f>
        <v>271.17</v>
      </c>
      <c r="H368" s="1643" t="s">
        <v>1182</v>
      </c>
    </row>
    <row r="369" spans="1:8" ht="15" customHeight="1">
      <c r="A369" s="196">
        <v>12</v>
      </c>
      <c r="B369" s="196" t="s">
        <v>976</v>
      </c>
      <c r="C369" s="199"/>
      <c r="D369" s="306"/>
      <c r="E369" s="306"/>
      <c r="F369" s="306"/>
      <c r="G369" s="1645"/>
      <c r="H369" s="1643"/>
    </row>
    <row r="370" spans="1:8" ht="15.95" customHeight="1">
      <c r="A370" s="196"/>
      <c r="B370" s="196" t="s">
        <v>1215</v>
      </c>
      <c r="C370" s="199">
        <v>2</v>
      </c>
      <c r="D370" s="306">
        <v>2</v>
      </c>
      <c r="E370" s="306">
        <v>3.5</v>
      </c>
      <c r="F370" s="306"/>
      <c r="G370" s="479">
        <f>ROUND((C370*D370*E370),2)</f>
        <v>14</v>
      </c>
      <c r="H370" s="1643"/>
    </row>
    <row r="371" spans="1:8" ht="15.95" customHeight="1">
      <c r="A371" s="196"/>
      <c r="B371" s="199" t="s">
        <v>1216</v>
      </c>
      <c r="C371" s="199">
        <v>2</v>
      </c>
      <c r="D371" s="306">
        <v>3</v>
      </c>
      <c r="E371" s="306">
        <v>3.5</v>
      </c>
      <c r="F371" s="306"/>
      <c r="G371" s="479">
        <f>ROUND((C371*D371*E371),2)</f>
        <v>21</v>
      </c>
      <c r="H371" s="1643"/>
    </row>
    <row r="372" spans="1:8" ht="17.100000000000001" customHeight="1">
      <c r="A372" s="196"/>
      <c r="B372" s="199" t="s">
        <v>1217</v>
      </c>
      <c r="C372" s="199">
        <v>2</v>
      </c>
      <c r="D372" s="306">
        <v>3</v>
      </c>
      <c r="E372" s="306">
        <v>3.5</v>
      </c>
      <c r="F372" s="306"/>
      <c r="G372" s="479">
        <f>ROUND((C372*D372*E372),2)</f>
        <v>21</v>
      </c>
      <c r="H372" s="1643"/>
    </row>
    <row r="373" spans="1:8" ht="17.100000000000001" customHeight="1">
      <c r="A373" s="196"/>
      <c r="B373" s="199" t="s">
        <v>1218</v>
      </c>
      <c r="C373" s="199">
        <v>4</v>
      </c>
      <c r="D373" s="306">
        <v>0.8</v>
      </c>
      <c r="E373" s="306">
        <v>3.5</v>
      </c>
      <c r="F373" s="306"/>
      <c r="G373" s="479">
        <f>ROUND((C373*D373*E373),2)</f>
        <v>11.2</v>
      </c>
      <c r="H373" s="1643"/>
    </row>
    <row r="374" spans="1:8" ht="17.100000000000001" customHeight="1">
      <c r="A374" s="308"/>
      <c r="B374" s="308"/>
      <c r="C374" s="200"/>
      <c r="D374" s="314"/>
      <c r="E374" s="314"/>
      <c r="F374" s="314" t="s">
        <v>1108</v>
      </c>
      <c r="G374" s="1660">
        <f>ROUND(SUM(G370:G373),2)</f>
        <v>67.2</v>
      </c>
      <c r="H374" s="1654" t="s">
        <v>1182</v>
      </c>
    </row>
    <row r="375" spans="1:8" ht="16.5" customHeight="1"/>
    <row r="376" spans="1:8" ht="17.100000000000001" customHeight="1">
      <c r="A376" s="285" t="s">
        <v>53</v>
      </c>
    </row>
    <row r="377" spans="1:8" ht="11.25" customHeight="1">
      <c r="A377" s="285"/>
      <c r="B377" s="1638"/>
      <c r="C377" s="1639"/>
      <c r="D377" s="1640"/>
      <c r="E377" s="1640"/>
      <c r="F377" s="1640"/>
      <c r="G377" s="1641"/>
      <c r="H377" s="1638"/>
    </row>
    <row r="378" spans="1:8" ht="17.100000000000001" customHeight="1">
      <c r="A378" s="1634" t="s">
        <v>961</v>
      </c>
      <c r="B378" s="1634" t="s">
        <v>962</v>
      </c>
      <c r="C378" s="1635" t="s">
        <v>963</v>
      </c>
      <c r="D378" s="1636" t="s">
        <v>1051</v>
      </c>
      <c r="E378" s="1636" t="s">
        <v>1052</v>
      </c>
      <c r="F378" s="1636" t="s">
        <v>1053</v>
      </c>
      <c r="G378" s="1637" t="s">
        <v>964</v>
      </c>
      <c r="H378" s="1634" t="s">
        <v>1054</v>
      </c>
    </row>
    <row r="379" spans="1:8" ht="17.100000000000001" customHeight="1">
      <c r="A379" s="192">
        <v>13</v>
      </c>
      <c r="B379" s="192" t="s">
        <v>977</v>
      </c>
      <c r="C379" s="2962" t="s">
        <v>1219</v>
      </c>
      <c r="D379" s="2963"/>
      <c r="E379" s="2963"/>
      <c r="F379" s="2964"/>
      <c r="G379" s="1661"/>
      <c r="H379" s="1662"/>
    </row>
    <row r="380" spans="1:8" ht="17.100000000000001" customHeight="1">
      <c r="A380" s="196"/>
      <c r="B380" s="196" t="s">
        <v>969</v>
      </c>
      <c r="C380" s="2948"/>
      <c r="D380" s="2949"/>
      <c r="E380" s="2949"/>
      <c r="F380" s="2950"/>
      <c r="G380" s="1644">
        <f>ROUND((G374+G345+G337+G338+G339+G340+G341),2)</f>
        <v>250.76</v>
      </c>
      <c r="H380" s="1643" t="s">
        <v>1182</v>
      </c>
    </row>
    <row r="381" spans="1:8" ht="17.100000000000001" customHeight="1">
      <c r="A381" s="196">
        <v>14</v>
      </c>
      <c r="B381" s="196" t="s">
        <v>1021</v>
      </c>
      <c r="C381" s="2945" t="s">
        <v>1219</v>
      </c>
      <c r="D381" s="2946"/>
      <c r="E381" s="2946"/>
      <c r="F381" s="2947"/>
      <c r="G381" s="1644">
        <f>ROUND((G335+G336+G344+G347+G348+G349+G350+G351+G352+G353+G354+G355+G356+G357+G360+G361+G362+G365),2)</f>
        <v>78.53</v>
      </c>
      <c r="H381" s="1643" t="s">
        <v>1182</v>
      </c>
    </row>
    <row r="382" spans="1:8" ht="17.100000000000001" customHeight="1">
      <c r="A382" s="196"/>
      <c r="B382" s="196" t="s">
        <v>1022</v>
      </c>
      <c r="C382" s="2948"/>
      <c r="D382" s="2949"/>
      <c r="E382" s="2949"/>
      <c r="F382" s="2950"/>
      <c r="G382" s="1645"/>
      <c r="H382" s="1643"/>
    </row>
    <row r="383" spans="1:8" ht="17.100000000000001" customHeight="1">
      <c r="A383" s="196"/>
      <c r="B383" s="196" t="s">
        <v>1023</v>
      </c>
      <c r="C383" s="199"/>
      <c r="D383" s="306"/>
      <c r="E383" s="306"/>
      <c r="F383" s="306"/>
      <c r="G383" s="1655"/>
      <c r="H383" s="1643"/>
    </row>
    <row r="384" spans="1:8" ht="17.100000000000001" customHeight="1">
      <c r="A384" s="196">
        <v>15</v>
      </c>
      <c r="B384" s="196" t="s">
        <v>1024</v>
      </c>
      <c r="C384" s="199"/>
      <c r="D384" s="306"/>
      <c r="E384" s="306"/>
      <c r="F384" s="306"/>
      <c r="G384" s="1645"/>
      <c r="H384" s="1643"/>
    </row>
    <row r="385" spans="1:8" ht="17.100000000000001" customHeight="1">
      <c r="A385" s="196"/>
      <c r="B385" s="196" t="s">
        <v>1025</v>
      </c>
      <c r="C385" s="199"/>
      <c r="D385" s="306"/>
      <c r="E385" s="306"/>
      <c r="F385" s="306"/>
      <c r="G385" s="1645"/>
      <c r="H385" s="1643"/>
    </row>
    <row r="386" spans="1:8" ht="17.100000000000001" customHeight="1">
      <c r="A386" s="196"/>
      <c r="B386" s="196" t="s">
        <v>1026</v>
      </c>
      <c r="C386" s="199">
        <v>2</v>
      </c>
      <c r="D386" s="306">
        <v>2</v>
      </c>
      <c r="E386" s="306">
        <v>3.5</v>
      </c>
      <c r="F386" s="306">
        <v>1.5</v>
      </c>
      <c r="G386" s="481">
        <f>ROUND((C386*D386*E386*F386),2)</f>
        <v>21</v>
      </c>
      <c r="H386" s="1643" t="s">
        <v>1174</v>
      </c>
    </row>
    <row r="387" spans="1:8" ht="17.100000000000001" customHeight="1">
      <c r="A387" s="196">
        <v>16</v>
      </c>
      <c r="B387" s="196" t="s">
        <v>1027</v>
      </c>
      <c r="C387" s="199"/>
      <c r="D387" s="306"/>
      <c r="E387" s="306"/>
      <c r="F387" s="306"/>
      <c r="G387" s="1645"/>
      <c r="H387" s="1643"/>
    </row>
    <row r="388" spans="1:8" ht="17.100000000000001" customHeight="1">
      <c r="A388" s="196"/>
      <c r="B388" s="196" t="s">
        <v>1025</v>
      </c>
      <c r="C388" s="199"/>
      <c r="D388" s="306"/>
      <c r="E388" s="306"/>
      <c r="F388" s="306"/>
      <c r="G388" s="1645"/>
      <c r="H388" s="1643"/>
    </row>
    <row r="389" spans="1:8" ht="17.100000000000001" customHeight="1">
      <c r="A389" s="196"/>
      <c r="B389" s="196" t="s">
        <v>1026</v>
      </c>
      <c r="C389" s="199">
        <v>2</v>
      </c>
      <c r="D389" s="306">
        <v>3</v>
      </c>
      <c r="E389" s="306">
        <v>3.5</v>
      </c>
      <c r="F389" s="306">
        <v>1.5</v>
      </c>
      <c r="G389" s="481">
        <f>ROUND((C389*D389*E389*F389),2)</f>
        <v>31.5</v>
      </c>
      <c r="H389" s="1643" t="s">
        <v>1174</v>
      </c>
    </row>
    <row r="390" spans="1:8" ht="17.100000000000001" customHeight="1">
      <c r="A390" s="196">
        <v>17</v>
      </c>
      <c r="B390" s="196" t="s">
        <v>1220</v>
      </c>
      <c r="C390" s="199"/>
      <c r="D390" s="306"/>
      <c r="E390" s="306"/>
      <c r="F390" s="306"/>
      <c r="G390" s="1645"/>
      <c r="H390" s="1643"/>
    </row>
    <row r="391" spans="1:8" ht="17.100000000000001" customHeight="1">
      <c r="A391" s="196"/>
      <c r="B391" s="196" t="s">
        <v>1025</v>
      </c>
      <c r="C391" s="199"/>
      <c r="D391" s="306"/>
      <c r="E391" s="306"/>
      <c r="F391" s="306"/>
      <c r="G391" s="1645"/>
      <c r="H391" s="1643"/>
    </row>
    <row r="392" spans="1:8" ht="17.100000000000001" customHeight="1">
      <c r="A392" s="196"/>
      <c r="B392" s="196" t="s">
        <v>1026</v>
      </c>
      <c r="C392" s="199">
        <v>2</v>
      </c>
      <c r="D392" s="306">
        <v>3</v>
      </c>
      <c r="E392" s="306">
        <v>3.5</v>
      </c>
      <c r="F392" s="306">
        <v>1.5</v>
      </c>
      <c r="G392" s="481">
        <f>ROUND((C392*D392*E392*F392),2)</f>
        <v>31.5</v>
      </c>
      <c r="H392" s="1643" t="s">
        <v>1174</v>
      </c>
    </row>
    <row r="393" spans="1:8" ht="17.100000000000001" customHeight="1">
      <c r="A393" s="196">
        <v>18</v>
      </c>
      <c r="B393" s="196" t="s">
        <v>2766</v>
      </c>
      <c r="C393" s="199"/>
      <c r="D393" s="306"/>
      <c r="E393" s="306"/>
      <c r="F393" s="306"/>
      <c r="G393" s="1645"/>
      <c r="H393" s="1643"/>
    </row>
    <row r="394" spans="1:8" ht="17.100000000000001" customHeight="1">
      <c r="A394" s="196"/>
      <c r="B394" s="196" t="s">
        <v>1028</v>
      </c>
      <c r="C394" s="199"/>
      <c r="D394" s="306"/>
      <c r="E394" s="306"/>
      <c r="F394" s="306"/>
      <c r="G394" s="1645"/>
      <c r="H394" s="1643"/>
    </row>
    <row r="395" spans="1:8" ht="17.100000000000001" customHeight="1">
      <c r="A395" s="196"/>
      <c r="B395" s="196" t="s">
        <v>1029</v>
      </c>
      <c r="C395" s="199"/>
      <c r="D395" s="306"/>
      <c r="E395" s="306"/>
      <c r="F395" s="306"/>
      <c r="G395" s="1645"/>
      <c r="H395" s="1643"/>
    </row>
    <row r="396" spans="1:8" ht="15.95" customHeight="1">
      <c r="A396" s="196"/>
      <c r="B396" s="196" t="s">
        <v>989</v>
      </c>
      <c r="C396" s="199">
        <v>1</v>
      </c>
      <c r="D396" s="306"/>
      <c r="E396" s="306"/>
      <c r="F396" s="306"/>
      <c r="G396" s="1644">
        <v>1</v>
      </c>
      <c r="H396" s="1643" t="s">
        <v>1221</v>
      </c>
    </row>
    <row r="397" spans="1:8" ht="15.95" customHeight="1">
      <c r="A397" s="196">
        <v>19</v>
      </c>
      <c r="B397" s="196" t="s">
        <v>1095</v>
      </c>
      <c r="C397" s="199"/>
      <c r="D397" s="306"/>
      <c r="E397" s="306"/>
      <c r="F397" s="306"/>
      <c r="G397" s="1645"/>
      <c r="H397" s="1643"/>
    </row>
    <row r="398" spans="1:8" ht="15.95" customHeight="1">
      <c r="A398" s="196"/>
      <c r="B398" s="196" t="s">
        <v>1096</v>
      </c>
      <c r="C398" s="199"/>
      <c r="D398" s="306"/>
      <c r="E398" s="306"/>
      <c r="F398" s="306"/>
      <c r="G398" s="1645"/>
      <c r="H398" s="1643"/>
    </row>
    <row r="399" spans="1:8" ht="15.95" customHeight="1">
      <c r="A399" s="196"/>
      <c r="B399" s="196" t="s">
        <v>978</v>
      </c>
      <c r="C399" s="199"/>
      <c r="D399" s="306"/>
      <c r="E399" s="306"/>
      <c r="F399" s="306"/>
      <c r="G399" s="1645"/>
      <c r="H399" s="1643"/>
    </row>
    <row r="400" spans="1:8" ht="15.95" customHeight="1">
      <c r="A400" s="200"/>
      <c r="B400" s="308" t="s">
        <v>979</v>
      </c>
      <c r="C400" s="200">
        <v>2</v>
      </c>
      <c r="D400" s="314"/>
      <c r="E400" s="314"/>
      <c r="F400" s="314"/>
      <c r="G400" s="1660">
        <v>2</v>
      </c>
      <c r="H400" s="308" t="s">
        <v>1082</v>
      </c>
    </row>
    <row r="401" spans="1:8" ht="9.75" customHeight="1">
      <c r="A401" s="204"/>
      <c r="B401" s="190"/>
      <c r="C401" s="204"/>
      <c r="D401" s="309"/>
      <c r="E401" s="309"/>
      <c r="F401" s="309"/>
      <c r="G401" s="392"/>
      <c r="H401" s="190"/>
    </row>
    <row r="402" spans="1:8" ht="15.95" customHeight="1">
      <c r="A402" s="285" t="s">
        <v>7</v>
      </c>
    </row>
    <row r="403" spans="1:8" ht="7.5" customHeight="1">
      <c r="A403" s="1638"/>
      <c r="B403" s="1638"/>
      <c r="C403" s="1639"/>
      <c r="D403" s="1640"/>
      <c r="E403" s="1640"/>
      <c r="F403" s="1640"/>
      <c r="G403" s="1641"/>
      <c r="H403" s="1638"/>
    </row>
    <row r="404" spans="1:8" ht="15.95" customHeight="1">
      <c r="A404" s="1634" t="s">
        <v>961</v>
      </c>
      <c r="B404" s="1634" t="s">
        <v>962</v>
      </c>
      <c r="C404" s="1635" t="s">
        <v>963</v>
      </c>
      <c r="D404" s="1636" t="s">
        <v>1051</v>
      </c>
      <c r="E404" s="1636" t="s">
        <v>1052</v>
      </c>
      <c r="F404" s="1636" t="s">
        <v>1053</v>
      </c>
      <c r="G404" s="1637" t="s">
        <v>964</v>
      </c>
      <c r="H404" s="1634" t="s">
        <v>1054</v>
      </c>
    </row>
    <row r="405" spans="1:8" ht="15.95" customHeight="1">
      <c r="A405" s="471">
        <v>1</v>
      </c>
      <c r="B405" s="192" t="s">
        <v>966</v>
      </c>
      <c r="C405" s="192">
        <v>1</v>
      </c>
      <c r="D405" s="472">
        <v>14</v>
      </c>
      <c r="E405" s="472">
        <v>14</v>
      </c>
      <c r="F405" s="472"/>
      <c r="G405" s="473">
        <f>ROUND((C405*D405*E405),2)</f>
        <v>196</v>
      </c>
      <c r="H405" s="474" t="s">
        <v>628</v>
      </c>
    </row>
    <row r="406" spans="1:8" ht="15.95" customHeight="1">
      <c r="A406" s="475">
        <v>2</v>
      </c>
      <c r="B406" s="482" t="s">
        <v>967</v>
      </c>
      <c r="C406" s="477"/>
      <c r="D406" s="478"/>
      <c r="E406" s="478"/>
      <c r="F406" s="478"/>
      <c r="G406" s="479"/>
      <c r="H406" s="480"/>
    </row>
    <row r="407" spans="1:8" ht="15.95" customHeight="1">
      <c r="A407" s="199"/>
      <c r="B407" s="196" t="s">
        <v>968</v>
      </c>
      <c r="C407" s="199"/>
      <c r="D407" s="306"/>
      <c r="E407" s="306"/>
      <c r="F407" s="306"/>
      <c r="G407" s="1645"/>
      <c r="H407" s="1643"/>
    </row>
    <row r="408" spans="1:8" ht="15.95" customHeight="1">
      <c r="A408" s="199"/>
      <c r="B408" s="196" t="s">
        <v>552</v>
      </c>
      <c r="C408" s="199">
        <v>1</v>
      </c>
      <c r="D408" s="306">
        <v>13.68</v>
      </c>
      <c r="E408" s="306">
        <v>13.92</v>
      </c>
      <c r="F408" s="306">
        <v>0.3</v>
      </c>
      <c r="G408" s="479">
        <f>ROUND((C408*D408*E408*F408),2)</f>
        <v>57.13</v>
      </c>
      <c r="H408" s="1643"/>
    </row>
    <row r="409" spans="1:8" ht="15.95" customHeight="1">
      <c r="A409" s="199"/>
      <c r="B409" s="199" t="s">
        <v>983</v>
      </c>
      <c r="C409" s="199">
        <v>1</v>
      </c>
      <c r="D409" s="306">
        <v>13.68</v>
      </c>
      <c r="E409" s="306">
        <v>13.92</v>
      </c>
      <c r="F409" s="306">
        <v>1.59</v>
      </c>
      <c r="G409" s="479">
        <f>ROUND((C409*D409*E409*F409),2)</f>
        <v>302.77999999999997</v>
      </c>
      <c r="H409" s="1643"/>
    </row>
    <row r="410" spans="1:8" ht="15.95" customHeight="1">
      <c r="A410" s="199"/>
      <c r="B410" s="199" t="s">
        <v>1059</v>
      </c>
      <c r="C410" s="199">
        <v>1</v>
      </c>
      <c r="D410" s="306">
        <v>1.83</v>
      </c>
      <c r="E410" s="306">
        <v>1.86</v>
      </c>
      <c r="F410" s="306">
        <v>1.59</v>
      </c>
      <c r="G410" s="479">
        <f>ROUND((C410*D410*E410*F410),2)</f>
        <v>5.41</v>
      </c>
      <c r="H410" s="1643"/>
    </row>
    <row r="411" spans="1:8" ht="15.95" customHeight="1">
      <c r="A411" s="199"/>
      <c r="B411" s="199" t="s">
        <v>1060</v>
      </c>
      <c r="C411" s="199">
        <v>2</v>
      </c>
      <c r="D411" s="306">
        <v>1.83</v>
      </c>
      <c r="E411" s="306">
        <v>1.86</v>
      </c>
      <c r="F411" s="306">
        <v>1.59</v>
      </c>
      <c r="G411" s="479">
        <f>ROUND((C411*D411*E411*F411),2)</f>
        <v>10.82</v>
      </c>
      <c r="H411" s="1643"/>
    </row>
    <row r="412" spans="1:8" ht="15.95" customHeight="1">
      <c r="A412" s="199"/>
      <c r="B412" s="199" t="s">
        <v>1235</v>
      </c>
      <c r="C412" s="199">
        <v>1</v>
      </c>
      <c r="D412" s="306">
        <v>1.64</v>
      </c>
      <c r="E412" s="306">
        <v>2.08</v>
      </c>
      <c r="F412" s="306">
        <v>1.59</v>
      </c>
      <c r="G412" s="479">
        <f>ROUND((C412*D412*E412*F412),2)</f>
        <v>5.42</v>
      </c>
      <c r="H412" s="1643"/>
    </row>
    <row r="413" spans="1:8" ht="15.95" customHeight="1">
      <c r="A413" s="199"/>
      <c r="B413" s="199"/>
      <c r="C413" s="199"/>
      <c r="D413" s="306"/>
      <c r="E413" s="2951" t="s">
        <v>1108</v>
      </c>
      <c r="F413" s="2952"/>
      <c r="G413" s="1651">
        <f>ROUND(SUM(G408:G412),2)</f>
        <v>381.56</v>
      </c>
      <c r="H413" s="312" t="s">
        <v>625</v>
      </c>
    </row>
    <row r="414" spans="1:8" ht="15.95" customHeight="1">
      <c r="A414" s="199">
        <v>3</v>
      </c>
      <c r="B414" s="312" t="s">
        <v>1002</v>
      </c>
      <c r="C414" s="199"/>
      <c r="D414" s="306"/>
      <c r="E414" s="306"/>
      <c r="F414" s="306"/>
      <c r="G414" s="1645"/>
      <c r="H414" s="1643"/>
    </row>
    <row r="415" spans="1:8" ht="15.95" customHeight="1">
      <c r="A415" s="199"/>
      <c r="B415" s="199" t="s">
        <v>1236</v>
      </c>
      <c r="C415" s="199">
        <v>2</v>
      </c>
      <c r="D415" s="306">
        <v>13.68</v>
      </c>
      <c r="E415" s="306">
        <v>0.6</v>
      </c>
      <c r="F415" s="306">
        <v>1</v>
      </c>
      <c r="G415" s="479">
        <f>ROUND((C415*D415*E415*F415),2)</f>
        <v>16.420000000000002</v>
      </c>
      <c r="H415" s="1643"/>
    </row>
    <row r="416" spans="1:8" ht="15.95" customHeight="1">
      <c r="A416" s="199"/>
      <c r="B416" s="199" t="s">
        <v>1237</v>
      </c>
      <c r="C416" s="199">
        <v>2</v>
      </c>
      <c r="D416" s="306">
        <v>12.96</v>
      </c>
      <c r="E416" s="306">
        <v>0.6</v>
      </c>
      <c r="F416" s="306">
        <v>1</v>
      </c>
      <c r="G416" s="479">
        <f>ROUND((C416*D416*E416*F416),2)</f>
        <v>15.55</v>
      </c>
      <c r="H416" s="1643"/>
    </row>
    <row r="417" spans="1:8" ht="15.95" customHeight="1">
      <c r="A417" s="199"/>
      <c r="B417" s="199"/>
      <c r="C417" s="199"/>
      <c r="D417" s="306"/>
      <c r="E417" s="2951" t="s">
        <v>1108</v>
      </c>
      <c r="F417" s="2952"/>
      <c r="G417" s="1651">
        <f>ROUND(SUM(G415:G416),2)</f>
        <v>31.97</v>
      </c>
      <c r="H417" s="312" t="s">
        <v>625</v>
      </c>
    </row>
    <row r="418" spans="1:8" ht="15.95" customHeight="1">
      <c r="A418" s="199" t="s">
        <v>984</v>
      </c>
      <c r="B418" s="196" t="s">
        <v>57</v>
      </c>
      <c r="C418" s="199"/>
      <c r="D418" s="306"/>
      <c r="E418" s="306"/>
      <c r="F418" s="306"/>
      <c r="G418" s="1645"/>
      <c r="H418" s="1643"/>
    </row>
    <row r="419" spans="1:8" ht="15.95" customHeight="1">
      <c r="A419" s="199"/>
      <c r="B419" s="196" t="s">
        <v>58</v>
      </c>
      <c r="C419" s="199">
        <v>1</v>
      </c>
      <c r="D419" s="306">
        <v>13.8</v>
      </c>
      <c r="E419" s="306">
        <v>13.62</v>
      </c>
      <c r="F419" s="306">
        <v>0.2</v>
      </c>
      <c r="G419" s="479">
        <f>ROUND((C419*D419*E419*F419),2)</f>
        <v>37.590000000000003</v>
      </c>
      <c r="H419" s="1643"/>
    </row>
    <row r="420" spans="1:8" ht="15.95" customHeight="1">
      <c r="A420" s="199"/>
      <c r="B420" s="199" t="s">
        <v>1059</v>
      </c>
      <c r="C420" s="199">
        <v>1</v>
      </c>
      <c r="D420" s="306">
        <v>1.73</v>
      </c>
      <c r="E420" s="306">
        <v>1.76</v>
      </c>
      <c r="F420" s="306">
        <v>0.2</v>
      </c>
      <c r="G420" s="479">
        <f>ROUND((C420*D420*E420*F420),2)</f>
        <v>0.61</v>
      </c>
      <c r="H420" s="1643"/>
    </row>
    <row r="421" spans="1:8" ht="15.95" customHeight="1">
      <c r="A421" s="199"/>
      <c r="B421" s="199" t="s">
        <v>1060</v>
      </c>
      <c r="C421" s="199">
        <v>2</v>
      </c>
      <c r="D421" s="306">
        <v>1.73</v>
      </c>
      <c r="E421" s="306">
        <v>1.76</v>
      </c>
      <c r="F421" s="306">
        <v>0.2</v>
      </c>
      <c r="G421" s="479">
        <f>ROUND((C421*D421*E421*F421),2)</f>
        <v>1.22</v>
      </c>
      <c r="H421" s="1643"/>
    </row>
    <row r="422" spans="1:8" ht="15.95" customHeight="1">
      <c r="A422" s="199"/>
      <c r="B422" s="199" t="s">
        <v>1235</v>
      </c>
      <c r="C422" s="199">
        <v>1</v>
      </c>
      <c r="D422" s="306">
        <v>1.64</v>
      </c>
      <c r="E422" s="306">
        <v>2.08</v>
      </c>
      <c r="F422" s="306">
        <v>0.2</v>
      </c>
      <c r="G422" s="479">
        <f>ROUND((C422*D422*E422*F422),2)</f>
        <v>0.68</v>
      </c>
      <c r="H422" s="1643"/>
    </row>
    <row r="423" spans="1:8" ht="15.95" customHeight="1">
      <c r="A423" s="199"/>
      <c r="B423" s="196"/>
      <c r="C423" s="199"/>
      <c r="D423" s="306"/>
      <c r="E423" s="2938" t="s">
        <v>1108</v>
      </c>
      <c r="F423" s="2939"/>
      <c r="G423" s="1651">
        <f>ROUND(SUM(G419:G422),2)</f>
        <v>40.1</v>
      </c>
      <c r="H423" s="312" t="s">
        <v>625</v>
      </c>
    </row>
    <row r="424" spans="1:8" ht="15.95" customHeight="1">
      <c r="A424" s="199" t="s">
        <v>985</v>
      </c>
      <c r="B424" s="196" t="s">
        <v>986</v>
      </c>
      <c r="C424" s="199"/>
      <c r="D424" s="306"/>
      <c r="E424" s="306"/>
      <c r="F424" s="306"/>
      <c r="G424" s="1645"/>
      <c r="H424" s="1643"/>
    </row>
    <row r="425" spans="1:8" ht="15.95" customHeight="1">
      <c r="A425" s="199"/>
      <c r="B425" s="196" t="s">
        <v>59</v>
      </c>
      <c r="C425" s="199">
        <v>1</v>
      </c>
      <c r="D425" s="306">
        <v>13.8</v>
      </c>
      <c r="E425" s="306">
        <v>13.62</v>
      </c>
      <c r="F425" s="306">
        <v>0.1</v>
      </c>
      <c r="G425" s="479">
        <f>ROUND((C425*D425*E425*F425),2)</f>
        <v>18.8</v>
      </c>
      <c r="H425" s="1643"/>
    </row>
    <row r="426" spans="1:8" ht="15.95" customHeight="1">
      <c r="A426" s="199"/>
      <c r="B426" s="199" t="s">
        <v>1059</v>
      </c>
      <c r="C426" s="199">
        <v>1</v>
      </c>
      <c r="D426" s="306">
        <v>1.73</v>
      </c>
      <c r="E426" s="306">
        <v>1.76</v>
      </c>
      <c r="F426" s="306">
        <v>0.1</v>
      </c>
      <c r="G426" s="479">
        <f>ROUND((C426*D426*E426*F426),2)</f>
        <v>0.3</v>
      </c>
      <c r="H426" s="1643"/>
    </row>
    <row r="427" spans="1:8" ht="15.95" customHeight="1">
      <c r="A427" s="199"/>
      <c r="B427" s="199" t="s">
        <v>1060</v>
      </c>
      <c r="C427" s="199">
        <v>2</v>
      </c>
      <c r="D427" s="306">
        <v>1.73</v>
      </c>
      <c r="E427" s="306">
        <v>1.76</v>
      </c>
      <c r="F427" s="306">
        <v>0.1</v>
      </c>
      <c r="G427" s="479">
        <f>ROUND((C427*D427*E427*F427),2)</f>
        <v>0.61</v>
      </c>
      <c r="H427" s="1643"/>
    </row>
    <row r="428" spans="1:8" ht="15.95" customHeight="1">
      <c r="A428" s="199"/>
      <c r="B428" s="199" t="s">
        <v>1235</v>
      </c>
      <c r="C428" s="199">
        <v>1</v>
      </c>
      <c r="D428" s="306">
        <v>1.64</v>
      </c>
      <c r="E428" s="306">
        <v>2.08</v>
      </c>
      <c r="F428" s="306">
        <v>0.1</v>
      </c>
      <c r="G428" s="479">
        <f>ROUND((C428*D428*E428*F428),2)</f>
        <v>0.34</v>
      </c>
      <c r="H428" s="1643"/>
    </row>
    <row r="429" spans="1:8" ht="15.95" customHeight="1">
      <c r="A429" s="199"/>
      <c r="B429" s="196"/>
      <c r="C429" s="199"/>
      <c r="D429" s="306"/>
      <c r="E429" s="2938" t="s">
        <v>1108</v>
      </c>
      <c r="F429" s="2939"/>
      <c r="G429" s="1651">
        <f>ROUND(SUM(G425:G428),2)</f>
        <v>20.05</v>
      </c>
      <c r="H429" s="312" t="s">
        <v>625</v>
      </c>
    </row>
    <row r="430" spans="1:8" ht="15.95" customHeight="1">
      <c r="A430" s="199" t="s">
        <v>990</v>
      </c>
      <c r="B430" s="196" t="s">
        <v>1116</v>
      </c>
      <c r="C430" s="199"/>
      <c r="D430" s="306"/>
      <c r="E430" s="306"/>
      <c r="F430" s="306"/>
      <c r="G430" s="1645"/>
      <c r="H430" s="1643"/>
    </row>
    <row r="431" spans="1:8" ht="15.95" customHeight="1">
      <c r="A431" s="199"/>
      <c r="B431" s="196" t="s">
        <v>60</v>
      </c>
      <c r="C431" s="199">
        <v>1</v>
      </c>
      <c r="D431" s="306">
        <v>13.8</v>
      </c>
      <c r="E431" s="306">
        <v>13.62</v>
      </c>
      <c r="F431" s="306"/>
      <c r="G431" s="479">
        <f>ROUND((C431*D431*E431),2)</f>
        <v>187.96</v>
      </c>
      <c r="H431" s="1643"/>
    </row>
    <row r="432" spans="1:8" ht="15.95" customHeight="1">
      <c r="A432" s="199"/>
      <c r="B432" s="199" t="s">
        <v>1235</v>
      </c>
      <c r="C432" s="199">
        <v>1</v>
      </c>
      <c r="D432" s="306">
        <v>1.64</v>
      </c>
      <c r="E432" s="306">
        <v>2.08</v>
      </c>
      <c r="F432" s="306"/>
      <c r="G432" s="479">
        <f>ROUND((C432*D432*E432),2)</f>
        <v>3.41</v>
      </c>
      <c r="H432" s="1643"/>
    </row>
    <row r="433" spans="1:8" ht="15.95" customHeight="1">
      <c r="A433" s="199"/>
      <c r="B433" s="196"/>
      <c r="C433" s="199"/>
      <c r="D433" s="306"/>
      <c r="E433" s="2938" t="s">
        <v>1108</v>
      </c>
      <c r="F433" s="2939"/>
      <c r="G433" s="1651">
        <f>ROUND(SUM(G431:G432),2)</f>
        <v>191.37</v>
      </c>
      <c r="H433" s="312" t="s">
        <v>625</v>
      </c>
    </row>
    <row r="434" spans="1:8" ht="15.95" customHeight="1">
      <c r="A434" s="199" t="s">
        <v>988</v>
      </c>
      <c r="B434" s="196" t="s">
        <v>899</v>
      </c>
      <c r="C434" s="199"/>
      <c r="D434" s="306"/>
      <c r="E434" s="306"/>
      <c r="F434" s="306"/>
      <c r="G434" s="1645"/>
      <c r="H434" s="1643"/>
    </row>
    <row r="435" spans="1:8" ht="15.95" customHeight="1">
      <c r="A435" s="199"/>
      <c r="B435" s="195" t="s">
        <v>983</v>
      </c>
      <c r="C435" s="199"/>
      <c r="D435" s="306"/>
      <c r="E435" s="306"/>
      <c r="F435" s="306"/>
      <c r="G435" s="1645"/>
      <c r="H435" s="1643"/>
    </row>
    <row r="436" spans="1:8" ht="15.95" customHeight="1">
      <c r="A436" s="199"/>
      <c r="B436" s="199" t="s">
        <v>1003</v>
      </c>
      <c r="C436" s="199">
        <v>1</v>
      </c>
      <c r="D436" s="306">
        <v>13.38</v>
      </c>
      <c r="E436" s="306">
        <v>13.62</v>
      </c>
      <c r="F436" s="306">
        <v>0.28999999999999998</v>
      </c>
      <c r="G436" s="479">
        <f t="shared" ref="G436:G446" si="13">ROUND((C436*D436*E436*F436),2)</f>
        <v>52.85</v>
      </c>
      <c r="H436" s="1643"/>
    </row>
    <row r="437" spans="1:8" ht="15.95" customHeight="1">
      <c r="A437" s="199"/>
      <c r="B437" s="199" t="s">
        <v>1030</v>
      </c>
      <c r="C437" s="199">
        <v>2</v>
      </c>
      <c r="D437" s="306">
        <v>12.48</v>
      </c>
      <c r="E437" s="306">
        <v>0.24</v>
      </c>
      <c r="F437" s="306">
        <v>1.5</v>
      </c>
      <c r="G437" s="479">
        <f t="shared" si="13"/>
        <v>8.99</v>
      </c>
      <c r="H437" s="1643"/>
    </row>
    <row r="438" spans="1:8" ht="15.95" customHeight="1">
      <c r="A438" s="199"/>
      <c r="B438" s="199" t="s">
        <v>1030</v>
      </c>
      <c r="C438" s="199">
        <v>2</v>
      </c>
      <c r="D438" s="306">
        <v>12.48</v>
      </c>
      <c r="E438" s="1663">
        <v>0.15</v>
      </c>
      <c r="F438" s="306">
        <v>1.3</v>
      </c>
      <c r="G438" s="479">
        <f t="shared" si="13"/>
        <v>4.87</v>
      </c>
      <c r="H438" s="1643"/>
    </row>
    <row r="439" spans="1:8" ht="15.95" customHeight="1">
      <c r="A439" s="199"/>
      <c r="B439" s="199" t="s">
        <v>1239</v>
      </c>
      <c r="C439" s="199">
        <v>1</v>
      </c>
      <c r="D439" s="306">
        <v>12.48</v>
      </c>
      <c r="E439" s="306">
        <v>0.24</v>
      </c>
      <c r="F439" s="306">
        <v>1.5</v>
      </c>
      <c r="G439" s="479">
        <f t="shared" si="13"/>
        <v>4.49</v>
      </c>
      <c r="H439" s="1643"/>
    </row>
    <row r="440" spans="1:8" ht="15.95" customHeight="1">
      <c r="A440" s="199"/>
      <c r="B440" s="199" t="s">
        <v>1239</v>
      </c>
      <c r="C440" s="199">
        <v>1</v>
      </c>
      <c r="D440" s="306">
        <v>12.48</v>
      </c>
      <c r="E440" s="1663">
        <v>0.15</v>
      </c>
      <c r="F440" s="306">
        <v>1.3</v>
      </c>
      <c r="G440" s="479">
        <f t="shared" si="13"/>
        <v>2.4300000000000002</v>
      </c>
      <c r="H440" s="1643"/>
    </row>
    <row r="441" spans="1:8" ht="15.95" customHeight="1">
      <c r="A441" s="199"/>
      <c r="B441" s="199" t="s">
        <v>1006</v>
      </c>
      <c r="C441" s="199">
        <v>4</v>
      </c>
      <c r="D441" s="306">
        <v>6</v>
      </c>
      <c r="E441" s="306">
        <v>0.24</v>
      </c>
      <c r="F441" s="306">
        <v>1.5</v>
      </c>
      <c r="G441" s="479">
        <f t="shared" si="13"/>
        <v>8.64</v>
      </c>
      <c r="H441" s="1643"/>
    </row>
    <row r="442" spans="1:8" ht="14.1" customHeight="1">
      <c r="A442" s="199"/>
      <c r="B442" s="199" t="s">
        <v>1006</v>
      </c>
      <c r="C442" s="199">
        <v>4</v>
      </c>
      <c r="D442" s="306">
        <v>6</v>
      </c>
      <c r="E442" s="1663">
        <v>0.15</v>
      </c>
      <c r="F442" s="306">
        <v>1.3</v>
      </c>
      <c r="G442" s="479">
        <f t="shared" si="13"/>
        <v>4.68</v>
      </c>
      <c r="H442" s="1643"/>
    </row>
    <row r="443" spans="1:8" ht="15.95" customHeight="1">
      <c r="A443" s="199"/>
      <c r="B443" s="199" t="s">
        <v>1086</v>
      </c>
      <c r="C443" s="199">
        <v>1</v>
      </c>
      <c r="D443" s="306">
        <v>12.24</v>
      </c>
      <c r="E443" s="1663">
        <v>0.3</v>
      </c>
      <c r="F443" s="1663">
        <v>7.4999999999999997E-2</v>
      </c>
      <c r="G443" s="479">
        <f t="shared" si="13"/>
        <v>0.28000000000000003</v>
      </c>
      <c r="H443" s="1643"/>
    </row>
    <row r="444" spans="1:8" ht="15.95" customHeight="1">
      <c r="A444" s="199"/>
      <c r="B444" s="199"/>
      <c r="C444" s="199">
        <v>1</v>
      </c>
      <c r="D444" s="306">
        <v>12.24</v>
      </c>
      <c r="E444" s="306">
        <v>0.15</v>
      </c>
      <c r="F444" s="1663">
        <v>7.4999999999999997E-2</v>
      </c>
      <c r="G444" s="479">
        <f t="shared" si="13"/>
        <v>0.14000000000000001</v>
      </c>
      <c r="H444" s="1643"/>
    </row>
    <row r="445" spans="1:8" ht="15.95" customHeight="1">
      <c r="A445" s="199"/>
      <c r="B445" s="199" t="s">
        <v>1088</v>
      </c>
      <c r="C445" s="199">
        <v>1</v>
      </c>
      <c r="D445" s="306">
        <v>12.24</v>
      </c>
      <c r="E445" s="1663">
        <v>0.3</v>
      </c>
      <c r="F445" s="1663">
        <v>7.4999999999999997E-2</v>
      </c>
      <c r="G445" s="479">
        <f t="shared" si="13"/>
        <v>0.28000000000000003</v>
      </c>
      <c r="H445" s="1643"/>
    </row>
    <row r="446" spans="1:8" ht="15.95" customHeight="1">
      <c r="A446" s="200"/>
      <c r="B446" s="200"/>
      <c r="C446" s="200">
        <v>1</v>
      </c>
      <c r="D446" s="314">
        <v>12.24</v>
      </c>
      <c r="E446" s="314">
        <v>0.15</v>
      </c>
      <c r="F446" s="1664">
        <v>7.4999999999999997E-2</v>
      </c>
      <c r="G446" s="1665">
        <f t="shared" si="13"/>
        <v>0.14000000000000001</v>
      </c>
      <c r="H446" s="1654"/>
    </row>
    <row r="447" spans="1:8" ht="9.75" customHeight="1">
      <c r="A447" s="204"/>
      <c r="B447" s="204"/>
      <c r="C447" s="204"/>
      <c r="D447" s="309"/>
      <c r="E447" s="309"/>
      <c r="F447" s="309"/>
      <c r="G447" s="464"/>
    </row>
    <row r="448" spans="1:8" ht="15.95" customHeight="1">
      <c r="A448" s="285" t="s">
        <v>7</v>
      </c>
    </row>
    <row r="449" spans="1:8" ht="8.25" customHeight="1">
      <c r="A449" s="1638"/>
      <c r="B449" s="1638"/>
      <c r="C449" s="1639"/>
      <c r="D449" s="1640"/>
      <c r="E449" s="1640"/>
      <c r="F449" s="1640"/>
      <c r="G449" s="1641"/>
      <c r="H449" s="1638"/>
    </row>
    <row r="450" spans="1:8" ht="15.95" customHeight="1">
      <c r="A450" s="1634" t="s">
        <v>961</v>
      </c>
      <c r="B450" s="1634" t="s">
        <v>962</v>
      </c>
      <c r="C450" s="1635" t="s">
        <v>963</v>
      </c>
      <c r="D450" s="1636" t="s">
        <v>1051</v>
      </c>
      <c r="E450" s="1636" t="s">
        <v>1052</v>
      </c>
      <c r="F450" s="1636" t="s">
        <v>1053</v>
      </c>
      <c r="G450" s="1637" t="s">
        <v>964</v>
      </c>
      <c r="H450" s="1634" t="s">
        <v>1054</v>
      </c>
    </row>
    <row r="451" spans="1:8" ht="15.95" customHeight="1">
      <c r="A451" s="471"/>
      <c r="B451" s="471" t="s">
        <v>1240</v>
      </c>
      <c r="C451" s="471">
        <v>1</v>
      </c>
      <c r="D451" s="356">
        <v>1.59</v>
      </c>
      <c r="E451" s="356">
        <v>1.98</v>
      </c>
      <c r="F451" s="356">
        <v>0.28999999999999998</v>
      </c>
      <c r="G451" s="1666">
        <f>ROUND((C451*D451*E451*F451),2)</f>
        <v>0.91</v>
      </c>
      <c r="H451" s="1662"/>
    </row>
    <row r="452" spans="1:8" ht="15.95" customHeight="1">
      <c r="A452" s="199"/>
      <c r="B452" s="199" t="s">
        <v>1061</v>
      </c>
      <c r="C452" s="199">
        <v>2</v>
      </c>
      <c r="D452" s="306">
        <v>1.44</v>
      </c>
      <c r="E452" s="306">
        <v>0.24</v>
      </c>
      <c r="F452" s="306">
        <v>2.8</v>
      </c>
      <c r="G452" s="479">
        <f>ROUND((C452*D452*E452*F452),2)</f>
        <v>1.94</v>
      </c>
      <c r="H452" s="1643"/>
    </row>
    <row r="453" spans="1:8" ht="15.95" customHeight="1">
      <c r="A453" s="199"/>
      <c r="B453" s="199" t="s">
        <v>1006</v>
      </c>
      <c r="C453" s="199">
        <v>1</v>
      </c>
      <c r="D453" s="306">
        <v>1.68</v>
      </c>
      <c r="E453" s="306">
        <v>0.24</v>
      </c>
      <c r="F453" s="306">
        <v>2.8</v>
      </c>
      <c r="G453" s="479">
        <f>ROUND((C453*D453*E453*F453),2)</f>
        <v>1.1299999999999999</v>
      </c>
      <c r="H453" s="1643"/>
    </row>
    <row r="454" spans="1:8" ht="15.95" customHeight="1">
      <c r="A454" s="199"/>
      <c r="B454" s="199" t="s">
        <v>1071</v>
      </c>
      <c r="C454" s="199">
        <v>1</v>
      </c>
      <c r="D454" s="306">
        <v>1.66</v>
      </c>
      <c r="E454" s="306">
        <v>1.46</v>
      </c>
      <c r="F454" s="306">
        <v>0.1</v>
      </c>
      <c r="G454" s="479">
        <f>ROUND((C454*D454*E454*F454),2)</f>
        <v>0.24</v>
      </c>
      <c r="H454" s="1643"/>
    </row>
    <row r="455" spans="1:8" ht="15.95" customHeight="1">
      <c r="A455" s="199"/>
      <c r="B455" s="199" t="s">
        <v>1072</v>
      </c>
      <c r="C455" s="199">
        <v>2</v>
      </c>
      <c r="D455" s="306">
        <v>1.66</v>
      </c>
      <c r="E455" s="306">
        <v>1.46</v>
      </c>
      <c r="F455" s="306">
        <v>0.1</v>
      </c>
      <c r="G455" s="479">
        <f>ROUND((C455*D455*E455*F455),2)</f>
        <v>0.48</v>
      </c>
      <c r="H455" s="1643"/>
    </row>
    <row r="456" spans="1:8" ht="15.95" customHeight="1">
      <c r="A456" s="199"/>
      <c r="B456" s="199"/>
      <c r="C456" s="199"/>
      <c r="D456" s="306"/>
      <c r="E456" s="306"/>
      <c r="F456" s="306"/>
      <c r="G456" s="1645"/>
      <c r="H456" s="1643"/>
    </row>
    <row r="457" spans="1:8" ht="15.95" customHeight="1">
      <c r="A457" s="199"/>
      <c r="B457" s="199" t="s">
        <v>1241</v>
      </c>
      <c r="C457" s="199">
        <v>1</v>
      </c>
      <c r="D457" s="306">
        <v>1.44</v>
      </c>
      <c r="E457" s="306">
        <v>2.16</v>
      </c>
      <c r="F457" s="306">
        <v>0.1</v>
      </c>
      <c r="G457" s="479">
        <f>ROUND((C457*D457*E457*F457),2)</f>
        <v>0.31</v>
      </c>
      <c r="H457" s="1643"/>
    </row>
    <row r="458" spans="1:8" ht="15.95" customHeight="1">
      <c r="A458" s="199"/>
      <c r="B458" s="199"/>
      <c r="C458" s="199"/>
      <c r="D458" s="306"/>
      <c r="E458" s="2938" t="s">
        <v>1111</v>
      </c>
      <c r="F458" s="2939"/>
      <c r="G458" s="1652">
        <f>ROUND(SUM(G436:G457),2)</f>
        <v>92.8</v>
      </c>
      <c r="H458" s="312" t="s">
        <v>625</v>
      </c>
    </row>
    <row r="459" spans="1:8" ht="15.95" customHeight="1">
      <c r="A459" s="199"/>
      <c r="B459" s="199" t="s">
        <v>1099</v>
      </c>
      <c r="C459" s="199">
        <v>4</v>
      </c>
      <c r="D459" s="306">
        <v>0.28260000000000002</v>
      </c>
      <c r="E459" s="306"/>
      <c r="F459" s="306">
        <v>0.1</v>
      </c>
      <c r="G459" s="479">
        <f>ROUND((C459*D459*F459),2)</f>
        <v>0.11</v>
      </c>
      <c r="H459" s="1643"/>
    </row>
    <row r="460" spans="1:8" ht="15.95" customHeight="1">
      <c r="A460" s="199"/>
      <c r="B460" s="199"/>
      <c r="C460" s="199"/>
      <c r="D460" s="306"/>
      <c r="E460" s="2955" t="s">
        <v>1108</v>
      </c>
      <c r="F460" s="2956"/>
      <c r="G460" s="1644">
        <f>ROUND((G458-G459),2)</f>
        <v>92.69</v>
      </c>
      <c r="H460" s="1643" t="s">
        <v>625</v>
      </c>
    </row>
    <row r="461" spans="1:8" ht="15.95" customHeight="1">
      <c r="A461" s="199">
        <v>8</v>
      </c>
      <c r="B461" s="312" t="s">
        <v>970</v>
      </c>
      <c r="C461" s="199"/>
      <c r="D461" s="306"/>
      <c r="E461" s="306"/>
      <c r="F461" s="306"/>
      <c r="G461" s="1645"/>
      <c r="H461" s="1643"/>
    </row>
    <row r="462" spans="1:8" ht="15.95" customHeight="1">
      <c r="A462" s="199"/>
      <c r="B462" s="196" t="s">
        <v>971</v>
      </c>
      <c r="C462" s="199"/>
      <c r="D462" s="306"/>
      <c r="E462" s="306"/>
      <c r="F462" s="306"/>
      <c r="G462" s="1645"/>
      <c r="H462" s="1643"/>
    </row>
    <row r="463" spans="1:8" ht="15.95" customHeight="1">
      <c r="A463" s="199"/>
      <c r="B463" s="195" t="s">
        <v>983</v>
      </c>
      <c r="C463" s="199"/>
      <c r="D463" s="306"/>
      <c r="E463" s="306"/>
      <c r="F463" s="306"/>
      <c r="G463" s="1645"/>
      <c r="H463" s="1643"/>
    </row>
    <row r="464" spans="1:8" ht="15.95" customHeight="1">
      <c r="A464" s="199"/>
      <c r="B464" s="199" t="s">
        <v>1074</v>
      </c>
      <c r="C464" s="199">
        <v>2</v>
      </c>
      <c r="D464" s="306">
        <v>13.38</v>
      </c>
      <c r="E464" s="306"/>
      <c r="F464" s="306">
        <v>0.39</v>
      </c>
      <c r="G464" s="479">
        <f>ROUND((C464*D464*F464),2)</f>
        <v>10.44</v>
      </c>
      <c r="H464" s="1643"/>
    </row>
    <row r="465" spans="1:8" ht="15.95" customHeight="1">
      <c r="A465" s="199"/>
      <c r="B465" s="199" t="s">
        <v>1006</v>
      </c>
      <c r="C465" s="199">
        <v>2</v>
      </c>
      <c r="D465" s="306"/>
      <c r="E465" s="306">
        <v>13.62</v>
      </c>
      <c r="F465" s="306">
        <v>0.39</v>
      </c>
      <c r="G465" s="479">
        <f>ROUND((C465*E465*F465),2)</f>
        <v>10.62</v>
      </c>
      <c r="H465" s="1643"/>
    </row>
    <row r="466" spans="1:8" ht="15.95" customHeight="1">
      <c r="A466" s="199"/>
      <c r="B466" s="199" t="s">
        <v>1062</v>
      </c>
      <c r="C466" s="199">
        <v>2</v>
      </c>
      <c r="D466" s="306">
        <v>12.48</v>
      </c>
      <c r="E466" s="306"/>
      <c r="F466" s="306">
        <v>2.8</v>
      </c>
      <c r="G466" s="479">
        <f>ROUND((C466*D466*F466),2)</f>
        <v>69.89</v>
      </c>
      <c r="H466" s="1643"/>
    </row>
    <row r="467" spans="1:8" ht="15.95" customHeight="1">
      <c r="A467" s="199"/>
      <c r="B467" s="199" t="s">
        <v>1063</v>
      </c>
      <c r="C467" s="199">
        <v>2</v>
      </c>
      <c r="D467" s="306">
        <v>12</v>
      </c>
      <c r="E467" s="306"/>
      <c r="F467" s="306">
        <v>2.8</v>
      </c>
      <c r="G467" s="479">
        <f>ROUND((C467*D467*F467),2)</f>
        <v>67.2</v>
      </c>
      <c r="H467" s="1643"/>
    </row>
    <row r="468" spans="1:8" ht="15.95" customHeight="1">
      <c r="A468" s="199"/>
      <c r="B468" s="199" t="s">
        <v>1239</v>
      </c>
      <c r="C468" s="199">
        <v>2</v>
      </c>
      <c r="D468" s="306">
        <v>12</v>
      </c>
      <c r="E468" s="306"/>
      <c r="F468" s="306">
        <v>2.8</v>
      </c>
      <c r="G468" s="479">
        <f>ROUND((C468*D468*F468),2)</f>
        <v>67.2</v>
      </c>
      <c r="H468" s="1643"/>
    </row>
    <row r="469" spans="1:8" ht="15.95" customHeight="1">
      <c r="A469" s="199"/>
      <c r="B469" s="199" t="s">
        <v>1064</v>
      </c>
      <c r="C469" s="199">
        <v>2</v>
      </c>
      <c r="D469" s="306">
        <v>12.48</v>
      </c>
      <c r="E469" s="306"/>
      <c r="F469" s="306">
        <v>2.8</v>
      </c>
      <c r="G469" s="479">
        <f>ROUND((C469*D469*F469),2)</f>
        <v>69.89</v>
      </c>
      <c r="H469" s="1643"/>
    </row>
    <row r="470" spans="1:8" ht="15.95" customHeight="1">
      <c r="A470" s="199"/>
      <c r="B470" s="199" t="s">
        <v>1065</v>
      </c>
      <c r="C470" s="199">
        <v>4</v>
      </c>
      <c r="D470" s="306">
        <v>6</v>
      </c>
      <c r="E470" s="306"/>
      <c r="F470" s="306">
        <v>2.8</v>
      </c>
      <c r="G470" s="479">
        <f>ROUND((C470*D470*F470),2)</f>
        <v>67.2</v>
      </c>
      <c r="H470" s="1643"/>
    </row>
    <row r="471" spans="1:8" ht="15.95" customHeight="1">
      <c r="A471" s="199"/>
      <c r="B471" s="199" t="s">
        <v>1086</v>
      </c>
      <c r="C471" s="199">
        <v>1</v>
      </c>
      <c r="D471" s="306">
        <v>12.24</v>
      </c>
      <c r="E471" s="306">
        <v>0.3</v>
      </c>
      <c r="F471" s="306">
        <v>0.375</v>
      </c>
      <c r="G471" s="479">
        <f>ROUND((C471*D471*E471*F471),2)</f>
        <v>1.38</v>
      </c>
      <c r="H471" s="1643"/>
    </row>
    <row r="472" spans="1:8" ht="15.95" customHeight="1">
      <c r="A472" s="199"/>
      <c r="B472" s="199" t="s">
        <v>1088</v>
      </c>
      <c r="C472" s="199">
        <v>1</v>
      </c>
      <c r="D472" s="306">
        <v>12.24</v>
      </c>
      <c r="E472" s="306">
        <v>0.3</v>
      </c>
      <c r="F472" s="306">
        <v>0.375</v>
      </c>
      <c r="G472" s="479">
        <f>ROUND((C472*D472*E472*F472),2)</f>
        <v>1.38</v>
      </c>
      <c r="H472" s="1643"/>
    </row>
    <row r="473" spans="1:8" ht="15.95" customHeight="1">
      <c r="A473" s="199"/>
      <c r="B473" s="199" t="s">
        <v>1235</v>
      </c>
      <c r="C473" s="199">
        <v>2</v>
      </c>
      <c r="D473" s="306">
        <v>1.44</v>
      </c>
      <c r="E473" s="306"/>
      <c r="F473" s="306">
        <v>0.39</v>
      </c>
      <c r="G473" s="479">
        <f>ROUND((C473*D473*F473),2)</f>
        <v>1.1200000000000001</v>
      </c>
      <c r="H473" s="1643"/>
    </row>
    <row r="474" spans="1:8" ht="15.95" customHeight="1">
      <c r="A474" s="199"/>
      <c r="B474" s="199" t="s">
        <v>1006</v>
      </c>
      <c r="C474" s="199">
        <v>1</v>
      </c>
      <c r="D474" s="306">
        <v>2.16</v>
      </c>
      <c r="E474" s="306"/>
      <c r="F474" s="306">
        <v>0.39</v>
      </c>
      <c r="G474" s="479">
        <f>ROUND((C474*D474*F474),2)</f>
        <v>0.84</v>
      </c>
      <c r="H474" s="1643"/>
    </row>
    <row r="475" spans="1:8" ht="15.95" customHeight="1">
      <c r="A475" s="199"/>
      <c r="B475" s="199" t="s">
        <v>1061</v>
      </c>
      <c r="C475" s="199">
        <v>2</v>
      </c>
      <c r="D475" s="306">
        <v>1.2</v>
      </c>
      <c r="E475" s="306"/>
      <c r="F475" s="306">
        <v>2.8</v>
      </c>
      <c r="G475" s="479">
        <f>ROUND((C475*D475*F475),2)</f>
        <v>6.72</v>
      </c>
      <c r="H475" s="1643"/>
    </row>
    <row r="476" spans="1:8" ht="15.95" customHeight="1">
      <c r="A476" s="199"/>
      <c r="B476" s="199" t="s">
        <v>1006</v>
      </c>
      <c r="C476" s="199">
        <v>1</v>
      </c>
      <c r="D476" s="306">
        <v>1.68</v>
      </c>
      <c r="E476" s="306"/>
      <c r="F476" s="306">
        <v>2.8</v>
      </c>
      <c r="G476" s="479">
        <f>ROUND((C476*D476*F476),2)</f>
        <v>4.7</v>
      </c>
      <c r="H476" s="312" t="s">
        <v>628</v>
      </c>
    </row>
    <row r="477" spans="1:8" ht="15.95" customHeight="1">
      <c r="A477" s="199"/>
      <c r="B477" s="199" t="s">
        <v>1071</v>
      </c>
      <c r="C477" s="199">
        <v>1</v>
      </c>
      <c r="D477" s="306">
        <v>1.2</v>
      </c>
      <c r="E477" s="306">
        <v>1</v>
      </c>
      <c r="F477" s="306"/>
      <c r="G477" s="479">
        <f t="shared" ref="G477:G482" si="14">ROUND((C477*D477*E477),2)</f>
        <v>1.2</v>
      </c>
      <c r="H477" s="1643"/>
    </row>
    <row r="478" spans="1:8" ht="15.95" customHeight="1">
      <c r="A478" s="199"/>
      <c r="B478" s="199" t="s">
        <v>1072</v>
      </c>
      <c r="C478" s="199">
        <v>2</v>
      </c>
      <c r="D478" s="306">
        <v>1.2</v>
      </c>
      <c r="E478" s="306">
        <v>1</v>
      </c>
      <c r="F478" s="306"/>
      <c r="G478" s="479">
        <f t="shared" si="14"/>
        <v>2.4</v>
      </c>
      <c r="H478" s="1643"/>
    </row>
    <row r="479" spans="1:8" ht="15.95" customHeight="1">
      <c r="A479" s="199"/>
      <c r="B479" s="199" t="s">
        <v>1241</v>
      </c>
      <c r="C479" s="199">
        <v>1</v>
      </c>
      <c r="D479" s="306">
        <v>1.2</v>
      </c>
      <c r="E479" s="306">
        <v>1.2</v>
      </c>
      <c r="F479" s="306"/>
      <c r="G479" s="479">
        <f t="shared" si="14"/>
        <v>1.44</v>
      </c>
      <c r="H479" s="1643"/>
    </row>
    <row r="480" spans="1:8" ht="15.95" customHeight="1">
      <c r="A480" s="199"/>
      <c r="B480" s="199" t="s">
        <v>1091</v>
      </c>
      <c r="C480" s="199">
        <v>2</v>
      </c>
      <c r="D480" s="306">
        <v>4.32</v>
      </c>
      <c r="E480" s="306">
        <v>0.1</v>
      </c>
      <c r="F480" s="306"/>
      <c r="G480" s="479">
        <f t="shared" si="14"/>
        <v>0.86</v>
      </c>
      <c r="H480" s="1643"/>
    </row>
    <row r="481" spans="1:8" ht="15.95" customHeight="1">
      <c r="A481" s="199"/>
      <c r="B481" s="199" t="s">
        <v>1092</v>
      </c>
      <c r="C481" s="199">
        <v>4</v>
      </c>
      <c r="D481" s="306">
        <v>4.32</v>
      </c>
      <c r="E481" s="306">
        <v>0.1</v>
      </c>
      <c r="F481" s="306"/>
      <c r="G481" s="479">
        <f t="shared" si="14"/>
        <v>1.73</v>
      </c>
      <c r="H481" s="1643"/>
    </row>
    <row r="482" spans="1:8" ht="15.95" customHeight="1">
      <c r="A482" s="199"/>
      <c r="B482" s="199" t="s">
        <v>1242</v>
      </c>
      <c r="C482" s="199">
        <v>2</v>
      </c>
      <c r="D482" s="306">
        <v>4.5599999999999996</v>
      </c>
      <c r="E482" s="306">
        <v>0.1</v>
      </c>
      <c r="F482" s="306"/>
      <c r="G482" s="479">
        <f t="shared" si="14"/>
        <v>0.91</v>
      </c>
      <c r="H482" s="1643"/>
    </row>
    <row r="483" spans="1:8" ht="15.95" customHeight="1">
      <c r="A483" s="199"/>
      <c r="B483" s="199"/>
      <c r="C483" s="199"/>
      <c r="D483" s="306"/>
      <c r="E483" s="2938" t="s">
        <v>1111</v>
      </c>
      <c r="F483" s="2939"/>
      <c r="G483" s="1645">
        <f>ROUND(SUM(G464:G482),2)</f>
        <v>387.12</v>
      </c>
      <c r="H483" s="1643"/>
    </row>
    <row r="484" spans="1:8" ht="14.1" customHeight="1">
      <c r="A484" s="199"/>
      <c r="B484" s="199" t="s">
        <v>1099</v>
      </c>
      <c r="C484" s="199">
        <v>4</v>
      </c>
      <c r="D484" s="306">
        <v>0.28260000000000002</v>
      </c>
      <c r="E484" s="306"/>
      <c r="F484" s="306"/>
      <c r="G484" s="1645">
        <f>ROUND((C484*D484),2)</f>
        <v>1.1299999999999999</v>
      </c>
      <c r="H484" s="1643"/>
    </row>
    <row r="485" spans="1:8" ht="14.1" customHeight="1">
      <c r="A485" s="199"/>
      <c r="B485" s="199"/>
      <c r="C485" s="199"/>
      <c r="D485" s="306"/>
      <c r="E485" s="2938" t="s">
        <v>1108</v>
      </c>
      <c r="F485" s="2939"/>
      <c r="G485" s="1644">
        <f>ROUND((G483-G484),2)</f>
        <v>385.99</v>
      </c>
      <c r="H485" s="1643"/>
    </row>
    <row r="486" spans="1:8" ht="14.1" customHeight="1">
      <c r="A486" s="199">
        <v>9</v>
      </c>
      <c r="B486" s="196" t="s">
        <v>1126</v>
      </c>
      <c r="C486" s="199"/>
      <c r="D486" s="306"/>
      <c r="E486" s="306"/>
      <c r="F486" s="306"/>
      <c r="G486" s="1645"/>
      <c r="H486" s="1643"/>
    </row>
    <row r="487" spans="1:8" ht="14.1" customHeight="1">
      <c r="A487" s="199"/>
      <c r="B487" s="196" t="s">
        <v>61</v>
      </c>
      <c r="C487" s="199"/>
      <c r="D487" s="306"/>
      <c r="E487" s="306"/>
      <c r="F487" s="306"/>
      <c r="G487" s="1645"/>
      <c r="H487" s="1643"/>
    </row>
    <row r="488" spans="1:8" ht="14.1" customHeight="1">
      <c r="A488" s="200"/>
      <c r="B488" s="308" t="s">
        <v>975</v>
      </c>
      <c r="C488" s="200"/>
      <c r="D488" s="314"/>
      <c r="E488" s="314"/>
      <c r="F488" s="314"/>
      <c r="G488" s="1667"/>
      <c r="H488" s="1654"/>
    </row>
    <row r="489" spans="1:8" ht="8.25" customHeight="1">
      <c r="A489" s="204"/>
      <c r="B489" s="190"/>
      <c r="C489" s="204"/>
      <c r="D489" s="309"/>
      <c r="E489" s="309"/>
      <c r="F489" s="309"/>
      <c r="G489" s="393"/>
    </row>
    <row r="490" spans="1:8" ht="14.1" customHeight="1">
      <c r="A490" s="285" t="s">
        <v>7</v>
      </c>
    </row>
    <row r="491" spans="1:8" ht="8.25" customHeight="1">
      <c r="A491" s="1638"/>
      <c r="B491" s="1638"/>
      <c r="C491" s="1639"/>
      <c r="D491" s="1640"/>
      <c r="E491" s="1640"/>
      <c r="F491" s="1640"/>
      <c r="G491" s="1641"/>
      <c r="H491" s="1638"/>
    </row>
    <row r="492" spans="1:8" ht="14.1" customHeight="1">
      <c r="A492" s="1634" t="s">
        <v>961</v>
      </c>
      <c r="B492" s="1634" t="s">
        <v>962</v>
      </c>
      <c r="C492" s="1635" t="s">
        <v>963</v>
      </c>
      <c r="D492" s="1636" t="s">
        <v>1051</v>
      </c>
      <c r="E492" s="1636" t="s">
        <v>1052</v>
      </c>
      <c r="F492" s="1636" t="s">
        <v>1053</v>
      </c>
      <c r="G492" s="1637" t="s">
        <v>964</v>
      </c>
      <c r="H492" s="1634" t="s">
        <v>1054</v>
      </c>
    </row>
    <row r="493" spans="1:8" ht="12.95" customHeight="1">
      <c r="A493" s="471"/>
      <c r="B493" s="1668" t="s">
        <v>1003</v>
      </c>
      <c r="C493" s="471"/>
      <c r="D493" s="356"/>
      <c r="E493" s="356"/>
      <c r="F493" s="356"/>
      <c r="G493" s="1661"/>
      <c r="H493" s="1662"/>
    </row>
    <row r="494" spans="1:8" ht="12.95" customHeight="1">
      <c r="A494" s="199"/>
      <c r="B494" s="196" t="s">
        <v>498</v>
      </c>
      <c r="C494" s="1657">
        <v>78</v>
      </c>
      <c r="D494" s="306">
        <v>15.22</v>
      </c>
      <c r="E494" s="306">
        <v>1.567488</v>
      </c>
      <c r="F494" s="1658" t="s">
        <v>1067</v>
      </c>
      <c r="G494" s="479">
        <f>ROUND((C494*D494*E494),2)</f>
        <v>1860.86</v>
      </c>
      <c r="H494" s="1643"/>
    </row>
    <row r="495" spans="1:8" ht="12.95" customHeight="1">
      <c r="A495" s="199"/>
      <c r="B495" s="196" t="s">
        <v>499</v>
      </c>
      <c r="C495" s="1657">
        <v>70</v>
      </c>
      <c r="D495" s="306">
        <v>14.38</v>
      </c>
      <c r="E495" s="306">
        <v>0.61230000000000007</v>
      </c>
      <c r="F495" s="1658" t="s">
        <v>1067</v>
      </c>
      <c r="G495" s="479">
        <f>ROUND((C495*D495*E495),2)</f>
        <v>616.34</v>
      </c>
      <c r="H495" s="1643"/>
    </row>
    <row r="496" spans="1:8" ht="12.95" customHeight="1">
      <c r="A496" s="199"/>
      <c r="B496" s="196" t="s">
        <v>500</v>
      </c>
      <c r="C496" s="1657">
        <v>78</v>
      </c>
      <c r="D496" s="306">
        <v>15.22</v>
      </c>
      <c r="E496" s="306">
        <v>1.567488</v>
      </c>
      <c r="F496" s="1658" t="s">
        <v>1067</v>
      </c>
      <c r="G496" s="479">
        <f>ROUND((C496*D496*E496),2)</f>
        <v>1860.86</v>
      </c>
      <c r="H496" s="1643"/>
    </row>
    <row r="497" spans="1:8" ht="12.95" customHeight="1">
      <c r="A497" s="199"/>
      <c r="B497" s="196" t="s">
        <v>501</v>
      </c>
      <c r="C497" s="1657">
        <v>70</v>
      </c>
      <c r="D497" s="306">
        <v>14.38</v>
      </c>
      <c r="E497" s="306">
        <v>0.61230000000000007</v>
      </c>
      <c r="F497" s="1658" t="s">
        <v>1067</v>
      </c>
      <c r="G497" s="479">
        <f>ROUND((C497*D497*E497),2)</f>
        <v>616.34</v>
      </c>
      <c r="H497" s="1643"/>
    </row>
    <row r="498" spans="1:8" ht="12.95" customHeight="1">
      <c r="A498" s="199"/>
      <c r="B498" s="199" t="s">
        <v>1031</v>
      </c>
      <c r="C498" s="199"/>
      <c r="D498" s="306"/>
      <c r="E498" s="306"/>
      <c r="F498" s="1658"/>
      <c r="G498" s="1645"/>
      <c r="H498" s="1643"/>
    </row>
    <row r="499" spans="1:8" ht="12.95" customHeight="1">
      <c r="A499" s="199"/>
      <c r="B499" s="196" t="s">
        <v>502</v>
      </c>
      <c r="C499" s="1657">
        <v>254</v>
      </c>
      <c r="D499" s="306">
        <v>1.2</v>
      </c>
      <c r="E499" s="306">
        <v>0.88171200000000005</v>
      </c>
      <c r="F499" s="1658" t="s">
        <v>1067</v>
      </c>
      <c r="G499" s="479">
        <f>ROUND((C499*D499*E499),2)</f>
        <v>268.75</v>
      </c>
      <c r="H499" s="1643"/>
    </row>
    <row r="500" spans="1:8" ht="12.95" customHeight="1">
      <c r="A500" s="199"/>
      <c r="B500" s="196" t="s">
        <v>503</v>
      </c>
      <c r="C500" s="1657">
        <v>130</v>
      </c>
      <c r="D500" s="306">
        <v>1.2</v>
      </c>
      <c r="E500" s="306">
        <v>0.88171200000000005</v>
      </c>
      <c r="F500" s="1658" t="s">
        <v>1067</v>
      </c>
      <c r="G500" s="479">
        <f>ROUND((C500*D500*E500),2)</f>
        <v>137.55000000000001</v>
      </c>
      <c r="H500" s="1643"/>
    </row>
    <row r="501" spans="1:8" ht="12.95" customHeight="1">
      <c r="A501" s="199"/>
      <c r="B501" s="196"/>
      <c r="C501" s="199"/>
      <c r="D501" s="306"/>
      <c r="E501" s="2938" t="s">
        <v>1111</v>
      </c>
      <c r="F501" s="2939"/>
      <c r="G501" s="1644">
        <f>ROUND(SUM(G494:G500),2)</f>
        <v>5360.7</v>
      </c>
      <c r="H501" s="1643" t="s">
        <v>1034</v>
      </c>
    </row>
    <row r="502" spans="1:8" ht="12.95" customHeight="1">
      <c r="A502" s="199"/>
      <c r="B502" s="1656" t="s">
        <v>1019</v>
      </c>
      <c r="C502" s="199"/>
      <c r="D502" s="306"/>
      <c r="E502" s="306"/>
      <c r="F502" s="306"/>
      <c r="G502" s="1645"/>
      <c r="H502" s="1643"/>
    </row>
    <row r="503" spans="1:8" ht="12.95" customHeight="1">
      <c r="A503" s="199"/>
      <c r="B503" s="196" t="s">
        <v>504</v>
      </c>
      <c r="C503" s="1657">
        <v>180</v>
      </c>
      <c r="D503" s="306">
        <v>2.39</v>
      </c>
      <c r="E503" s="306">
        <v>0.88171200000000005</v>
      </c>
      <c r="F503" s="1658" t="s">
        <v>1067</v>
      </c>
      <c r="G503" s="479">
        <f>ROUND((C503*D503*E503),2)</f>
        <v>379.31</v>
      </c>
      <c r="H503" s="1643"/>
    </row>
    <row r="504" spans="1:8" ht="12.95" customHeight="1">
      <c r="A504" s="199"/>
      <c r="B504" s="196" t="s">
        <v>504</v>
      </c>
      <c r="C504" s="1657">
        <v>180</v>
      </c>
      <c r="D504" s="306">
        <v>1.9</v>
      </c>
      <c r="E504" s="306">
        <v>0.88171200000000005</v>
      </c>
      <c r="F504" s="1658" t="s">
        <v>1067</v>
      </c>
      <c r="G504" s="479">
        <f>ROUND((C504*D504*E504),2)</f>
        <v>301.55</v>
      </c>
      <c r="H504" s="1643"/>
    </row>
    <row r="505" spans="1:8" ht="12.95" customHeight="1">
      <c r="A505" s="199"/>
      <c r="B505" s="196" t="s">
        <v>505</v>
      </c>
      <c r="C505" s="1657">
        <v>30</v>
      </c>
      <c r="D505" s="306">
        <v>13.48</v>
      </c>
      <c r="E505" s="306">
        <v>0.61230000000000007</v>
      </c>
      <c r="F505" s="1658" t="s">
        <v>1067</v>
      </c>
      <c r="G505" s="479">
        <f>ROUND((C505*D505*E505),2)</f>
        <v>247.61</v>
      </c>
      <c r="H505" s="1643"/>
    </row>
    <row r="506" spans="1:8" ht="12.95" customHeight="1">
      <c r="A506" s="199"/>
      <c r="B506" s="196" t="s">
        <v>506</v>
      </c>
      <c r="C506" s="1657">
        <v>91</v>
      </c>
      <c r="D506" s="306">
        <v>3.69</v>
      </c>
      <c r="E506" s="306">
        <v>0.88171200000000005</v>
      </c>
      <c r="F506" s="1658" t="s">
        <v>1067</v>
      </c>
      <c r="G506" s="479">
        <f>ROUND((C506*D506*E506),2)</f>
        <v>296.07</v>
      </c>
      <c r="H506" s="1643"/>
    </row>
    <row r="507" spans="1:8" ht="12.95" customHeight="1">
      <c r="A507" s="199"/>
      <c r="B507" s="196" t="s">
        <v>507</v>
      </c>
      <c r="C507" s="1657">
        <v>30</v>
      </c>
      <c r="D507" s="306">
        <v>13.48</v>
      </c>
      <c r="E507" s="306">
        <v>0.61230000000000007</v>
      </c>
      <c r="F507" s="1658" t="s">
        <v>1067</v>
      </c>
      <c r="G507" s="479">
        <f>ROUND((C507*D507*E507),2)</f>
        <v>247.61</v>
      </c>
      <c r="H507" s="1643"/>
    </row>
    <row r="508" spans="1:8" ht="12.95" customHeight="1">
      <c r="A508" s="199"/>
      <c r="B508" s="196"/>
      <c r="C508" s="199"/>
      <c r="D508" s="306"/>
      <c r="E508" s="306"/>
      <c r="F508" s="1658"/>
      <c r="G508" s="1644">
        <f>ROUND(SUM(G503:G507),2)</f>
        <v>1472.15</v>
      </c>
      <c r="H508" s="1643" t="s">
        <v>1034</v>
      </c>
    </row>
    <row r="509" spans="1:8" ht="12.95" customHeight="1">
      <c r="A509" s="199"/>
      <c r="B509" s="348" t="s">
        <v>72</v>
      </c>
      <c r="C509" s="199"/>
      <c r="D509" s="306"/>
      <c r="E509" s="306"/>
      <c r="F509" s="1658"/>
      <c r="G509" s="1645"/>
      <c r="H509" s="1643"/>
    </row>
    <row r="510" spans="1:8" ht="12.95" customHeight="1">
      <c r="A510" s="199"/>
      <c r="B510" s="196" t="s">
        <v>508</v>
      </c>
      <c r="C510" s="1657">
        <v>209</v>
      </c>
      <c r="D510" s="306">
        <v>3.69</v>
      </c>
      <c r="E510" s="306">
        <v>0.88171200000000005</v>
      </c>
      <c r="F510" s="1658" t="s">
        <v>1067</v>
      </c>
      <c r="G510" s="479">
        <f>ROUND((C510*D510*E510),2)</f>
        <v>679.99</v>
      </c>
      <c r="H510" s="1643"/>
    </row>
    <row r="511" spans="1:8" ht="12.95" customHeight="1">
      <c r="A511" s="199"/>
      <c r="B511" s="196" t="s">
        <v>509</v>
      </c>
      <c r="C511" s="1657">
        <v>30</v>
      </c>
      <c r="D511" s="306">
        <v>13.48</v>
      </c>
      <c r="E511" s="306">
        <v>0.61230000000000007</v>
      </c>
      <c r="F511" s="1658" t="s">
        <v>1067</v>
      </c>
      <c r="G511" s="479">
        <f>ROUND((C511*D511*E511),2)</f>
        <v>247.61</v>
      </c>
      <c r="H511" s="1643"/>
    </row>
    <row r="512" spans="1:8" ht="12.95" customHeight="1">
      <c r="A512" s="199"/>
      <c r="B512" s="1656"/>
      <c r="C512" s="199"/>
      <c r="D512" s="306"/>
      <c r="E512" s="306"/>
      <c r="F512" s="1658"/>
      <c r="G512" s="1644">
        <f>ROUND(SUM(G510:G511),2)</f>
        <v>927.6</v>
      </c>
      <c r="H512" s="1643" t="s">
        <v>1034</v>
      </c>
    </row>
    <row r="513" spans="1:8" ht="12.95" customHeight="1">
      <c r="A513" s="199"/>
      <c r="B513" s="1656" t="s">
        <v>1006</v>
      </c>
      <c r="C513" s="199"/>
      <c r="D513" s="306"/>
      <c r="E513" s="306"/>
      <c r="F513" s="1658"/>
      <c r="G513" s="1644"/>
      <c r="H513" s="1643"/>
    </row>
    <row r="514" spans="1:8" ht="12.95" customHeight="1">
      <c r="A514" s="199"/>
      <c r="B514" s="196" t="s">
        <v>510</v>
      </c>
      <c r="C514" s="1657">
        <v>183</v>
      </c>
      <c r="D514" s="306">
        <v>2.39</v>
      </c>
      <c r="E514" s="306">
        <v>0.88171200000000005</v>
      </c>
      <c r="F514" s="1658" t="s">
        <v>1067</v>
      </c>
      <c r="G514" s="479">
        <f t="shared" ref="G514:G534" si="15">ROUND((C514*D514*E514),2)</f>
        <v>385.63</v>
      </c>
      <c r="H514" s="1643"/>
    </row>
    <row r="515" spans="1:8" ht="12.95" customHeight="1">
      <c r="A515" s="199"/>
      <c r="B515" s="196" t="s">
        <v>510</v>
      </c>
      <c r="C515" s="1657">
        <v>183</v>
      </c>
      <c r="D515" s="306">
        <v>1.9</v>
      </c>
      <c r="E515" s="306">
        <v>0.88171200000000005</v>
      </c>
      <c r="F515" s="1658" t="s">
        <v>1067</v>
      </c>
      <c r="G515" s="479">
        <f t="shared" si="15"/>
        <v>306.57</v>
      </c>
      <c r="H515" s="1643"/>
    </row>
    <row r="516" spans="1:8" ht="12.95" customHeight="1">
      <c r="A516" s="199"/>
      <c r="B516" s="196" t="s">
        <v>511</v>
      </c>
      <c r="C516" s="199">
        <v>30</v>
      </c>
      <c r="D516" s="306">
        <v>13.72</v>
      </c>
      <c r="E516" s="306">
        <v>0.61230000000000007</v>
      </c>
      <c r="F516" s="1658" t="s">
        <v>1067</v>
      </c>
      <c r="G516" s="479">
        <f t="shared" si="15"/>
        <v>252.02</v>
      </c>
      <c r="H516" s="1643"/>
    </row>
    <row r="517" spans="1:8" ht="12.95" customHeight="1">
      <c r="A517" s="199"/>
      <c r="B517" s="196" t="s">
        <v>512</v>
      </c>
      <c r="C517" s="1657">
        <v>183</v>
      </c>
      <c r="D517" s="306">
        <v>2.39</v>
      </c>
      <c r="E517" s="306">
        <v>0.88171200000000005</v>
      </c>
      <c r="F517" s="1658" t="s">
        <v>1067</v>
      </c>
      <c r="G517" s="479">
        <f t="shared" si="15"/>
        <v>385.63</v>
      </c>
      <c r="H517" s="1643"/>
    </row>
    <row r="518" spans="1:8" ht="12.95" customHeight="1">
      <c r="A518" s="199"/>
      <c r="B518" s="196" t="s">
        <v>513</v>
      </c>
      <c r="C518" s="1657">
        <v>92</v>
      </c>
      <c r="D518" s="306">
        <v>1.9</v>
      </c>
      <c r="E518" s="306">
        <v>0.88171200000000005</v>
      </c>
      <c r="F518" s="1658" t="s">
        <v>1067</v>
      </c>
      <c r="G518" s="479">
        <f t="shared" si="15"/>
        <v>154.12</v>
      </c>
      <c r="H518" s="1643"/>
    </row>
    <row r="519" spans="1:8" ht="12.95" customHeight="1">
      <c r="A519" s="199"/>
      <c r="B519" s="196" t="s">
        <v>514</v>
      </c>
      <c r="C519" s="199">
        <v>30</v>
      </c>
      <c r="D519" s="306">
        <v>13.72</v>
      </c>
      <c r="E519" s="306">
        <v>0.61230000000000007</v>
      </c>
      <c r="F519" s="1658" t="s">
        <v>1067</v>
      </c>
      <c r="G519" s="479">
        <f t="shared" si="15"/>
        <v>252.02</v>
      </c>
      <c r="H519" s="1643"/>
    </row>
    <row r="520" spans="1:8" ht="12.95" customHeight="1">
      <c r="A520" s="199"/>
      <c r="B520" s="196"/>
      <c r="C520" s="199"/>
      <c r="D520" s="306"/>
      <c r="E520" s="306"/>
      <c r="F520" s="1658"/>
      <c r="G520" s="1644">
        <f>ROUND(SUM(G514:G519),2)</f>
        <v>1735.99</v>
      </c>
      <c r="H520" s="1643" t="s">
        <v>1034</v>
      </c>
    </row>
    <row r="521" spans="1:8" ht="12.95" customHeight="1">
      <c r="A521" s="199"/>
      <c r="B521" s="312" t="s">
        <v>724</v>
      </c>
      <c r="C521" s="1657">
        <v>60</v>
      </c>
      <c r="D521" s="306">
        <v>3.8239999999999998</v>
      </c>
      <c r="E521" s="306">
        <v>0.88171200000000005</v>
      </c>
      <c r="F521" s="1658" t="s">
        <v>1067</v>
      </c>
      <c r="G521" s="479">
        <f t="shared" si="15"/>
        <v>202.3</v>
      </c>
      <c r="H521" s="1643"/>
    </row>
    <row r="522" spans="1:8" ht="12.95" customHeight="1">
      <c r="A522" s="199"/>
      <c r="B522" s="195" t="s">
        <v>1086</v>
      </c>
      <c r="C522" s="199"/>
      <c r="D522" s="306"/>
      <c r="E522" s="306"/>
      <c r="F522" s="1658"/>
      <c r="G522" s="1645"/>
      <c r="H522" s="1643"/>
    </row>
    <row r="523" spans="1:8" ht="12.95" customHeight="1">
      <c r="A523" s="199"/>
      <c r="B523" s="196" t="s">
        <v>88</v>
      </c>
      <c r="C523" s="1657">
        <v>83</v>
      </c>
      <c r="D523" s="306">
        <v>0.95</v>
      </c>
      <c r="E523" s="306">
        <v>0.61230000000000007</v>
      </c>
      <c r="F523" s="1658" t="s">
        <v>1067</v>
      </c>
      <c r="G523" s="479">
        <f t="shared" si="15"/>
        <v>48.28</v>
      </c>
      <c r="H523" s="1643"/>
    </row>
    <row r="524" spans="1:8" ht="12.95" customHeight="1">
      <c r="A524" s="199"/>
      <c r="B524" s="196" t="s">
        <v>89</v>
      </c>
      <c r="C524" s="199">
        <v>6</v>
      </c>
      <c r="D524" s="306">
        <v>12.24</v>
      </c>
      <c r="E524" s="306">
        <v>0.61230000000000007</v>
      </c>
      <c r="F524" s="1658" t="s">
        <v>1067</v>
      </c>
      <c r="G524" s="479">
        <f t="shared" si="15"/>
        <v>44.97</v>
      </c>
      <c r="H524" s="1643"/>
    </row>
    <row r="525" spans="1:8" ht="12.95" customHeight="1">
      <c r="A525" s="199"/>
      <c r="B525" s="199" t="s">
        <v>1088</v>
      </c>
      <c r="C525" s="1657">
        <v>83</v>
      </c>
      <c r="D525" s="306">
        <v>0.95</v>
      </c>
      <c r="E525" s="306">
        <v>0.61230000000000007</v>
      </c>
      <c r="F525" s="1658" t="s">
        <v>1067</v>
      </c>
      <c r="G525" s="479">
        <f t="shared" si="15"/>
        <v>48.28</v>
      </c>
      <c r="H525" s="1643"/>
    </row>
    <row r="526" spans="1:8" ht="12.95" customHeight="1">
      <c r="A526" s="199"/>
      <c r="B526" s="196"/>
      <c r="C526" s="199">
        <v>6</v>
      </c>
      <c r="D526" s="306">
        <v>12.48</v>
      </c>
      <c r="E526" s="306">
        <v>0.61230000000000007</v>
      </c>
      <c r="F526" s="1658" t="s">
        <v>1067</v>
      </c>
      <c r="G526" s="479">
        <f t="shared" si="15"/>
        <v>45.85</v>
      </c>
      <c r="H526" s="1643"/>
    </row>
    <row r="527" spans="1:8" ht="12.95" customHeight="1">
      <c r="A527" s="199"/>
      <c r="B527" s="199" t="s">
        <v>87</v>
      </c>
      <c r="C527" s="1657">
        <v>38</v>
      </c>
      <c r="D527" s="306">
        <v>1.59</v>
      </c>
      <c r="E527" s="306">
        <v>0.61230000000000007</v>
      </c>
      <c r="F527" s="1658" t="s">
        <v>1067</v>
      </c>
      <c r="G527" s="479">
        <f t="shared" si="15"/>
        <v>37</v>
      </c>
      <c r="H527" s="1643"/>
    </row>
    <row r="528" spans="1:8" ht="12.95" customHeight="1">
      <c r="A528" s="199"/>
      <c r="B528" s="199" t="s">
        <v>1061</v>
      </c>
      <c r="C528" s="1657">
        <v>90</v>
      </c>
      <c r="D528" s="306">
        <v>3.04</v>
      </c>
      <c r="E528" s="306">
        <v>0.61230000000000007</v>
      </c>
      <c r="F528" s="1658" t="s">
        <v>1067</v>
      </c>
      <c r="G528" s="479">
        <f t="shared" si="15"/>
        <v>167.53</v>
      </c>
      <c r="H528" s="1643"/>
    </row>
    <row r="529" spans="1:8" ht="12.95" customHeight="1">
      <c r="A529" s="199"/>
      <c r="B529" s="199" t="s">
        <v>1006</v>
      </c>
      <c r="C529" s="1657">
        <v>23</v>
      </c>
      <c r="D529" s="306">
        <v>3.28</v>
      </c>
      <c r="E529" s="306">
        <v>0.61230000000000007</v>
      </c>
      <c r="F529" s="1658" t="s">
        <v>1067</v>
      </c>
      <c r="G529" s="479">
        <f t="shared" si="15"/>
        <v>46.19</v>
      </c>
      <c r="H529" s="1643"/>
    </row>
    <row r="530" spans="1:8" ht="12.95" customHeight="1">
      <c r="A530" s="199"/>
      <c r="B530" s="312" t="s">
        <v>1068</v>
      </c>
      <c r="C530" s="199"/>
      <c r="D530" s="306"/>
      <c r="E530" s="306"/>
      <c r="F530" s="1658"/>
      <c r="G530" s="1645"/>
      <c r="H530" s="1643"/>
    </row>
    <row r="531" spans="1:8" ht="12.95" customHeight="1">
      <c r="A531" s="199"/>
      <c r="B531" s="199" t="s">
        <v>1069</v>
      </c>
      <c r="C531" s="1657">
        <v>9</v>
      </c>
      <c r="D531" s="306">
        <v>1.63</v>
      </c>
      <c r="E531" s="306">
        <v>0.61230000000000007</v>
      </c>
      <c r="F531" s="1658" t="s">
        <v>1067</v>
      </c>
      <c r="G531" s="479">
        <f t="shared" si="15"/>
        <v>8.98</v>
      </c>
      <c r="H531" s="1643"/>
    </row>
    <row r="532" spans="1:8" ht="12.95" customHeight="1">
      <c r="A532" s="199"/>
      <c r="B532" s="199" t="s">
        <v>1070</v>
      </c>
      <c r="C532" s="1657">
        <v>9</v>
      </c>
      <c r="D532" s="306">
        <v>1.66</v>
      </c>
      <c r="E532" s="306">
        <v>0.61230000000000007</v>
      </c>
      <c r="F532" s="1658" t="s">
        <v>1067</v>
      </c>
      <c r="G532" s="479">
        <f t="shared" si="15"/>
        <v>9.15</v>
      </c>
      <c r="H532" s="1643"/>
    </row>
    <row r="533" spans="1:8" ht="12.95" customHeight="1">
      <c r="A533" s="199"/>
      <c r="B533" s="199" t="s">
        <v>1073</v>
      </c>
      <c r="C533" s="1657">
        <v>18</v>
      </c>
      <c r="D533" s="306">
        <v>1.63</v>
      </c>
      <c r="E533" s="306">
        <v>0.61230000000000007</v>
      </c>
      <c r="F533" s="1658" t="s">
        <v>1067</v>
      </c>
      <c r="G533" s="479">
        <f t="shared" si="15"/>
        <v>17.96</v>
      </c>
      <c r="H533" s="1643"/>
    </row>
    <row r="534" spans="1:8" ht="12.95" customHeight="1">
      <c r="A534" s="199"/>
      <c r="B534" s="199" t="s">
        <v>1070</v>
      </c>
      <c r="C534" s="1657">
        <v>18</v>
      </c>
      <c r="D534" s="306">
        <v>1.66</v>
      </c>
      <c r="E534" s="306">
        <v>0.61230000000000007</v>
      </c>
      <c r="F534" s="1658" t="s">
        <v>1067</v>
      </c>
      <c r="G534" s="479">
        <f t="shared" si="15"/>
        <v>18.3</v>
      </c>
      <c r="H534" s="1643"/>
    </row>
    <row r="535" spans="1:8" ht="12.95" customHeight="1">
      <c r="A535" s="199"/>
      <c r="B535" s="199"/>
      <c r="C535" s="1657"/>
      <c r="D535" s="306"/>
      <c r="E535" s="306"/>
      <c r="F535" s="1653"/>
      <c r="G535" s="1644">
        <f>ROUND(SUM(G521:G534),2)</f>
        <v>694.79</v>
      </c>
      <c r="H535" s="1643" t="s">
        <v>1034</v>
      </c>
    </row>
    <row r="536" spans="1:8" ht="12.95" customHeight="1">
      <c r="A536" s="199"/>
      <c r="B536" s="199"/>
      <c r="C536" s="1657"/>
      <c r="D536" s="306"/>
      <c r="E536" s="2938" t="s">
        <v>1111</v>
      </c>
      <c r="F536" s="2939"/>
      <c r="G536" s="1644">
        <f>ROUND((G535+G520+G512+G508+G501),2)</f>
        <v>10191.23</v>
      </c>
      <c r="H536" s="1643"/>
    </row>
    <row r="537" spans="1:8" ht="12.95" customHeight="1">
      <c r="A537" s="199"/>
      <c r="B537" s="312" t="s">
        <v>1112</v>
      </c>
      <c r="C537" s="199"/>
      <c r="D537" s="306"/>
      <c r="E537" s="306"/>
      <c r="F537" s="306"/>
      <c r="G537" s="1645"/>
      <c r="H537" s="1643"/>
    </row>
    <row r="538" spans="1:8" ht="12.95" customHeight="1">
      <c r="A538" s="199"/>
      <c r="B538" s="312" t="s">
        <v>72</v>
      </c>
      <c r="C538" s="199"/>
      <c r="D538" s="306"/>
      <c r="E538" s="306"/>
      <c r="F538" s="306"/>
      <c r="G538" s="1645"/>
      <c r="H538" s="1643"/>
    </row>
    <row r="539" spans="1:8" ht="12.95" customHeight="1">
      <c r="A539" s="199"/>
      <c r="B539" s="196" t="s">
        <v>515</v>
      </c>
      <c r="C539" s="1657">
        <v>105</v>
      </c>
      <c r="D539" s="306">
        <v>1.3</v>
      </c>
      <c r="E539" s="306">
        <v>0.88171200000000005</v>
      </c>
      <c r="F539" s="1658" t="s">
        <v>1067</v>
      </c>
      <c r="G539" s="479">
        <f>ROUND((C539*D539*E539),2)</f>
        <v>120.35</v>
      </c>
      <c r="H539" s="1643"/>
    </row>
    <row r="540" spans="1:8" ht="12.95" customHeight="1">
      <c r="A540" s="199"/>
      <c r="B540" s="196" t="s">
        <v>594</v>
      </c>
      <c r="C540" s="199"/>
      <c r="D540" s="306"/>
      <c r="E540" s="306"/>
      <c r="F540" s="306"/>
      <c r="G540" s="1645"/>
      <c r="H540" s="1643"/>
    </row>
    <row r="541" spans="1:8" ht="12.95" customHeight="1">
      <c r="A541" s="199"/>
      <c r="B541" s="196" t="s">
        <v>513</v>
      </c>
      <c r="C541" s="1657">
        <v>92</v>
      </c>
      <c r="D541" s="306">
        <v>1.3</v>
      </c>
      <c r="E541" s="306">
        <v>0.88171200000000005</v>
      </c>
      <c r="F541" s="1658" t="s">
        <v>1067</v>
      </c>
      <c r="G541" s="479">
        <f>ROUND((C541*D541*E541),2)</f>
        <v>105.45</v>
      </c>
      <c r="H541" s="1643"/>
    </row>
    <row r="542" spans="1:8" ht="12.95" customHeight="1">
      <c r="A542" s="199"/>
      <c r="B542" s="196"/>
      <c r="C542" s="1657"/>
      <c r="D542" s="306"/>
      <c r="E542" s="2959" t="s">
        <v>595</v>
      </c>
      <c r="F542" s="2960"/>
      <c r="G542" s="1645">
        <f>ROUND(SUM(G537:G541),2)</f>
        <v>225.8</v>
      </c>
      <c r="H542" s="1643"/>
    </row>
    <row r="543" spans="1:8" ht="12.95" customHeight="1">
      <c r="A543" s="200"/>
      <c r="B543" s="308" t="s">
        <v>1094</v>
      </c>
      <c r="C543" s="200"/>
      <c r="D543" s="314"/>
      <c r="E543" s="314"/>
      <c r="F543" s="314"/>
      <c r="G543" s="1660">
        <f>ROUND((G536-G542),2)</f>
        <v>9965.43</v>
      </c>
      <c r="H543" s="1654" t="s">
        <v>1034</v>
      </c>
    </row>
    <row r="544" spans="1:8" ht="9.75" customHeight="1">
      <c r="A544" s="204"/>
      <c r="B544" s="190"/>
      <c r="C544" s="204"/>
      <c r="D544" s="309"/>
      <c r="E544" s="309"/>
      <c r="F544" s="309"/>
      <c r="G544" s="392"/>
    </row>
    <row r="545" spans="1:8" ht="15.95" customHeight="1">
      <c r="A545" s="285" t="s">
        <v>7</v>
      </c>
    </row>
    <row r="546" spans="1:8" ht="9" customHeight="1">
      <c r="A546" s="1638"/>
      <c r="B546" s="1638"/>
      <c r="C546" s="1639"/>
      <c r="D546" s="1640"/>
      <c r="E546" s="1640"/>
      <c r="F546" s="1640"/>
      <c r="G546" s="1641"/>
      <c r="H546" s="1638"/>
    </row>
    <row r="547" spans="1:8" ht="15.95" customHeight="1">
      <c r="A547" s="1634" t="s">
        <v>961</v>
      </c>
      <c r="B547" s="1634" t="s">
        <v>962</v>
      </c>
      <c r="C547" s="1635" t="s">
        <v>963</v>
      </c>
      <c r="D547" s="1636" t="s">
        <v>1051</v>
      </c>
      <c r="E547" s="1636" t="s">
        <v>1052</v>
      </c>
      <c r="F547" s="1636" t="s">
        <v>1053</v>
      </c>
      <c r="G547" s="1637" t="s">
        <v>964</v>
      </c>
      <c r="H547" s="1634" t="s">
        <v>1054</v>
      </c>
    </row>
    <row r="548" spans="1:8" ht="15.95" customHeight="1">
      <c r="A548" s="471">
        <v>10</v>
      </c>
      <c r="B548" s="192" t="s">
        <v>681</v>
      </c>
      <c r="C548" s="471"/>
      <c r="D548" s="356"/>
      <c r="E548" s="356"/>
      <c r="F548" s="356"/>
      <c r="G548" s="1661"/>
      <c r="H548" s="1662"/>
    </row>
    <row r="549" spans="1:8" ht="15.95" customHeight="1">
      <c r="A549" s="199"/>
      <c r="B549" s="196" t="s">
        <v>1132</v>
      </c>
      <c r="C549" s="199"/>
      <c r="D549" s="306"/>
      <c r="E549" s="306"/>
      <c r="F549" s="306"/>
      <c r="G549" s="1645"/>
      <c r="H549" s="1643"/>
    </row>
    <row r="550" spans="1:8" ht="15.95" customHeight="1">
      <c r="A550" s="199"/>
      <c r="B550" s="312" t="s">
        <v>1097</v>
      </c>
      <c r="C550" s="199">
        <v>2</v>
      </c>
      <c r="D550" s="306">
        <v>1.43</v>
      </c>
      <c r="E550" s="306">
        <v>0.23</v>
      </c>
      <c r="F550" s="306">
        <v>2.29</v>
      </c>
      <c r="G550" s="479">
        <f>ROUND((C550*D550*E550*F550),2)</f>
        <v>1.51</v>
      </c>
      <c r="H550" s="1643"/>
    </row>
    <row r="551" spans="1:8" ht="15.95" customHeight="1">
      <c r="A551" s="199"/>
      <c r="B551" s="199" t="s">
        <v>1058</v>
      </c>
      <c r="C551" s="199">
        <v>1</v>
      </c>
      <c r="D551" s="306">
        <v>1</v>
      </c>
      <c r="E551" s="306">
        <v>0.23</v>
      </c>
      <c r="F551" s="306">
        <v>2.29</v>
      </c>
      <c r="G551" s="479">
        <f>ROUND((C551*D551*E551*F551),2)</f>
        <v>0.53</v>
      </c>
      <c r="H551" s="1643"/>
    </row>
    <row r="552" spans="1:8" ht="15.95" customHeight="1">
      <c r="A552" s="199"/>
      <c r="B552" s="312" t="s">
        <v>1098</v>
      </c>
      <c r="C552" s="199">
        <v>4</v>
      </c>
      <c r="D552" s="306">
        <v>1.43</v>
      </c>
      <c r="E552" s="306">
        <v>0.23</v>
      </c>
      <c r="F552" s="306">
        <v>2.29</v>
      </c>
      <c r="G552" s="479">
        <f>ROUND((C552*D552*E552*F552),2)</f>
        <v>3.01</v>
      </c>
      <c r="H552" s="1643"/>
    </row>
    <row r="553" spans="1:8" ht="15.95" customHeight="1">
      <c r="A553" s="199"/>
      <c r="B553" s="199" t="s">
        <v>1058</v>
      </c>
      <c r="C553" s="199">
        <v>2</v>
      </c>
      <c r="D553" s="306">
        <v>1</v>
      </c>
      <c r="E553" s="306">
        <v>0.23</v>
      </c>
      <c r="F553" s="306">
        <v>2.29</v>
      </c>
      <c r="G553" s="479">
        <f>ROUND((C553*D553*E553*F553),2)</f>
        <v>1.05</v>
      </c>
      <c r="H553" s="1643"/>
    </row>
    <row r="554" spans="1:8" ht="15.95" customHeight="1">
      <c r="A554" s="199"/>
      <c r="B554" s="199"/>
      <c r="C554" s="199"/>
      <c r="D554" s="306"/>
      <c r="E554" s="2938" t="s">
        <v>1108</v>
      </c>
      <c r="F554" s="2939"/>
      <c r="G554" s="1644">
        <f>ROUND(SUM(G550:G553),2)</f>
        <v>6.1</v>
      </c>
      <c r="H554" s="1643"/>
    </row>
    <row r="555" spans="1:8" ht="15.95" customHeight="1">
      <c r="A555" s="199">
        <v>11</v>
      </c>
      <c r="B555" s="196" t="s">
        <v>62</v>
      </c>
      <c r="C555" s="199"/>
      <c r="D555" s="306"/>
      <c r="E555" s="306"/>
      <c r="F555" s="306"/>
      <c r="G555" s="1645"/>
      <c r="H555" s="1643"/>
    </row>
    <row r="556" spans="1:8" ht="15.95" customHeight="1">
      <c r="A556" s="199"/>
      <c r="B556" s="196" t="s">
        <v>63</v>
      </c>
      <c r="C556" s="199"/>
      <c r="D556" s="306"/>
      <c r="E556" s="306"/>
      <c r="F556" s="306"/>
      <c r="G556" s="1645"/>
      <c r="H556" s="1643"/>
    </row>
    <row r="557" spans="1:8" ht="15.95" customHeight="1">
      <c r="A557" s="199"/>
      <c r="B557" s="196" t="s">
        <v>1243</v>
      </c>
      <c r="C557" s="199"/>
      <c r="D557" s="306"/>
      <c r="E557" s="306"/>
      <c r="F557" s="306"/>
      <c r="G557" s="1645"/>
      <c r="H557" s="1643"/>
    </row>
    <row r="558" spans="1:8" ht="15.95" customHeight="1">
      <c r="A558" s="199"/>
      <c r="B558" s="199" t="s">
        <v>1062</v>
      </c>
      <c r="C558" s="199">
        <v>2</v>
      </c>
      <c r="D558" s="306">
        <v>12.48</v>
      </c>
      <c r="E558" s="1653"/>
      <c r="F558" s="306">
        <v>2</v>
      </c>
      <c r="G558" s="479">
        <f>ROUND((C558*D558*F558),2)</f>
        <v>49.92</v>
      </c>
      <c r="H558" s="1643"/>
    </row>
    <row r="559" spans="1:8" ht="15.95" customHeight="1">
      <c r="A559" s="199"/>
      <c r="B559" s="199" t="s">
        <v>1063</v>
      </c>
      <c r="C559" s="199">
        <v>2</v>
      </c>
      <c r="D559" s="306">
        <v>12</v>
      </c>
      <c r="E559" s="1653"/>
      <c r="F559" s="306">
        <v>2.8</v>
      </c>
      <c r="G559" s="479">
        <f>ROUND((C559*D559*F559),2)</f>
        <v>67.2</v>
      </c>
      <c r="H559" s="1643"/>
    </row>
    <row r="560" spans="1:8" ht="15.95" customHeight="1">
      <c r="A560" s="199"/>
      <c r="B560" s="199" t="s">
        <v>1239</v>
      </c>
      <c r="C560" s="199">
        <v>2</v>
      </c>
      <c r="D560" s="306">
        <v>12</v>
      </c>
      <c r="E560" s="1653"/>
      <c r="F560" s="306">
        <v>2.8</v>
      </c>
      <c r="G560" s="479">
        <f>ROUND((C560*D560*F560),2)</f>
        <v>67.2</v>
      </c>
      <c r="H560" s="1643"/>
    </row>
    <row r="561" spans="1:8" ht="15.95" customHeight="1">
      <c r="A561" s="199"/>
      <c r="B561" s="199" t="s">
        <v>1064</v>
      </c>
      <c r="C561" s="199">
        <v>2</v>
      </c>
      <c r="D561" s="306">
        <v>12.72</v>
      </c>
      <c r="E561" s="306"/>
      <c r="F561" s="306">
        <v>2</v>
      </c>
      <c r="G561" s="479">
        <f>ROUND((C561*D561*F561),2)</f>
        <v>50.88</v>
      </c>
      <c r="H561" s="1643"/>
    </row>
    <row r="562" spans="1:8" ht="15.95" customHeight="1">
      <c r="A562" s="199"/>
      <c r="B562" s="199" t="s">
        <v>1065</v>
      </c>
      <c r="C562" s="199">
        <v>4</v>
      </c>
      <c r="D562" s="306">
        <v>6</v>
      </c>
      <c r="E562" s="306"/>
      <c r="F562" s="306">
        <v>2.8</v>
      </c>
      <c r="G562" s="479">
        <f>ROUND((C562*D562*F562),2)</f>
        <v>67.2</v>
      </c>
      <c r="H562" s="1643"/>
    </row>
    <row r="563" spans="1:8" ht="15.95" customHeight="1">
      <c r="A563" s="199"/>
      <c r="B563" s="199" t="s">
        <v>1075</v>
      </c>
      <c r="C563" s="199"/>
      <c r="D563" s="306"/>
      <c r="E563" s="306"/>
      <c r="F563" s="306"/>
      <c r="G563" s="1645"/>
      <c r="H563" s="1643"/>
    </row>
    <row r="564" spans="1:8" ht="15.95" customHeight="1">
      <c r="A564" s="199"/>
      <c r="B564" s="199" t="s">
        <v>1057</v>
      </c>
      <c r="C564" s="199">
        <v>2</v>
      </c>
      <c r="D564" s="306">
        <v>12.48</v>
      </c>
      <c r="E564" s="306">
        <v>0.24</v>
      </c>
      <c r="F564" s="306"/>
      <c r="G564" s="479">
        <f t="shared" ref="G564:G570" si="16">ROUND((C564*D564*E564),2)</f>
        <v>5.99</v>
      </c>
      <c r="H564" s="1643"/>
    </row>
    <row r="565" spans="1:8" ht="12.75">
      <c r="A565" s="199"/>
      <c r="B565" s="199" t="s">
        <v>1076</v>
      </c>
      <c r="C565" s="199">
        <v>4</v>
      </c>
      <c r="D565" s="306">
        <v>6</v>
      </c>
      <c r="E565" s="306">
        <v>0.24</v>
      </c>
      <c r="F565" s="306"/>
      <c r="G565" s="479">
        <f t="shared" si="16"/>
        <v>5.76</v>
      </c>
      <c r="H565" s="1643"/>
    </row>
    <row r="566" spans="1:8" ht="15.95" customHeight="1">
      <c r="A566" s="199"/>
      <c r="B566" s="199" t="s">
        <v>1244</v>
      </c>
      <c r="C566" s="199">
        <v>1</v>
      </c>
      <c r="D566" s="306">
        <v>12.48</v>
      </c>
      <c r="E566" s="306">
        <v>0.24</v>
      </c>
      <c r="F566" s="306"/>
      <c r="G566" s="479">
        <f t="shared" si="16"/>
        <v>3</v>
      </c>
      <c r="H566" s="1643"/>
    </row>
    <row r="567" spans="1:8" ht="12.75">
      <c r="A567" s="199"/>
      <c r="B567" s="199" t="s">
        <v>1086</v>
      </c>
      <c r="C567" s="199">
        <v>1</v>
      </c>
      <c r="D567" s="306">
        <v>12.24</v>
      </c>
      <c r="E567" s="306">
        <v>0.52500000000000002</v>
      </c>
      <c r="F567" s="306"/>
      <c r="G567" s="479">
        <f t="shared" si="16"/>
        <v>6.43</v>
      </c>
      <c r="H567" s="1643"/>
    </row>
    <row r="568" spans="1:8" ht="15.95" customHeight="1">
      <c r="A568" s="199"/>
      <c r="B568" s="199"/>
      <c r="C568" s="199">
        <v>1</v>
      </c>
      <c r="D568" s="306">
        <v>12.24</v>
      </c>
      <c r="E568" s="306">
        <v>0.45</v>
      </c>
      <c r="F568" s="306"/>
      <c r="G568" s="479">
        <f t="shared" si="16"/>
        <v>5.51</v>
      </c>
      <c r="H568" s="1643"/>
    </row>
    <row r="569" spans="1:8" ht="15.95" customHeight="1">
      <c r="A569" s="199"/>
      <c r="B569" s="199" t="s">
        <v>1088</v>
      </c>
      <c r="C569" s="199">
        <v>1</v>
      </c>
      <c r="D569" s="306">
        <v>12.24</v>
      </c>
      <c r="E569" s="306">
        <v>0.52500000000000002</v>
      </c>
      <c r="F569" s="306"/>
      <c r="G569" s="479">
        <f t="shared" si="16"/>
        <v>6.43</v>
      </c>
      <c r="H569" s="1643"/>
    </row>
    <row r="570" spans="1:8" ht="15.95" customHeight="1">
      <c r="A570" s="199"/>
      <c r="B570" s="199"/>
      <c r="C570" s="199">
        <v>1</v>
      </c>
      <c r="D570" s="306">
        <v>12.24</v>
      </c>
      <c r="E570" s="306">
        <v>0.45</v>
      </c>
      <c r="F570" s="306"/>
      <c r="G570" s="479">
        <f t="shared" si="16"/>
        <v>5.51</v>
      </c>
      <c r="H570" s="1643"/>
    </row>
    <row r="571" spans="1:8" ht="15.95" customHeight="1">
      <c r="A571" s="199"/>
      <c r="B571" s="312" t="s">
        <v>1235</v>
      </c>
      <c r="C571" s="199"/>
      <c r="D571" s="306"/>
      <c r="E571" s="306"/>
      <c r="F571" s="306"/>
      <c r="G571" s="1645"/>
      <c r="H571" s="1643"/>
    </row>
    <row r="572" spans="1:8" ht="15.95" customHeight="1">
      <c r="A572" s="199"/>
      <c r="B572" s="199" t="s">
        <v>1245</v>
      </c>
      <c r="C572" s="199">
        <v>2</v>
      </c>
      <c r="D572" s="306">
        <v>1.44</v>
      </c>
      <c r="E572" s="1653"/>
      <c r="F572" s="306">
        <v>2</v>
      </c>
      <c r="G572" s="479">
        <f>ROUND((C572*D572*F572),2)</f>
        <v>5.76</v>
      </c>
      <c r="H572" s="1643"/>
    </row>
    <row r="573" spans="1:8" ht="15.95" customHeight="1">
      <c r="A573" s="199"/>
      <c r="B573" s="199" t="s">
        <v>1246</v>
      </c>
      <c r="C573" s="199">
        <v>2</v>
      </c>
      <c r="D573" s="306">
        <v>1.2</v>
      </c>
      <c r="E573" s="306"/>
      <c r="F573" s="306">
        <v>2.8</v>
      </c>
      <c r="G573" s="479">
        <f>ROUND((C573*D573*F573),2)</f>
        <v>6.72</v>
      </c>
      <c r="H573" s="1643"/>
    </row>
    <row r="574" spans="1:8" ht="15.95" customHeight="1">
      <c r="A574" s="199"/>
      <c r="B574" s="199" t="s">
        <v>1064</v>
      </c>
      <c r="C574" s="199">
        <v>1</v>
      </c>
      <c r="D574" s="306">
        <v>1.68</v>
      </c>
      <c r="E574" s="306"/>
      <c r="F574" s="306">
        <v>2</v>
      </c>
      <c r="G574" s="479">
        <f>ROUND((C574*D574*F574),2)</f>
        <v>3.36</v>
      </c>
      <c r="H574" s="1643"/>
    </row>
    <row r="575" spans="1:8" ht="15.95" customHeight="1">
      <c r="A575" s="199"/>
      <c r="B575" s="199" t="s">
        <v>1065</v>
      </c>
      <c r="C575" s="199">
        <v>1</v>
      </c>
      <c r="D575" s="306">
        <v>1.2</v>
      </c>
      <c r="E575" s="306"/>
      <c r="F575" s="306">
        <v>3</v>
      </c>
      <c r="G575" s="479">
        <f>ROUND((C575*D575*F575),2)</f>
        <v>3.6</v>
      </c>
      <c r="H575" s="1643"/>
    </row>
    <row r="576" spans="1:8" ht="15.95" customHeight="1">
      <c r="A576" s="199"/>
      <c r="B576" s="199" t="s">
        <v>1075</v>
      </c>
      <c r="C576" s="199"/>
      <c r="D576" s="306"/>
      <c r="E576" s="306"/>
      <c r="F576" s="306"/>
      <c r="G576" s="1645"/>
      <c r="H576" s="1643"/>
    </row>
    <row r="577" spans="1:8" ht="15.95" customHeight="1">
      <c r="A577" s="199"/>
      <c r="B577" s="199" t="s">
        <v>1057</v>
      </c>
      <c r="C577" s="199">
        <v>2</v>
      </c>
      <c r="D577" s="306">
        <v>1.44</v>
      </c>
      <c r="E577" s="306">
        <v>0.24</v>
      </c>
      <c r="F577" s="306"/>
      <c r="G577" s="479">
        <f>ROUND((C577*D577*E577),2)</f>
        <v>0.69</v>
      </c>
      <c r="H577" s="1643"/>
    </row>
    <row r="578" spans="1:8" ht="15.95" customHeight="1">
      <c r="A578" s="199"/>
      <c r="B578" s="199" t="s">
        <v>1076</v>
      </c>
      <c r="C578" s="199">
        <v>1</v>
      </c>
      <c r="D578" s="306">
        <v>1.2</v>
      </c>
      <c r="E578" s="306">
        <v>0.24</v>
      </c>
      <c r="F578" s="306"/>
      <c r="G578" s="479">
        <f>ROUND((C578*D578*E578),2)</f>
        <v>0.28999999999999998</v>
      </c>
      <c r="H578" s="1643"/>
    </row>
    <row r="579" spans="1:8" ht="15.95" customHeight="1">
      <c r="A579" s="199"/>
      <c r="B579" s="312" t="s">
        <v>1077</v>
      </c>
      <c r="C579" s="199"/>
      <c r="D579" s="306"/>
      <c r="E579" s="306"/>
      <c r="F579" s="306"/>
      <c r="G579" s="1645"/>
      <c r="H579" s="1643"/>
    </row>
    <row r="580" spans="1:8" ht="15.95" customHeight="1">
      <c r="A580" s="199"/>
      <c r="B580" s="199" t="s">
        <v>1100</v>
      </c>
      <c r="C580" s="199">
        <v>4</v>
      </c>
      <c r="D580" s="306">
        <v>1.43</v>
      </c>
      <c r="E580" s="306"/>
      <c r="F580" s="306">
        <v>0.5</v>
      </c>
      <c r="G580" s="479">
        <f>ROUND((C580*D580*F580),2)</f>
        <v>2.86</v>
      </c>
      <c r="H580" s="1643"/>
    </row>
    <row r="581" spans="1:8" ht="15.95" customHeight="1">
      <c r="A581" s="199"/>
      <c r="B581" s="199" t="s">
        <v>1078</v>
      </c>
      <c r="C581" s="199">
        <v>4</v>
      </c>
      <c r="D581" s="306">
        <v>1.2</v>
      </c>
      <c r="E581" s="306"/>
      <c r="F581" s="306">
        <v>1.79</v>
      </c>
      <c r="G581" s="479">
        <f>ROUND((C581*D581*F581),2)</f>
        <v>8.59</v>
      </c>
      <c r="H581" s="1643"/>
    </row>
    <row r="582" spans="1:8" ht="15.95" customHeight="1">
      <c r="A582" s="199"/>
      <c r="B582" s="199" t="s">
        <v>1064</v>
      </c>
      <c r="C582" s="199">
        <v>2</v>
      </c>
      <c r="D582" s="306">
        <v>1.43</v>
      </c>
      <c r="E582" s="306"/>
      <c r="F582" s="306">
        <v>0.3</v>
      </c>
      <c r="G582" s="479">
        <f>ROUND((C582*D582*F582),2)</f>
        <v>0.86</v>
      </c>
      <c r="H582" s="1643"/>
    </row>
    <row r="583" spans="1:8" ht="15.95" customHeight="1">
      <c r="A583" s="199"/>
      <c r="B583" s="199" t="s">
        <v>1065</v>
      </c>
      <c r="C583" s="199">
        <v>2</v>
      </c>
      <c r="D583" s="306">
        <v>1</v>
      </c>
      <c r="E583" s="306"/>
      <c r="F583" s="306">
        <v>1.79</v>
      </c>
      <c r="G583" s="479">
        <f>ROUND((C583*D583*F583),2)</f>
        <v>3.58</v>
      </c>
      <c r="H583" s="1643"/>
    </row>
    <row r="584" spans="1:8" ht="15.95" customHeight="1">
      <c r="A584" s="200"/>
      <c r="B584" s="200" t="s">
        <v>1101</v>
      </c>
      <c r="C584" s="200">
        <v>2</v>
      </c>
      <c r="D584" s="314">
        <v>1.43</v>
      </c>
      <c r="E584" s="314"/>
      <c r="F584" s="314">
        <v>0.5</v>
      </c>
      <c r="G584" s="1665">
        <f>ROUND((C584*D584*F584),2)</f>
        <v>1.43</v>
      </c>
      <c r="H584" s="1654"/>
    </row>
    <row r="585" spans="1:8" ht="9.75" customHeight="1">
      <c r="A585" s="204"/>
      <c r="B585" s="204"/>
      <c r="C585" s="204"/>
      <c r="D585" s="309"/>
      <c r="E585" s="309"/>
      <c r="F585" s="309"/>
      <c r="G585" s="464"/>
    </row>
    <row r="586" spans="1:8" ht="15.95" customHeight="1">
      <c r="A586" s="285" t="s">
        <v>7</v>
      </c>
    </row>
    <row r="587" spans="1:8" ht="9" customHeight="1">
      <c r="A587" s="1638"/>
      <c r="B587" s="1638"/>
      <c r="C587" s="1639"/>
      <c r="D587" s="1640"/>
      <c r="E587" s="1640"/>
      <c r="F587" s="1640"/>
      <c r="G587" s="1641"/>
      <c r="H587" s="1638"/>
    </row>
    <row r="588" spans="1:8" ht="15.95" customHeight="1">
      <c r="A588" s="1634" t="s">
        <v>961</v>
      </c>
      <c r="B588" s="1634" t="s">
        <v>962</v>
      </c>
      <c r="C588" s="1635" t="s">
        <v>963</v>
      </c>
      <c r="D588" s="1636" t="s">
        <v>1051</v>
      </c>
      <c r="E588" s="1636" t="s">
        <v>1052</v>
      </c>
      <c r="F588" s="1636" t="s">
        <v>1053</v>
      </c>
      <c r="G588" s="1637" t="s">
        <v>964</v>
      </c>
      <c r="H588" s="1634" t="s">
        <v>1054</v>
      </c>
    </row>
    <row r="589" spans="1:8" ht="15" customHeight="1">
      <c r="A589" s="471"/>
      <c r="B589" s="471" t="s">
        <v>1078</v>
      </c>
      <c r="C589" s="471">
        <v>2</v>
      </c>
      <c r="D589" s="356">
        <v>1.68</v>
      </c>
      <c r="E589" s="356"/>
      <c r="F589" s="356">
        <v>1.79</v>
      </c>
      <c r="G589" s="1666">
        <f>ROUND((C589*D589*F589),2)</f>
        <v>6.01</v>
      </c>
      <c r="H589" s="1662"/>
    </row>
    <row r="590" spans="1:8" ht="15" customHeight="1">
      <c r="A590" s="199"/>
      <c r="B590" s="199" t="s">
        <v>1064</v>
      </c>
      <c r="C590" s="199">
        <v>1</v>
      </c>
      <c r="D590" s="306">
        <v>1.46</v>
      </c>
      <c r="E590" s="306"/>
      <c r="F590" s="306">
        <v>0.3</v>
      </c>
      <c r="G590" s="479">
        <f>ROUND((C590*D590*F590),2)</f>
        <v>0.44</v>
      </c>
      <c r="H590" s="1643"/>
    </row>
    <row r="591" spans="1:8" ht="15" customHeight="1">
      <c r="A591" s="199"/>
      <c r="B591" s="199" t="s">
        <v>1065</v>
      </c>
      <c r="C591" s="199">
        <v>1</v>
      </c>
      <c r="D591" s="306">
        <v>1</v>
      </c>
      <c r="E591" s="306"/>
      <c r="F591" s="306">
        <v>1.79</v>
      </c>
      <c r="G591" s="479">
        <f>ROUND((C591*D591*F591),2)</f>
        <v>1.79</v>
      </c>
      <c r="H591" s="1643"/>
    </row>
    <row r="592" spans="1:8" ht="15" customHeight="1">
      <c r="A592" s="199"/>
      <c r="B592" s="199" t="s">
        <v>1075</v>
      </c>
      <c r="C592" s="199"/>
      <c r="D592" s="306"/>
      <c r="E592" s="306"/>
      <c r="F592" s="306"/>
      <c r="G592" s="1645"/>
      <c r="H592" s="1643"/>
    </row>
    <row r="593" spans="1:8" ht="15" customHeight="1">
      <c r="A593" s="199"/>
      <c r="B593" s="199" t="s">
        <v>1057</v>
      </c>
      <c r="C593" s="199">
        <v>8</v>
      </c>
      <c r="D593" s="306">
        <v>1.43</v>
      </c>
      <c r="E593" s="306">
        <v>0.24</v>
      </c>
      <c r="F593" s="306"/>
      <c r="G593" s="479">
        <f>ROUND((C593*D593*E593),2)</f>
        <v>2.75</v>
      </c>
      <c r="H593" s="1643"/>
    </row>
    <row r="594" spans="1:8" ht="15" customHeight="1">
      <c r="A594" s="199"/>
      <c r="B594" s="199" t="s">
        <v>1076</v>
      </c>
      <c r="C594" s="199">
        <v>8</v>
      </c>
      <c r="D594" s="306">
        <v>1</v>
      </c>
      <c r="E594" s="306">
        <v>0.24</v>
      </c>
      <c r="F594" s="306"/>
      <c r="G594" s="479">
        <f>ROUND((C594*D594*E594),2)</f>
        <v>1.92</v>
      </c>
      <c r="H594" s="1643"/>
    </row>
    <row r="595" spans="1:8" ht="15" customHeight="1">
      <c r="A595" s="199"/>
      <c r="B595" s="195" t="s">
        <v>1079</v>
      </c>
      <c r="C595" s="199"/>
      <c r="D595" s="306"/>
      <c r="E595" s="306"/>
      <c r="F595" s="306"/>
      <c r="G595" s="1645"/>
      <c r="H595" s="1643"/>
    </row>
    <row r="596" spans="1:8" ht="15" customHeight="1">
      <c r="A596" s="199"/>
      <c r="B596" s="199" t="s">
        <v>1071</v>
      </c>
      <c r="C596" s="199">
        <v>1</v>
      </c>
      <c r="D596" s="306">
        <v>1.2</v>
      </c>
      <c r="E596" s="306">
        <v>1.46</v>
      </c>
      <c r="F596" s="306"/>
      <c r="G596" s="479">
        <f>ROUND((C596*D596*E596),2)</f>
        <v>1.75</v>
      </c>
      <c r="H596" s="1643"/>
    </row>
    <row r="597" spans="1:8" ht="15" customHeight="1">
      <c r="A597" s="199"/>
      <c r="B597" s="199" t="s">
        <v>1072</v>
      </c>
      <c r="C597" s="199">
        <v>2</v>
      </c>
      <c r="D597" s="306">
        <v>1.2</v>
      </c>
      <c r="E597" s="306">
        <v>1.46</v>
      </c>
      <c r="F597" s="306"/>
      <c r="G597" s="479">
        <f>ROUND((C597*D597*E597),2)</f>
        <v>3.5</v>
      </c>
      <c r="H597" s="1643"/>
    </row>
    <row r="598" spans="1:8" ht="15" customHeight="1">
      <c r="A598" s="199"/>
      <c r="B598" s="199" t="s">
        <v>1241</v>
      </c>
      <c r="C598" s="199">
        <v>1</v>
      </c>
      <c r="D598" s="306">
        <v>1.44</v>
      </c>
      <c r="E598" s="306">
        <v>2.16</v>
      </c>
      <c r="F598" s="306"/>
      <c r="G598" s="479">
        <f>ROUND((C598*D598*E598),2)</f>
        <v>3.11</v>
      </c>
      <c r="H598" s="1643"/>
    </row>
    <row r="599" spans="1:8" ht="15" customHeight="1">
      <c r="A599" s="199"/>
      <c r="B599" s="199"/>
      <c r="C599" s="199"/>
      <c r="D599" s="306"/>
      <c r="E599" s="306"/>
      <c r="F599" s="306"/>
      <c r="G599" s="1645">
        <f>ROUND(SUM(G558:G598),2)</f>
        <v>400.04</v>
      </c>
      <c r="H599" s="1643"/>
    </row>
    <row r="600" spans="1:8" ht="15" customHeight="1">
      <c r="A600" s="199"/>
      <c r="B600" s="199" t="s">
        <v>1093</v>
      </c>
      <c r="C600" s="199">
        <v>4</v>
      </c>
      <c r="D600" s="306">
        <v>0.28260000000000002</v>
      </c>
      <c r="E600" s="306"/>
      <c r="F600" s="306"/>
      <c r="G600" s="1645">
        <f>ROUND((C600*D600),2)</f>
        <v>1.1299999999999999</v>
      </c>
      <c r="H600" s="1643"/>
    </row>
    <row r="601" spans="1:8" ht="15" customHeight="1">
      <c r="A601" s="199"/>
      <c r="B601" s="199"/>
      <c r="C601" s="199"/>
      <c r="D601" s="306"/>
      <c r="E601" s="2938" t="s">
        <v>1108</v>
      </c>
      <c r="F601" s="2939"/>
      <c r="G601" s="1644">
        <f>ROUND((G599-G600),2)</f>
        <v>398.91</v>
      </c>
      <c r="H601" s="312" t="s">
        <v>628</v>
      </c>
    </row>
    <row r="602" spans="1:8" ht="15" customHeight="1">
      <c r="A602" s="199">
        <v>12</v>
      </c>
      <c r="B602" s="196" t="s">
        <v>976</v>
      </c>
      <c r="C602" s="199"/>
      <c r="D602" s="306"/>
      <c r="E602" s="306"/>
      <c r="F602" s="306"/>
      <c r="G602" s="1645"/>
      <c r="H602" s="195"/>
    </row>
    <row r="603" spans="1:8" ht="15" customHeight="1">
      <c r="A603" s="199"/>
      <c r="B603" s="196" t="s">
        <v>1020</v>
      </c>
      <c r="C603" s="199"/>
      <c r="D603" s="306"/>
      <c r="E603" s="306"/>
      <c r="F603" s="306"/>
      <c r="G603" s="1645"/>
      <c r="H603" s="195"/>
    </row>
    <row r="604" spans="1:8" ht="15" customHeight="1">
      <c r="A604" s="199"/>
      <c r="B604" s="199" t="s">
        <v>983</v>
      </c>
      <c r="C604" s="199">
        <v>2</v>
      </c>
      <c r="D604" s="306">
        <v>12</v>
      </c>
      <c r="E604" s="306">
        <v>6</v>
      </c>
      <c r="F604" s="306"/>
      <c r="G604" s="479">
        <f>ROUND((C604*D604*E604),2)</f>
        <v>144</v>
      </c>
      <c r="H604" s="1643"/>
    </row>
    <row r="605" spans="1:8" ht="15" customHeight="1">
      <c r="A605" s="199"/>
      <c r="B605" s="199" t="s">
        <v>1235</v>
      </c>
      <c r="C605" s="199">
        <v>1</v>
      </c>
      <c r="D605" s="306">
        <v>1.2</v>
      </c>
      <c r="E605" s="306">
        <v>1.2</v>
      </c>
      <c r="F605" s="306"/>
      <c r="G605" s="479">
        <f>ROUND((C605*D605*E605),2)</f>
        <v>1.44</v>
      </c>
      <c r="H605" s="1643"/>
    </row>
    <row r="606" spans="1:8" ht="15" customHeight="1">
      <c r="A606" s="199"/>
      <c r="B606" s="196"/>
      <c r="C606" s="199"/>
      <c r="D606" s="306"/>
      <c r="E606" s="2938" t="s">
        <v>1108</v>
      </c>
      <c r="F606" s="2939"/>
      <c r="G606" s="1644">
        <f>ROUND(SUM(G604:G605),2)</f>
        <v>145.44</v>
      </c>
      <c r="H606" s="312" t="s">
        <v>628</v>
      </c>
    </row>
    <row r="607" spans="1:8" ht="15" customHeight="1">
      <c r="A607" s="199">
        <v>13</v>
      </c>
      <c r="B607" s="196" t="s">
        <v>977</v>
      </c>
      <c r="C607" s="199"/>
      <c r="D607" s="306"/>
      <c r="E607" s="2938"/>
      <c r="F607" s="2939"/>
      <c r="G607" s="1645"/>
      <c r="H607" s="195"/>
    </row>
    <row r="608" spans="1:8" ht="15" customHeight="1">
      <c r="A608" s="196"/>
      <c r="B608" s="196" t="s">
        <v>969</v>
      </c>
      <c r="C608" s="2945" t="s">
        <v>1080</v>
      </c>
      <c r="D608" s="2946"/>
      <c r="E608" s="2946"/>
      <c r="F608" s="2947"/>
      <c r="G608" s="1645">
        <f>ROUND((G559+G560+G562+G573+G575+G604+G605),2)</f>
        <v>357.36</v>
      </c>
      <c r="H608" s="1643"/>
    </row>
    <row r="609" spans="1:8" ht="15" customHeight="1">
      <c r="A609" s="196"/>
      <c r="B609" s="196"/>
      <c r="C609" s="2948"/>
      <c r="D609" s="2949"/>
      <c r="E609" s="2949"/>
      <c r="F609" s="2950"/>
      <c r="G609" s="1645"/>
      <c r="H609" s="196"/>
    </row>
    <row r="610" spans="1:8" ht="15" customHeight="1">
      <c r="A610" s="199"/>
      <c r="B610" s="199" t="s">
        <v>1086</v>
      </c>
      <c r="C610" s="199">
        <v>1</v>
      </c>
      <c r="D610" s="306">
        <v>12.24</v>
      </c>
      <c r="E610" s="306">
        <v>0.3</v>
      </c>
      <c r="F610" s="306"/>
      <c r="G610" s="479">
        <f>ROUND((C610*D610*E610),2)</f>
        <v>3.67</v>
      </c>
      <c r="H610" s="1643"/>
    </row>
    <row r="611" spans="1:8" ht="15" customHeight="1">
      <c r="A611" s="199"/>
      <c r="B611" s="199" t="s">
        <v>1088</v>
      </c>
      <c r="C611" s="199">
        <v>1</v>
      </c>
      <c r="D611" s="306">
        <v>12.24</v>
      </c>
      <c r="E611" s="306">
        <v>0.3</v>
      </c>
      <c r="F611" s="306"/>
      <c r="G611" s="479">
        <f>ROUND((C611*D611*E611),2)</f>
        <v>3.67</v>
      </c>
      <c r="H611" s="1643"/>
    </row>
    <row r="612" spans="1:8" ht="15" customHeight="1">
      <c r="A612" s="199"/>
      <c r="B612" s="196"/>
      <c r="C612" s="199"/>
      <c r="D612" s="306"/>
      <c r="E612" s="306" t="s">
        <v>1108</v>
      </c>
      <c r="F612" s="306"/>
      <c r="G612" s="1644">
        <f>ROUND(SUM(G608:G611),2)</f>
        <v>364.7</v>
      </c>
      <c r="H612" s="196" t="s">
        <v>628</v>
      </c>
    </row>
    <row r="613" spans="1:8" ht="15" customHeight="1">
      <c r="A613" s="199">
        <v>14</v>
      </c>
      <c r="B613" s="196" t="s">
        <v>64</v>
      </c>
      <c r="C613" s="199"/>
      <c r="D613" s="306"/>
      <c r="E613" s="306"/>
      <c r="F613" s="306"/>
      <c r="G613" s="1645"/>
      <c r="H613" s="196"/>
    </row>
    <row r="614" spans="1:8" ht="15" customHeight="1">
      <c r="A614" s="199"/>
      <c r="B614" s="196" t="s">
        <v>65</v>
      </c>
      <c r="C614" s="199"/>
      <c r="D614" s="306"/>
      <c r="E614" s="306"/>
      <c r="F614" s="306"/>
      <c r="G614" s="1645"/>
      <c r="H614" s="196"/>
    </row>
    <row r="615" spans="1:8" ht="15" customHeight="1">
      <c r="A615" s="199"/>
      <c r="B615" s="196" t="s">
        <v>66</v>
      </c>
      <c r="C615" s="199"/>
      <c r="D615" s="306"/>
      <c r="E615" s="306"/>
      <c r="F615" s="306"/>
      <c r="G615" s="1645"/>
      <c r="H615" s="196"/>
    </row>
    <row r="616" spans="1:8" ht="15" customHeight="1">
      <c r="A616" s="199"/>
      <c r="B616" s="196" t="s">
        <v>67</v>
      </c>
      <c r="C616" s="199">
        <v>62</v>
      </c>
      <c r="D616" s="306">
        <v>0.45</v>
      </c>
      <c r="E616" s="306">
        <v>0.23</v>
      </c>
      <c r="F616" s="306">
        <v>0.2</v>
      </c>
      <c r="G616" s="479">
        <f>ROUND((C616*D616*E616*F616),2)</f>
        <v>1.28</v>
      </c>
      <c r="H616" s="196"/>
    </row>
    <row r="617" spans="1:8" ht="15" customHeight="1">
      <c r="A617" s="199"/>
      <c r="B617" s="196" t="s">
        <v>1248</v>
      </c>
      <c r="C617" s="1657">
        <v>202.5</v>
      </c>
      <c r="D617" s="306">
        <v>0.45</v>
      </c>
      <c r="E617" s="306">
        <v>0.23</v>
      </c>
      <c r="F617" s="306">
        <v>0.2</v>
      </c>
      <c r="G617" s="479">
        <f>ROUND((C617*D617*E617*F617),2)</f>
        <v>4.1900000000000004</v>
      </c>
      <c r="H617" s="196"/>
    </row>
    <row r="618" spans="1:8" ht="15" customHeight="1">
      <c r="A618" s="199"/>
      <c r="B618" s="196"/>
      <c r="C618" s="199"/>
      <c r="D618" s="306"/>
      <c r="E618" s="2938" t="s">
        <v>1108</v>
      </c>
      <c r="F618" s="2939"/>
      <c r="G618" s="1644">
        <f>ROUND(SUM(G614:G617),2)</f>
        <v>5.47</v>
      </c>
      <c r="H618" s="312" t="s">
        <v>625</v>
      </c>
    </row>
    <row r="619" spans="1:8" ht="15" customHeight="1">
      <c r="A619" s="199">
        <v>15</v>
      </c>
      <c r="B619" s="196" t="s">
        <v>0</v>
      </c>
      <c r="C619" s="199"/>
      <c r="D619" s="306"/>
      <c r="E619" s="306"/>
      <c r="F619" s="306"/>
      <c r="G619" s="1645"/>
      <c r="H619" s="196"/>
    </row>
    <row r="620" spans="1:8" ht="15" customHeight="1">
      <c r="A620" s="199"/>
      <c r="B620" s="196" t="s">
        <v>2767</v>
      </c>
      <c r="C620" s="199">
        <v>2</v>
      </c>
      <c r="D620" s="306">
        <v>12.24</v>
      </c>
      <c r="E620" s="306"/>
      <c r="F620" s="306"/>
      <c r="G620" s="1644">
        <f>ROUND((D620*C620),2)</f>
        <v>24.48</v>
      </c>
      <c r="H620" s="312" t="s">
        <v>965</v>
      </c>
    </row>
    <row r="621" spans="1:8" ht="15" customHeight="1">
      <c r="A621" s="199"/>
      <c r="B621" s="196" t="s">
        <v>457</v>
      </c>
      <c r="C621" s="199">
        <v>30</v>
      </c>
      <c r="D621" s="306">
        <v>5.42</v>
      </c>
      <c r="E621" s="306"/>
      <c r="F621" s="306"/>
      <c r="G621" s="1644">
        <f>ROUND((D621*C621),2)</f>
        <v>162.6</v>
      </c>
      <c r="H621" s="312" t="s">
        <v>965</v>
      </c>
    </row>
    <row r="622" spans="1:8" ht="15" customHeight="1">
      <c r="A622" s="199">
        <v>16</v>
      </c>
      <c r="B622" s="196" t="s">
        <v>1</v>
      </c>
      <c r="C622" s="199"/>
      <c r="D622" s="306"/>
      <c r="E622" s="306"/>
      <c r="F622" s="306"/>
      <c r="G622" s="1644"/>
      <c r="H622" s="195"/>
    </row>
    <row r="623" spans="1:8" ht="15" customHeight="1">
      <c r="A623" s="199"/>
      <c r="B623" s="196" t="s">
        <v>2</v>
      </c>
      <c r="C623" s="199">
        <v>2</v>
      </c>
      <c r="D623" s="306">
        <v>12</v>
      </c>
      <c r="E623" s="306">
        <v>6</v>
      </c>
      <c r="F623" s="306">
        <v>0.2</v>
      </c>
      <c r="G623" s="481">
        <f>ROUND((C623*D623*E623*F623),2)</f>
        <v>28.8</v>
      </c>
      <c r="H623" s="312" t="s">
        <v>625</v>
      </c>
    </row>
    <row r="624" spans="1:8" ht="15" customHeight="1">
      <c r="A624" s="199">
        <v>17</v>
      </c>
      <c r="B624" s="196" t="s">
        <v>1</v>
      </c>
      <c r="C624" s="199"/>
      <c r="D624" s="306"/>
      <c r="E624" s="306"/>
      <c r="F624" s="306"/>
      <c r="G624" s="1645"/>
      <c r="H624" s="196"/>
    </row>
    <row r="625" spans="1:8" ht="15" customHeight="1">
      <c r="A625" s="199"/>
      <c r="B625" s="196" t="s">
        <v>3</v>
      </c>
      <c r="C625" s="199">
        <v>2</v>
      </c>
      <c r="D625" s="306">
        <v>12</v>
      </c>
      <c r="E625" s="306">
        <v>6</v>
      </c>
      <c r="F625" s="306">
        <v>0.15</v>
      </c>
      <c r="G625" s="481">
        <f>ROUND((C625*D625*E625*F625),2)</f>
        <v>21.6</v>
      </c>
      <c r="H625" s="312" t="s">
        <v>625</v>
      </c>
    </row>
    <row r="626" spans="1:8" ht="15" customHeight="1">
      <c r="A626" s="199">
        <v>18</v>
      </c>
      <c r="B626" s="196" t="s">
        <v>1</v>
      </c>
      <c r="C626" s="199"/>
      <c r="D626" s="306"/>
      <c r="E626" s="306"/>
      <c r="F626" s="306"/>
      <c r="G626" s="1645"/>
      <c r="H626" s="312"/>
    </row>
    <row r="627" spans="1:8" ht="15" customHeight="1">
      <c r="A627" s="199"/>
      <c r="B627" s="196" t="s">
        <v>4</v>
      </c>
      <c r="C627" s="199">
        <v>2</v>
      </c>
      <c r="D627" s="306">
        <v>12</v>
      </c>
      <c r="E627" s="306">
        <v>6</v>
      </c>
      <c r="F627" s="306">
        <v>0.15</v>
      </c>
      <c r="G627" s="481">
        <f>ROUND((C627*D627*E627*F627),2)</f>
        <v>21.6</v>
      </c>
      <c r="H627" s="312" t="s">
        <v>625</v>
      </c>
    </row>
    <row r="628" spans="1:8" ht="15" customHeight="1">
      <c r="A628" s="199">
        <v>19</v>
      </c>
      <c r="B628" s="196" t="s">
        <v>68</v>
      </c>
      <c r="C628" s="199"/>
      <c r="D628" s="306"/>
      <c r="E628" s="306"/>
      <c r="F628" s="306"/>
      <c r="G628" s="1644"/>
      <c r="H628" s="312"/>
    </row>
    <row r="629" spans="1:8" ht="15" customHeight="1">
      <c r="A629" s="200"/>
      <c r="B629" s="308" t="s">
        <v>69</v>
      </c>
      <c r="C629" s="200">
        <v>2</v>
      </c>
      <c r="D629" s="314">
        <v>12</v>
      </c>
      <c r="E629" s="314">
        <v>6</v>
      </c>
      <c r="F629" s="314">
        <v>1</v>
      </c>
      <c r="G629" s="1669">
        <f>ROUND((C629*D629*E629*F629),2)</f>
        <v>144</v>
      </c>
      <c r="H629" s="1670" t="s">
        <v>625</v>
      </c>
    </row>
    <row r="630" spans="1:8" ht="11.25" customHeight="1">
      <c r="A630" s="204"/>
      <c r="B630" s="190"/>
      <c r="C630" s="204"/>
      <c r="D630" s="309"/>
      <c r="E630" s="309"/>
      <c r="F630" s="309"/>
      <c r="G630" s="465"/>
      <c r="H630" s="363"/>
    </row>
    <row r="631" spans="1:8" ht="17.100000000000001" customHeight="1">
      <c r="A631" s="285" t="s">
        <v>7</v>
      </c>
    </row>
    <row r="632" spans="1:8" ht="7.5" customHeight="1">
      <c r="A632" s="1638"/>
      <c r="B632" s="1638"/>
      <c r="C632" s="1639"/>
      <c r="D632" s="1640"/>
      <c r="E632" s="1640"/>
      <c r="F632" s="1640"/>
      <c r="G632" s="1641"/>
      <c r="H632" s="1638"/>
    </row>
    <row r="633" spans="1:8" ht="18" customHeight="1">
      <c r="A633" s="1634" t="s">
        <v>961</v>
      </c>
      <c r="B633" s="1634" t="s">
        <v>962</v>
      </c>
      <c r="C633" s="1635" t="s">
        <v>963</v>
      </c>
      <c r="D633" s="1636" t="s">
        <v>1051</v>
      </c>
      <c r="E633" s="1636" t="s">
        <v>1052</v>
      </c>
      <c r="F633" s="1636" t="s">
        <v>1053</v>
      </c>
      <c r="G633" s="1637" t="s">
        <v>964</v>
      </c>
      <c r="H633" s="1634" t="s">
        <v>1054</v>
      </c>
    </row>
    <row r="634" spans="1:8" ht="18" customHeight="1">
      <c r="A634" s="471">
        <v>20</v>
      </c>
      <c r="B634" s="192" t="s">
        <v>1021</v>
      </c>
      <c r="C634" s="471"/>
      <c r="D634" s="356"/>
      <c r="E634" s="356"/>
      <c r="F634" s="356"/>
      <c r="G634" s="1661"/>
      <c r="H634" s="192"/>
    </row>
    <row r="635" spans="1:8" ht="18" customHeight="1">
      <c r="A635" s="199"/>
      <c r="B635" s="196" t="s">
        <v>1022</v>
      </c>
      <c r="C635" s="2945" t="s">
        <v>1083</v>
      </c>
      <c r="D635" s="2946"/>
      <c r="E635" s="2947"/>
      <c r="F635" s="306"/>
      <c r="G635" s="1645"/>
      <c r="H635" s="196"/>
    </row>
    <row r="636" spans="1:8" ht="18" customHeight="1">
      <c r="A636" s="199"/>
      <c r="B636" s="196" t="s">
        <v>1023</v>
      </c>
      <c r="C636" s="2948"/>
      <c r="D636" s="2949"/>
      <c r="E636" s="2950"/>
      <c r="F636" s="306"/>
      <c r="G636" s="1644">
        <f>ROUND((G558+G561+G564+G565+G566+G572+G577+G574+G578+G580+G582),2)</f>
        <v>129.37</v>
      </c>
      <c r="H636" s="312" t="s">
        <v>628</v>
      </c>
    </row>
    <row r="637" spans="1:8" ht="18" customHeight="1">
      <c r="A637" s="199">
        <v>21</v>
      </c>
      <c r="B637" s="196" t="s">
        <v>2768</v>
      </c>
      <c r="C637" s="199"/>
      <c r="D637" s="306"/>
      <c r="E637" s="2938"/>
      <c r="F637" s="2939"/>
      <c r="G637" s="1645"/>
      <c r="H637" s="196"/>
    </row>
    <row r="638" spans="1:8" ht="18" customHeight="1">
      <c r="A638" s="199"/>
      <c r="B638" s="196" t="s">
        <v>14</v>
      </c>
      <c r="C638" s="199"/>
      <c r="D638" s="306"/>
      <c r="E638" s="2938"/>
      <c r="F638" s="2939"/>
      <c r="G638" s="1645"/>
      <c r="H638" s="1643"/>
    </row>
    <row r="639" spans="1:8" ht="18" customHeight="1">
      <c r="A639" s="199"/>
      <c r="B639" s="196" t="s">
        <v>70</v>
      </c>
      <c r="C639" s="199"/>
      <c r="D639" s="306"/>
      <c r="E639" s="306"/>
      <c r="F639" s="306"/>
      <c r="G639" s="1645"/>
      <c r="H639" s="1643"/>
    </row>
    <row r="640" spans="1:8" ht="18" customHeight="1">
      <c r="A640" s="199"/>
      <c r="B640" s="196" t="s">
        <v>1137</v>
      </c>
      <c r="C640" s="2957" t="s">
        <v>980</v>
      </c>
      <c r="D640" s="2958"/>
      <c r="E640" s="306"/>
      <c r="F640" s="306"/>
      <c r="G640" s="1644" t="s">
        <v>1081</v>
      </c>
      <c r="H640" s="1643"/>
    </row>
    <row r="641" spans="1:8" ht="18" customHeight="1">
      <c r="A641" s="199">
        <v>22</v>
      </c>
      <c r="B641" s="196" t="s">
        <v>679</v>
      </c>
      <c r="C641" s="2957"/>
      <c r="D641" s="2958"/>
      <c r="E641" s="306"/>
      <c r="F641" s="306"/>
      <c r="G641" s="1644"/>
      <c r="H641" s="1643"/>
    </row>
    <row r="642" spans="1:8" ht="18" customHeight="1">
      <c r="A642" s="199"/>
      <c r="B642" s="196" t="s">
        <v>2769</v>
      </c>
      <c r="C642" s="199"/>
      <c r="D642" s="306"/>
      <c r="E642" s="306"/>
      <c r="F642" s="306"/>
      <c r="G642" s="1644"/>
      <c r="H642" s="1643"/>
    </row>
    <row r="643" spans="1:8" ht="18" customHeight="1">
      <c r="A643" s="199"/>
      <c r="B643" s="196" t="s">
        <v>71</v>
      </c>
      <c r="C643" s="2957" t="s">
        <v>980</v>
      </c>
      <c r="D643" s="2958"/>
      <c r="E643" s="306"/>
      <c r="F643" s="306"/>
      <c r="G643" s="1644" t="s">
        <v>1081</v>
      </c>
      <c r="H643" s="1643"/>
    </row>
    <row r="644" spans="1:8" ht="18" customHeight="1">
      <c r="A644" s="199">
        <v>23</v>
      </c>
      <c r="B644" s="196" t="s">
        <v>18</v>
      </c>
      <c r="C644" s="2957"/>
      <c r="D644" s="2958"/>
      <c r="E644" s="306"/>
      <c r="F644" s="306"/>
      <c r="G644" s="1644"/>
      <c r="H644" s="1643"/>
    </row>
    <row r="645" spans="1:8" ht="18" customHeight="1">
      <c r="A645" s="199"/>
      <c r="B645" s="196" t="s">
        <v>460</v>
      </c>
      <c r="C645" s="199"/>
      <c r="D645" s="306"/>
      <c r="E645" s="306"/>
      <c r="F645" s="306"/>
      <c r="G645" s="1644"/>
      <c r="H645" s="1643"/>
    </row>
    <row r="646" spans="1:8" ht="18" customHeight="1">
      <c r="A646" s="199"/>
      <c r="B646" s="196" t="s">
        <v>1234</v>
      </c>
      <c r="C646" s="2957" t="s">
        <v>980</v>
      </c>
      <c r="D646" s="2958"/>
      <c r="E646" s="306"/>
      <c r="F646" s="306"/>
      <c r="G646" s="1644" t="s">
        <v>1081</v>
      </c>
      <c r="H646" s="1643"/>
    </row>
    <row r="647" spans="1:8" ht="18" customHeight="1">
      <c r="A647" s="199">
        <v>24</v>
      </c>
      <c r="B647" s="196" t="s">
        <v>1095</v>
      </c>
      <c r="C647" s="199"/>
      <c r="D647" s="306"/>
      <c r="E647" s="306"/>
      <c r="F647" s="306"/>
      <c r="G647" s="1645"/>
      <c r="H647" s="1643"/>
    </row>
    <row r="648" spans="1:8" ht="18" customHeight="1">
      <c r="A648" s="199"/>
      <c r="B648" s="196" t="s">
        <v>1096</v>
      </c>
      <c r="C648" s="199"/>
      <c r="D648" s="306"/>
      <c r="E648" s="306"/>
      <c r="F648" s="306"/>
      <c r="G648" s="1645"/>
      <c r="H648" s="1643"/>
    </row>
    <row r="649" spans="1:8" ht="18" customHeight="1">
      <c r="A649" s="199"/>
      <c r="B649" s="196" t="s">
        <v>978</v>
      </c>
      <c r="C649" s="199"/>
      <c r="D649" s="306"/>
      <c r="E649" s="306"/>
      <c r="F649" s="306"/>
      <c r="G649" s="1645"/>
      <c r="H649" s="1643"/>
    </row>
    <row r="650" spans="1:8" ht="18" customHeight="1">
      <c r="A650" s="200"/>
      <c r="B650" s="308" t="s">
        <v>979</v>
      </c>
      <c r="C650" s="200">
        <v>4</v>
      </c>
      <c r="D650" s="314"/>
      <c r="E650" s="314"/>
      <c r="F650" s="314"/>
      <c r="G650" s="1660">
        <f>C650</f>
        <v>4</v>
      </c>
      <c r="H650" s="308" t="s">
        <v>1082</v>
      </c>
    </row>
    <row r="651" spans="1:8" ht="11.25" customHeight="1">
      <c r="B651" s="303"/>
      <c r="C651" s="362"/>
      <c r="D651" s="304"/>
      <c r="E651" s="304"/>
      <c r="F651" s="304"/>
      <c r="G651" s="391"/>
      <c r="H651" s="303"/>
    </row>
    <row r="652" spans="1:8" ht="15" customHeight="1">
      <c r="A652" s="285" t="s">
        <v>1036</v>
      </c>
    </row>
    <row r="653" spans="1:8" ht="11.25" customHeight="1">
      <c r="A653" s="1638"/>
      <c r="B653" s="1638"/>
      <c r="C653" s="1639"/>
      <c r="D653" s="1640"/>
      <c r="E653" s="1640"/>
      <c r="F653" s="1640"/>
      <c r="G653" s="1641"/>
      <c r="H653" s="1638"/>
    </row>
    <row r="654" spans="1:8" ht="17.100000000000001" customHeight="1">
      <c r="A654" s="1634" t="s">
        <v>961</v>
      </c>
      <c r="B654" s="1634" t="s">
        <v>962</v>
      </c>
      <c r="C654" s="1635" t="s">
        <v>963</v>
      </c>
      <c r="D654" s="1636" t="s">
        <v>1051</v>
      </c>
      <c r="E654" s="1636" t="s">
        <v>1052</v>
      </c>
      <c r="F654" s="1636" t="s">
        <v>1053</v>
      </c>
      <c r="G654" s="1637" t="s">
        <v>964</v>
      </c>
      <c r="H654" s="1634" t="s">
        <v>1054</v>
      </c>
    </row>
    <row r="655" spans="1:8" ht="17.100000000000001" customHeight="1">
      <c r="A655" s="191">
        <v>1</v>
      </c>
      <c r="B655" s="192" t="s">
        <v>966</v>
      </c>
      <c r="C655" s="471">
        <v>1</v>
      </c>
      <c r="D655" s="356">
        <v>4</v>
      </c>
      <c r="E655" s="356">
        <v>4</v>
      </c>
      <c r="F655" s="356"/>
      <c r="G655" s="1671">
        <f>ROUND((C655*D655*E655),2)</f>
        <v>16</v>
      </c>
      <c r="H655" s="1672" t="s">
        <v>628</v>
      </c>
    </row>
    <row r="656" spans="1:8" ht="17.100000000000001" customHeight="1">
      <c r="A656" s="195">
        <v>2</v>
      </c>
      <c r="B656" s="196" t="s">
        <v>991</v>
      </c>
      <c r="C656" s="199"/>
      <c r="D656" s="306"/>
      <c r="E656" s="306"/>
      <c r="F656" s="306"/>
      <c r="G656" s="1645"/>
      <c r="H656" s="1643"/>
    </row>
    <row r="657" spans="1:8" ht="17.100000000000001" customHeight="1">
      <c r="A657" s="196"/>
      <c r="B657" s="196" t="s">
        <v>968</v>
      </c>
      <c r="C657" s="1657">
        <v>1</v>
      </c>
      <c r="D657" s="306">
        <v>4</v>
      </c>
      <c r="E657" s="306">
        <v>4</v>
      </c>
      <c r="F657" s="306">
        <v>0.35</v>
      </c>
      <c r="G657" s="481">
        <f>ROUND((C657*D657*E657*F657),2)</f>
        <v>5.6</v>
      </c>
      <c r="H657" s="312" t="s">
        <v>625</v>
      </c>
    </row>
    <row r="658" spans="1:8" ht="17.100000000000001" customHeight="1">
      <c r="A658" s="195">
        <v>3</v>
      </c>
      <c r="B658" s="196" t="s">
        <v>993</v>
      </c>
      <c r="C658" s="1657">
        <v>1</v>
      </c>
      <c r="D658" s="306">
        <v>4</v>
      </c>
      <c r="E658" s="306">
        <v>4</v>
      </c>
      <c r="F658" s="306">
        <v>0.2</v>
      </c>
      <c r="G658" s="481">
        <f>ROUND((C658*D658*E658*F658),2)</f>
        <v>3.2</v>
      </c>
      <c r="H658" s="312" t="s">
        <v>625</v>
      </c>
    </row>
    <row r="659" spans="1:8" ht="17.100000000000001" customHeight="1">
      <c r="A659" s="195">
        <v>4</v>
      </c>
      <c r="B659" s="196" t="s">
        <v>986</v>
      </c>
      <c r="C659" s="1657"/>
      <c r="D659" s="306"/>
      <c r="E659" s="306"/>
      <c r="F659" s="306"/>
      <c r="G659" s="1645"/>
      <c r="H659" s="1643"/>
    </row>
    <row r="660" spans="1:8" ht="17.100000000000001" customHeight="1">
      <c r="A660" s="196"/>
      <c r="B660" s="196" t="s">
        <v>987</v>
      </c>
      <c r="C660" s="1657">
        <v>1</v>
      </c>
      <c r="D660" s="306">
        <v>4</v>
      </c>
      <c r="E660" s="306">
        <v>4</v>
      </c>
      <c r="F660" s="306">
        <v>0.1</v>
      </c>
      <c r="G660" s="481">
        <f>ROUND((C660*D660*E660*F660),2)</f>
        <v>1.6</v>
      </c>
      <c r="H660" s="312" t="s">
        <v>625</v>
      </c>
    </row>
    <row r="661" spans="1:8" ht="17.100000000000001" customHeight="1">
      <c r="A661" s="195">
        <v>5</v>
      </c>
      <c r="B661" s="196" t="s">
        <v>994</v>
      </c>
      <c r="C661" s="1657"/>
      <c r="D661" s="306"/>
      <c r="E661" s="306"/>
      <c r="F661" s="306"/>
      <c r="G661" s="1645"/>
      <c r="H661" s="1643"/>
    </row>
    <row r="662" spans="1:8" ht="17.100000000000001" customHeight="1">
      <c r="A662" s="196"/>
      <c r="B662" s="196" t="s">
        <v>995</v>
      </c>
      <c r="C662" s="1657">
        <v>1</v>
      </c>
      <c r="D662" s="306">
        <v>4</v>
      </c>
      <c r="E662" s="306">
        <v>4</v>
      </c>
      <c r="F662" s="306">
        <v>0.1</v>
      </c>
      <c r="G662" s="481">
        <f>ROUND((C662*D662*E662*F662),2)</f>
        <v>1.6</v>
      </c>
      <c r="H662" s="312" t="s">
        <v>625</v>
      </c>
    </row>
    <row r="663" spans="1:8" ht="17.100000000000001" customHeight="1">
      <c r="A663" s="195">
        <v>6</v>
      </c>
      <c r="B663" s="196" t="s">
        <v>976</v>
      </c>
      <c r="C663" s="1657"/>
      <c r="D663" s="306"/>
      <c r="E663" s="306"/>
      <c r="F663" s="306"/>
      <c r="G663" s="1645"/>
      <c r="H663" s="1643"/>
    </row>
    <row r="664" spans="1:8" ht="17.100000000000001" customHeight="1">
      <c r="A664" s="196"/>
      <c r="B664" s="196" t="s">
        <v>1020</v>
      </c>
      <c r="C664" s="1657">
        <v>1</v>
      </c>
      <c r="D664" s="306">
        <v>4</v>
      </c>
      <c r="E664" s="306">
        <v>4</v>
      </c>
      <c r="F664" s="306"/>
      <c r="G664" s="481">
        <f>ROUND((C664*D664*E664),2)</f>
        <v>16</v>
      </c>
      <c r="H664" s="312" t="s">
        <v>628</v>
      </c>
    </row>
    <row r="665" spans="1:8" ht="17.100000000000001" customHeight="1">
      <c r="A665" s="195">
        <v>7</v>
      </c>
      <c r="B665" s="196" t="s">
        <v>977</v>
      </c>
      <c r="C665" s="1657"/>
      <c r="D665" s="306"/>
      <c r="E665" s="306"/>
      <c r="F665" s="306"/>
      <c r="G665" s="1645"/>
      <c r="H665" s="1643"/>
    </row>
    <row r="666" spans="1:8" ht="17.100000000000001" customHeight="1">
      <c r="A666" s="308"/>
      <c r="B666" s="308" t="s">
        <v>969</v>
      </c>
      <c r="C666" s="1673">
        <v>1</v>
      </c>
      <c r="D666" s="314">
        <v>4</v>
      </c>
      <c r="E666" s="314">
        <v>4</v>
      </c>
      <c r="F666" s="314"/>
      <c r="G666" s="1674">
        <f>ROUND((C666*D666*E666),2)</f>
        <v>16</v>
      </c>
      <c r="H666" s="1670" t="s">
        <v>628</v>
      </c>
    </row>
    <row r="667" spans="1:8" ht="13.5" customHeight="1"/>
    <row r="668" spans="1:8" ht="17.100000000000001" customHeight="1">
      <c r="A668" s="285" t="s">
        <v>1032</v>
      </c>
    </row>
    <row r="669" spans="1:8" ht="11.25" customHeight="1">
      <c r="A669" s="1638"/>
      <c r="B669" s="1638"/>
      <c r="C669" s="1639"/>
      <c r="D669" s="1640"/>
      <c r="E669" s="1640"/>
      <c r="F669" s="1640"/>
      <c r="G669" s="1641"/>
      <c r="H669" s="1638"/>
    </row>
    <row r="670" spans="1:8" ht="17.100000000000001" customHeight="1">
      <c r="A670" s="1634" t="s">
        <v>961</v>
      </c>
      <c r="B670" s="1634" t="s">
        <v>962</v>
      </c>
      <c r="C670" s="1635" t="s">
        <v>963</v>
      </c>
      <c r="D670" s="1636" t="s">
        <v>1051</v>
      </c>
      <c r="E670" s="1636" t="s">
        <v>1052</v>
      </c>
      <c r="F670" s="1636" t="s">
        <v>1053</v>
      </c>
      <c r="G670" s="1637" t="s">
        <v>964</v>
      </c>
      <c r="H670" s="1634" t="s">
        <v>1054</v>
      </c>
    </row>
    <row r="671" spans="1:8" ht="17.100000000000001" customHeight="1">
      <c r="A671" s="191">
        <v>1</v>
      </c>
      <c r="B671" s="192" t="s">
        <v>966</v>
      </c>
      <c r="C671" s="471">
        <v>1</v>
      </c>
      <c r="D671" s="356">
        <v>2</v>
      </c>
      <c r="E671" s="356">
        <v>2</v>
      </c>
      <c r="F671" s="356"/>
      <c r="G671" s="1671">
        <f>ROUND((C671*D671*E671),2)</f>
        <v>4</v>
      </c>
      <c r="H671" s="1672" t="s">
        <v>628</v>
      </c>
    </row>
    <row r="672" spans="1:8" ht="17.100000000000001" customHeight="1">
      <c r="A672" s="195">
        <v>2</v>
      </c>
      <c r="B672" s="196" t="s">
        <v>967</v>
      </c>
      <c r="C672" s="199"/>
      <c r="D672" s="306"/>
      <c r="E672" s="306"/>
      <c r="F672" s="306"/>
      <c r="G672" s="1645"/>
      <c r="H672" s="1643"/>
    </row>
    <row r="673" spans="1:8" ht="15.75" customHeight="1">
      <c r="A673" s="196"/>
      <c r="B673" s="196" t="s">
        <v>968</v>
      </c>
      <c r="C673" s="199">
        <v>1</v>
      </c>
      <c r="D673" s="306">
        <v>1.5</v>
      </c>
      <c r="E673" s="306">
        <v>1.5</v>
      </c>
      <c r="F673" s="306">
        <v>0.4</v>
      </c>
      <c r="G673" s="481">
        <f>ROUND((C673*D673*E673*F673),2)</f>
        <v>0.9</v>
      </c>
      <c r="H673" s="312" t="s">
        <v>625</v>
      </c>
    </row>
    <row r="674" spans="1:8" ht="17.100000000000001" customHeight="1">
      <c r="A674" s="195">
        <v>3</v>
      </c>
      <c r="B674" s="196" t="s">
        <v>1147</v>
      </c>
      <c r="C674" s="199">
        <v>1</v>
      </c>
      <c r="D674" s="306">
        <v>1.5</v>
      </c>
      <c r="E674" s="306">
        <v>1.5</v>
      </c>
      <c r="F674" s="306">
        <v>0.15</v>
      </c>
      <c r="G674" s="481">
        <f>ROUND((C674*D674*E674*F674),2)</f>
        <v>0.34</v>
      </c>
      <c r="H674" s="312" t="s">
        <v>625</v>
      </c>
    </row>
    <row r="675" spans="1:8" ht="17.100000000000001" customHeight="1">
      <c r="A675" s="195">
        <v>4</v>
      </c>
      <c r="B675" s="196" t="s">
        <v>1148</v>
      </c>
      <c r="C675" s="199">
        <v>1</v>
      </c>
      <c r="D675" s="306">
        <v>1.5</v>
      </c>
      <c r="E675" s="306">
        <v>1.5</v>
      </c>
      <c r="F675" s="306">
        <v>0.1</v>
      </c>
      <c r="G675" s="479">
        <f>ROUND((C675*D675*E675*F675),2)</f>
        <v>0.23</v>
      </c>
      <c r="H675" s="1643"/>
    </row>
    <row r="676" spans="1:8" ht="17.100000000000001" customHeight="1">
      <c r="A676" s="195"/>
      <c r="B676" s="196" t="s">
        <v>1149</v>
      </c>
      <c r="C676" s="199">
        <v>1</v>
      </c>
      <c r="D676" s="306">
        <v>0.54165000000000019</v>
      </c>
      <c r="E676" s="306"/>
      <c r="F676" s="306">
        <v>0.05</v>
      </c>
      <c r="G676" s="479">
        <f>ROUND((C676*D676*F676),2)</f>
        <v>0.03</v>
      </c>
      <c r="H676" s="1643"/>
    </row>
    <row r="677" spans="1:8" ht="17.100000000000001" customHeight="1">
      <c r="A677" s="195"/>
      <c r="B677" s="196"/>
      <c r="C677" s="199"/>
      <c r="D677" s="306"/>
      <c r="E677" s="2938" t="s">
        <v>1108</v>
      </c>
      <c r="F677" s="2939"/>
      <c r="G677" s="1644">
        <f>ROUND(SUM(G675:G676),2)</f>
        <v>0.26</v>
      </c>
      <c r="H677" s="312" t="s">
        <v>625</v>
      </c>
    </row>
    <row r="678" spans="1:8" ht="17.100000000000001" customHeight="1">
      <c r="A678" s="195">
        <v>5</v>
      </c>
      <c r="B678" s="196" t="s">
        <v>681</v>
      </c>
      <c r="C678" s="199"/>
      <c r="D678" s="306"/>
      <c r="E678" s="306"/>
      <c r="F678" s="306"/>
      <c r="G678" s="1645"/>
      <c r="H678" s="1643"/>
    </row>
    <row r="679" spans="1:8" ht="17.100000000000001" customHeight="1">
      <c r="A679" s="196"/>
      <c r="B679" s="196" t="s">
        <v>682</v>
      </c>
      <c r="C679" s="199">
        <v>1</v>
      </c>
      <c r="D679" s="306">
        <v>0.54165000000000019</v>
      </c>
      <c r="E679" s="306">
        <v>0.23</v>
      </c>
      <c r="F679" s="306">
        <v>0.45</v>
      </c>
      <c r="G679" s="481">
        <f>ROUND((C679*D679*F679),2)</f>
        <v>0.24</v>
      </c>
      <c r="H679" s="312" t="s">
        <v>625</v>
      </c>
    </row>
    <row r="680" spans="1:8" ht="17.100000000000001" customHeight="1">
      <c r="A680" s="195">
        <v>6</v>
      </c>
      <c r="B680" s="196" t="s">
        <v>454</v>
      </c>
      <c r="C680" s="199"/>
      <c r="D680" s="306"/>
      <c r="E680" s="306"/>
      <c r="F680" s="306"/>
      <c r="G680" s="1645"/>
      <c r="H680" s="1643"/>
    </row>
    <row r="681" spans="1:8" ht="17.100000000000001" customHeight="1">
      <c r="A681" s="196"/>
      <c r="B681" s="196" t="s">
        <v>1153</v>
      </c>
      <c r="C681" s="199">
        <v>1</v>
      </c>
      <c r="D681" s="306"/>
      <c r="E681" s="306"/>
      <c r="F681" s="306"/>
      <c r="G681" s="1644">
        <v>1</v>
      </c>
      <c r="H681" s="1643" t="s">
        <v>1154</v>
      </c>
    </row>
    <row r="682" spans="1:8" ht="17.100000000000001" customHeight="1">
      <c r="A682" s="195">
        <v>7</v>
      </c>
      <c r="B682" s="196" t="s">
        <v>1150</v>
      </c>
      <c r="C682" s="199"/>
      <c r="D682" s="306"/>
      <c r="E682" s="306"/>
      <c r="F682" s="306"/>
      <c r="G682" s="1645"/>
      <c r="H682" s="1643"/>
    </row>
    <row r="683" spans="1:8" ht="17.100000000000001" customHeight="1">
      <c r="A683" s="196"/>
      <c r="B683" s="196" t="s">
        <v>1151</v>
      </c>
      <c r="C683" s="199"/>
      <c r="D683" s="306"/>
      <c r="E683" s="306"/>
      <c r="F683" s="306"/>
      <c r="G683" s="1645"/>
      <c r="H683" s="1643"/>
    </row>
    <row r="684" spans="1:8" ht="17.100000000000001" customHeight="1">
      <c r="A684" s="196"/>
      <c r="B684" s="196" t="s">
        <v>1152</v>
      </c>
      <c r="C684" s="199"/>
      <c r="D684" s="306"/>
      <c r="E684" s="306"/>
      <c r="F684" s="306"/>
      <c r="G684" s="1645"/>
      <c r="H684" s="1643"/>
    </row>
    <row r="685" spans="1:8" ht="17.100000000000001" customHeight="1">
      <c r="A685" s="196"/>
      <c r="B685" s="196" t="s">
        <v>462</v>
      </c>
      <c r="C685" s="199">
        <v>1</v>
      </c>
      <c r="D685" s="306"/>
      <c r="E685" s="306"/>
      <c r="F685" s="306"/>
      <c r="G685" s="1644">
        <v>1</v>
      </c>
      <c r="H685" s="1643" t="s">
        <v>1154</v>
      </c>
    </row>
    <row r="686" spans="1:8" ht="17.100000000000001" customHeight="1">
      <c r="A686" s="308"/>
      <c r="B686" s="308"/>
      <c r="C686" s="200"/>
      <c r="D686" s="314"/>
      <c r="E686" s="314"/>
      <c r="F686" s="314"/>
      <c r="G686" s="1667"/>
      <c r="H686" s="1654"/>
    </row>
    <row r="687" spans="1:8" ht="8.25" customHeight="1">
      <c r="A687" s="190"/>
      <c r="B687" s="190"/>
      <c r="C687" s="204"/>
      <c r="D687" s="309"/>
      <c r="E687" s="309"/>
      <c r="F687" s="309"/>
      <c r="G687" s="393"/>
    </row>
    <row r="688" spans="1:8" ht="15" customHeight="1">
      <c r="A688" s="285" t="s">
        <v>684</v>
      </c>
    </row>
    <row r="689" spans="1:8" ht="11.25" customHeight="1">
      <c r="A689" s="364"/>
      <c r="B689" s="1638"/>
      <c r="C689" s="1639"/>
      <c r="D689" s="1640"/>
      <c r="E689" s="1640"/>
      <c r="F689" s="1640"/>
      <c r="G689" s="1641"/>
      <c r="H689" s="1638"/>
    </row>
    <row r="690" spans="1:8" ht="15" customHeight="1">
      <c r="A690" s="1634" t="s">
        <v>961</v>
      </c>
      <c r="B690" s="1634" t="s">
        <v>962</v>
      </c>
      <c r="C690" s="1635" t="s">
        <v>963</v>
      </c>
      <c r="D690" s="1636" t="s">
        <v>1051</v>
      </c>
      <c r="E690" s="1636" t="s">
        <v>1052</v>
      </c>
      <c r="F690" s="1636" t="s">
        <v>1053</v>
      </c>
      <c r="G690" s="1637" t="s">
        <v>964</v>
      </c>
      <c r="H690" s="1634" t="s">
        <v>1054</v>
      </c>
    </row>
    <row r="691" spans="1:8" ht="15" customHeight="1">
      <c r="A691" s="191">
        <v>1</v>
      </c>
      <c r="B691" s="192" t="s">
        <v>966</v>
      </c>
      <c r="C691" s="471">
        <v>1</v>
      </c>
      <c r="D691" s="356">
        <v>10</v>
      </c>
      <c r="E691" s="356">
        <v>1.6</v>
      </c>
      <c r="F691" s="356"/>
      <c r="G691" s="1671">
        <f>ROUND((C691*D691*E691),2)</f>
        <v>16</v>
      </c>
      <c r="H691" s="1672" t="s">
        <v>628</v>
      </c>
    </row>
    <row r="692" spans="1:8" ht="15" customHeight="1">
      <c r="A692" s="195">
        <v>2</v>
      </c>
      <c r="B692" s="196" t="s">
        <v>1167</v>
      </c>
      <c r="C692" s="199"/>
      <c r="D692" s="306"/>
      <c r="E692" s="306"/>
      <c r="F692" s="306"/>
      <c r="G692" s="1645"/>
      <c r="H692" s="1643"/>
    </row>
    <row r="693" spans="1:8" ht="15" customHeight="1">
      <c r="A693" s="1643"/>
      <c r="B693" s="196" t="s">
        <v>1166</v>
      </c>
      <c r="C693" s="199"/>
      <c r="D693" s="306"/>
      <c r="E693" s="306"/>
      <c r="F693" s="306"/>
      <c r="G693" s="1645"/>
      <c r="H693" s="1643"/>
    </row>
    <row r="694" spans="1:8" ht="15.95" customHeight="1">
      <c r="A694" s="196"/>
      <c r="B694" s="199" t="s">
        <v>998</v>
      </c>
      <c r="C694" s="199">
        <v>1</v>
      </c>
      <c r="D694" s="306">
        <v>10</v>
      </c>
      <c r="E694" s="306">
        <v>1.6</v>
      </c>
      <c r="F694" s="306">
        <v>0.15</v>
      </c>
      <c r="G694" s="479">
        <f>ROUND((C694*D694*E694*F694),2)</f>
        <v>2.4</v>
      </c>
      <c r="H694" s="1643"/>
    </row>
    <row r="695" spans="1:8" ht="15.95" customHeight="1">
      <c r="A695" s="196"/>
      <c r="B695" s="199" t="s">
        <v>999</v>
      </c>
      <c r="C695" s="199">
        <v>1</v>
      </c>
      <c r="D695" s="306">
        <v>10</v>
      </c>
      <c r="E695" s="306">
        <v>0.35</v>
      </c>
      <c r="F695" s="306">
        <v>0.3</v>
      </c>
      <c r="G695" s="479">
        <f>ROUND((C695*D695*E695*F695),2)</f>
        <v>1.05</v>
      </c>
      <c r="H695" s="1643"/>
    </row>
    <row r="696" spans="1:8" ht="15.95" customHeight="1">
      <c r="A696" s="196"/>
      <c r="B696" s="199" t="s">
        <v>1000</v>
      </c>
      <c r="C696" s="199">
        <v>1</v>
      </c>
      <c r="D696" s="306">
        <v>10</v>
      </c>
      <c r="E696" s="306">
        <v>0.45</v>
      </c>
      <c r="F696" s="306">
        <v>0.3</v>
      </c>
      <c r="G696" s="479">
        <f>ROUND((C696*D696*E696*F696),2)</f>
        <v>1.35</v>
      </c>
      <c r="H696" s="1643"/>
    </row>
    <row r="697" spans="1:8" ht="14.1" customHeight="1">
      <c r="A697" s="196"/>
      <c r="B697" s="199"/>
      <c r="C697" s="199"/>
      <c r="D697" s="306"/>
      <c r="E697" s="306"/>
      <c r="F697" s="306"/>
      <c r="G697" s="1644">
        <f>ROUND(SUM(G694:G696),2)</f>
        <v>4.8</v>
      </c>
      <c r="H697" s="312" t="s">
        <v>625</v>
      </c>
    </row>
    <row r="698" spans="1:8" ht="14.1" customHeight="1">
      <c r="A698" s="195">
        <v>3</v>
      </c>
      <c r="B698" s="196" t="s">
        <v>1159</v>
      </c>
      <c r="C698" s="306"/>
      <c r="D698" s="306"/>
      <c r="E698" s="306"/>
      <c r="F698" s="306"/>
      <c r="G698" s="1645"/>
      <c r="H698" s="1643"/>
    </row>
    <row r="699" spans="1:8" ht="14.1" customHeight="1">
      <c r="A699" s="196"/>
      <c r="B699" s="196" t="s">
        <v>1001</v>
      </c>
      <c r="C699" s="199">
        <v>1</v>
      </c>
      <c r="D699" s="306">
        <v>10</v>
      </c>
      <c r="E699" s="306">
        <v>1</v>
      </c>
      <c r="F699" s="306">
        <v>0.1</v>
      </c>
      <c r="G699" s="481">
        <f t="shared" ref="G699:G706" si="17">ROUND((C699*D699*E699*F699),2)</f>
        <v>1</v>
      </c>
      <c r="H699" s="312" t="s">
        <v>625</v>
      </c>
    </row>
    <row r="700" spans="1:8" ht="14.1" customHeight="1">
      <c r="A700" s="195">
        <v>4</v>
      </c>
      <c r="B700" s="196" t="s">
        <v>1160</v>
      </c>
      <c r="C700" s="199">
        <v>1</v>
      </c>
      <c r="D700" s="306">
        <v>10</v>
      </c>
      <c r="E700" s="306">
        <v>1</v>
      </c>
      <c r="F700" s="306">
        <v>0.15</v>
      </c>
      <c r="G700" s="479">
        <f t="shared" si="17"/>
        <v>1.5</v>
      </c>
      <c r="H700" s="1643"/>
    </row>
    <row r="701" spans="1:8" ht="14.1" customHeight="1">
      <c r="A701" s="196"/>
      <c r="B701" s="199"/>
      <c r="C701" s="199"/>
      <c r="D701" s="306"/>
      <c r="E701" s="2938" t="s">
        <v>1108</v>
      </c>
      <c r="F701" s="2939"/>
      <c r="G701" s="1644">
        <f>ROUND(SUM(G700:G700),2)</f>
        <v>1.5</v>
      </c>
      <c r="H701" s="312" t="s">
        <v>625</v>
      </c>
    </row>
    <row r="702" spans="1:8" ht="14.1" customHeight="1">
      <c r="A702" s="195">
        <v>5</v>
      </c>
      <c r="B702" s="196" t="s">
        <v>683</v>
      </c>
      <c r="C702" s="199">
        <v>1</v>
      </c>
      <c r="D702" s="306">
        <v>10</v>
      </c>
      <c r="E702" s="306">
        <v>0.8</v>
      </c>
      <c r="F702" s="306">
        <v>0.05</v>
      </c>
      <c r="G702" s="481">
        <f t="shared" si="17"/>
        <v>0.4</v>
      </c>
      <c r="H702" s="312" t="s">
        <v>625</v>
      </c>
    </row>
    <row r="703" spans="1:8" ht="14.1" customHeight="1">
      <c r="A703" s="195">
        <v>6</v>
      </c>
      <c r="B703" s="312" t="s">
        <v>1161</v>
      </c>
      <c r="C703" s="199"/>
      <c r="D703" s="306"/>
      <c r="E703" s="306"/>
      <c r="F703" s="306"/>
      <c r="G703" s="1645"/>
      <c r="H703" s="1643"/>
    </row>
    <row r="704" spans="1:8" ht="14.1" customHeight="1">
      <c r="A704" s="196"/>
      <c r="B704" s="196" t="s">
        <v>1162</v>
      </c>
      <c r="C704" s="199">
        <v>1</v>
      </c>
      <c r="D704" s="306">
        <v>10</v>
      </c>
      <c r="E704" s="306">
        <v>0.23</v>
      </c>
      <c r="F704" s="306">
        <v>0.15</v>
      </c>
      <c r="G704" s="479">
        <f t="shared" si="17"/>
        <v>0.35</v>
      </c>
      <c r="H704" s="312"/>
    </row>
    <row r="705" spans="1:8" ht="14.1" customHeight="1">
      <c r="A705" s="196"/>
      <c r="B705" s="196" t="s">
        <v>920</v>
      </c>
      <c r="C705" s="199">
        <v>1</v>
      </c>
      <c r="D705" s="306">
        <v>10</v>
      </c>
      <c r="E705" s="306">
        <v>0.8</v>
      </c>
      <c r="F705" s="306">
        <v>0.25</v>
      </c>
      <c r="G705" s="479">
        <f>ROUND((C705*D705*E705*F705),2)</f>
        <v>2</v>
      </c>
      <c r="H705" s="312"/>
    </row>
    <row r="706" spans="1:8" ht="14.1" customHeight="1">
      <c r="A706" s="196"/>
      <c r="B706" s="312" t="s">
        <v>1163</v>
      </c>
      <c r="C706" s="199">
        <v>1</v>
      </c>
      <c r="D706" s="306">
        <v>10</v>
      </c>
      <c r="E706" s="306">
        <v>0.23</v>
      </c>
      <c r="F706" s="306">
        <v>0.25</v>
      </c>
      <c r="G706" s="479">
        <f t="shared" si="17"/>
        <v>0.57999999999999996</v>
      </c>
      <c r="H706" s="1643"/>
    </row>
    <row r="707" spans="1:8" ht="14.1" customHeight="1">
      <c r="A707" s="196"/>
      <c r="B707" s="312"/>
      <c r="C707" s="199"/>
      <c r="D707" s="306"/>
      <c r="E707" s="2938" t="s">
        <v>1108</v>
      </c>
      <c r="F707" s="2939"/>
      <c r="G707" s="1644">
        <f>ROUND(SUM(G704:G706),2)</f>
        <v>2.93</v>
      </c>
      <c r="H707" s="312" t="s">
        <v>625</v>
      </c>
    </row>
    <row r="708" spans="1:8" ht="14.1" customHeight="1">
      <c r="A708" s="195">
        <v>7</v>
      </c>
      <c r="B708" s="312" t="s">
        <v>1133</v>
      </c>
      <c r="C708" s="199"/>
      <c r="D708" s="306"/>
      <c r="E708" s="306"/>
      <c r="F708" s="306"/>
      <c r="G708" s="1645"/>
      <c r="H708" s="1643"/>
    </row>
    <row r="709" spans="1:8" ht="14.1" customHeight="1">
      <c r="A709" s="308"/>
      <c r="B709" s="308" t="s">
        <v>1164</v>
      </c>
      <c r="C709" s="200">
        <v>1</v>
      </c>
      <c r="D709" s="314">
        <v>10</v>
      </c>
      <c r="E709" s="314">
        <v>1.06</v>
      </c>
      <c r="F709" s="314"/>
      <c r="G709" s="1674">
        <f>ROUND((C709*D709*E709),2)</f>
        <v>10.6</v>
      </c>
      <c r="H709" s="1670" t="s">
        <v>628</v>
      </c>
    </row>
    <row r="710" spans="1:8" ht="7.5" customHeight="1">
      <c r="A710" s="190"/>
      <c r="B710" s="190"/>
      <c r="C710" s="204"/>
      <c r="D710" s="309"/>
      <c r="E710" s="309"/>
      <c r="F710" s="309"/>
      <c r="G710" s="393"/>
    </row>
    <row r="711" spans="1:8" ht="15.95" customHeight="1">
      <c r="A711" s="285" t="s">
        <v>904</v>
      </c>
      <c r="B711" s="365"/>
      <c r="C711" s="366"/>
      <c r="D711" s="367"/>
      <c r="E711" s="367"/>
      <c r="F711" s="367"/>
      <c r="G711" s="366"/>
      <c r="H711" s="1632"/>
    </row>
    <row r="712" spans="1:8" ht="15.95" customHeight="1">
      <c r="A712" s="1638"/>
      <c r="B712" s="368"/>
      <c r="C712" s="369"/>
      <c r="D712" s="370"/>
      <c r="E712" s="370"/>
      <c r="F712" s="370"/>
      <c r="G712" s="369"/>
      <c r="H712" s="1633"/>
    </row>
    <row r="713" spans="1:8" ht="14.1" customHeight="1">
      <c r="A713" s="1634" t="s">
        <v>961</v>
      </c>
      <c r="B713" s="1634" t="s">
        <v>962</v>
      </c>
      <c r="C713" s="1635" t="s">
        <v>963</v>
      </c>
      <c r="D713" s="1636" t="s">
        <v>1051</v>
      </c>
      <c r="E713" s="1636" t="s">
        <v>1052</v>
      </c>
      <c r="F713" s="1636" t="s">
        <v>1053</v>
      </c>
      <c r="G713" s="1637" t="s">
        <v>964</v>
      </c>
      <c r="H713" s="1634" t="s">
        <v>1054</v>
      </c>
    </row>
    <row r="714" spans="1:8" ht="15.95" customHeight="1">
      <c r="A714" s="1675"/>
      <c r="B714" s="1676" t="s">
        <v>25</v>
      </c>
      <c r="C714" s="1677"/>
      <c r="D714" s="1678"/>
      <c r="E714" s="1678"/>
      <c r="F714" s="1678"/>
      <c r="G714" s="1679"/>
      <c r="H714" s="1675"/>
    </row>
    <row r="715" spans="1:8" ht="15.95" customHeight="1">
      <c r="A715" s="329">
        <v>1</v>
      </c>
      <c r="B715" s="326" t="s">
        <v>26</v>
      </c>
      <c r="C715" s="1680"/>
      <c r="D715" s="327"/>
      <c r="E715" s="327"/>
      <c r="F715" s="327"/>
      <c r="G715" s="1681" t="s">
        <v>1081</v>
      </c>
      <c r="H715" s="1682"/>
    </row>
    <row r="716" spans="1:8" ht="15.95" customHeight="1">
      <c r="A716" s="329">
        <v>2</v>
      </c>
      <c r="B716" s="326" t="s">
        <v>27</v>
      </c>
      <c r="C716" s="1683">
        <v>16</v>
      </c>
      <c r="D716" s="327">
        <v>0.35</v>
      </c>
      <c r="E716" s="327">
        <v>0.35</v>
      </c>
      <c r="F716" s="327">
        <v>0.6</v>
      </c>
      <c r="G716" s="479">
        <f t="shared" ref="G716:G722" si="18">ROUND((C716*D716*E716*F716),2)</f>
        <v>1.18</v>
      </c>
      <c r="H716" s="528"/>
    </row>
    <row r="717" spans="1:8" ht="15.95" customHeight="1">
      <c r="A717" s="329"/>
      <c r="B717" s="329" t="s">
        <v>28</v>
      </c>
      <c r="C717" s="1683">
        <v>10</v>
      </c>
      <c r="D717" s="327">
        <v>1.5</v>
      </c>
      <c r="E717" s="327">
        <v>0.35</v>
      </c>
      <c r="F717" s="327">
        <v>0.6</v>
      </c>
      <c r="G717" s="479">
        <f t="shared" si="18"/>
        <v>3.15</v>
      </c>
      <c r="H717" s="528"/>
    </row>
    <row r="718" spans="1:8" ht="14.1" customHeight="1">
      <c r="A718" s="329"/>
      <c r="B718" s="329"/>
      <c r="C718" s="1683"/>
      <c r="D718" s="327"/>
      <c r="E718" s="327"/>
      <c r="F718" s="327"/>
      <c r="G718" s="1644">
        <f>ROUND(SUM(G716:G717),2)</f>
        <v>4.33</v>
      </c>
      <c r="H718" s="528" t="s">
        <v>29</v>
      </c>
    </row>
    <row r="719" spans="1:8" ht="15.95" customHeight="1">
      <c r="A719" s="329">
        <v>3</v>
      </c>
      <c r="B719" s="326" t="s">
        <v>30</v>
      </c>
      <c r="C719" s="1683">
        <v>16</v>
      </c>
      <c r="D719" s="327">
        <v>0.35</v>
      </c>
      <c r="E719" s="327">
        <v>0.35</v>
      </c>
      <c r="F719" s="327">
        <v>0.1</v>
      </c>
      <c r="G719" s="479">
        <f t="shared" si="18"/>
        <v>0.2</v>
      </c>
      <c r="H719" s="528"/>
    </row>
    <row r="720" spans="1:8" ht="15.95" customHeight="1">
      <c r="A720" s="329"/>
      <c r="B720" s="329" t="s">
        <v>28</v>
      </c>
      <c r="C720" s="1683">
        <v>10</v>
      </c>
      <c r="D720" s="327">
        <v>1.5</v>
      </c>
      <c r="E720" s="327">
        <v>0.35</v>
      </c>
      <c r="F720" s="327">
        <v>0.1</v>
      </c>
      <c r="G720" s="479">
        <f t="shared" si="18"/>
        <v>0.53</v>
      </c>
      <c r="H720" s="528"/>
    </row>
    <row r="721" spans="1:8" ht="14.1" customHeight="1">
      <c r="A721" s="329"/>
      <c r="B721" s="329"/>
      <c r="C721" s="1683"/>
      <c r="D721" s="327"/>
      <c r="E721" s="327"/>
      <c r="F721" s="327"/>
      <c r="G721" s="1644">
        <f>ROUND(SUM(G719:G720),2)</f>
        <v>0.73</v>
      </c>
      <c r="H721" s="528" t="s">
        <v>29</v>
      </c>
    </row>
    <row r="722" spans="1:8" ht="15.95" customHeight="1">
      <c r="A722" s="329">
        <v>4</v>
      </c>
      <c r="B722" s="326" t="s">
        <v>31</v>
      </c>
      <c r="C722" s="1683">
        <v>16</v>
      </c>
      <c r="D722" s="327">
        <v>0.35</v>
      </c>
      <c r="E722" s="327">
        <v>0.35</v>
      </c>
      <c r="F722" s="327">
        <v>0.5</v>
      </c>
      <c r="G722" s="481">
        <f t="shared" si="18"/>
        <v>0.98</v>
      </c>
      <c r="H722" s="528" t="s">
        <v>29</v>
      </c>
    </row>
    <row r="723" spans="1:8" ht="15.95" customHeight="1">
      <c r="A723" s="329">
        <v>5</v>
      </c>
      <c r="B723" s="326" t="s">
        <v>32</v>
      </c>
      <c r="C723" s="1683">
        <v>16</v>
      </c>
      <c r="D723" s="327">
        <v>0.35</v>
      </c>
      <c r="E723" s="327">
        <v>0.35</v>
      </c>
      <c r="F723" s="327">
        <v>0.5</v>
      </c>
      <c r="G723" s="479">
        <f>ROUND((C723*D723*E723*F723),2)</f>
        <v>0.98</v>
      </c>
      <c r="H723" s="528"/>
    </row>
    <row r="724" spans="1:8" ht="15.95" customHeight="1">
      <c r="A724" s="329"/>
      <c r="B724" s="329" t="s">
        <v>28</v>
      </c>
      <c r="C724" s="1683">
        <v>10</v>
      </c>
      <c r="D724" s="327">
        <v>1.5</v>
      </c>
      <c r="E724" s="327">
        <v>0.35</v>
      </c>
      <c r="F724" s="327">
        <v>0.7</v>
      </c>
      <c r="G724" s="479">
        <f>ROUND((C724*D724*E724*F724),2)</f>
        <v>3.68</v>
      </c>
      <c r="H724" s="528"/>
    </row>
    <row r="725" spans="1:8" ht="14.1" customHeight="1">
      <c r="A725" s="329"/>
      <c r="B725" s="1684"/>
      <c r="C725" s="1680"/>
      <c r="D725" s="327"/>
      <c r="E725" s="327"/>
      <c r="F725" s="327"/>
      <c r="G725" s="1644">
        <f>ROUND(SUM(G723:G724),2)</f>
        <v>4.66</v>
      </c>
      <c r="H725" s="528" t="s">
        <v>29</v>
      </c>
    </row>
    <row r="726" spans="1:8" ht="15.95" customHeight="1">
      <c r="A726" s="329">
        <v>6</v>
      </c>
      <c r="B726" s="326" t="s">
        <v>33</v>
      </c>
      <c r="C726" s="1680"/>
      <c r="D726" s="327"/>
      <c r="E726" s="327"/>
      <c r="F726" s="327"/>
      <c r="G726" s="1680"/>
      <c r="H726" s="1685"/>
    </row>
    <row r="727" spans="1:8" ht="15.95" customHeight="1">
      <c r="A727" s="329"/>
      <c r="B727" s="330" t="s">
        <v>34</v>
      </c>
      <c r="C727" s="1686">
        <v>119</v>
      </c>
      <c r="D727" s="327">
        <v>1.5</v>
      </c>
      <c r="E727" s="327"/>
      <c r="F727" s="327"/>
      <c r="G727" s="1680">
        <f>ROUND((C727*D727),2)</f>
        <v>178.5</v>
      </c>
      <c r="H727" s="1685"/>
    </row>
    <row r="728" spans="1:8" ht="15.95" customHeight="1">
      <c r="A728" s="329"/>
      <c r="B728" s="326" t="s">
        <v>35</v>
      </c>
      <c r="C728" s="1686">
        <v>34</v>
      </c>
      <c r="D728" s="327">
        <v>2.12</v>
      </c>
      <c r="E728" s="327"/>
      <c r="F728" s="327"/>
      <c r="G728" s="1680">
        <f>ROUND((C728*D728),2)</f>
        <v>72.08</v>
      </c>
      <c r="H728" s="1682"/>
    </row>
    <row r="729" spans="1:8" ht="14.1" customHeight="1">
      <c r="A729" s="329"/>
      <c r="B729" s="329"/>
      <c r="C729" s="1680"/>
      <c r="D729" s="327"/>
      <c r="E729" s="327"/>
      <c r="F729" s="327"/>
      <c r="G729" s="1644">
        <f>ROUND(SUM(G727:G728),2)</f>
        <v>250.58</v>
      </c>
      <c r="H729" s="528" t="s">
        <v>965</v>
      </c>
    </row>
    <row r="730" spans="1:8" ht="15.95" customHeight="1">
      <c r="A730" s="329">
        <v>7</v>
      </c>
      <c r="B730" s="326" t="s">
        <v>36</v>
      </c>
      <c r="C730" s="1686">
        <v>36</v>
      </c>
      <c r="D730" s="327">
        <v>0.65</v>
      </c>
      <c r="E730" s="327">
        <v>0.22</v>
      </c>
      <c r="F730" s="327" t="s">
        <v>1067</v>
      </c>
      <c r="G730" s="481">
        <f>ROUND((C730*D730*E730),2)</f>
        <v>5.15</v>
      </c>
      <c r="H730" s="528" t="s">
        <v>1034</v>
      </c>
    </row>
    <row r="731" spans="1:8" ht="15.95" customHeight="1">
      <c r="A731" s="1687">
        <v>8</v>
      </c>
      <c r="B731" s="1688" t="s">
        <v>37</v>
      </c>
      <c r="C731" s="1689">
        <v>16</v>
      </c>
      <c r="D731" s="1690">
        <v>2.8</v>
      </c>
      <c r="E731" s="1690">
        <v>3.5</v>
      </c>
      <c r="F731" s="1690" t="s">
        <v>38</v>
      </c>
      <c r="G731" s="1674">
        <f>ROUND((C731*D731*E731),2)</f>
        <v>156.80000000000001</v>
      </c>
      <c r="H731" s="1691" t="s">
        <v>1034</v>
      </c>
    </row>
    <row r="732" spans="1:8" ht="15.95" customHeight="1">
      <c r="A732" s="365"/>
      <c r="B732" s="365"/>
      <c r="C732" s="375"/>
      <c r="D732" s="367"/>
      <c r="E732" s="367"/>
      <c r="F732" s="367"/>
      <c r="G732" s="366"/>
      <c r="H732" s="376"/>
    </row>
    <row r="733" spans="1:8" ht="15.95" customHeight="1">
      <c r="A733" s="285" t="s">
        <v>903</v>
      </c>
      <c r="B733" s="377"/>
      <c r="C733" s="375"/>
      <c r="D733" s="367"/>
      <c r="E733" s="367"/>
      <c r="F733" s="367"/>
      <c r="G733" s="366"/>
      <c r="H733" s="376"/>
    </row>
    <row r="734" spans="1:8" ht="15.95" customHeight="1">
      <c r="A734" s="368"/>
      <c r="B734" s="378"/>
      <c r="C734" s="379"/>
      <c r="D734" s="370"/>
      <c r="E734" s="370"/>
      <c r="F734" s="370"/>
      <c r="G734" s="369"/>
      <c r="H734" s="380"/>
    </row>
    <row r="735" spans="1:8" ht="14.1" customHeight="1">
      <c r="A735" s="1634" t="s">
        <v>961</v>
      </c>
      <c r="B735" s="1634" t="s">
        <v>962</v>
      </c>
      <c r="C735" s="1635" t="s">
        <v>963</v>
      </c>
      <c r="D735" s="1636" t="s">
        <v>1051</v>
      </c>
      <c r="E735" s="1636" t="s">
        <v>1052</v>
      </c>
      <c r="F735" s="1636" t="s">
        <v>1053</v>
      </c>
      <c r="G735" s="1637" t="s">
        <v>964</v>
      </c>
      <c r="H735" s="1634" t="s">
        <v>1054</v>
      </c>
    </row>
    <row r="736" spans="1:8" ht="15.95" customHeight="1">
      <c r="A736" s="322">
        <v>1</v>
      </c>
      <c r="B736" s="1692" t="s">
        <v>26</v>
      </c>
      <c r="C736" s="1693"/>
      <c r="D736" s="324"/>
      <c r="E736" s="324"/>
      <c r="F736" s="324"/>
      <c r="G736" s="1694" t="s">
        <v>1081</v>
      </c>
      <c r="H736" s="325"/>
    </row>
    <row r="737" spans="1:8" ht="15.95" customHeight="1">
      <c r="A737" s="329">
        <v>2</v>
      </c>
      <c r="B737" s="326" t="s">
        <v>40</v>
      </c>
      <c r="C737" s="1683">
        <v>2</v>
      </c>
      <c r="D737" s="327">
        <v>0.6</v>
      </c>
      <c r="E737" s="327">
        <v>0.6</v>
      </c>
      <c r="F737" s="327">
        <v>0.6</v>
      </c>
      <c r="G737" s="481">
        <f>ROUND((C737*D737*E737*F737),2)</f>
        <v>0.43</v>
      </c>
      <c r="H737" s="528" t="s">
        <v>29</v>
      </c>
    </row>
    <row r="738" spans="1:8" ht="15.95" customHeight="1">
      <c r="A738" s="329">
        <v>3</v>
      </c>
      <c r="B738" s="326" t="s">
        <v>41</v>
      </c>
      <c r="C738" s="1683"/>
      <c r="D738" s="327"/>
      <c r="E738" s="327"/>
      <c r="F738" s="327"/>
      <c r="G738" s="1680"/>
      <c r="H738" s="1684"/>
    </row>
    <row r="739" spans="1:8" ht="15.95" customHeight="1">
      <c r="A739" s="329"/>
      <c r="B739" s="1686" t="s">
        <v>42</v>
      </c>
      <c r="C739" s="1683">
        <v>2</v>
      </c>
      <c r="D739" s="327">
        <v>0.6</v>
      </c>
      <c r="E739" s="327">
        <v>0.6</v>
      </c>
      <c r="F739" s="327">
        <v>0.6</v>
      </c>
      <c r="G739" s="479">
        <f>ROUND((C739*D739*E739*F739),2)</f>
        <v>0.43</v>
      </c>
      <c r="H739" s="1684"/>
    </row>
    <row r="740" spans="1:8" ht="15.95" customHeight="1">
      <c r="A740" s="329"/>
      <c r="B740" s="1686" t="s">
        <v>43</v>
      </c>
      <c r="C740" s="1683">
        <v>2</v>
      </c>
      <c r="D740" s="327">
        <v>0.45</v>
      </c>
      <c r="E740" s="327">
        <v>0.45</v>
      </c>
      <c r="F740" s="327">
        <v>1.6</v>
      </c>
      <c r="G740" s="479">
        <f>ROUND((C740*D740*E740*F740),2)</f>
        <v>0.65</v>
      </c>
      <c r="H740" s="1684"/>
    </row>
    <row r="741" spans="1:8" ht="15.95" customHeight="1">
      <c r="A741" s="329"/>
      <c r="B741" s="329"/>
      <c r="C741" s="1683"/>
      <c r="D741" s="327"/>
      <c r="E741" s="327"/>
      <c r="F741" s="327"/>
      <c r="G741" s="1644">
        <f>ROUND(SUM(G739:G740),2)</f>
        <v>1.08</v>
      </c>
      <c r="H741" s="528" t="s">
        <v>29</v>
      </c>
    </row>
    <row r="742" spans="1:8" ht="15.95" customHeight="1">
      <c r="A742" s="329">
        <v>4</v>
      </c>
      <c r="B742" s="326" t="s">
        <v>606</v>
      </c>
      <c r="C742" s="1683">
        <v>8</v>
      </c>
      <c r="D742" s="327">
        <v>0.45</v>
      </c>
      <c r="E742" s="327" t="s">
        <v>44</v>
      </c>
      <c r="F742" s="327">
        <v>1.6</v>
      </c>
      <c r="G742" s="479">
        <f>ROUND((C742*D742*F742),2)</f>
        <v>5.76</v>
      </c>
      <c r="H742" s="329"/>
    </row>
    <row r="743" spans="1:8" ht="15.95" customHeight="1">
      <c r="A743" s="329"/>
      <c r="B743" s="1686" t="s">
        <v>45</v>
      </c>
      <c r="C743" s="1683">
        <v>2</v>
      </c>
      <c r="D743" s="327">
        <v>0.45</v>
      </c>
      <c r="E743" s="327">
        <v>0.45</v>
      </c>
      <c r="F743" s="327" t="s">
        <v>44</v>
      </c>
      <c r="G743" s="479">
        <f>ROUND((C743*D743*E743),2)</f>
        <v>0.41</v>
      </c>
      <c r="H743" s="1684"/>
    </row>
    <row r="744" spans="1:8" ht="15.95" customHeight="1">
      <c r="A744" s="329"/>
      <c r="B744" s="1686" t="s">
        <v>46</v>
      </c>
      <c r="C744" s="1683">
        <v>2</v>
      </c>
      <c r="D744" s="327">
        <v>0.45</v>
      </c>
      <c r="E744" s="327" t="s">
        <v>44</v>
      </c>
      <c r="F744" s="327">
        <v>0.6</v>
      </c>
      <c r="G744" s="479">
        <f>ROUND((-C744*D744*F744),2)</f>
        <v>-0.54</v>
      </c>
      <c r="H744" s="1684"/>
    </row>
    <row r="745" spans="1:8" ht="15.95" customHeight="1">
      <c r="A745" s="329"/>
      <c r="B745" s="1684"/>
      <c r="C745" s="1680"/>
      <c r="D745" s="327"/>
      <c r="E745" s="327"/>
      <c r="F745" s="327"/>
      <c r="G745" s="1644">
        <f>ROUND(SUM(G742:G744),2)</f>
        <v>5.63</v>
      </c>
      <c r="H745" s="528" t="s">
        <v>47</v>
      </c>
    </row>
    <row r="746" spans="1:8" ht="15.95" customHeight="1">
      <c r="A746" s="329">
        <v>5</v>
      </c>
      <c r="B746" s="326" t="s">
        <v>48</v>
      </c>
      <c r="C746" s="1680"/>
      <c r="D746" s="327"/>
      <c r="E746" s="327"/>
      <c r="F746" s="327"/>
      <c r="G746" s="1680"/>
      <c r="H746" s="1684"/>
    </row>
    <row r="747" spans="1:8" ht="15.95" customHeight="1">
      <c r="A747" s="329"/>
      <c r="B747" s="326" t="s">
        <v>49</v>
      </c>
      <c r="C747" s="1680"/>
      <c r="D747" s="327"/>
      <c r="E747" s="327"/>
      <c r="F747" s="327"/>
      <c r="G747" s="1680"/>
      <c r="H747" s="1684"/>
    </row>
    <row r="748" spans="1:8" ht="15.95" customHeight="1">
      <c r="A748" s="329"/>
      <c r="B748" s="330" t="s">
        <v>50</v>
      </c>
      <c r="C748" s="1683">
        <v>1</v>
      </c>
      <c r="D748" s="327"/>
      <c r="E748" s="327"/>
      <c r="F748" s="327"/>
      <c r="G748" s="1681">
        <f>C748</f>
        <v>1</v>
      </c>
      <c r="H748" s="528" t="s">
        <v>1087</v>
      </c>
    </row>
    <row r="749" spans="1:8" ht="15.95" customHeight="1">
      <c r="A749" s="329">
        <v>6</v>
      </c>
      <c r="B749" s="330" t="s">
        <v>51</v>
      </c>
      <c r="C749" s="1683">
        <v>1</v>
      </c>
      <c r="D749" s="327">
        <v>0.95</v>
      </c>
      <c r="E749" s="327" t="s">
        <v>44</v>
      </c>
      <c r="F749" s="327">
        <v>1.5</v>
      </c>
      <c r="G749" s="481">
        <f>ROUND((C749*D749*F749),2)</f>
        <v>1.43</v>
      </c>
      <c r="H749" s="528" t="s">
        <v>47</v>
      </c>
    </row>
    <row r="750" spans="1:8" ht="15.95" customHeight="1">
      <c r="A750" s="1687"/>
      <c r="B750" s="1695"/>
      <c r="C750" s="1696"/>
      <c r="D750" s="1690"/>
      <c r="E750" s="1690"/>
      <c r="F750" s="1690"/>
      <c r="G750" s="1696"/>
      <c r="H750" s="1695"/>
    </row>
    <row r="751" spans="1:8" ht="15.95" customHeight="1">
      <c r="A751" s="383"/>
      <c r="B751" s="384"/>
      <c r="C751" s="385"/>
      <c r="D751" s="386"/>
      <c r="E751" s="386"/>
      <c r="F751" s="386"/>
      <c r="G751" s="385"/>
      <c r="H751" s="384"/>
    </row>
    <row r="752" spans="1:8" ht="15.95" customHeight="1">
      <c r="A752" s="514" t="s">
        <v>739</v>
      </c>
      <c r="B752" s="518"/>
    </row>
    <row r="753" spans="1:8" ht="15.95" customHeight="1">
      <c r="A753" s="1634" t="s">
        <v>961</v>
      </c>
      <c r="B753" s="1634" t="s">
        <v>962</v>
      </c>
      <c r="C753" s="1635" t="s">
        <v>963</v>
      </c>
      <c r="D753" s="1636" t="s">
        <v>1051</v>
      </c>
      <c r="E753" s="1636" t="s">
        <v>1052</v>
      </c>
      <c r="F753" s="1636" t="s">
        <v>1053</v>
      </c>
      <c r="G753" s="1637" t="s">
        <v>964</v>
      </c>
      <c r="H753" s="1634" t="s">
        <v>1054</v>
      </c>
    </row>
    <row r="754" spans="1:8" ht="15.95" customHeight="1">
      <c r="A754" s="322">
        <v>1</v>
      </c>
      <c r="B754" s="1692" t="s">
        <v>26</v>
      </c>
      <c r="C754" s="1693">
        <v>1</v>
      </c>
      <c r="D754" s="324">
        <v>8</v>
      </c>
      <c r="E754" s="324">
        <v>4.2</v>
      </c>
      <c r="F754" s="324"/>
      <c r="G754" s="1671">
        <f>ROUND((C754*D754*E754),2)</f>
        <v>33.6</v>
      </c>
      <c r="H754" s="325" t="s">
        <v>628</v>
      </c>
    </row>
    <row r="755" spans="1:8" ht="14.45" customHeight="1">
      <c r="A755" s="329">
        <v>2</v>
      </c>
      <c r="B755" s="326" t="s">
        <v>905</v>
      </c>
      <c r="C755" s="1683"/>
      <c r="D755" s="327"/>
      <c r="E755" s="327"/>
      <c r="F755" s="327"/>
      <c r="G755" s="1680"/>
      <c r="H755" s="1684"/>
    </row>
    <row r="756" spans="1:8" ht="14.45" customHeight="1">
      <c r="A756" s="329"/>
      <c r="B756" s="1686" t="s">
        <v>740</v>
      </c>
      <c r="C756" s="1683"/>
      <c r="D756" s="327"/>
      <c r="E756" s="327"/>
      <c r="F756" s="327"/>
      <c r="G756" s="1680"/>
      <c r="H756" s="1684"/>
    </row>
    <row r="757" spans="1:8" ht="14.45" customHeight="1">
      <c r="A757" s="329"/>
      <c r="B757" s="1686" t="s">
        <v>741</v>
      </c>
      <c r="C757" s="1683">
        <v>2</v>
      </c>
      <c r="D757" s="327">
        <v>6.4</v>
      </c>
      <c r="E757" s="327">
        <v>0.95</v>
      </c>
      <c r="F757" s="327">
        <v>0.85</v>
      </c>
      <c r="G757" s="479">
        <f>ROUND((C757*D757*E757*F757),2)</f>
        <v>10.34</v>
      </c>
      <c r="H757" s="1684"/>
    </row>
    <row r="758" spans="1:8" ht="14.45" customHeight="1">
      <c r="A758" s="329"/>
      <c r="B758" s="1686" t="s">
        <v>742</v>
      </c>
      <c r="C758" s="1683">
        <v>2</v>
      </c>
      <c r="D758" s="327">
        <v>3.3</v>
      </c>
      <c r="E758" s="327">
        <v>0.95</v>
      </c>
      <c r="F758" s="327">
        <v>0.85</v>
      </c>
      <c r="G758" s="479">
        <f>ROUND((C758*D758*E758*F758),2)</f>
        <v>5.33</v>
      </c>
      <c r="H758" s="1684"/>
    </row>
    <row r="759" spans="1:8" ht="14.45" customHeight="1">
      <c r="A759" s="329"/>
      <c r="B759" s="1686" t="s">
        <v>743</v>
      </c>
      <c r="C759" s="1683">
        <v>1</v>
      </c>
      <c r="D759" s="327">
        <v>2.8</v>
      </c>
      <c r="E759" s="327">
        <v>0.95</v>
      </c>
      <c r="F759" s="327">
        <v>0.85</v>
      </c>
      <c r="G759" s="479">
        <f>ROUND((C759*D759*E759*F759),2)</f>
        <v>2.2599999999999998</v>
      </c>
      <c r="H759" s="1684"/>
    </row>
    <row r="760" spans="1:8" ht="14.45" customHeight="1">
      <c r="A760" s="329"/>
      <c r="B760" s="1686" t="s">
        <v>744</v>
      </c>
      <c r="C760" s="1683">
        <v>1</v>
      </c>
      <c r="D760" s="327">
        <v>20</v>
      </c>
      <c r="E760" s="327">
        <v>0.38</v>
      </c>
      <c r="F760" s="327">
        <v>0.2</v>
      </c>
      <c r="G760" s="479">
        <f>ROUND((C760*D760*E760*F760),2)</f>
        <v>1.52</v>
      </c>
      <c r="H760" s="1684"/>
    </row>
    <row r="761" spans="1:8" ht="14.45" customHeight="1">
      <c r="A761" s="329"/>
      <c r="B761" s="1686" t="s">
        <v>745</v>
      </c>
      <c r="C761" s="1683">
        <v>1</v>
      </c>
      <c r="D761" s="327">
        <v>22</v>
      </c>
      <c r="E761" s="327">
        <v>0.4</v>
      </c>
      <c r="F761" s="327">
        <v>0.3</v>
      </c>
      <c r="G761" s="479">
        <f>ROUND((C761*D761*E761*F761),2)</f>
        <v>2.64</v>
      </c>
      <c r="H761" s="1684"/>
    </row>
    <row r="762" spans="1:8" ht="15.95" customHeight="1">
      <c r="A762" s="329"/>
      <c r="B762" s="326"/>
      <c r="C762" s="1683"/>
      <c r="D762" s="327"/>
      <c r="E762" s="1697" t="s">
        <v>1108</v>
      </c>
      <c r="F762" s="327"/>
      <c r="G762" s="1644">
        <f>ROUND(SUM(G757:G761),2)</f>
        <v>22.09</v>
      </c>
      <c r="H762" s="1684" t="s">
        <v>625</v>
      </c>
    </row>
    <row r="763" spans="1:8" ht="14.45" customHeight="1">
      <c r="A763" s="329">
        <v>3</v>
      </c>
      <c r="B763" s="326" t="s">
        <v>746</v>
      </c>
      <c r="C763" s="1683"/>
      <c r="D763" s="327"/>
      <c r="E763" s="327"/>
      <c r="F763" s="327"/>
      <c r="G763" s="1680"/>
      <c r="H763" s="1684"/>
    </row>
    <row r="764" spans="1:8" ht="14.45" customHeight="1">
      <c r="A764" s="329"/>
      <c r="B764" s="1686" t="s">
        <v>747</v>
      </c>
      <c r="C764" s="1683">
        <v>1</v>
      </c>
      <c r="D764" s="327">
        <v>3.3</v>
      </c>
      <c r="E764" s="327">
        <v>2.4</v>
      </c>
      <c r="F764" s="327">
        <v>0.1</v>
      </c>
      <c r="G764" s="479">
        <f>ROUND((C764*D764*E764*F764),2)</f>
        <v>0.79</v>
      </c>
      <c r="H764" s="1684"/>
    </row>
    <row r="765" spans="1:8" ht="14.45" customHeight="1">
      <c r="A765" s="329"/>
      <c r="B765" s="1686" t="s">
        <v>748</v>
      </c>
      <c r="C765" s="1683">
        <v>1</v>
      </c>
      <c r="D765" s="327">
        <v>2.0499999999999998</v>
      </c>
      <c r="E765" s="327">
        <v>1.75</v>
      </c>
      <c r="F765" s="327">
        <v>0.1</v>
      </c>
      <c r="G765" s="479">
        <f>ROUND((C765*D765*E765*F765),2)</f>
        <v>0.36</v>
      </c>
      <c r="H765" s="1684"/>
    </row>
    <row r="766" spans="1:8" ht="14.45" customHeight="1">
      <c r="A766" s="329"/>
      <c r="B766" s="1686" t="s">
        <v>749</v>
      </c>
      <c r="C766" s="1683">
        <v>1</v>
      </c>
      <c r="D766" s="327">
        <v>1.75</v>
      </c>
      <c r="E766" s="327">
        <v>1.35</v>
      </c>
      <c r="F766" s="327">
        <v>0.1</v>
      </c>
      <c r="G766" s="479">
        <f>ROUND((C766*D766*E766*F766),2)</f>
        <v>0.24</v>
      </c>
      <c r="H766" s="1684"/>
    </row>
    <row r="767" spans="1:8" ht="15.95" customHeight="1">
      <c r="A767" s="329"/>
      <c r="B767" s="326"/>
      <c r="C767" s="1683"/>
      <c r="D767" s="327"/>
      <c r="E767" s="1697" t="s">
        <v>1108</v>
      </c>
      <c r="F767" s="327"/>
      <c r="G767" s="1644">
        <f>ROUND(SUM(G764:G766),2)</f>
        <v>1.39</v>
      </c>
      <c r="H767" s="1684" t="s">
        <v>625</v>
      </c>
    </row>
    <row r="768" spans="1:8" ht="14.45" customHeight="1">
      <c r="A768" s="329">
        <v>4</v>
      </c>
      <c r="B768" s="326" t="s">
        <v>750</v>
      </c>
      <c r="C768" s="1683"/>
      <c r="D768" s="327"/>
      <c r="E768" s="327"/>
      <c r="F768" s="327"/>
      <c r="G768" s="1680"/>
      <c r="H768" s="1684"/>
    </row>
    <row r="769" spans="1:8" ht="14.45" customHeight="1">
      <c r="A769" s="329"/>
      <c r="B769" s="1686" t="s">
        <v>751</v>
      </c>
      <c r="C769" s="1683"/>
      <c r="D769" s="327" t="s">
        <v>752</v>
      </c>
      <c r="E769" s="327"/>
      <c r="F769" s="327"/>
      <c r="G769" s="1680">
        <f>G767</f>
        <v>1.39</v>
      </c>
      <c r="H769" s="1684"/>
    </row>
    <row r="770" spans="1:8" ht="14.45" customHeight="1">
      <c r="A770" s="329"/>
      <c r="B770" s="1686" t="s">
        <v>753</v>
      </c>
      <c r="C770" s="1683">
        <v>1</v>
      </c>
      <c r="D770" s="327">
        <v>20</v>
      </c>
      <c r="E770" s="327">
        <v>0.38</v>
      </c>
      <c r="F770" s="327">
        <v>0.1</v>
      </c>
      <c r="G770" s="479">
        <f>ROUND((C770*D770*E770*F770),2)</f>
        <v>0.76</v>
      </c>
      <c r="H770" s="1684"/>
    </row>
    <row r="771" spans="1:8" ht="14.45" customHeight="1">
      <c r="A771" s="329"/>
      <c r="B771" s="1686" t="s">
        <v>754</v>
      </c>
      <c r="C771" s="1683">
        <v>1</v>
      </c>
      <c r="D771" s="327">
        <v>22</v>
      </c>
      <c r="E771" s="327">
        <v>0.4</v>
      </c>
      <c r="F771" s="327">
        <v>0.1</v>
      </c>
      <c r="G771" s="479">
        <f>ROUND((C771*D771*E771*F771),2)</f>
        <v>0.88</v>
      </c>
      <c r="H771" s="1684"/>
    </row>
    <row r="772" spans="1:8" ht="14.45" customHeight="1">
      <c r="A772" s="329"/>
      <c r="B772" s="1686" t="s">
        <v>42</v>
      </c>
      <c r="C772" s="1683">
        <v>1</v>
      </c>
      <c r="D772" s="327">
        <v>18.5</v>
      </c>
      <c r="E772" s="327">
        <v>0.95</v>
      </c>
      <c r="F772" s="327">
        <v>0.15</v>
      </c>
      <c r="G772" s="479">
        <f>ROUND((C772*D772*E772*F772),2)</f>
        <v>2.64</v>
      </c>
      <c r="H772" s="1684"/>
    </row>
    <row r="773" spans="1:8" ht="15.95" customHeight="1">
      <c r="A773" s="329"/>
      <c r="B773" s="1686"/>
      <c r="C773" s="1683"/>
      <c r="D773" s="327"/>
      <c r="E773" s="1697" t="s">
        <v>1108</v>
      </c>
      <c r="F773" s="327"/>
      <c r="G773" s="1644">
        <f>ROUND(SUM(G769:G772),2)</f>
        <v>5.67</v>
      </c>
      <c r="H773" s="1684" t="s">
        <v>625</v>
      </c>
    </row>
    <row r="774" spans="1:8" ht="15.95" customHeight="1">
      <c r="A774" s="329">
        <v>5</v>
      </c>
      <c r="B774" s="326" t="s">
        <v>755</v>
      </c>
      <c r="C774" s="1698">
        <v>1</v>
      </c>
      <c r="D774" s="1653">
        <v>5.95</v>
      </c>
      <c r="E774" s="1653">
        <v>4.2</v>
      </c>
      <c r="F774" s="1653" t="s">
        <v>44</v>
      </c>
      <c r="G774" s="481">
        <f>ROUND((C774*D774*E774),2)</f>
        <v>24.99</v>
      </c>
      <c r="H774" s="1699"/>
    </row>
    <row r="775" spans="1:8" ht="14.45" customHeight="1">
      <c r="A775" s="329">
        <v>6</v>
      </c>
      <c r="B775" s="326" t="s">
        <v>756</v>
      </c>
      <c r="C775" s="1683"/>
      <c r="D775" s="327"/>
      <c r="E775" s="327"/>
      <c r="F775" s="327"/>
      <c r="G775" s="1680"/>
      <c r="H775" s="1684"/>
    </row>
    <row r="776" spans="1:8" ht="14.45" customHeight="1">
      <c r="A776" s="329"/>
      <c r="B776" s="1686" t="s">
        <v>757</v>
      </c>
      <c r="C776" s="1683"/>
      <c r="D776" s="327"/>
      <c r="E776" s="327"/>
      <c r="F776" s="327"/>
      <c r="G776" s="1680"/>
      <c r="H776" s="1684"/>
    </row>
    <row r="777" spans="1:8" ht="14.45" customHeight="1">
      <c r="A777" s="329"/>
      <c r="B777" s="1686" t="s">
        <v>758</v>
      </c>
      <c r="C777" s="1683">
        <v>1</v>
      </c>
      <c r="D777" s="327">
        <v>17.600000000000001</v>
      </c>
      <c r="E777" s="327">
        <v>0.75</v>
      </c>
      <c r="F777" s="327">
        <v>0.2</v>
      </c>
      <c r="G777" s="479">
        <f>ROUND((C777*D777*E777*F777),2)</f>
        <v>2.64</v>
      </c>
      <c r="H777" s="1684"/>
    </row>
    <row r="778" spans="1:8" ht="14.45" customHeight="1">
      <c r="A778" s="329"/>
      <c r="B778" s="1686" t="s">
        <v>759</v>
      </c>
      <c r="C778" s="1683">
        <v>1</v>
      </c>
      <c r="D778" s="327">
        <v>17</v>
      </c>
      <c r="E778" s="327">
        <v>0.55000000000000004</v>
      </c>
      <c r="F778" s="327">
        <v>0.3</v>
      </c>
      <c r="G778" s="479">
        <f>ROUND((C778*D778*E778*F778),2)</f>
        <v>2.81</v>
      </c>
      <c r="H778" s="1684"/>
    </row>
    <row r="779" spans="1:8" ht="14.45" customHeight="1">
      <c r="A779" s="329"/>
      <c r="B779" s="1686" t="s">
        <v>760</v>
      </c>
      <c r="C779" s="1683">
        <v>1</v>
      </c>
      <c r="D779" s="327">
        <v>17</v>
      </c>
      <c r="E779" s="327">
        <v>0.35</v>
      </c>
      <c r="F779" s="327">
        <v>0.35</v>
      </c>
      <c r="G779" s="479">
        <f>ROUND((C779*D779*E779*F779),2)</f>
        <v>2.08</v>
      </c>
      <c r="H779" s="1684"/>
    </row>
    <row r="780" spans="1:8" ht="14.45" customHeight="1">
      <c r="A780" s="329"/>
      <c r="B780" s="1686" t="s">
        <v>761</v>
      </c>
      <c r="C780" s="1683">
        <v>1</v>
      </c>
      <c r="D780" s="327">
        <v>1.75</v>
      </c>
      <c r="E780" s="327">
        <v>0.45</v>
      </c>
      <c r="F780" s="327">
        <v>0.15</v>
      </c>
      <c r="G780" s="479">
        <f>ROUND((C780*D780*E780*F780),2)</f>
        <v>0.12</v>
      </c>
      <c r="H780" s="1684"/>
    </row>
    <row r="781" spans="1:8" ht="14.45" customHeight="1">
      <c r="A781" s="329"/>
      <c r="B781" s="1686" t="s">
        <v>762</v>
      </c>
      <c r="C781" s="1683">
        <v>1</v>
      </c>
      <c r="D781" s="327">
        <v>1.75</v>
      </c>
      <c r="E781" s="327">
        <v>0.35</v>
      </c>
      <c r="F781" s="327">
        <v>0.15</v>
      </c>
      <c r="G781" s="479">
        <f>ROUND((C781*D781*E781*F781),2)</f>
        <v>0.09</v>
      </c>
      <c r="H781" s="1684"/>
    </row>
    <row r="782" spans="1:8" ht="15.95" customHeight="1">
      <c r="A782" s="329"/>
      <c r="B782" s="326"/>
      <c r="C782" s="1683"/>
      <c r="D782" s="327"/>
      <c r="E782" s="1697" t="s">
        <v>1108</v>
      </c>
      <c r="F782" s="327"/>
      <c r="G782" s="1644">
        <f>ROUND(SUM(G777:G781),2)</f>
        <v>7.74</v>
      </c>
      <c r="H782" s="1684" t="s">
        <v>625</v>
      </c>
    </row>
    <row r="783" spans="1:8" ht="14.45" customHeight="1">
      <c r="A783" s="329">
        <v>7</v>
      </c>
      <c r="B783" s="326" t="s">
        <v>763</v>
      </c>
      <c r="C783" s="1683">
        <v>2</v>
      </c>
      <c r="D783" s="327">
        <v>5.5</v>
      </c>
      <c r="E783" s="327">
        <v>0.35</v>
      </c>
      <c r="F783" s="327">
        <v>0.05</v>
      </c>
      <c r="G783" s="479">
        <f t="shared" ref="G783:G792" si="19">ROUND((C783*D783*E783*F783),2)</f>
        <v>0.19</v>
      </c>
      <c r="H783" s="1684"/>
    </row>
    <row r="784" spans="1:8" ht="14.45" customHeight="1">
      <c r="A784" s="329"/>
      <c r="B784" s="1686" t="s">
        <v>1058</v>
      </c>
      <c r="C784" s="1683">
        <v>2</v>
      </c>
      <c r="D784" s="327">
        <v>3.3</v>
      </c>
      <c r="E784" s="327">
        <v>0.35</v>
      </c>
      <c r="F784" s="327">
        <v>0.05</v>
      </c>
      <c r="G784" s="479">
        <f t="shared" si="19"/>
        <v>0.12</v>
      </c>
      <c r="H784" s="1684"/>
    </row>
    <row r="785" spans="1:8" ht="14.45" customHeight="1">
      <c r="A785" s="329"/>
      <c r="B785" s="1686" t="s">
        <v>743</v>
      </c>
      <c r="C785" s="1683">
        <v>1</v>
      </c>
      <c r="D785" s="327">
        <v>2.8</v>
      </c>
      <c r="E785" s="327">
        <v>0.23</v>
      </c>
      <c r="F785" s="327">
        <v>0.05</v>
      </c>
      <c r="G785" s="479">
        <f t="shared" si="19"/>
        <v>0.03</v>
      </c>
      <c r="H785" s="1684"/>
    </row>
    <row r="786" spans="1:8" ht="14.45" customHeight="1">
      <c r="A786" s="329"/>
      <c r="B786" s="1686" t="s">
        <v>764</v>
      </c>
      <c r="C786" s="1683">
        <v>1</v>
      </c>
      <c r="D786" s="327">
        <v>1.2</v>
      </c>
      <c r="E786" s="327">
        <v>0.35</v>
      </c>
      <c r="F786" s="327">
        <v>0.1</v>
      </c>
      <c r="G786" s="479">
        <f t="shared" si="19"/>
        <v>0.04</v>
      </c>
      <c r="H786" s="1684"/>
    </row>
    <row r="787" spans="1:8" ht="14.45" customHeight="1">
      <c r="A787" s="329"/>
      <c r="B787" s="1686" t="s">
        <v>765</v>
      </c>
      <c r="C787" s="1683">
        <v>1</v>
      </c>
      <c r="D787" s="327">
        <v>1.05</v>
      </c>
      <c r="E787" s="327">
        <v>0.23</v>
      </c>
      <c r="F787" s="327">
        <v>0.1</v>
      </c>
      <c r="G787" s="479">
        <f t="shared" si="19"/>
        <v>0.02</v>
      </c>
      <c r="H787" s="1684"/>
    </row>
    <row r="788" spans="1:8" ht="14.45" customHeight="1">
      <c r="A788" s="329"/>
      <c r="B788" s="1686" t="s">
        <v>766</v>
      </c>
      <c r="C788" s="1683">
        <v>2</v>
      </c>
      <c r="D788" s="327">
        <v>1.35</v>
      </c>
      <c r="E788" s="327">
        <v>0.35</v>
      </c>
      <c r="F788" s="327">
        <v>0.1</v>
      </c>
      <c r="G788" s="479">
        <f t="shared" si="19"/>
        <v>0.09</v>
      </c>
      <c r="H788" s="1684"/>
    </row>
    <row r="789" spans="1:8" ht="14.45" customHeight="1">
      <c r="A789" s="329"/>
      <c r="B789" s="1686" t="s">
        <v>767</v>
      </c>
      <c r="C789" s="1683">
        <v>1</v>
      </c>
      <c r="D789" s="327">
        <v>1.2</v>
      </c>
      <c r="E789" s="327">
        <v>0.35</v>
      </c>
      <c r="F789" s="327">
        <v>0.1</v>
      </c>
      <c r="G789" s="479">
        <f t="shared" si="19"/>
        <v>0.04</v>
      </c>
      <c r="H789" s="1684"/>
    </row>
    <row r="790" spans="1:8" ht="14.45" customHeight="1">
      <c r="A790" s="329"/>
      <c r="B790" s="1686" t="s">
        <v>768</v>
      </c>
      <c r="C790" s="1683">
        <v>1</v>
      </c>
      <c r="D790" s="327">
        <v>2.0499999999999998</v>
      </c>
      <c r="E790" s="327">
        <v>0.35</v>
      </c>
      <c r="F790" s="327">
        <v>0.15</v>
      </c>
      <c r="G790" s="479">
        <f t="shared" si="19"/>
        <v>0.11</v>
      </c>
      <c r="H790" s="1684"/>
    </row>
    <row r="791" spans="1:8" ht="14.45" customHeight="1">
      <c r="A791" s="329"/>
      <c r="B791" s="1686" t="s">
        <v>769</v>
      </c>
      <c r="C791" s="1683">
        <v>20</v>
      </c>
      <c r="D791" s="327">
        <v>0.3</v>
      </c>
      <c r="E791" s="327">
        <v>0.1</v>
      </c>
      <c r="F791" s="327">
        <v>0.1</v>
      </c>
      <c r="G791" s="479">
        <f t="shared" si="19"/>
        <v>0.06</v>
      </c>
      <c r="H791" s="1684"/>
    </row>
    <row r="792" spans="1:8" ht="14.45" customHeight="1">
      <c r="A792" s="329"/>
      <c r="B792" s="1686" t="s">
        <v>770</v>
      </c>
      <c r="C792" s="1683">
        <v>1</v>
      </c>
      <c r="D792" s="327">
        <v>1.75</v>
      </c>
      <c r="E792" s="327">
        <v>0.75</v>
      </c>
      <c r="F792" s="327">
        <v>0.05</v>
      </c>
      <c r="G792" s="479">
        <f t="shared" si="19"/>
        <v>7.0000000000000007E-2</v>
      </c>
      <c r="H792" s="1684"/>
    </row>
    <row r="793" spans="1:8" ht="14.45" customHeight="1">
      <c r="A793" s="329"/>
      <c r="B793" s="326" t="s">
        <v>771</v>
      </c>
      <c r="C793" s="1683"/>
      <c r="D793" s="327"/>
      <c r="E793" s="327"/>
      <c r="F793" s="327"/>
      <c r="G793" s="1680"/>
      <c r="H793" s="1684"/>
    </row>
    <row r="794" spans="1:8" ht="14.45" customHeight="1">
      <c r="A794" s="329"/>
      <c r="B794" s="1686" t="s">
        <v>772</v>
      </c>
      <c r="C794" s="1683">
        <v>1</v>
      </c>
      <c r="D794" s="327">
        <v>4.5999999999999996</v>
      </c>
      <c r="E794" s="327">
        <v>3.3</v>
      </c>
      <c r="F794" s="327">
        <v>0.05</v>
      </c>
      <c r="G794" s="479">
        <f>ROUND((C794*D794*E794*F794),2)</f>
        <v>0.76</v>
      </c>
      <c r="H794" s="1684"/>
    </row>
    <row r="795" spans="1:8" ht="14.45" customHeight="1">
      <c r="A795" s="329"/>
      <c r="B795" s="1686" t="s">
        <v>744</v>
      </c>
      <c r="C795" s="1683">
        <v>1</v>
      </c>
      <c r="D795" s="327">
        <v>20.3</v>
      </c>
      <c r="E795" s="327">
        <v>0.38</v>
      </c>
      <c r="F795" s="327">
        <v>0.05</v>
      </c>
      <c r="G795" s="479">
        <f>ROUND((C795*D795*E795*F795),2)</f>
        <v>0.39</v>
      </c>
      <c r="H795" s="1684"/>
    </row>
    <row r="796" spans="1:8" ht="14.45" customHeight="1">
      <c r="A796" s="329"/>
      <c r="B796" s="1686" t="s">
        <v>745</v>
      </c>
      <c r="C796" s="1683">
        <v>1</v>
      </c>
      <c r="D796" s="327">
        <v>22</v>
      </c>
      <c r="E796" s="327">
        <v>0.4</v>
      </c>
      <c r="F796" s="327">
        <v>0.05</v>
      </c>
      <c r="G796" s="479">
        <f>ROUND((C796*D796*E796*F796),2)</f>
        <v>0.44</v>
      </c>
      <c r="H796" s="1684"/>
    </row>
    <row r="797" spans="1:8" ht="14.45" customHeight="1">
      <c r="A797" s="329"/>
      <c r="B797" s="326" t="s">
        <v>773</v>
      </c>
      <c r="C797" s="1683"/>
      <c r="D797" s="327"/>
      <c r="E797" s="1697"/>
      <c r="F797" s="327"/>
      <c r="G797" s="1681"/>
      <c r="H797" s="1684"/>
    </row>
    <row r="798" spans="1:8" ht="14.45" customHeight="1">
      <c r="A798" s="530"/>
      <c r="B798" s="1700" t="s">
        <v>774</v>
      </c>
      <c r="C798" s="1701">
        <v>1</v>
      </c>
      <c r="D798" s="1702">
        <v>6.15</v>
      </c>
      <c r="E798" s="1702">
        <v>4.8</v>
      </c>
      <c r="F798" s="1702">
        <v>0.1</v>
      </c>
      <c r="G798" s="1703">
        <f>ROUND((C798*D798*E798*F798),2)</f>
        <v>2.95</v>
      </c>
      <c r="H798" s="1704"/>
    </row>
    <row r="799" spans="1:8" ht="15.95" customHeight="1">
      <c r="A799" s="371"/>
      <c r="B799" s="372"/>
      <c r="C799" s="373"/>
      <c r="D799" s="374"/>
      <c r="E799" s="382" t="s">
        <v>1108</v>
      </c>
      <c r="F799" s="374"/>
      <c r="G799" s="390">
        <f>ROUND(SUM(G783:G798),2)</f>
        <v>5.31</v>
      </c>
      <c r="H799" s="381" t="s">
        <v>625</v>
      </c>
    </row>
    <row r="800" spans="1:8" ht="15.95" customHeight="1">
      <c r="A800" s="383"/>
      <c r="B800" s="519"/>
      <c r="C800" s="520"/>
      <c r="D800" s="386"/>
      <c r="E800" s="521"/>
      <c r="F800" s="386"/>
      <c r="G800" s="392"/>
      <c r="H800" s="384"/>
    </row>
    <row r="801" spans="1:8" ht="15.95" customHeight="1">
      <c r="A801" s="514" t="s">
        <v>739</v>
      </c>
      <c r="B801" s="519"/>
      <c r="C801" s="520"/>
      <c r="D801" s="386"/>
      <c r="E801" s="521"/>
      <c r="F801" s="386"/>
      <c r="G801" s="392"/>
      <c r="H801" s="384"/>
    </row>
    <row r="802" spans="1:8" ht="15.95" customHeight="1">
      <c r="A802" s="1634" t="s">
        <v>961</v>
      </c>
      <c r="B802" s="1634" t="s">
        <v>962</v>
      </c>
      <c r="C802" s="1635" t="s">
        <v>963</v>
      </c>
      <c r="D802" s="1636" t="s">
        <v>1051</v>
      </c>
      <c r="E802" s="1636" t="s">
        <v>1052</v>
      </c>
      <c r="F802" s="1636" t="s">
        <v>1053</v>
      </c>
      <c r="G802" s="1637" t="s">
        <v>964</v>
      </c>
      <c r="H802" s="1634" t="s">
        <v>1054</v>
      </c>
    </row>
    <row r="803" spans="1:8" ht="14.45" customHeight="1">
      <c r="A803" s="322">
        <v>8</v>
      </c>
      <c r="B803" s="1692" t="s">
        <v>775</v>
      </c>
      <c r="C803" s="1693"/>
      <c r="D803" s="324"/>
      <c r="E803" s="324"/>
      <c r="F803" s="324"/>
      <c r="G803" s="1705"/>
      <c r="H803" s="325"/>
    </row>
    <row r="804" spans="1:8" ht="14.45" customHeight="1">
      <c r="A804" s="329"/>
      <c r="B804" s="1686" t="s">
        <v>776</v>
      </c>
      <c r="C804" s="1683">
        <v>2</v>
      </c>
      <c r="D804" s="327">
        <v>22</v>
      </c>
      <c r="E804" s="327">
        <v>0.1</v>
      </c>
      <c r="F804" s="327">
        <v>0.1</v>
      </c>
      <c r="G804" s="479">
        <f>ROUND((C804*D804*E804*F804),2)</f>
        <v>0.44</v>
      </c>
      <c r="H804" s="1684"/>
    </row>
    <row r="805" spans="1:8" ht="14.45" customHeight="1">
      <c r="A805" s="329"/>
      <c r="B805" s="1686" t="s">
        <v>777</v>
      </c>
      <c r="C805" s="1683"/>
      <c r="D805" s="327"/>
      <c r="E805" s="327"/>
      <c r="F805" s="327"/>
      <c r="G805" s="1680"/>
      <c r="H805" s="1684"/>
    </row>
    <row r="806" spans="1:8" ht="14.45" customHeight="1">
      <c r="A806" s="329"/>
      <c r="B806" s="1686" t="s">
        <v>778</v>
      </c>
      <c r="C806" s="1683">
        <v>1</v>
      </c>
      <c r="D806" s="327">
        <v>15.8</v>
      </c>
      <c r="E806" s="327">
        <v>0.35</v>
      </c>
      <c r="F806" s="327">
        <v>2.8</v>
      </c>
      <c r="G806" s="479">
        <f>ROUND((C806*D806*E806*F806),2)</f>
        <v>15.48</v>
      </c>
      <c r="H806" s="1684"/>
    </row>
    <row r="807" spans="1:8" ht="14.45" customHeight="1">
      <c r="A807" s="329"/>
      <c r="B807" s="1686" t="s">
        <v>779</v>
      </c>
      <c r="C807" s="1683">
        <v>1</v>
      </c>
      <c r="D807" s="327">
        <v>1.75</v>
      </c>
      <c r="E807" s="327">
        <v>0.23</v>
      </c>
      <c r="F807" s="327">
        <v>2.8</v>
      </c>
      <c r="G807" s="479">
        <f>ROUND((C807*D807*E807*F807),2)</f>
        <v>1.1299999999999999</v>
      </c>
      <c r="H807" s="1684"/>
    </row>
    <row r="808" spans="1:8" ht="14.45" customHeight="1">
      <c r="A808" s="329"/>
      <c r="B808" s="1686" t="s">
        <v>779</v>
      </c>
      <c r="C808" s="1683">
        <v>1</v>
      </c>
      <c r="D808" s="327">
        <v>2.2799999999999998</v>
      </c>
      <c r="E808" s="327">
        <v>0.23</v>
      </c>
      <c r="F808" s="327">
        <v>0.79</v>
      </c>
      <c r="G808" s="479">
        <f>ROUND((C808*D808*E808*F808),2)</f>
        <v>0.41</v>
      </c>
      <c r="H808" s="1684"/>
    </row>
    <row r="809" spans="1:8" ht="15.95" customHeight="1">
      <c r="A809" s="329"/>
      <c r="B809" s="326"/>
      <c r="C809" s="1683"/>
      <c r="D809" s="327"/>
      <c r="E809" s="1697" t="s">
        <v>1111</v>
      </c>
      <c r="F809" s="327"/>
      <c r="G809" s="1644">
        <f>ROUND(SUM(G804:G808),2)</f>
        <v>17.46</v>
      </c>
      <c r="H809" s="1684" t="s">
        <v>625</v>
      </c>
    </row>
    <row r="810" spans="1:8" ht="14.45" customHeight="1">
      <c r="A810" s="329"/>
      <c r="B810" s="1686" t="s">
        <v>780</v>
      </c>
      <c r="C810" s="1683">
        <v>1</v>
      </c>
      <c r="D810" s="327">
        <v>1.75</v>
      </c>
      <c r="E810" s="327">
        <v>0.35</v>
      </c>
      <c r="F810" s="327">
        <v>2.13</v>
      </c>
      <c r="G810" s="479">
        <f t="shared" ref="G810:G820" si="20">ROUND((C810*D810*E810*F810),2)</f>
        <v>1.3</v>
      </c>
      <c r="H810" s="1684"/>
    </row>
    <row r="811" spans="1:8" ht="14.45" customHeight="1">
      <c r="A811" s="329"/>
      <c r="B811" s="1686" t="s">
        <v>781</v>
      </c>
      <c r="C811" s="1683">
        <v>1</v>
      </c>
      <c r="D811" s="327">
        <v>0.9</v>
      </c>
      <c r="E811" s="327">
        <v>0.35</v>
      </c>
      <c r="F811" s="327">
        <v>2.13</v>
      </c>
      <c r="G811" s="479">
        <f t="shared" si="20"/>
        <v>0.67</v>
      </c>
      <c r="H811" s="1684"/>
    </row>
    <row r="812" spans="1:8" ht="14.45" customHeight="1">
      <c r="A812" s="329"/>
      <c r="B812" s="1686" t="s">
        <v>782</v>
      </c>
      <c r="C812" s="1683">
        <v>1</v>
      </c>
      <c r="D812" s="327">
        <v>0.76</v>
      </c>
      <c r="E812" s="327">
        <v>0.23</v>
      </c>
      <c r="F812" s="327">
        <v>2.13</v>
      </c>
      <c r="G812" s="479">
        <f t="shared" si="20"/>
        <v>0.37</v>
      </c>
      <c r="H812" s="1684"/>
    </row>
    <row r="813" spans="1:8" ht="14.45" customHeight="1">
      <c r="A813" s="329"/>
      <c r="B813" s="1686" t="s">
        <v>784</v>
      </c>
      <c r="C813" s="1683">
        <v>2</v>
      </c>
      <c r="D813" s="327">
        <v>1.05</v>
      </c>
      <c r="E813" s="327">
        <v>0.35</v>
      </c>
      <c r="F813" s="327">
        <v>1.2</v>
      </c>
      <c r="G813" s="479">
        <f t="shared" si="20"/>
        <v>0.88</v>
      </c>
      <c r="H813" s="1684"/>
    </row>
    <row r="814" spans="1:8" ht="14.45" customHeight="1">
      <c r="A814" s="329"/>
      <c r="B814" s="1686" t="s">
        <v>785</v>
      </c>
      <c r="C814" s="1683">
        <v>1</v>
      </c>
      <c r="D814" s="327">
        <v>0.9</v>
      </c>
      <c r="E814" s="327">
        <v>0.35</v>
      </c>
      <c r="F814" s="327">
        <v>1.2</v>
      </c>
      <c r="G814" s="479">
        <f t="shared" si="20"/>
        <v>0.38</v>
      </c>
      <c r="H814" s="1684"/>
    </row>
    <row r="815" spans="1:8" ht="14.45" customHeight="1">
      <c r="A815" s="329"/>
      <c r="B815" s="1686" t="s">
        <v>764</v>
      </c>
      <c r="C815" s="1683">
        <v>1</v>
      </c>
      <c r="D815" s="327">
        <v>1.2</v>
      </c>
      <c r="E815" s="327">
        <v>0.35</v>
      </c>
      <c r="F815" s="327">
        <v>0.1</v>
      </c>
      <c r="G815" s="479">
        <f t="shared" si="20"/>
        <v>0.04</v>
      </c>
      <c r="H815" s="1684"/>
    </row>
    <row r="816" spans="1:8" ht="14.45" customHeight="1">
      <c r="A816" s="329"/>
      <c r="B816" s="1686" t="s">
        <v>765</v>
      </c>
      <c r="C816" s="1683">
        <v>1</v>
      </c>
      <c r="D816" s="327">
        <v>1.05</v>
      </c>
      <c r="E816" s="327">
        <v>0.23</v>
      </c>
      <c r="F816" s="327">
        <v>0.1</v>
      </c>
      <c r="G816" s="479">
        <f t="shared" si="20"/>
        <v>0.02</v>
      </c>
      <c r="H816" s="1684"/>
    </row>
    <row r="817" spans="1:8" ht="14.45" customHeight="1">
      <c r="A817" s="329"/>
      <c r="B817" s="1686" t="s">
        <v>766</v>
      </c>
      <c r="C817" s="1683">
        <v>2</v>
      </c>
      <c r="D817" s="327">
        <v>1.35</v>
      </c>
      <c r="E817" s="327">
        <v>0.35</v>
      </c>
      <c r="F817" s="327">
        <v>0.1</v>
      </c>
      <c r="G817" s="479">
        <f t="shared" si="20"/>
        <v>0.09</v>
      </c>
      <c r="H817" s="1684"/>
    </row>
    <row r="818" spans="1:8" ht="14.45" customHeight="1">
      <c r="A818" s="329"/>
      <c r="B818" s="1686" t="s">
        <v>767</v>
      </c>
      <c r="C818" s="1683">
        <v>1</v>
      </c>
      <c r="D818" s="327">
        <v>1.2</v>
      </c>
      <c r="E818" s="327">
        <v>0.35</v>
      </c>
      <c r="F818" s="327">
        <v>0.1</v>
      </c>
      <c r="G818" s="479">
        <f t="shared" si="20"/>
        <v>0.04</v>
      </c>
      <c r="H818" s="1684"/>
    </row>
    <row r="819" spans="1:8" ht="14.45" customHeight="1">
      <c r="A819" s="329"/>
      <c r="B819" s="1686" t="s">
        <v>768</v>
      </c>
      <c r="C819" s="1683">
        <v>1</v>
      </c>
      <c r="D819" s="327">
        <v>2.0499999999999998</v>
      </c>
      <c r="E819" s="327">
        <v>0.35</v>
      </c>
      <c r="F819" s="327">
        <v>0.15</v>
      </c>
      <c r="G819" s="479">
        <f t="shared" si="20"/>
        <v>0.11</v>
      </c>
      <c r="H819" s="1684"/>
    </row>
    <row r="820" spans="1:8" ht="14.45" customHeight="1">
      <c r="A820" s="329"/>
      <c r="B820" s="1686" t="s">
        <v>769</v>
      </c>
      <c r="C820" s="1683">
        <v>20</v>
      </c>
      <c r="D820" s="327">
        <v>0.3</v>
      </c>
      <c r="E820" s="327">
        <v>0.1</v>
      </c>
      <c r="F820" s="327">
        <v>0.1</v>
      </c>
      <c r="G820" s="479">
        <f t="shared" si="20"/>
        <v>0.06</v>
      </c>
      <c r="H820" s="1684"/>
    </row>
    <row r="821" spans="1:8" ht="15.95" customHeight="1">
      <c r="A821" s="329"/>
      <c r="B821" s="326"/>
      <c r="C821" s="1683"/>
      <c r="D821" s="327"/>
      <c r="E821" s="1697" t="s">
        <v>1111</v>
      </c>
      <c r="F821" s="327"/>
      <c r="G821" s="1644">
        <f>ROUND(SUM(G810:G820),2)</f>
        <v>3.96</v>
      </c>
      <c r="H821" s="1684" t="s">
        <v>625</v>
      </c>
    </row>
    <row r="822" spans="1:8" ht="15.95" customHeight="1">
      <c r="A822" s="329"/>
      <c r="B822" s="1686"/>
      <c r="C822" s="1683"/>
      <c r="D822" s="327"/>
      <c r="E822" s="1697" t="s">
        <v>1108</v>
      </c>
      <c r="F822" s="1697"/>
      <c r="G822" s="1697">
        <f>ROUND((G809-G821),2)</f>
        <v>13.5</v>
      </c>
      <c r="H822" s="1644" t="s">
        <v>625</v>
      </c>
    </row>
    <row r="823" spans="1:8" ht="14.45" customHeight="1">
      <c r="A823" s="329">
        <v>9</v>
      </c>
      <c r="B823" s="326" t="s">
        <v>786</v>
      </c>
      <c r="C823" s="1683"/>
      <c r="D823" s="327"/>
      <c r="E823" s="327"/>
      <c r="F823" s="327"/>
      <c r="G823" s="479"/>
      <c r="H823" s="1684"/>
    </row>
    <row r="824" spans="1:8" ht="14.45" customHeight="1">
      <c r="A824" s="329"/>
      <c r="B824" s="1686" t="s">
        <v>787</v>
      </c>
      <c r="C824" s="1683">
        <v>40</v>
      </c>
      <c r="D824" s="327">
        <v>0.3</v>
      </c>
      <c r="E824" s="327" t="s">
        <v>44</v>
      </c>
      <c r="F824" s="327">
        <v>0.1</v>
      </c>
      <c r="G824" s="479">
        <f>ROUND((C824*D824*F824),2)</f>
        <v>1.2</v>
      </c>
      <c r="H824" s="1684"/>
    </row>
    <row r="825" spans="1:8" ht="14.45" customHeight="1">
      <c r="A825" s="329"/>
      <c r="B825" s="1686" t="s">
        <v>776</v>
      </c>
      <c r="C825" s="1683">
        <v>2</v>
      </c>
      <c r="D825" s="327">
        <v>22</v>
      </c>
      <c r="E825" s="327"/>
      <c r="F825" s="327">
        <v>0.1</v>
      </c>
      <c r="G825" s="479">
        <f>ROUND((C825*D825*F825),2)</f>
        <v>4.4000000000000004</v>
      </c>
      <c r="H825" s="1684"/>
    </row>
    <row r="826" spans="1:8" ht="14.45" customHeight="1">
      <c r="A826" s="329"/>
      <c r="B826" s="1706" t="s">
        <v>788</v>
      </c>
      <c r="C826" s="1683">
        <v>1</v>
      </c>
      <c r="D826" s="327">
        <v>1.2</v>
      </c>
      <c r="E826" s="327">
        <v>0.35</v>
      </c>
      <c r="F826" s="327"/>
      <c r="G826" s="479">
        <f>ROUND((C826*D826*E826),2)</f>
        <v>0.42</v>
      </c>
      <c r="H826" s="1684"/>
    </row>
    <row r="827" spans="1:8" ht="14.45" customHeight="1">
      <c r="A827" s="329"/>
      <c r="B827" s="1706" t="s">
        <v>789</v>
      </c>
      <c r="C827" s="1683">
        <v>2</v>
      </c>
      <c r="D827" s="327">
        <v>1.2</v>
      </c>
      <c r="E827" s="327"/>
      <c r="F827" s="327">
        <v>0.1</v>
      </c>
      <c r="G827" s="479">
        <f>ROUND((C827*D827*F827),2)</f>
        <v>0.24</v>
      </c>
      <c r="H827" s="1684"/>
    </row>
    <row r="828" spans="1:8" ht="14.45" customHeight="1">
      <c r="A828" s="329"/>
      <c r="B828" s="1706" t="s">
        <v>790</v>
      </c>
      <c r="C828" s="1683">
        <v>1</v>
      </c>
      <c r="D828" s="327">
        <v>1.05</v>
      </c>
      <c r="E828" s="327">
        <v>0.23</v>
      </c>
      <c r="F828" s="327"/>
      <c r="G828" s="479">
        <f>ROUND((C828*D828*E828),2)</f>
        <v>0.24</v>
      </c>
      <c r="H828" s="1684"/>
    </row>
    <row r="829" spans="1:8" ht="14.45" customHeight="1">
      <c r="A829" s="329"/>
      <c r="B829" s="1706" t="s">
        <v>789</v>
      </c>
      <c r="C829" s="1683">
        <v>2</v>
      </c>
      <c r="D829" s="327">
        <v>1.05</v>
      </c>
      <c r="E829" s="327"/>
      <c r="F829" s="327">
        <v>0.1</v>
      </c>
      <c r="G829" s="479">
        <f>ROUND((C829*D829*F829),2)</f>
        <v>0.21</v>
      </c>
      <c r="H829" s="1684"/>
    </row>
    <row r="830" spans="1:8" ht="14.45" customHeight="1">
      <c r="A830" s="329"/>
      <c r="B830" s="1706" t="s">
        <v>791</v>
      </c>
      <c r="C830" s="1683">
        <v>1</v>
      </c>
      <c r="D830" s="327">
        <v>1.35</v>
      </c>
      <c r="E830" s="327">
        <v>0.35</v>
      </c>
      <c r="F830" s="327"/>
      <c r="G830" s="479">
        <f>ROUND((C830*D830*E830),2)</f>
        <v>0.47</v>
      </c>
      <c r="H830" s="1684"/>
    </row>
    <row r="831" spans="1:8" ht="14.45" customHeight="1">
      <c r="A831" s="329"/>
      <c r="B831" s="1706" t="s">
        <v>789</v>
      </c>
      <c r="C831" s="1683">
        <v>2</v>
      </c>
      <c r="D831" s="327">
        <v>1.35</v>
      </c>
      <c r="E831" s="327"/>
      <c r="F831" s="327">
        <v>0.1</v>
      </c>
      <c r="G831" s="479">
        <f>ROUND((C831*D831*F831),2)</f>
        <v>0.27</v>
      </c>
      <c r="H831" s="1684"/>
    </row>
    <row r="832" spans="1:8" ht="14.45" customHeight="1">
      <c r="A832" s="329"/>
      <c r="B832" s="1706" t="s">
        <v>792</v>
      </c>
      <c r="C832" s="1683">
        <v>1</v>
      </c>
      <c r="D832" s="327">
        <v>1.2</v>
      </c>
      <c r="E832" s="327">
        <v>0.35</v>
      </c>
      <c r="F832" s="327"/>
      <c r="G832" s="479">
        <f>ROUND((C832*D832*E832),2)</f>
        <v>0.42</v>
      </c>
      <c r="H832" s="1684"/>
    </row>
    <row r="833" spans="1:8" ht="14.45" customHeight="1">
      <c r="A833" s="329"/>
      <c r="B833" s="1706" t="s">
        <v>789</v>
      </c>
      <c r="C833" s="1683">
        <v>2</v>
      </c>
      <c r="D833" s="327">
        <v>1.2</v>
      </c>
      <c r="E833" s="327"/>
      <c r="F833" s="327">
        <v>0.1</v>
      </c>
      <c r="G833" s="479">
        <f>ROUND((C833*D833*F833),2)</f>
        <v>0.24</v>
      </c>
      <c r="H833" s="1684"/>
    </row>
    <row r="834" spans="1:8" ht="14.45" customHeight="1">
      <c r="A834" s="329"/>
      <c r="B834" s="1686" t="s">
        <v>793</v>
      </c>
      <c r="C834" s="1683">
        <v>1</v>
      </c>
      <c r="D834" s="327">
        <v>2.0499999999999998</v>
      </c>
      <c r="E834" s="327">
        <v>0.35</v>
      </c>
      <c r="F834" s="327"/>
      <c r="G834" s="479">
        <f>ROUND((C834*D834*E834),2)</f>
        <v>0.72</v>
      </c>
      <c r="H834" s="1684"/>
    </row>
    <row r="835" spans="1:8" ht="14.45" customHeight="1">
      <c r="A835" s="329"/>
      <c r="B835" s="1706" t="s">
        <v>789</v>
      </c>
      <c r="C835" s="1683">
        <v>2</v>
      </c>
      <c r="D835" s="327">
        <v>2.0499999999999998</v>
      </c>
      <c r="E835" s="327"/>
      <c r="F835" s="327">
        <v>0.15</v>
      </c>
      <c r="G835" s="479">
        <f>ROUND((C835*D835*F835),2)</f>
        <v>0.62</v>
      </c>
      <c r="H835" s="1684"/>
    </row>
    <row r="836" spans="1:8" ht="14.45" customHeight="1">
      <c r="A836" s="329"/>
      <c r="B836" s="1686" t="s">
        <v>794</v>
      </c>
      <c r="C836" s="1683">
        <v>1</v>
      </c>
      <c r="D836" s="327">
        <v>23.3</v>
      </c>
      <c r="E836" s="327"/>
      <c r="F836" s="327">
        <v>0.05</v>
      </c>
      <c r="G836" s="479">
        <f>ROUND((C836*D836*F836),2)</f>
        <v>1.17</v>
      </c>
      <c r="H836" s="1684"/>
    </row>
    <row r="837" spans="1:8" ht="14.45" customHeight="1">
      <c r="A837" s="329"/>
      <c r="B837" s="1686" t="s">
        <v>795</v>
      </c>
      <c r="C837" s="1683">
        <v>2</v>
      </c>
      <c r="D837" s="327">
        <v>21.2</v>
      </c>
      <c r="E837" s="327"/>
      <c r="F837" s="327">
        <v>0.05</v>
      </c>
      <c r="G837" s="479">
        <f>ROUND((C837*D837*F837),2)</f>
        <v>2.12</v>
      </c>
      <c r="H837" s="1684"/>
    </row>
    <row r="838" spans="1:8" ht="14.45" customHeight="1">
      <c r="A838" s="329"/>
      <c r="B838" s="1686" t="s">
        <v>796</v>
      </c>
      <c r="C838" s="1683">
        <v>2</v>
      </c>
      <c r="D838" s="327">
        <v>23</v>
      </c>
      <c r="E838" s="327"/>
      <c r="F838" s="327">
        <v>0.05</v>
      </c>
      <c r="G838" s="479">
        <f>ROUND((C838*D838*F838),2)</f>
        <v>2.2999999999999998</v>
      </c>
      <c r="H838" s="1684"/>
    </row>
    <row r="839" spans="1:8" ht="14.45" customHeight="1">
      <c r="A839" s="329"/>
      <c r="B839" s="1686" t="s">
        <v>797</v>
      </c>
      <c r="C839" s="1683">
        <v>1</v>
      </c>
      <c r="D839" s="327">
        <v>6.15</v>
      </c>
      <c r="E839" s="327">
        <v>4.3</v>
      </c>
      <c r="F839" s="327"/>
      <c r="G839" s="479">
        <f>ROUND((C839*D839*E839),2)</f>
        <v>26.45</v>
      </c>
      <c r="H839" s="1684"/>
    </row>
    <row r="840" spans="1:8" ht="14.45" customHeight="1">
      <c r="A840" s="329"/>
      <c r="B840" s="1686" t="s">
        <v>798</v>
      </c>
      <c r="C840" s="1683">
        <v>1</v>
      </c>
      <c r="D840" s="327">
        <v>20.9</v>
      </c>
      <c r="E840" s="1697"/>
      <c r="F840" s="327">
        <v>0.1</v>
      </c>
      <c r="G840" s="479">
        <f>ROUND((C840*D840*F840),2)</f>
        <v>2.09</v>
      </c>
      <c r="H840" s="1684"/>
    </row>
    <row r="841" spans="1:8" ht="15.95" customHeight="1">
      <c r="A841" s="329"/>
      <c r="B841" s="1686"/>
      <c r="C841" s="1683"/>
      <c r="D841" s="327"/>
      <c r="E841" s="1697" t="s">
        <v>1108</v>
      </c>
      <c r="F841" s="327"/>
      <c r="G841" s="1644">
        <f>ROUND(SUM(G824:G840),2)</f>
        <v>43.58</v>
      </c>
      <c r="H841" s="1684" t="s">
        <v>628</v>
      </c>
    </row>
    <row r="842" spans="1:8" ht="14.45" customHeight="1">
      <c r="A842" s="329">
        <v>10</v>
      </c>
      <c r="B842" s="326" t="s">
        <v>799</v>
      </c>
      <c r="C842" s="1683"/>
      <c r="D842" s="327"/>
      <c r="E842" s="1697"/>
      <c r="F842" s="327"/>
      <c r="G842" s="1680"/>
      <c r="H842" s="1684"/>
    </row>
    <row r="843" spans="1:8" ht="14.45" customHeight="1">
      <c r="A843" s="329"/>
      <c r="B843" s="326" t="s">
        <v>800</v>
      </c>
      <c r="C843" s="1683"/>
      <c r="D843" s="327"/>
      <c r="E843" s="327"/>
      <c r="F843" s="327"/>
      <c r="G843" s="1680"/>
      <c r="H843" s="1684"/>
    </row>
    <row r="844" spans="1:8" ht="15.95" customHeight="1">
      <c r="A844" s="1707"/>
      <c r="B844" s="1708" t="s">
        <v>801</v>
      </c>
      <c r="C844" s="1698"/>
      <c r="D844" s="1653"/>
      <c r="E844" s="1653"/>
      <c r="F844" s="1653"/>
      <c r="G844" s="1655"/>
      <c r="H844" s="1699"/>
    </row>
    <row r="845" spans="1:8" ht="15.95" customHeight="1">
      <c r="A845" s="1707"/>
      <c r="B845" s="1709" t="s">
        <v>802</v>
      </c>
      <c r="C845" s="1698">
        <v>36</v>
      </c>
      <c r="D845" s="1653">
        <v>5.9</v>
      </c>
      <c r="E845" s="1653">
        <v>0.88</v>
      </c>
      <c r="F845" s="1653"/>
      <c r="G845" s="479">
        <f>ROUND((C845*D845*E845),2)</f>
        <v>186.91</v>
      </c>
      <c r="H845" s="1699"/>
    </row>
    <row r="846" spans="1:8" ht="15.95" customHeight="1">
      <c r="A846" s="1707"/>
      <c r="B846" s="1709" t="s">
        <v>803</v>
      </c>
      <c r="C846" s="1698">
        <v>23</v>
      </c>
      <c r="D846" s="1653">
        <v>6.45</v>
      </c>
      <c r="E846" s="1653">
        <v>0.62</v>
      </c>
      <c r="F846" s="1653"/>
      <c r="G846" s="479">
        <f>ROUND((C846*D846*E846),2)</f>
        <v>91.98</v>
      </c>
      <c r="H846" s="1699"/>
    </row>
    <row r="847" spans="1:8" ht="15.95" customHeight="1">
      <c r="A847" s="1710"/>
      <c r="B847" s="1711" t="s">
        <v>804</v>
      </c>
      <c r="C847" s="1712">
        <v>80</v>
      </c>
      <c r="D847" s="1713">
        <v>1.2</v>
      </c>
      <c r="E847" s="1713">
        <v>0.62</v>
      </c>
      <c r="F847" s="1713"/>
      <c r="G847" s="483">
        <f>ROUND((C847*D847*E847),2)</f>
        <v>59.52</v>
      </c>
      <c r="H847" s="1714"/>
    </row>
    <row r="848" spans="1:8" ht="15.95" customHeight="1">
      <c r="A848" s="527"/>
      <c r="B848" s="522"/>
      <c r="G848" s="464"/>
      <c r="H848" s="1715"/>
    </row>
    <row r="849" spans="1:8" ht="15.95" customHeight="1">
      <c r="A849" s="514" t="s">
        <v>739</v>
      </c>
      <c r="B849" s="522"/>
      <c r="G849" s="464"/>
      <c r="H849" s="1715"/>
    </row>
    <row r="850" spans="1:8" ht="15.95" customHeight="1">
      <c r="A850" s="1634" t="s">
        <v>961</v>
      </c>
      <c r="B850" s="1634" t="s">
        <v>962</v>
      </c>
      <c r="C850" s="1635" t="s">
        <v>963</v>
      </c>
      <c r="D850" s="1636" t="s">
        <v>1051</v>
      </c>
      <c r="E850" s="1636" t="s">
        <v>1052</v>
      </c>
      <c r="F850" s="1636" t="s">
        <v>1053</v>
      </c>
      <c r="G850" s="1637" t="s">
        <v>964</v>
      </c>
      <c r="H850" s="1634" t="s">
        <v>1054</v>
      </c>
    </row>
    <row r="851" spans="1:8" ht="15.95" customHeight="1">
      <c r="A851" s="1716"/>
      <c r="B851" s="1717" t="s">
        <v>805</v>
      </c>
      <c r="C851" s="1718"/>
      <c r="D851" s="1719"/>
      <c r="E851" s="1719"/>
      <c r="F851" s="1719"/>
      <c r="G851" s="1705"/>
      <c r="H851" s="1720"/>
    </row>
    <row r="852" spans="1:8" ht="15.95" customHeight="1">
      <c r="A852" s="1707"/>
      <c r="B852" s="1709" t="s">
        <v>806</v>
      </c>
      <c r="C852" s="1698">
        <v>16</v>
      </c>
      <c r="D852" s="1653">
        <v>1.55</v>
      </c>
      <c r="E852" s="1653">
        <v>0.88</v>
      </c>
      <c r="F852" s="1653"/>
      <c r="G852" s="479">
        <f>ROUND((C852*D852*E852),2)</f>
        <v>21.82</v>
      </c>
      <c r="H852" s="1699"/>
    </row>
    <row r="853" spans="1:8" ht="15.95" customHeight="1">
      <c r="A853" s="1707"/>
      <c r="B853" s="1709" t="s">
        <v>807</v>
      </c>
      <c r="C853" s="1698">
        <v>40</v>
      </c>
      <c r="D853" s="1653">
        <v>0.35</v>
      </c>
      <c r="E853" s="1653">
        <v>0.62</v>
      </c>
      <c r="F853" s="1653"/>
      <c r="G853" s="479">
        <f>ROUND((C853*D853*E853),2)</f>
        <v>8.68</v>
      </c>
      <c r="H853" s="1699"/>
    </row>
    <row r="854" spans="1:8" ht="15.95" customHeight="1">
      <c r="A854" s="1707"/>
      <c r="B854" s="1708" t="s">
        <v>808</v>
      </c>
      <c r="C854" s="1698">
        <v>4</v>
      </c>
      <c r="D854" s="1653"/>
      <c r="E854" s="1653"/>
      <c r="F854" s="1653"/>
      <c r="G854" s="1680"/>
      <c r="H854" s="1699"/>
    </row>
    <row r="855" spans="1:8" ht="15.95" customHeight="1">
      <c r="A855" s="1707"/>
      <c r="B855" s="1709" t="s">
        <v>802</v>
      </c>
      <c r="C855" s="1698">
        <v>4</v>
      </c>
      <c r="D855" s="1653">
        <v>2.25</v>
      </c>
      <c r="E855" s="1653">
        <v>0.88</v>
      </c>
      <c r="F855" s="1653"/>
      <c r="G855" s="479">
        <f>ROUND((C855*D855*E855),2)</f>
        <v>7.92</v>
      </c>
      <c r="H855" s="1699"/>
    </row>
    <row r="856" spans="1:8" ht="15.95" customHeight="1">
      <c r="A856" s="1707"/>
      <c r="B856" s="1709" t="s">
        <v>809</v>
      </c>
      <c r="C856" s="1698">
        <v>16</v>
      </c>
      <c r="D856" s="1653">
        <v>0.35</v>
      </c>
      <c r="E856" s="1653">
        <v>0.62</v>
      </c>
      <c r="F856" s="1653"/>
      <c r="G856" s="479">
        <f>ROUND((C856*D856*E856),2)</f>
        <v>3.47</v>
      </c>
      <c r="H856" s="1699"/>
    </row>
    <row r="857" spans="1:8" ht="15.95" customHeight="1">
      <c r="A857" s="1707"/>
      <c r="B857" s="1709"/>
      <c r="C857" s="1698"/>
      <c r="D857" s="1653"/>
      <c r="E857" s="1697" t="s">
        <v>1108</v>
      </c>
      <c r="F857" s="327"/>
      <c r="G857" s="1644">
        <f>ROUND(SUM(G845:G856),2)</f>
        <v>380.3</v>
      </c>
      <c r="H857" s="1684" t="s">
        <v>1034</v>
      </c>
    </row>
    <row r="858" spans="1:8" ht="15" customHeight="1">
      <c r="A858" s="329">
        <v>11</v>
      </c>
      <c r="B858" s="326" t="s">
        <v>810</v>
      </c>
      <c r="C858" s="1683"/>
      <c r="D858" s="327"/>
      <c r="E858" s="327"/>
      <c r="F858" s="327"/>
      <c r="G858" s="1680"/>
      <c r="H858" s="1684"/>
    </row>
    <row r="859" spans="1:8" ht="15" customHeight="1">
      <c r="A859" s="329"/>
      <c r="B859" s="1686" t="s">
        <v>781</v>
      </c>
      <c r="C859" s="1683">
        <v>1</v>
      </c>
      <c r="D859" s="327">
        <v>5.15</v>
      </c>
      <c r="E859" s="327">
        <v>0.1</v>
      </c>
      <c r="F859" s="327">
        <v>7.4999999999999997E-2</v>
      </c>
      <c r="G859" s="479">
        <f>ROUND((C859*D859*E859*F859),2)</f>
        <v>0.04</v>
      </c>
      <c r="H859" s="1684"/>
    </row>
    <row r="860" spans="1:8" ht="15" customHeight="1">
      <c r="A860" s="329"/>
      <c r="B860" s="1686" t="s">
        <v>782</v>
      </c>
      <c r="C860" s="1683">
        <v>1</v>
      </c>
      <c r="D860" s="327">
        <v>5.0199999999999996</v>
      </c>
      <c r="E860" s="327">
        <v>0.1</v>
      </c>
      <c r="F860" s="327">
        <v>7.4999999999999997E-2</v>
      </c>
      <c r="G860" s="479">
        <f>ROUND((C860*D860*E860*F860),2)</f>
        <v>0.04</v>
      </c>
      <c r="H860" s="1684"/>
    </row>
    <row r="861" spans="1:8" ht="15" customHeight="1">
      <c r="A861" s="329"/>
      <c r="B861" s="1686" t="s">
        <v>784</v>
      </c>
      <c r="C861" s="1683">
        <v>2</v>
      </c>
      <c r="D861" s="327">
        <v>4.5</v>
      </c>
      <c r="E861" s="327">
        <v>0.1</v>
      </c>
      <c r="F861" s="327">
        <v>7.4999999999999997E-2</v>
      </c>
      <c r="G861" s="479">
        <f>ROUND((C861*D861*E861*F861),2)</f>
        <v>7.0000000000000007E-2</v>
      </c>
      <c r="H861" s="1684"/>
    </row>
    <row r="862" spans="1:8" ht="15" customHeight="1">
      <c r="A862" s="329"/>
      <c r="B862" s="1686" t="s">
        <v>785</v>
      </c>
      <c r="C862" s="1683">
        <v>1</v>
      </c>
      <c r="D862" s="327">
        <v>4.2</v>
      </c>
      <c r="E862" s="327">
        <v>0.1</v>
      </c>
      <c r="F862" s="327">
        <v>7.4999999999999997E-2</v>
      </c>
      <c r="G862" s="479">
        <f>ROUND((C862*D862*E862*F862),2)</f>
        <v>0.03</v>
      </c>
      <c r="H862" s="1684"/>
    </row>
    <row r="863" spans="1:8" ht="15.95" customHeight="1">
      <c r="A863" s="329"/>
      <c r="B863" s="1686"/>
      <c r="C863" s="1683"/>
      <c r="D863" s="327"/>
      <c r="E863" s="1697" t="s">
        <v>1108</v>
      </c>
      <c r="F863" s="327"/>
      <c r="G863" s="1644">
        <f>ROUND(SUM(G859:G862),2)</f>
        <v>0.18</v>
      </c>
      <c r="H863" s="1684" t="s">
        <v>625</v>
      </c>
    </row>
    <row r="864" spans="1:8" ht="15" customHeight="1">
      <c r="A864" s="329">
        <v>12</v>
      </c>
      <c r="B864" s="326" t="s">
        <v>811</v>
      </c>
      <c r="C864" s="1683"/>
      <c r="D864" s="327"/>
      <c r="E864" s="327"/>
      <c r="F864" s="327"/>
      <c r="G864" s="479"/>
      <c r="H864" s="1684"/>
    </row>
    <row r="865" spans="1:8" ht="15" customHeight="1">
      <c r="A865" s="329"/>
      <c r="B865" s="1686" t="s">
        <v>781</v>
      </c>
      <c r="C865" s="1683">
        <v>1</v>
      </c>
      <c r="D865" s="327">
        <v>0.76</v>
      </c>
      <c r="E865" s="327"/>
      <c r="F865" s="327">
        <v>2.0699999999999998</v>
      </c>
      <c r="G865" s="479">
        <f>ROUND((C865*D865*F865),2)</f>
        <v>1.57</v>
      </c>
      <c r="H865" s="1684"/>
    </row>
    <row r="866" spans="1:8" ht="15" customHeight="1">
      <c r="A866" s="329"/>
      <c r="B866" s="1686" t="s">
        <v>782</v>
      </c>
      <c r="C866" s="1683">
        <v>1</v>
      </c>
      <c r="D866" s="327">
        <v>0.64</v>
      </c>
      <c r="E866" s="327"/>
      <c r="F866" s="327">
        <v>2.0699999999999998</v>
      </c>
      <c r="G866" s="479">
        <f>ROUND((C866*D866*F866),2)</f>
        <v>1.32</v>
      </c>
      <c r="H866" s="1684"/>
    </row>
    <row r="867" spans="1:8" ht="15.95" customHeight="1">
      <c r="A867" s="329"/>
      <c r="B867" s="1686"/>
      <c r="C867" s="1683"/>
      <c r="D867" s="327"/>
      <c r="E867" s="1697" t="s">
        <v>1108</v>
      </c>
      <c r="F867" s="327"/>
      <c r="G867" s="1644">
        <f>ROUND(SUM(G865:G866),2)</f>
        <v>2.89</v>
      </c>
      <c r="H867" s="1684" t="s">
        <v>628</v>
      </c>
    </row>
    <row r="868" spans="1:8" ht="15" customHeight="1">
      <c r="A868" s="329">
        <v>13</v>
      </c>
      <c r="B868" s="326" t="s">
        <v>812</v>
      </c>
      <c r="C868" s="1683"/>
      <c r="D868" s="327"/>
      <c r="E868" s="327"/>
      <c r="F868" s="327"/>
      <c r="G868" s="1680"/>
      <c r="H868" s="1684"/>
    </row>
    <row r="869" spans="1:8" ht="15" customHeight="1">
      <c r="A869" s="329"/>
      <c r="B869" s="1686" t="s">
        <v>784</v>
      </c>
      <c r="C869" s="1683">
        <v>2</v>
      </c>
      <c r="D869" s="327">
        <v>0.93</v>
      </c>
      <c r="E869" s="327"/>
      <c r="F869" s="327">
        <v>1.08</v>
      </c>
      <c r="G869" s="479">
        <f>ROUND((C869*D869*F869),2)</f>
        <v>2.0099999999999998</v>
      </c>
      <c r="H869" s="1684"/>
    </row>
    <row r="870" spans="1:8" ht="15" customHeight="1">
      <c r="A870" s="329"/>
      <c r="B870" s="1686" t="s">
        <v>785</v>
      </c>
      <c r="C870" s="1683">
        <v>1</v>
      </c>
      <c r="D870" s="327">
        <v>0.78</v>
      </c>
      <c r="E870" s="327"/>
      <c r="F870" s="327">
        <v>1.08</v>
      </c>
      <c r="G870" s="479">
        <f>ROUND((C870*D870*F870),2)</f>
        <v>0.84</v>
      </c>
      <c r="H870" s="1684"/>
    </row>
    <row r="871" spans="1:8" ht="15.95" customHeight="1">
      <c r="A871" s="329"/>
      <c r="B871" s="326"/>
      <c r="C871" s="1683"/>
      <c r="D871" s="327"/>
      <c r="E871" s="1697" t="s">
        <v>1108</v>
      </c>
      <c r="F871" s="327"/>
      <c r="G871" s="1644">
        <f>ROUND(SUM(G869:G870),2)</f>
        <v>2.85</v>
      </c>
      <c r="H871" s="1684" t="s">
        <v>628</v>
      </c>
    </row>
    <row r="872" spans="1:8" ht="15" customHeight="1">
      <c r="A872" s="329">
        <v>14</v>
      </c>
      <c r="B872" s="326" t="s">
        <v>813</v>
      </c>
      <c r="C872" s="1683"/>
      <c r="D872" s="327"/>
      <c r="E872" s="327"/>
      <c r="F872" s="327"/>
      <c r="G872" s="1680"/>
      <c r="H872" s="1684"/>
    </row>
    <row r="873" spans="1:8" ht="15" customHeight="1">
      <c r="A873" s="329"/>
      <c r="B873" s="1686" t="s">
        <v>814</v>
      </c>
      <c r="C873" s="1683"/>
      <c r="D873" s="327"/>
      <c r="E873" s="327"/>
      <c r="F873" s="327"/>
      <c r="G873" s="1680"/>
      <c r="H873" s="1684"/>
    </row>
    <row r="874" spans="1:8" ht="15" customHeight="1">
      <c r="A874" s="329"/>
      <c r="B874" s="1686" t="s">
        <v>815</v>
      </c>
      <c r="C874" s="1683">
        <v>1</v>
      </c>
      <c r="D874" s="327">
        <v>3.3</v>
      </c>
      <c r="E874" s="327">
        <v>2.4</v>
      </c>
      <c r="F874" s="327"/>
      <c r="G874" s="479">
        <f t="shared" ref="G874:G880" si="21">ROUND((C874*D874*E874),2)</f>
        <v>7.92</v>
      </c>
      <c r="H874" s="1684"/>
    </row>
    <row r="875" spans="1:8" ht="15" customHeight="1">
      <c r="A875" s="329"/>
      <c r="B875" s="1686" t="s">
        <v>816</v>
      </c>
      <c r="C875" s="1683">
        <v>1</v>
      </c>
      <c r="D875" s="327">
        <v>2.0499999999999998</v>
      </c>
      <c r="E875" s="327">
        <v>1.75</v>
      </c>
      <c r="F875" s="327"/>
      <c r="G875" s="479">
        <f t="shared" si="21"/>
        <v>3.59</v>
      </c>
      <c r="H875" s="1684"/>
    </row>
    <row r="876" spans="1:8" ht="15" customHeight="1">
      <c r="A876" s="329"/>
      <c r="B876" s="1686" t="s">
        <v>749</v>
      </c>
      <c r="C876" s="1683">
        <v>1</v>
      </c>
      <c r="D876" s="327">
        <v>1.75</v>
      </c>
      <c r="E876" s="327">
        <v>1.35</v>
      </c>
      <c r="F876" s="327"/>
      <c r="G876" s="479">
        <f t="shared" si="21"/>
        <v>2.36</v>
      </c>
      <c r="H876" s="1684"/>
    </row>
    <row r="877" spans="1:8" ht="15" customHeight="1">
      <c r="A877" s="329"/>
      <c r="B877" s="1686" t="s">
        <v>817</v>
      </c>
      <c r="C877" s="1683">
        <v>1</v>
      </c>
      <c r="D877" s="327">
        <v>4.3099999999999996</v>
      </c>
      <c r="E877" s="327">
        <v>0.35</v>
      </c>
      <c r="F877" s="327"/>
      <c r="G877" s="479">
        <f t="shared" si="21"/>
        <v>1.51</v>
      </c>
      <c r="H877" s="1684"/>
    </row>
    <row r="878" spans="1:8" ht="15" customHeight="1">
      <c r="A878" s="329"/>
      <c r="B878" s="1686" t="s">
        <v>744</v>
      </c>
      <c r="C878" s="1683">
        <v>1</v>
      </c>
      <c r="D878" s="327">
        <v>20</v>
      </c>
      <c r="E878" s="327">
        <v>0.38</v>
      </c>
      <c r="F878" s="327"/>
      <c r="G878" s="479">
        <f t="shared" si="21"/>
        <v>7.6</v>
      </c>
      <c r="H878" s="1684"/>
    </row>
    <row r="879" spans="1:8" ht="15" customHeight="1">
      <c r="A879" s="329"/>
      <c r="B879" s="1686" t="s">
        <v>745</v>
      </c>
      <c r="C879" s="1683">
        <v>2</v>
      </c>
      <c r="D879" s="327">
        <v>22</v>
      </c>
      <c r="E879" s="327">
        <v>0.3</v>
      </c>
      <c r="F879" s="327"/>
      <c r="G879" s="479">
        <f t="shared" si="21"/>
        <v>13.2</v>
      </c>
      <c r="H879" s="1684"/>
    </row>
    <row r="880" spans="1:8" ht="15" customHeight="1">
      <c r="A880" s="329"/>
      <c r="B880" s="1686" t="s">
        <v>818</v>
      </c>
      <c r="C880" s="1683">
        <v>1</v>
      </c>
      <c r="D880" s="327">
        <v>1.75</v>
      </c>
      <c r="E880" s="327">
        <v>0.9</v>
      </c>
      <c r="F880" s="327"/>
      <c r="G880" s="479">
        <f t="shared" si="21"/>
        <v>1.58</v>
      </c>
      <c r="H880" s="1684"/>
    </row>
    <row r="881" spans="1:8" ht="15" customHeight="1">
      <c r="A881" s="329"/>
      <c r="B881" s="1686" t="s">
        <v>819</v>
      </c>
      <c r="C881" s="1683">
        <v>1</v>
      </c>
      <c r="D881" s="327">
        <v>20</v>
      </c>
      <c r="E881" s="327"/>
      <c r="F881" s="327">
        <v>0.15</v>
      </c>
      <c r="G881" s="479">
        <f>ROUND((C881*D881*F881),2)</f>
        <v>3</v>
      </c>
      <c r="H881" s="1684"/>
    </row>
    <row r="882" spans="1:8" ht="15.95" customHeight="1">
      <c r="A882" s="329"/>
      <c r="B882" s="326"/>
      <c r="C882" s="1683"/>
      <c r="D882" s="327"/>
      <c r="E882" s="1697" t="s">
        <v>1108</v>
      </c>
      <c r="F882" s="327"/>
      <c r="G882" s="1644">
        <f>ROUND(SUM(G874:G881),2)</f>
        <v>40.76</v>
      </c>
      <c r="H882" s="1684" t="s">
        <v>628</v>
      </c>
    </row>
    <row r="883" spans="1:8" ht="15" customHeight="1">
      <c r="A883" s="329">
        <v>15</v>
      </c>
      <c r="B883" s="326" t="s">
        <v>820</v>
      </c>
      <c r="C883" s="1683"/>
      <c r="D883" s="327"/>
      <c r="E883" s="327"/>
      <c r="F883" s="327"/>
      <c r="G883" s="1680"/>
      <c r="H883" s="1684"/>
    </row>
    <row r="884" spans="1:8" ht="15" customHeight="1">
      <c r="A884" s="329"/>
      <c r="B884" s="326" t="s">
        <v>821</v>
      </c>
      <c r="C884" s="1683"/>
      <c r="D884" s="327"/>
      <c r="E884" s="327"/>
      <c r="F884" s="327"/>
      <c r="G884" s="1680"/>
      <c r="H884" s="1684"/>
    </row>
    <row r="885" spans="1:8" ht="15" customHeight="1">
      <c r="A885" s="329"/>
      <c r="B885" s="1686" t="s">
        <v>815</v>
      </c>
      <c r="C885" s="1683">
        <v>1</v>
      </c>
      <c r="D885" s="327">
        <v>3.3</v>
      </c>
      <c r="E885" s="327">
        <v>2.4</v>
      </c>
      <c r="F885" s="327"/>
      <c r="G885" s="479">
        <f t="shared" ref="G885:G892" si="22">ROUND((C885*D885*E885),2)</f>
        <v>7.92</v>
      </c>
      <c r="H885" s="1684"/>
    </row>
    <row r="886" spans="1:8" ht="15" customHeight="1">
      <c r="A886" s="329"/>
      <c r="B886" s="1686" t="s">
        <v>816</v>
      </c>
      <c r="C886" s="1683">
        <v>1</v>
      </c>
      <c r="D886" s="327">
        <v>2.0499999999999998</v>
      </c>
      <c r="E886" s="327">
        <v>1.75</v>
      </c>
      <c r="F886" s="327"/>
      <c r="G886" s="479">
        <f t="shared" si="22"/>
        <v>3.59</v>
      </c>
      <c r="H886" s="1684"/>
    </row>
    <row r="887" spans="1:8" ht="15" customHeight="1">
      <c r="A887" s="329"/>
      <c r="B887" s="1686" t="s">
        <v>749</v>
      </c>
      <c r="C887" s="1683">
        <v>1</v>
      </c>
      <c r="D887" s="327">
        <v>1.75</v>
      </c>
      <c r="E887" s="327">
        <v>1.35</v>
      </c>
      <c r="F887" s="327"/>
      <c r="G887" s="479">
        <f t="shared" si="22"/>
        <v>2.36</v>
      </c>
      <c r="H887" s="1684"/>
    </row>
    <row r="888" spans="1:8" ht="15" customHeight="1">
      <c r="A888" s="329"/>
      <c r="B888" s="1686" t="s">
        <v>817</v>
      </c>
      <c r="C888" s="1683">
        <v>1</v>
      </c>
      <c r="D888" s="327">
        <v>4.3099999999999996</v>
      </c>
      <c r="E888" s="327">
        <v>0.35</v>
      </c>
      <c r="F888" s="327"/>
      <c r="G888" s="479">
        <f t="shared" si="22"/>
        <v>1.51</v>
      </c>
      <c r="H888" s="1684"/>
    </row>
    <row r="889" spans="1:8" ht="15" customHeight="1">
      <c r="A889" s="329"/>
      <c r="B889" s="1686" t="s">
        <v>744</v>
      </c>
      <c r="C889" s="1683">
        <v>1</v>
      </c>
      <c r="D889" s="327">
        <v>20</v>
      </c>
      <c r="E889" s="327">
        <v>0.38</v>
      </c>
      <c r="F889" s="327"/>
      <c r="G889" s="479">
        <f t="shared" si="22"/>
        <v>7.6</v>
      </c>
      <c r="H889" s="1684"/>
    </row>
    <row r="890" spans="1:8" ht="15" customHeight="1">
      <c r="A890" s="329"/>
      <c r="B890" s="1686" t="s">
        <v>745</v>
      </c>
      <c r="C890" s="1683">
        <v>2</v>
      </c>
      <c r="D890" s="327">
        <v>22</v>
      </c>
      <c r="E890" s="327">
        <v>0.3</v>
      </c>
      <c r="F890" s="327"/>
      <c r="G890" s="479">
        <f t="shared" si="22"/>
        <v>13.2</v>
      </c>
      <c r="H890" s="1684"/>
    </row>
    <row r="891" spans="1:8" ht="15" customHeight="1">
      <c r="A891" s="329"/>
      <c r="B891" s="1686" t="s">
        <v>818</v>
      </c>
      <c r="C891" s="1683">
        <v>1</v>
      </c>
      <c r="D891" s="327">
        <v>1.75</v>
      </c>
      <c r="E891" s="327">
        <v>0.75</v>
      </c>
      <c r="F891" s="327"/>
      <c r="G891" s="479">
        <f t="shared" si="22"/>
        <v>1.31</v>
      </c>
      <c r="H891" s="1684"/>
    </row>
    <row r="892" spans="1:8" ht="15" customHeight="1">
      <c r="A892" s="329"/>
      <c r="B892" s="1686" t="s">
        <v>818</v>
      </c>
      <c r="C892" s="1683">
        <v>2</v>
      </c>
      <c r="D892" s="327">
        <v>22.8</v>
      </c>
      <c r="E892" s="327">
        <v>0.15</v>
      </c>
      <c r="F892" s="327"/>
      <c r="G892" s="479">
        <f t="shared" si="22"/>
        <v>6.84</v>
      </c>
      <c r="H892" s="1684"/>
    </row>
    <row r="893" spans="1:8" ht="15" customHeight="1">
      <c r="A893" s="329"/>
      <c r="B893" s="326" t="s">
        <v>822</v>
      </c>
      <c r="C893" s="1683"/>
      <c r="D893" s="327"/>
      <c r="E893" s="327"/>
      <c r="F893" s="327"/>
      <c r="G893" s="1680"/>
      <c r="H893" s="1684"/>
    </row>
    <row r="894" spans="1:8" ht="15" customHeight="1">
      <c r="A894" s="329"/>
      <c r="B894" s="1686" t="s">
        <v>815</v>
      </c>
      <c r="C894" s="1683">
        <v>1</v>
      </c>
      <c r="D894" s="327">
        <v>11.4</v>
      </c>
      <c r="E894" s="327"/>
      <c r="F894" s="327">
        <v>2.8</v>
      </c>
      <c r="G894" s="1680">
        <f>ROUND((C894*D894*F894),2)</f>
        <v>31.92</v>
      </c>
      <c r="H894" s="1684"/>
    </row>
    <row r="895" spans="1:8" ht="15.95" customHeight="1">
      <c r="A895" s="1687"/>
      <c r="B895" s="1721"/>
      <c r="C895" s="1689"/>
      <c r="D895" s="1690"/>
      <c r="E895" s="1690"/>
      <c r="F895" s="1690"/>
      <c r="G895" s="1722"/>
      <c r="H895" s="1695"/>
    </row>
    <row r="896" spans="1:8" ht="15.95" customHeight="1">
      <c r="A896" s="383"/>
      <c r="B896" s="523"/>
      <c r="C896" s="520"/>
      <c r="D896" s="386"/>
      <c r="E896" s="386"/>
      <c r="F896" s="386"/>
      <c r="G896" s="385"/>
      <c r="H896" s="384"/>
    </row>
    <row r="897" spans="1:8" ht="15.95" customHeight="1">
      <c r="A897" s="514" t="s">
        <v>739</v>
      </c>
      <c r="B897" s="522"/>
      <c r="G897" s="464"/>
      <c r="H897" s="1715"/>
    </row>
    <row r="898" spans="1:8" ht="15.95" customHeight="1">
      <c r="A898" s="1634" t="s">
        <v>961</v>
      </c>
      <c r="B898" s="1634" t="s">
        <v>962</v>
      </c>
      <c r="C898" s="1635" t="s">
        <v>963</v>
      </c>
      <c r="D898" s="1636" t="s">
        <v>1051</v>
      </c>
      <c r="E898" s="1636" t="s">
        <v>1052</v>
      </c>
      <c r="F898" s="1636" t="s">
        <v>1053</v>
      </c>
      <c r="G898" s="1637" t="s">
        <v>964</v>
      </c>
      <c r="H898" s="1634" t="s">
        <v>1054</v>
      </c>
    </row>
    <row r="899" spans="1:8" ht="15.95" customHeight="1">
      <c r="A899" s="322"/>
      <c r="B899" s="1723" t="s">
        <v>816</v>
      </c>
      <c r="C899" s="1693">
        <v>1</v>
      </c>
      <c r="D899" s="324">
        <v>7.6</v>
      </c>
      <c r="E899" s="324"/>
      <c r="F899" s="324">
        <v>2.8</v>
      </c>
      <c r="G899" s="1666">
        <f>ROUND((C899*D899*F899),2)</f>
        <v>21.28</v>
      </c>
      <c r="H899" s="325"/>
    </row>
    <row r="900" spans="1:8" ht="15.95" customHeight="1">
      <c r="A900" s="329"/>
      <c r="B900" s="1686" t="s">
        <v>749</v>
      </c>
      <c r="C900" s="1683">
        <v>1</v>
      </c>
      <c r="D900" s="327">
        <v>1.75</v>
      </c>
      <c r="E900" s="327"/>
      <c r="F900" s="327">
        <v>2.8</v>
      </c>
      <c r="G900" s="479">
        <f>ROUND((C900*D900*F900),2)</f>
        <v>4.9000000000000004</v>
      </c>
      <c r="H900" s="1684"/>
    </row>
    <row r="901" spans="1:8" ht="15.95" customHeight="1">
      <c r="A901" s="329"/>
      <c r="B901" s="326" t="s">
        <v>823</v>
      </c>
      <c r="C901" s="1683"/>
      <c r="D901" s="327"/>
      <c r="E901" s="327"/>
      <c r="F901" s="327"/>
      <c r="G901" s="1680"/>
      <c r="H901" s="1684"/>
    </row>
    <row r="902" spans="1:8" ht="15.95" customHeight="1">
      <c r="A902" s="329"/>
      <c r="B902" s="1686" t="s">
        <v>22</v>
      </c>
      <c r="C902" s="1683">
        <v>1</v>
      </c>
      <c r="D902" s="327">
        <v>18.5</v>
      </c>
      <c r="E902" s="327"/>
      <c r="F902" s="327">
        <v>2.8</v>
      </c>
      <c r="G902" s="479">
        <f>ROUND((C902*D902*F902),2)</f>
        <v>51.8</v>
      </c>
      <c r="H902" s="1684"/>
    </row>
    <row r="903" spans="1:8" ht="15.95" customHeight="1">
      <c r="A903" s="329"/>
      <c r="B903" s="1686"/>
      <c r="C903" s="1683"/>
      <c r="D903" s="327"/>
      <c r="E903" s="1697" t="s">
        <v>1111</v>
      </c>
      <c r="F903" s="327"/>
      <c r="G903" s="1644">
        <f>ROUND(SUM(G885:G902),2)</f>
        <v>154.22999999999999</v>
      </c>
      <c r="H903" s="1684" t="s">
        <v>628</v>
      </c>
    </row>
    <row r="904" spans="1:8" ht="15.95" customHeight="1">
      <c r="A904" s="329"/>
      <c r="B904" s="1686" t="s">
        <v>824</v>
      </c>
      <c r="C904" s="1683"/>
      <c r="D904" s="327"/>
      <c r="E904" s="327"/>
      <c r="F904" s="327"/>
      <c r="G904" s="1680"/>
      <c r="H904" s="1684"/>
    </row>
    <row r="905" spans="1:8" ht="15.95" customHeight="1">
      <c r="A905" s="329"/>
      <c r="B905" s="1686" t="s">
        <v>781</v>
      </c>
      <c r="C905" s="1683">
        <v>1</v>
      </c>
      <c r="D905" s="327">
        <v>0.76</v>
      </c>
      <c r="E905" s="327"/>
      <c r="F905" s="327">
        <v>2.13</v>
      </c>
      <c r="G905" s="479">
        <f>ROUND((C905*D905*F905),2)</f>
        <v>1.62</v>
      </c>
      <c r="H905" s="1684"/>
    </row>
    <row r="906" spans="1:8" ht="15.95" customHeight="1">
      <c r="A906" s="329"/>
      <c r="B906" s="1686" t="s">
        <v>782</v>
      </c>
      <c r="C906" s="1683">
        <v>1</v>
      </c>
      <c r="D906" s="327">
        <v>0.64</v>
      </c>
      <c r="E906" s="327"/>
      <c r="F906" s="327">
        <v>2.13</v>
      </c>
      <c r="G906" s="479">
        <f>ROUND((C906*D906*F906),2)</f>
        <v>1.36</v>
      </c>
      <c r="H906" s="1684"/>
    </row>
    <row r="907" spans="1:8" ht="15.95" customHeight="1">
      <c r="A907" s="329"/>
      <c r="B907" s="1686" t="s">
        <v>784</v>
      </c>
      <c r="C907" s="1683">
        <v>2</v>
      </c>
      <c r="D907" s="327">
        <v>0.93</v>
      </c>
      <c r="E907" s="327"/>
      <c r="F907" s="327">
        <v>1.2</v>
      </c>
      <c r="G907" s="479">
        <f>ROUND((C907*D907*F907),2)</f>
        <v>2.23</v>
      </c>
      <c r="H907" s="1684"/>
    </row>
    <row r="908" spans="1:8" ht="15.95" customHeight="1">
      <c r="A908" s="329"/>
      <c r="B908" s="1686" t="s">
        <v>785</v>
      </c>
      <c r="C908" s="1683">
        <v>1</v>
      </c>
      <c r="D908" s="327">
        <v>0.78</v>
      </c>
      <c r="E908" s="327"/>
      <c r="F908" s="327">
        <v>1.2</v>
      </c>
      <c r="G908" s="479">
        <f>ROUND((C908*D908*F908),2)</f>
        <v>0.94</v>
      </c>
      <c r="H908" s="1684"/>
    </row>
    <row r="909" spans="1:8" ht="15.95" customHeight="1">
      <c r="A909" s="329"/>
      <c r="B909" s="1686"/>
      <c r="C909" s="1683"/>
      <c r="D909" s="327"/>
      <c r="E909" s="327" t="s">
        <v>1111</v>
      </c>
      <c r="F909" s="327"/>
      <c r="G909" s="1645">
        <f>ROUND(SUM(G905:G908),2)</f>
        <v>6.15</v>
      </c>
      <c r="H909" s="1684" t="s">
        <v>628</v>
      </c>
    </row>
    <row r="910" spans="1:8" ht="15.95" customHeight="1">
      <c r="A910" s="329"/>
      <c r="B910" s="1686"/>
      <c r="C910" s="1683"/>
      <c r="D910" s="327"/>
      <c r="E910" s="1697" t="s">
        <v>1108</v>
      </c>
      <c r="F910" s="327"/>
      <c r="G910" s="1644">
        <f>ROUND((G903-G909),2)</f>
        <v>148.08000000000001</v>
      </c>
      <c r="H910" s="1684" t="s">
        <v>628</v>
      </c>
    </row>
    <row r="911" spans="1:8" ht="15.95" customHeight="1">
      <c r="A911" s="329">
        <v>16</v>
      </c>
      <c r="B911" s="326" t="s">
        <v>825</v>
      </c>
      <c r="C911" s="1683"/>
      <c r="D911" s="327" t="s">
        <v>826</v>
      </c>
      <c r="E911" s="327"/>
      <c r="F911" s="327"/>
      <c r="G911" s="1644">
        <f>G885+G886+G887+G888+G894+G899+G900+G902</f>
        <v>125.28</v>
      </c>
      <c r="H911" s="1684" t="s">
        <v>628</v>
      </c>
    </row>
    <row r="912" spans="1:8" ht="15.95" customHeight="1">
      <c r="A912" s="1707"/>
      <c r="B912" s="1686" t="s">
        <v>827</v>
      </c>
      <c r="C912" s="1698"/>
      <c r="D912" s="327" t="s">
        <v>826</v>
      </c>
      <c r="E912" s="1653"/>
      <c r="F912" s="1653"/>
      <c r="G912" s="1680">
        <f>G909</f>
        <v>6.15</v>
      </c>
      <c r="H912" s="1699"/>
    </row>
    <row r="913" spans="1:8" ht="15.95" customHeight="1">
      <c r="A913" s="329">
        <v>17</v>
      </c>
      <c r="B913" s="326" t="s">
        <v>828</v>
      </c>
      <c r="C913" s="1683"/>
      <c r="D913" s="327"/>
      <c r="E913" s="1697" t="s">
        <v>1108</v>
      </c>
      <c r="F913" s="327"/>
      <c r="G913" s="1681">
        <f>ROUND((G911-G912),2)</f>
        <v>119.13</v>
      </c>
      <c r="H913" s="1684" t="s">
        <v>628</v>
      </c>
    </row>
    <row r="914" spans="1:8" ht="15.95" customHeight="1">
      <c r="A914" s="329"/>
      <c r="B914" s="1686" t="s">
        <v>829</v>
      </c>
      <c r="C914" s="1683"/>
      <c r="D914" s="327"/>
      <c r="E914" s="327"/>
      <c r="F914" s="327"/>
      <c r="G914" s="1680"/>
      <c r="H914" s="1684"/>
    </row>
    <row r="915" spans="1:8" ht="15.95" customHeight="1">
      <c r="A915" s="329"/>
      <c r="B915" s="1686" t="s">
        <v>781</v>
      </c>
      <c r="C915" s="1683">
        <v>3</v>
      </c>
      <c r="D915" s="327">
        <v>0.9</v>
      </c>
      <c r="E915" s="327"/>
      <c r="F915" s="327">
        <v>2.13</v>
      </c>
      <c r="G915" s="479">
        <f>ROUND((C915*D915*F915),2)</f>
        <v>5.75</v>
      </c>
      <c r="H915" s="1684"/>
    </row>
    <row r="916" spans="1:8" ht="15.95" customHeight="1">
      <c r="A916" s="329"/>
      <c r="B916" s="1686" t="s">
        <v>782</v>
      </c>
      <c r="C916" s="1683">
        <v>3</v>
      </c>
      <c r="D916" s="327">
        <v>0.75</v>
      </c>
      <c r="E916" s="327"/>
      <c r="F916" s="327">
        <v>2.13</v>
      </c>
      <c r="G916" s="479">
        <f>ROUND((C916*D916*F916),2)</f>
        <v>4.79</v>
      </c>
      <c r="H916" s="1684"/>
    </row>
    <row r="917" spans="1:8" ht="15.95" customHeight="1">
      <c r="A917" s="329"/>
      <c r="B917" s="1686" t="s">
        <v>784</v>
      </c>
      <c r="C917" s="1683">
        <v>2</v>
      </c>
      <c r="D917" s="327">
        <v>1.05</v>
      </c>
      <c r="E917" s="327"/>
      <c r="F917" s="327">
        <v>1.2</v>
      </c>
      <c r="G917" s="479">
        <f>ROUND((C917*D917*F917),2)</f>
        <v>2.52</v>
      </c>
      <c r="H917" s="1684"/>
    </row>
    <row r="918" spans="1:8" ht="15.95" customHeight="1">
      <c r="A918" s="329"/>
      <c r="B918" s="1686" t="s">
        <v>785</v>
      </c>
      <c r="C918" s="1683">
        <v>1</v>
      </c>
      <c r="D918" s="327">
        <v>0.9</v>
      </c>
      <c r="E918" s="327"/>
      <c r="F918" s="327">
        <v>1.2</v>
      </c>
      <c r="G918" s="479">
        <f>ROUND((C918*D918*F918),2)</f>
        <v>1.08</v>
      </c>
      <c r="H918" s="1684"/>
    </row>
    <row r="919" spans="1:8" ht="15.95" customHeight="1">
      <c r="A919" s="329"/>
      <c r="B919" s="326"/>
      <c r="C919" s="1683"/>
      <c r="D919" s="327"/>
      <c r="E919" s="1697" t="s">
        <v>1108</v>
      </c>
      <c r="F919" s="327"/>
      <c r="G919" s="1644">
        <f>ROUND(SUM(G915:G918),2)</f>
        <v>14.14</v>
      </c>
      <c r="H919" s="1684" t="s">
        <v>628</v>
      </c>
    </row>
    <row r="920" spans="1:8" ht="15.95" customHeight="1">
      <c r="A920" s="329"/>
      <c r="B920" s="326"/>
      <c r="C920" s="1683"/>
      <c r="D920" s="327"/>
      <c r="E920" s="1697"/>
      <c r="F920" s="327"/>
      <c r="G920" s="1681"/>
      <c r="H920" s="1684"/>
    </row>
    <row r="921" spans="1:8" ht="15.95" customHeight="1">
      <c r="A921" s="329">
        <v>18</v>
      </c>
      <c r="B921" s="326" t="s">
        <v>830</v>
      </c>
      <c r="C921" s="1724" t="s">
        <v>831</v>
      </c>
      <c r="D921" s="327"/>
      <c r="E921" s="1697"/>
      <c r="F921" s="327"/>
      <c r="G921" s="1681" t="s">
        <v>832</v>
      </c>
      <c r="H921" s="1684"/>
    </row>
    <row r="922" spans="1:8" ht="15.95" customHeight="1">
      <c r="A922" s="1687"/>
      <c r="B922" s="1688"/>
      <c r="C922" s="1689"/>
      <c r="D922" s="1690"/>
      <c r="E922" s="1725"/>
      <c r="F922" s="1690"/>
      <c r="G922" s="1726"/>
      <c r="H922" s="1695"/>
    </row>
    <row r="923" spans="1:8" ht="15.95" customHeight="1">
      <c r="A923" s="2944" t="s">
        <v>833</v>
      </c>
      <c r="B923" s="2944"/>
      <c r="C923" s="2944"/>
      <c r="D923" s="2944"/>
      <c r="E923" s="2944"/>
      <c r="F923" s="2944"/>
      <c r="G923" s="2944"/>
      <c r="H923" s="2944"/>
    </row>
    <row r="924" spans="1:8" ht="15.95" customHeight="1">
      <c r="A924" s="1727" t="s">
        <v>961</v>
      </c>
      <c r="B924" s="1727" t="s">
        <v>962</v>
      </c>
      <c r="C924" s="1728" t="s">
        <v>963</v>
      </c>
      <c r="D924" s="1729" t="s">
        <v>1051</v>
      </c>
      <c r="E924" s="1729" t="s">
        <v>1052</v>
      </c>
      <c r="F924" s="1729" t="s">
        <v>1053</v>
      </c>
      <c r="G924" s="1730" t="s">
        <v>964</v>
      </c>
      <c r="H924" s="1727" t="s">
        <v>1054</v>
      </c>
    </row>
    <row r="925" spans="1:8" ht="14.1" customHeight="1">
      <c r="A925" s="322">
        <v>1</v>
      </c>
      <c r="B925" s="1692" t="s">
        <v>26</v>
      </c>
      <c r="C925" s="1693">
        <v>1</v>
      </c>
      <c r="D925" s="324">
        <v>3</v>
      </c>
      <c r="E925" s="324">
        <v>2</v>
      </c>
      <c r="F925" s="324"/>
      <c r="G925" s="324">
        <f>C925*D925*E925</f>
        <v>6</v>
      </c>
      <c r="H925" s="325"/>
    </row>
    <row r="926" spans="1:8" ht="14.1" customHeight="1">
      <c r="A926" s="1731"/>
      <c r="B926" s="1732"/>
      <c r="C926" s="1733"/>
      <c r="D926" s="1733"/>
      <c r="E926" s="1733"/>
      <c r="F926" s="1697" t="s">
        <v>1108</v>
      </c>
      <c r="G926" s="1734">
        <f>SUM(G925:G925)</f>
        <v>6</v>
      </c>
      <c r="H926" s="1735" t="s">
        <v>47</v>
      </c>
    </row>
    <row r="927" spans="1:8" ht="14.1" customHeight="1">
      <c r="A927" s="1731">
        <v>2</v>
      </c>
      <c r="B927" s="1732" t="s">
        <v>834</v>
      </c>
      <c r="C927" s="1736"/>
      <c r="D927" s="1736"/>
      <c r="E927" s="1736"/>
      <c r="F927" s="1736"/>
      <c r="G927" s="1736"/>
      <c r="H927" s="1734"/>
    </row>
    <row r="928" spans="1:8" ht="14.1" customHeight="1">
      <c r="A928" s="1731"/>
      <c r="B928" s="1732" t="s">
        <v>835</v>
      </c>
      <c r="C928" s="1733">
        <v>2</v>
      </c>
      <c r="D928" s="1737">
        <v>2.35</v>
      </c>
      <c r="E928" s="1733">
        <v>0.6</v>
      </c>
      <c r="F928" s="1733">
        <v>0.4</v>
      </c>
      <c r="G928" s="1733">
        <f>C928*D928*E928*F928</f>
        <v>1.1279999999999999</v>
      </c>
      <c r="H928" s="1734"/>
    </row>
    <row r="929" spans="1:8" ht="14.1" customHeight="1">
      <c r="A929" s="1731"/>
      <c r="B929" s="1732" t="s">
        <v>836</v>
      </c>
      <c r="C929" s="1733">
        <v>2</v>
      </c>
      <c r="D929" s="1737">
        <v>1</v>
      </c>
      <c r="E929" s="1733">
        <v>0.6</v>
      </c>
      <c r="F929" s="1733">
        <v>0.4</v>
      </c>
      <c r="G929" s="1733">
        <f>C929*D929*E929*F929</f>
        <v>0.48</v>
      </c>
      <c r="H929" s="1734"/>
    </row>
    <row r="930" spans="1:8" ht="14.1" customHeight="1">
      <c r="A930" s="1731"/>
      <c r="B930" s="1732"/>
      <c r="C930" s="1733">
        <v>1</v>
      </c>
      <c r="D930" s="1737">
        <v>0.25</v>
      </c>
      <c r="E930" s="1733">
        <v>0.6</v>
      </c>
      <c r="F930" s="1733">
        <v>0.4</v>
      </c>
      <c r="G930" s="1733">
        <f>C930*D930*E930*F930</f>
        <v>0.06</v>
      </c>
      <c r="H930" s="1734"/>
    </row>
    <row r="931" spans="1:8" ht="14.1" customHeight="1">
      <c r="A931" s="1731"/>
      <c r="B931" s="1732" t="s">
        <v>837</v>
      </c>
      <c r="C931" s="1733">
        <v>1</v>
      </c>
      <c r="D931" s="1737">
        <v>1</v>
      </c>
      <c r="E931" s="1733">
        <v>0.625</v>
      </c>
      <c r="F931" s="1733">
        <v>0.3</v>
      </c>
      <c r="G931" s="1733">
        <f>C931*D931*E931*F931</f>
        <v>0.1875</v>
      </c>
      <c r="H931" s="1734"/>
    </row>
    <row r="932" spans="1:8" ht="14.1" customHeight="1">
      <c r="A932" s="1731"/>
      <c r="B932" s="1732" t="s">
        <v>838</v>
      </c>
      <c r="C932" s="1733">
        <v>1</v>
      </c>
      <c r="D932" s="1738" t="s">
        <v>839</v>
      </c>
      <c r="E932" s="1733"/>
      <c r="F932" s="1733">
        <v>1.3</v>
      </c>
      <c r="G932" s="1733">
        <f>C932*F932*22/7*0.85*0.85</f>
        <v>2.9519285714285717</v>
      </c>
      <c r="H932" s="1734"/>
    </row>
    <row r="933" spans="1:8" ht="14.1" customHeight="1">
      <c r="A933" s="1731"/>
      <c r="B933" s="1732" t="s">
        <v>840</v>
      </c>
      <c r="C933" s="1733">
        <v>2</v>
      </c>
      <c r="D933" s="1737">
        <v>4</v>
      </c>
      <c r="E933" s="1733">
        <v>0.3</v>
      </c>
      <c r="F933" s="1733">
        <v>0.5</v>
      </c>
      <c r="G933" s="1733">
        <f>C933*D933*E933*F933</f>
        <v>1.2</v>
      </c>
      <c r="H933" s="1734"/>
    </row>
    <row r="934" spans="1:8" ht="14.1" customHeight="1">
      <c r="A934" s="1731"/>
      <c r="B934" s="1739"/>
      <c r="C934" s="1733"/>
      <c r="D934" s="1733"/>
      <c r="E934" s="1733"/>
      <c r="F934" s="1697" t="s">
        <v>1108</v>
      </c>
      <c r="G934" s="1734">
        <f>SUM(G928:G933)</f>
        <v>6.007428571428572</v>
      </c>
      <c r="H934" s="1735" t="s">
        <v>29</v>
      </c>
    </row>
    <row r="935" spans="1:8" ht="14.1" customHeight="1">
      <c r="A935" s="1731">
        <v>3</v>
      </c>
      <c r="B935" s="1739" t="s">
        <v>841</v>
      </c>
      <c r="C935" s="1733">
        <v>1</v>
      </c>
      <c r="D935" s="1737">
        <v>1.3</v>
      </c>
      <c r="E935" s="1733">
        <v>1</v>
      </c>
      <c r="F935" s="1733">
        <v>0.15</v>
      </c>
      <c r="G935" s="1733">
        <f>C935*F935*22/7*0.85*0.85</f>
        <v>0.34060714285714283</v>
      </c>
      <c r="H935" s="1735" t="s">
        <v>29</v>
      </c>
    </row>
    <row r="936" spans="1:8" ht="14.1" customHeight="1">
      <c r="A936" s="1731">
        <v>4</v>
      </c>
      <c r="B936" s="1732" t="s">
        <v>842</v>
      </c>
      <c r="C936" s="1733">
        <v>2</v>
      </c>
      <c r="D936" s="1738" t="s">
        <v>843</v>
      </c>
      <c r="E936" s="1733"/>
      <c r="F936" s="1733">
        <v>0.42499999999999999</v>
      </c>
      <c r="G936" s="1734">
        <f>22/7*C936*F936*(((0.85)^2)-((0.5)^2))</f>
        <v>1.2622499999999997</v>
      </c>
      <c r="H936" s="1735" t="s">
        <v>29</v>
      </c>
    </row>
    <row r="937" spans="1:8" ht="14.1" customHeight="1">
      <c r="A937" s="1731">
        <v>5</v>
      </c>
      <c r="B937" s="1732" t="s">
        <v>844</v>
      </c>
      <c r="C937" s="1733"/>
      <c r="D937" s="1733"/>
      <c r="E937" s="1733"/>
      <c r="F937" s="1733"/>
      <c r="G937" s="1733"/>
      <c r="H937" s="1734"/>
    </row>
    <row r="938" spans="1:8" ht="14.1" customHeight="1">
      <c r="A938" s="1731"/>
      <c r="B938" s="1740" t="s">
        <v>845</v>
      </c>
      <c r="C938" s="1733">
        <v>2</v>
      </c>
      <c r="D938" s="1733">
        <v>2.35</v>
      </c>
      <c r="E938" s="1733">
        <v>0.6</v>
      </c>
      <c r="F938" s="1733">
        <v>0.4</v>
      </c>
      <c r="G938" s="1737">
        <f t="shared" ref="G938:G943" si="23">C938*D938*E938*F938</f>
        <v>1.1279999999999999</v>
      </c>
      <c r="H938" s="1731"/>
    </row>
    <row r="939" spans="1:8" ht="14.1" customHeight="1">
      <c r="A939" s="1731"/>
      <c r="B939" s="1740" t="s">
        <v>1058</v>
      </c>
      <c r="C939" s="1733">
        <v>2</v>
      </c>
      <c r="D939" s="1733">
        <v>1</v>
      </c>
      <c r="E939" s="1733">
        <v>0.6</v>
      </c>
      <c r="F939" s="1733">
        <v>0.4</v>
      </c>
      <c r="G939" s="1737">
        <f t="shared" si="23"/>
        <v>0.48</v>
      </c>
      <c r="H939" s="1734"/>
    </row>
    <row r="940" spans="1:8" ht="14.1" customHeight="1">
      <c r="A940" s="1731"/>
      <c r="B940" s="1732" t="s">
        <v>846</v>
      </c>
      <c r="C940" s="1733">
        <v>2</v>
      </c>
      <c r="D940" s="1733">
        <v>2.2000000000000002</v>
      </c>
      <c r="E940" s="1733">
        <v>0.45</v>
      </c>
      <c r="F940" s="1733">
        <v>2.2799999999999998</v>
      </c>
      <c r="G940" s="1733">
        <f t="shared" si="23"/>
        <v>4.5144000000000002</v>
      </c>
      <c r="H940" s="1734"/>
    </row>
    <row r="941" spans="1:8" ht="14.1" customHeight="1">
      <c r="A941" s="1731"/>
      <c r="B941" s="1740" t="s">
        <v>1058</v>
      </c>
      <c r="C941" s="1733">
        <v>1</v>
      </c>
      <c r="D941" s="1733">
        <v>1</v>
      </c>
      <c r="E941" s="1733">
        <v>0.45</v>
      </c>
      <c r="F941" s="1733">
        <v>1.9</v>
      </c>
      <c r="G941" s="1733">
        <f t="shared" si="23"/>
        <v>0.85499999999999998</v>
      </c>
      <c r="H941" s="1734"/>
    </row>
    <row r="942" spans="1:8" ht="14.1" customHeight="1">
      <c r="A942" s="1731"/>
      <c r="B942" s="1740" t="s">
        <v>847</v>
      </c>
      <c r="C942" s="1733">
        <v>1</v>
      </c>
      <c r="D942" s="1733">
        <v>0.25</v>
      </c>
      <c r="E942" s="1733">
        <v>0.45</v>
      </c>
      <c r="F942" s="1733">
        <v>2.57</v>
      </c>
      <c r="G942" s="1733">
        <f t="shared" si="23"/>
        <v>0.28912499999999997</v>
      </c>
      <c r="H942" s="1734"/>
    </row>
    <row r="943" spans="1:8" ht="14.1" customHeight="1">
      <c r="A943" s="1731"/>
      <c r="B943" s="1740" t="s">
        <v>848</v>
      </c>
      <c r="C943" s="1733">
        <v>1</v>
      </c>
      <c r="D943" s="1733">
        <v>1.8</v>
      </c>
      <c r="E943" s="1733">
        <v>0.3</v>
      </c>
      <c r="F943" s="1733">
        <v>0.47499999999999998</v>
      </c>
      <c r="G943" s="1733">
        <f t="shared" si="23"/>
        <v>0.25650000000000001</v>
      </c>
      <c r="H943" s="1734"/>
    </row>
    <row r="944" spans="1:8" ht="14.1" customHeight="1">
      <c r="A944" s="1731"/>
      <c r="B944" s="1732" t="s">
        <v>849</v>
      </c>
      <c r="C944" s="1733">
        <v>1</v>
      </c>
      <c r="D944" s="1733">
        <v>0.6</v>
      </c>
      <c r="E944" s="1733">
        <v>0.45</v>
      </c>
      <c r="F944" s="1733">
        <v>0.3</v>
      </c>
      <c r="G944" s="1733">
        <f>-C944*D944*E944*F944</f>
        <v>-8.1000000000000003E-2</v>
      </c>
      <c r="H944" s="1734"/>
    </row>
    <row r="945" spans="1:8" ht="14.1" customHeight="1">
      <c r="A945" s="1731"/>
      <c r="B945" s="1740" t="s">
        <v>850</v>
      </c>
      <c r="C945" s="1733">
        <v>1</v>
      </c>
      <c r="D945" s="1733">
        <v>0.75</v>
      </c>
      <c r="E945" s="1733">
        <v>0.45</v>
      </c>
      <c r="F945" s="1733">
        <v>2</v>
      </c>
      <c r="G945" s="1737">
        <f>-C945*D945*E945*F945</f>
        <v>-0.67500000000000004</v>
      </c>
      <c r="H945" s="1734"/>
    </row>
    <row r="946" spans="1:8" ht="14.1" customHeight="1">
      <c r="A946" s="1731"/>
      <c r="B946" s="1739"/>
      <c r="C946" s="1733"/>
      <c r="D946" s="1733"/>
      <c r="E946" s="1733"/>
      <c r="F946" s="1697" t="s">
        <v>1108</v>
      </c>
      <c r="G946" s="1734">
        <f>SUM(G938:G945)</f>
        <v>6.7670249999999994</v>
      </c>
      <c r="H946" s="1741" t="s">
        <v>29</v>
      </c>
    </row>
    <row r="947" spans="1:8" ht="14.1" customHeight="1">
      <c r="A947" s="1731">
        <v>6</v>
      </c>
      <c r="B947" s="1732" t="s">
        <v>851</v>
      </c>
      <c r="C947" s="1733"/>
      <c r="D947" s="1733"/>
      <c r="E947" s="1733"/>
      <c r="F947" s="1733"/>
      <c r="G947" s="1733"/>
      <c r="H947" s="1734"/>
    </row>
    <row r="948" spans="1:8" ht="14.1" customHeight="1">
      <c r="A948" s="1731"/>
      <c r="B948" s="1732" t="s">
        <v>852</v>
      </c>
      <c r="C948" s="1733">
        <v>2</v>
      </c>
      <c r="D948" s="1738" t="s">
        <v>843</v>
      </c>
      <c r="E948" s="1733"/>
      <c r="F948" s="1733">
        <v>1.1000000000000001</v>
      </c>
      <c r="G948" s="1734">
        <f>22/7*C948*F948*(((0.85)^2)-((0.5)^2))</f>
        <v>3.2669999999999995</v>
      </c>
      <c r="H948" s="1731"/>
    </row>
    <row r="949" spans="1:8" ht="14.1" customHeight="1">
      <c r="A949" s="1731"/>
      <c r="B949" s="1732" t="s">
        <v>853</v>
      </c>
      <c r="C949" s="1733">
        <v>1</v>
      </c>
      <c r="D949" s="1737">
        <v>1</v>
      </c>
      <c r="E949" s="1733">
        <v>0.625</v>
      </c>
      <c r="F949" s="1733">
        <v>0.4</v>
      </c>
      <c r="G949" s="1733">
        <f>C949*D949*E949*F949</f>
        <v>0.25</v>
      </c>
      <c r="H949" s="1734"/>
    </row>
    <row r="950" spans="1:8" ht="14.1" customHeight="1">
      <c r="A950" s="1731"/>
      <c r="B950" s="1739"/>
      <c r="C950" s="1733"/>
      <c r="D950" s="1733"/>
      <c r="E950" s="1733"/>
      <c r="F950" s="1697" t="s">
        <v>1108</v>
      </c>
      <c r="G950" s="1734">
        <f>SUM(G948:G949)</f>
        <v>3.5169999999999995</v>
      </c>
      <c r="H950" s="1741" t="s">
        <v>29</v>
      </c>
    </row>
    <row r="951" spans="1:8" ht="14.1" customHeight="1">
      <c r="A951" s="1731">
        <v>7</v>
      </c>
      <c r="B951" s="1732" t="s">
        <v>854</v>
      </c>
      <c r="C951" s="1733">
        <v>1</v>
      </c>
      <c r="D951" s="1733" t="s">
        <v>1081</v>
      </c>
      <c r="E951" s="1733"/>
      <c r="F951" s="1733"/>
      <c r="G951" s="1733">
        <v>1</v>
      </c>
      <c r="H951" s="1734" t="s">
        <v>1087</v>
      </c>
    </row>
    <row r="952" spans="1:8" ht="14.1" customHeight="1">
      <c r="A952" s="1731">
        <v>8</v>
      </c>
      <c r="B952" s="1732" t="s">
        <v>855</v>
      </c>
      <c r="C952" s="1733">
        <v>2</v>
      </c>
      <c r="D952" s="1738" t="s">
        <v>856</v>
      </c>
      <c r="E952" s="1733"/>
      <c r="F952" s="1733">
        <v>7.4999999999999997E-2</v>
      </c>
      <c r="G952" s="1734">
        <f>22/7*C952*F952*(((0.85)^2))</f>
        <v>0.34060714285714283</v>
      </c>
      <c r="H952" s="1741" t="s">
        <v>29</v>
      </c>
    </row>
    <row r="953" spans="1:8" ht="14.1" customHeight="1">
      <c r="A953" s="1731"/>
      <c r="B953" s="1732" t="s">
        <v>853</v>
      </c>
      <c r="C953" s="1733">
        <v>1</v>
      </c>
      <c r="D953" s="1738">
        <v>1</v>
      </c>
      <c r="E953" s="1733">
        <v>0.7</v>
      </c>
      <c r="F953" s="1733">
        <v>7.4999999999999997E-2</v>
      </c>
      <c r="G953" s="1734">
        <f>22/7*C953*F953*(((0.85)^2))</f>
        <v>0.17030357142857142</v>
      </c>
      <c r="H953" s="1741"/>
    </row>
    <row r="954" spans="1:8" ht="14.1" customHeight="1">
      <c r="A954" s="1731"/>
      <c r="B954" s="1732"/>
      <c r="C954" s="1733"/>
      <c r="D954" s="1738"/>
      <c r="E954" s="1733"/>
      <c r="F954" s="1697" t="s">
        <v>1108</v>
      </c>
      <c r="G954" s="1734">
        <f>SUM(G952:G953)</f>
        <v>0.51091071428571422</v>
      </c>
      <c r="H954" s="1741" t="s">
        <v>29</v>
      </c>
    </row>
    <row r="955" spans="1:8" ht="14.1" customHeight="1">
      <c r="A955" s="1731">
        <v>9</v>
      </c>
      <c r="B955" s="1742" t="s">
        <v>857</v>
      </c>
      <c r="C955" s="1733" t="s">
        <v>858</v>
      </c>
      <c r="D955" s="1733" t="s">
        <v>859</v>
      </c>
      <c r="E955" s="1733">
        <v>0.62</v>
      </c>
      <c r="F955" s="1742" t="s">
        <v>1067</v>
      </c>
      <c r="G955" s="1733">
        <f>2*36*0.785*1.7*E955</f>
        <v>59.57208</v>
      </c>
      <c r="H955" s="1734"/>
    </row>
    <row r="956" spans="1:8" ht="14.1" customHeight="1">
      <c r="A956" s="1731"/>
      <c r="B956" s="1733" t="s">
        <v>860</v>
      </c>
      <c r="C956" s="1733">
        <v>5</v>
      </c>
      <c r="D956" s="1733">
        <v>0.2</v>
      </c>
      <c r="E956" s="1733">
        <v>0.62</v>
      </c>
      <c r="F956" s="1742" t="s">
        <v>1067</v>
      </c>
      <c r="G956" s="1733">
        <f>C956*D956*E956</f>
        <v>0.62</v>
      </c>
      <c r="H956" s="1734"/>
    </row>
    <row r="957" spans="1:8" ht="14.1" customHeight="1">
      <c r="A957" s="1731"/>
      <c r="B957" s="1736"/>
      <c r="C957" s="1733"/>
      <c r="D957" s="1733"/>
      <c r="E957" s="1733"/>
      <c r="F957" s="1697" t="s">
        <v>1108</v>
      </c>
      <c r="G957" s="1734">
        <f>SUM(G955:G956)</f>
        <v>60.192079999999997</v>
      </c>
      <c r="H957" s="1735" t="s">
        <v>861</v>
      </c>
    </row>
    <row r="958" spans="1:8" ht="14.1" customHeight="1">
      <c r="A958" s="1731">
        <v>10</v>
      </c>
      <c r="B958" s="1742" t="s">
        <v>862</v>
      </c>
      <c r="C958" s="1733">
        <v>1</v>
      </c>
      <c r="D958" s="1733">
        <v>1.3</v>
      </c>
      <c r="E958" s="1733">
        <v>1</v>
      </c>
      <c r="F958" s="1743" t="s">
        <v>44</v>
      </c>
      <c r="G958" s="1733">
        <f>C958*D958*E958</f>
        <v>1.3</v>
      </c>
      <c r="H958" s="1735" t="s">
        <v>47</v>
      </c>
    </row>
    <row r="959" spans="1:8" ht="14.1" customHeight="1">
      <c r="A959" s="1731"/>
      <c r="B959" s="1733" t="s">
        <v>863</v>
      </c>
      <c r="C959" s="1733">
        <v>1</v>
      </c>
      <c r="D959" s="1733">
        <v>3</v>
      </c>
      <c r="E959" s="1743" t="s">
        <v>44</v>
      </c>
      <c r="F959" s="1733">
        <v>0.6</v>
      </c>
      <c r="G959" s="1733">
        <f>C959*D959*F959</f>
        <v>1.7999999999999998</v>
      </c>
      <c r="H959" s="1734"/>
    </row>
    <row r="960" spans="1:8" ht="14.1" customHeight="1">
      <c r="A960" s="1731"/>
      <c r="B960" s="1733"/>
      <c r="C960" s="1733"/>
      <c r="D960" s="1733"/>
      <c r="E960" s="1743"/>
      <c r="F960" s="1697" t="s">
        <v>1108</v>
      </c>
      <c r="G960" s="1734">
        <f>SUM(G958:G959)</f>
        <v>3.0999999999999996</v>
      </c>
      <c r="H960" s="1735" t="s">
        <v>47</v>
      </c>
    </row>
    <row r="961" spans="1:8" ht="14.1" customHeight="1">
      <c r="A961" s="1731">
        <v>11</v>
      </c>
      <c r="B961" s="1733" t="s">
        <v>864</v>
      </c>
      <c r="C961" s="1733">
        <v>1</v>
      </c>
      <c r="D961" s="1733">
        <v>4.75</v>
      </c>
      <c r="E961" s="1743"/>
      <c r="F961" s="1733">
        <v>1.5</v>
      </c>
      <c r="G961" s="1734">
        <f>C961*D961*F961</f>
        <v>7.125</v>
      </c>
      <c r="H961" s="1735" t="s">
        <v>47</v>
      </c>
    </row>
    <row r="962" spans="1:8" ht="14.1" customHeight="1">
      <c r="A962" s="1731">
        <v>12</v>
      </c>
      <c r="B962" s="1742" t="s">
        <v>865</v>
      </c>
      <c r="C962" s="1733">
        <v>2</v>
      </c>
      <c r="D962" s="1733">
        <v>2</v>
      </c>
      <c r="E962" s="1733">
        <v>0.1</v>
      </c>
      <c r="F962" s="1733">
        <v>0.08</v>
      </c>
      <c r="G962" s="1733">
        <f t="shared" ref="G962:G967" si="24">C962*D962*E962*F962</f>
        <v>3.2000000000000001E-2</v>
      </c>
      <c r="H962" s="1734"/>
    </row>
    <row r="963" spans="1:8" ht="14.1" customHeight="1">
      <c r="A963" s="1731"/>
      <c r="B963" s="1736"/>
      <c r="C963" s="1733">
        <v>3</v>
      </c>
      <c r="D963" s="1733">
        <v>0.75</v>
      </c>
      <c r="E963" s="1733">
        <v>0.1</v>
      </c>
      <c r="F963" s="1733">
        <v>0.08</v>
      </c>
      <c r="G963" s="1733">
        <f t="shared" si="24"/>
        <v>1.8000000000000002E-2</v>
      </c>
      <c r="H963" s="1734"/>
    </row>
    <row r="964" spans="1:8" ht="14.1" customHeight="1">
      <c r="A964" s="1731"/>
      <c r="B964" s="1742" t="s">
        <v>866</v>
      </c>
      <c r="C964" s="1733">
        <v>2</v>
      </c>
      <c r="D964" s="1733">
        <v>0.6</v>
      </c>
      <c r="E964" s="1733">
        <v>0.1</v>
      </c>
      <c r="F964" s="1733">
        <v>0.08</v>
      </c>
      <c r="G964" s="1733">
        <f t="shared" si="24"/>
        <v>9.5999999999999992E-3</v>
      </c>
      <c r="H964" s="1734"/>
    </row>
    <row r="965" spans="1:8" ht="14.1" customHeight="1">
      <c r="A965" s="1731"/>
      <c r="B965" s="1733"/>
      <c r="C965" s="1733">
        <v>2</v>
      </c>
      <c r="D965" s="1733">
        <v>0.3</v>
      </c>
      <c r="E965" s="1733">
        <v>0.1</v>
      </c>
      <c r="F965" s="1733">
        <v>0.08</v>
      </c>
      <c r="G965" s="1744">
        <f t="shared" si="24"/>
        <v>4.7999999999999996E-3</v>
      </c>
      <c r="H965" s="1734"/>
    </row>
    <row r="966" spans="1:8" ht="14.1" customHeight="1">
      <c r="A966" s="1731"/>
      <c r="B966" s="1745" t="s">
        <v>867</v>
      </c>
      <c r="C966" s="1733">
        <v>2</v>
      </c>
      <c r="D966" s="1733">
        <v>2.4</v>
      </c>
      <c r="E966" s="1744">
        <v>7.4999999999999997E-2</v>
      </c>
      <c r="F966" s="1733">
        <v>0.05</v>
      </c>
      <c r="G966" s="1744">
        <f t="shared" si="24"/>
        <v>1.7999999999999999E-2</v>
      </c>
      <c r="H966" s="1734"/>
    </row>
    <row r="967" spans="1:8" ht="14.1" customHeight="1">
      <c r="A967" s="1731"/>
      <c r="B967" s="1745" t="s">
        <v>868</v>
      </c>
      <c r="C967" s="1733">
        <v>3</v>
      </c>
      <c r="D967" s="1733">
        <v>2.1</v>
      </c>
      <c r="E967" s="1744">
        <v>7.4999999999999997E-2</v>
      </c>
      <c r="F967" s="1733">
        <v>0.05</v>
      </c>
      <c r="G967" s="1744">
        <f t="shared" si="24"/>
        <v>2.3625000000000004E-2</v>
      </c>
      <c r="H967" s="1734"/>
    </row>
    <row r="968" spans="1:8" ht="14.1" customHeight="1">
      <c r="A968" s="1731"/>
      <c r="B968" s="1739"/>
      <c r="C968" s="1733"/>
      <c r="D968" s="1733"/>
      <c r="E968" s="1744"/>
      <c r="F968" s="1697" t="s">
        <v>1108</v>
      </c>
      <c r="G968" s="1746">
        <f>SUM(G962:G967)</f>
        <v>0.10602500000000001</v>
      </c>
      <c r="H968" s="1735" t="s">
        <v>29</v>
      </c>
    </row>
    <row r="969" spans="1:8" ht="14.1" customHeight="1">
      <c r="A969" s="1731">
        <v>13</v>
      </c>
      <c r="B969" s="1732" t="s">
        <v>869</v>
      </c>
      <c r="C969" s="1733"/>
      <c r="D969" s="1733"/>
      <c r="E969" s="1733"/>
      <c r="F969" s="1733"/>
      <c r="G969" s="1733"/>
      <c r="H969" s="1734"/>
    </row>
    <row r="970" spans="1:8" ht="14.1" customHeight="1">
      <c r="A970" s="1731"/>
      <c r="B970" s="1732" t="s">
        <v>870</v>
      </c>
      <c r="C970" s="1733">
        <v>1</v>
      </c>
      <c r="D970" s="1733">
        <v>1.53</v>
      </c>
      <c r="E970" s="1733">
        <v>0.63</v>
      </c>
      <c r="F970" s="1743" t="s">
        <v>44</v>
      </c>
      <c r="G970" s="1737">
        <f>C970*D970*E970</f>
        <v>0.96389999999999998</v>
      </c>
      <c r="H970" s="1735" t="s">
        <v>47</v>
      </c>
    </row>
    <row r="971" spans="1:8" ht="14.1" customHeight="1">
      <c r="A971" s="1731">
        <v>14</v>
      </c>
      <c r="B971" s="1742" t="s">
        <v>871</v>
      </c>
      <c r="C971" s="1733">
        <v>2</v>
      </c>
      <c r="D971" s="1733">
        <v>6</v>
      </c>
      <c r="E971" s="1733"/>
      <c r="F971" s="1733"/>
      <c r="G971" s="1733">
        <f>C971*D971</f>
        <v>12</v>
      </c>
      <c r="H971" s="1735" t="s">
        <v>965</v>
      </c>
    </row>
    <row r="972" spans="1:8" ht="14.1" customHeight="1">
      <c r="A972" s="1731">
        <v>15</v>
      </c>
      <c r="B972" s="1742" t="s">
        <v>872</v>
      </c>
      <c r="C972" s="1733">
        <v>1</v>
      </c>
      <c r="D972" s="1733">
        <v>0.65</v>
      </c>
      <c r="E972" s="1733">
        <v>0.3</v>
      </c>
      <c r="F972" s="1743" t="s">
        <v>44</v>
      </c>
      <c r="G972" s="1733">
        <f>D972*E972</f>
        <v>0.19500000000000001</v>
      </c>
      <c r="H972" s="1735" t="s">
        <v>47</v>
      </c>
    </row>
    <row r="973" spans="1:8" ht="14.1" customHeight="1">
      <c r="A973" s="1747">
        <v>16</v>
      </c>
      <c r="B973" s="1748" t="s">
        <v>873</v>
      </c>
      <c r="C973" s="1749">
        <v>1</v>
      </c>
      <c r="D973" s="1749">
        <v>2.5</v>
      </c>
      <c r="E973" s="1749">
        <v>2.4</v>
      </c>
      <c r="F973" s="1750" t="s">
        <v>44</v>
      </c>
      <c r="G973" s="1749">
        <f>C973*D973*E973</f>
        <v>6</v>
      </c>
      <c r="H973" s="1751" t="s">
        <v>47</v>
      </c>
    </row>
    <row r="974" spans="1:8" ht="15.95" customHeight="1">
      <c r="A974"/>
      <c r="B974" s="525"/>
      <c r="C974" s="524"/>
      <c r="D974" s="524"/>
      <c r="E974" s="524"/>
      <c r="F974" s="526"/>
      <c r="G974" s="524"/>
      <c r="H974" s="526"/>
    </row>
    <row r="975" spans="1:8" ht="15.95" customHeight="1">
      <c r="A975" s="285" t="s">
        <v>916</v>
      </c>
    </row>
    <row r="976" spans="1:8" ht="15.95" customHeight="1">
      <c r="A976" s="1752" t="s">
        <v>908</v>
      </c>
      <c r="B976" s="1752" t="s">
        <v>909</v>
      </c>
      <c r="C976" s="1753" t="s">
        <v>917</v>
      </c>
      <c r="D976" s="1754" t="s">
        <v>22</v>
      </c>
      <c r="E976" s="1754" t="s">
        <v>23</v>
      </c>
      <c r="F976" s="1754" t="s">
        <v>24</v>
      </c>
      <c r="G976" s="1755" t="s">
        <v>964</v>
      </c>
      <c r="H976" s="1752" t="s">
        <v>1035</v>
      </c>
    </row>
    <row r="977" spans="1:8" ht="15.95" customHeight="1">
      <c r="A977" s="1756">
        <v>1</v>
      </c>
      <c r="B977" s="1692" t="s">
        <v>26</v>
      </c>
      <c r="C977" s="1718">
        <v>1</v>
      </c>
      <c r="D977" s="1719">
        <v>10</v>
      </c>
      <c r="E977" s="1719">
        <v>2</v>
      </c>
      <c r="F977" s="1719"/>
      <c r="G977" s="1671">
        <f>ROUND((C977*D977*E977),2)</f>
        <v>20</v>
      </c>
      <c r="H977" s="325" t="s">
        <v>628</v>
      </c>
    </row>
    <row r="978" spans="1:8" ht="15.95" customHeight="1">
      <c r="A978" s="1706">
        <v>2</v>
      </c>
      <c r="B978" s="326" t="s">
        <v>905</v>
      </c>
      <c r="C978" s="1698"/>
      <c r="D978" s="1653"/>
      <c r="E978" s="1653"/>
      <c r="F978" s="1653"/>
      <c r="G978" s="1655"/>
      <c r="H978" s="1643"/>
    </row>
    <row r="979" spans="1:8" ht="15.95" customHeight="1">
      <c r="A979" s="1706"/>
      <c r="B979" s="326" t="s">
        <v>918</v>
      </c>
      <c r="C979" s="1698">
        <v>1</v>
      </c>
      <c r="D979" s="1653">
        <v>10</v>
      </c>
      <c r="E979" s="1653">
        <v>1</v>
      </c>
      <c r="F979" s="1653">
        <v>0.6</v>
      </c>
      <c r="G979" s="481">
        <f t="shared" ref="G979:G987" si="25">ROUND((C979*D979*E979*F979),2)</f>
        <v>6</v>
      </c>
      <c r="H979" s="1684" t="s">
        <v>625</v>
      </c>
    </row>
    <row r="980" spans="1:8" ht="15.95" customHeight="1">
      <c r="A980" s="1706">
        <v>3</v>
      </c>
      <c r="B980" s="326" t="s">
        <v>919</v>
      </c>
      <c r="C980" s="1698"/>
      <c r="D980" s="1653"/>
      <c r="E980" s="1653"/>
      <c r="F980" s="1653"/>
      <c r="G980" s="1655"/>
      <c r="H980" s="1643"/>
    </row>
    <row r="981" spans="1:8" ht="15.95" customHeight="1">
      <c r="A981" s="1706"/>
      <c r="B981" s="326" t="s">
        <v>987</v>
      </c>
      <c r="C981" s="1698">
        <v>1</v>
      </c>
      <c r="D981" s="1653">
        <v>10</v>
      </c>
      <c r="E981" s="1653">
        <v>0.2</v>
      </c>
      <c r="F981" s="1653">
        <v>0.15</v>
      </c>
      <c r="G981" s="479">
        <f t="shared" si="25"/>
        <v>0.3</v>
      </c>
      <c r="H981" s="1643"/>
    </row>
    <row r="982" spans="1:8" ht="15.95" customHeight="1">
      <c r="A982" s="1706"/>
      <c r="B982" s="326" t="s">
        <v>925</v>
      </c>
      <c r="C982" s="1698">
        <v>1</v>
      </c>
      <c r="D982" s="1653">
        <v>10</v>
      </c>
      <c r="E982" s="1653">
        <v>0.5</v>
      </c>
      <c r="F982" s="1653">
        <v>0.9</v>
      </c>
      <c r="G982" s="479">
        <f t="shared" si="25"/>
        <v>4.5</v>
      </c>
      <c r="H982" s="1643"/>
    </row>
    <row r="983" spans="1:8" ht="15.95" customHeight="1">
      <c r="A983" s="1706"/>
      <c r="B983" s="326"/>
      <c r="C983" s="1698"/>
      <c r="D983" s="1653"/>
      <c r="E983" s="1697" t="s">
        <v>1108</v>
      </c>
      <c r="F983" s="327"/>
      <c r="G983" s="1644">
        <f>ROUND(SUM(G981:G982),2)</f>
        <v>4.8</v>
      </c>
      <c r="H983" s="1684" t="s">
        <v>625</v>
      </c>
    </row>
    <row r="984" spans="1:8" ht="15.95" customHeight="1">
      <c r="A984" s="1706">
        <v>4</v>
      </c>
      <c r="B984" s="326" t="s">
        <v>167</v>
      </c>
      <c r="C984" s="1698">
        <v>1</v>
      </c>
      <c r="D984" s="1653">
        <v>10</v>
      </c>
      <c r="E984" s="1653">
        <v>1.2</v>
      </c>
      <c r="F984" s="1653">
        <v>0.15</v>
      </c>
      <c r="G984" s="481">
        <f t="shared" si="25"/>
        <v>1.8</v>
      </c>
      <c r="H984" s="1684" t="s">
        <v>625</v>
      </c>
    </row>
    <row r="985" spans="1:8" ht="15.95" customHeight="1">
      <c r="A985" s="1706">
        <v>5</v>
      </c>
      <c r="B985" s="326" t="s">
        <v>906</v>
      </c>
      <c r="C985" s="1698"/>
      <c r="D985" s="1653"/>
      <c r="E985" s="1653"/>
      <c r="F985" s="1653"/>
      <c r="G985" s="1655"/>
      <c r="H985" s="1643"/>
    </row>
    <row r="986" spans="1:8" ht="15.95" customHeight="1">
      <c r="A986" s="1706"/>
      <c r="B986" s="326" t="s">
        <v>920</v>
      </c>
      <c r="C986" s="1698">
        <v>1</v>
      </c>
      <c r="D986" s="1653">
        <v>10</v>
      </c>
      <c r="E986" s="1653">
        <v>1</v>
      </c>
      <c r="F986" s="1653">
        <v>0.3</v>
      </c>
      <c r="G986" s="479">
        <f t="shared" si="25"/>
        <v>3</v>
      </c>
      <c r="H986" s="1643"/>
    </row>
    <row r="987" spans="1:8" ht="15.95" customHeight="1">
      <c r="A987" s="1706"/>
      <c r="B987" s="326" t="s">
        <v>921</v>
      </c>
      <c r="C987" s="1698">
        <v>1</v>
      </c>
      <c r="D987" s="1653">
        <v>10</v>
      </c>
      <c r="E987" s="1653">
        <v>0.5</v>
      </c>
      <c r="F987" s="1653">
        <v>2</v>
      </c>
      <c r="G987" s="479">
        <f t="shared" si="25"/>
        <v>10</v>
      </c>
      <c r="H987" s="1643"/>
    </row>
    <row r="988" spans="1:8" ht="15.95" customHeight="1">
      <c r="A988" s="1706"/>
      <c r="B988" s="326" t="s">
        <v>922</v>
      </c>
      <c r="C988" s="1698">
        <v>1</v>
      </c>
      <c r="D988" s="1653">
        <v>10</v>
      </c>
      <c r="E988" s="2942">
        <v>0.25</v>
      </c>
      <c r="F988" s="2943"/>
      <c r="G988" s="479">
        <f>ROUND((C988*D988*E988),2)</f>
        <v>2.5</v>
      </c>
      <c r="H988" s="1643"/>
    </row>
    <row r="989" spans="1:8" ht="15.95" customHeight="1">
      <c r="A989" s="1706"/>
      <c r="B989" s="326"/>
      <c r="C989" s="1698"/>
      <c r="D989" s="1653"/>
      <c r="E989" s="1697" t="s">
        <v>1108</v>
      </c>
      <c r="F989" s="327"/>
      <c r="G989" s="1644">
        <f>ROUND(SUM(G986:G988),2)</f>
        <v>15.5</v>
      </c>
      <c r="H989" s="1684" t="s">
        <v>625</v>
      </c>
    </row>
    <row r="990" spans="1:8" ht="15.95" customHeight="1">
      <c r="A990" s="1706">
        <v>6</v>
      </c>
      <c r="B990" s="326" t="s">
        <v>901</v>
      </c>
      <c r="C990" s="1698"/>
      <c r="D990" s="1653"/>
      <c r="E990" s="1653"/>
      <c r="F990" s="1653"/>
      <c r="G990" s="1655"/>
      <c r="H990" s="1643"/>
    </row>
    <row r="991" spans="1:8" ht="15.95" customHeight="1">
      <c r="A991" s="1706"/>
      <c r="B991" s="326" t="s">
        <v>907</v>
      </c>
      <c r="C991" s="1698"/>
      <c r="D991" s="1653"/>
      <c r="E991" s="1653"/>
      <c r="F991" s="1653"/>
      <c r="G991" s="1655"/>
      <c r="H991" s="1643"/>
    </row>
    <row r="992" spans="1:8" ht="15.95" customHeight="1">
      <c r="A992" s="1643"/>
      <c r="B992" s="326" t="s">
        <v>924</v>
      </c>
      <c r="C992" s="1698">
        <v>1</v>
      </c>
      <c r="D992" s="1653">
        <v>10</v>
      </c>
      <c r="E992" s="1653"/>
      <c r="F992" s="1653">
        <v>2.2000000000000002</v>
      </c>
      <c r="G992" s="479">
        <f>ROUND((C992*D992*F992),2)</f>
        <v>22</v>
      </c>
      <c r="H992" s="1643"/>
    </row>
    <row r="993" spans="1:8" ht="15.95" customHeight="1">
      <c r="A993" s="1643"/>
      <c r="B993" s="326" t="s">
        <v>923</v>
      </c>
      <c r="C993" s="1698">
        <v>1</v>
      </c>
      <c r="D993" s="1653">
        <v>10</v>
      </c>
      <c r="E993" s="1653">
        <v>0.5</v>
      </c>
      <c r="F993" s="1653"/>
      <c r="G993" s="479">
        <f>ROUND((C993*D993*E993),2)</f>
        <v>5</v>
      </c>
      <c r="H993" s="1643"/>
    </row>
    <row r="994" spans="1:8" ht="15.95" customHeight="1">
      <c r="A994" s="1654"/>
      <c r="B994" s="1654"/>
      <c r="C994" s="1712"/>
      <c r="D994" s="1713"/>
      <c r="E994" s="1725" t="s">
        <v>1108</v>
      </c>
      <c r="F994" s="1690"/>
      <c r="G994" s="1660">
        <f>ROUND(SUM(G992:G993),2)</f>
        <v>27</v>
      </c>
      <c r="H994" s="1695" t="s">
        <v>628</v>
      </c>
    </row>
    <row r="995" spans="1:8" ht="15.95" customHeight="1">
      <c r="A995" s="1629"/>
      <c r="B995" s="1629"/>
      <c r="C995" s="1629"/>
      <c r="D995" s="387"/>
      <c r="E995" s="387"/>
      <c r="F995" s="387"/>
      <c r="G995" s="394"/>
      <c r="H995" s="1629"/>
    </row>
    <row r="996" spans="1:8" ht="15.95" customHeight="1">
      <c r="A996" s="285" t="s">
        <v>929</v>
      </c>
    </row>
    <row r="998" spans="1:8" ht="15.95" customHeight="1">
      <c r="A998" s="1752" t="s">
        <v>908</v>
      </c>
      <c r="B998" s="1752" t="s">
        <v>909</v>
      </c>
      <c r="C998" s="1753" t="s">
        <v>917</v>
      </c>
      <c r="D998" s="1754" t="s">
        <v>22</v>
      </c>
      <c r="E998" s="1754" t="s">
        <v>23</v>
      </c>
      <c r="F998" s="1754" t="s">
        <v>24</v>
      </c>
      <c r="G998" s="1755" t="s">
        <v>964</v>
      </c>
      <c r="H998" s="1752" t="s">
        <v>1035</v>
      </c>
    </row>
    <row r="999" spans="1:8" ht="15.95" customHeight="1">
      <c r="A999" s="1692">
        <v>1</v>
      </c>
      <c r="B999" s="1692" t="s">
        <v>910</v>
      </c>
      <c r="C999" s="1757">
        <v>1</v>
      </c>
      <c r="D999" s="1719">
        <v>10</v>
      </c>
      <c r="E999" s="1719">
        <v>1</v>
      </c>
      <c r="F999" s="1719">
        <v>0.4</v>
      </c>
      <c r="G999" s="1671">
        <f>ROUND((C999*D999*E999*F999),2)</f>
        <v>4</v>
      </c>
      <c r="H999" s="325" t="s">
        <v>625</v>
      </c>
    </row>
    <row r="1000" spans="1:8" ht="15.95" customHeight="1">
      <c r="A1000" s="326">
        <v>2</v>
      </c>
      <c r="B1000" s="326" t="s">
        <v>911</v>
      </c>
      <c r="C1000" s="1709">
        <v>1</v>
      </c>
      <c r="D1000" s="1653">
        <v>10</v>
      </c>
      <c r="E1000" s="1653">
        <v>1</v>
      </c>
      <c r="F1000" s="1653">
        <v>0.15</v>
      </c>
      <c r="G1000" s="481">
        <f>ROUND((C1000*D1000*E1000*F1000),2)</f>
        <v>1.5</v>
      </c>
      <c r="H1000" s="1684" t="s">
        <v>625</v>
      </c>
    </row>
    <row r="1001" spans="1:8" ht="15.95" customHeight="1">
      <c r="A1001" s="326">
        <v>3</v>
      </c>
      <c r="B1001" s="326" t="s">
        <v>912</v>
      </c>
      <c r="C1001" s="1698">
        <v>1</v>
      </c>
      <c r="D1001" s="1653">
        <v>10</v>
      </c>
      <c r="E1001" s="1653">
        <v>0.3</v>
      </c>
      <c r="F1001" s="1653">
        <v>7.4999999999999997E-2</v>
      </c>
      <c r="G1001" s="481">
        <f>ROUND((C1001*D1001*E1001*F1001),2)</f>
        <v>0.23</v>
      </c>
      <c r="H1001" s="1684" t="s">
        <v>625</v>
      </c>
    </row>
    <row r="1002" spans="1:8" ht="15.95" customHeight="1">
      <c r="A1002" s="326">
        <v>4</v>
      </c>
      <c r="B1002" s="326" t="s">
        <v>913</v>
      </c>
      <c r="C1002" s="1709">
        <v>1</v>
      </c>
      <c r="D1002" s="1653">
        <v>10</v>
      </c>
      <c r="E1002" s="1653">
        <v>0.35</v>
      </c>
      <c r="F1002" s="1653">
        <v>0.7</v>
      </c>
      <c r="G1002" s="481">
        <f>ROUND((C1002*D1002*E1002*F1002),2)</f>
        <v>2.4500000000000002</v>
      </c>
      <c r="H1002" s="1684" t="s">
        <v>625</v>
      </c>
    </row>
    <row r="1003" spans="1:8" ht="15.95" customHeight="1">
      <c r="A1003" s="326">
        <v>5</v>
      </c>
      <c r="B1003" s="326" t="s">
        <v>526</v>
      </c>
      <c r="C1003" s="1709"/>
      <c r="D1003" s="1653"/>
      <c r="E1003" s="1653"/>
      <c r="F1003" s="1653"/>
      <c r="G1003" s="1758"/>
      <c r="H1003" s="1643"/>
    </row>
    <row r="1004" spans="1:8" ht="15.95" customHeight="1">
      <c r="A1004" s="1688"/>
      <c r="B1004" s="1688" t="s">
        <v>930</v>
      </c>
      <c r="C1004" s="1711">
        <v>1</v>
      </c>
      <c r="D1004" s="1713">
        <v>10</v>
      </c>
      <c r="E1004" s="1713">
        <v>1.86</v>
      </c>
      <c r="F1004" s="1713"/>
      <c r="G1004" s="1674">
        <f>ROUND((C1004*D1004*E1004),2)</f>
        <v>18.600000000000001</v>
      </c>
      <c r="H1004" s="1695" t="s">
        <v>628</v>
      </c>
    </row>
    <row r="1006" spans="1:8" ht="15.95" customHeight="1">
      <c r="A1006" s="285" t="s">
        <v>935</v>
      </c>
    </row>
    <row r="1008" spans="1:8" ht="15.95" customHeight="1">
      <c r="A1008" s="1752" t="s">
        <v>908</v>
      </c>
      <c r="B1008" s="1752" t="s">
        <v>909</v>
      </c>
      <c r="C1008" s="1753" t="s">
        <v>917</v>
      </c>
      <c r="D1008" s="1754" t="s">
        <v>22</v>
      </c>
      <c r="E1008" s="1754" t="s">
        <v>23</v>
      </c>
      <c r="F1008" s="1754" t="s">
        <v>24</v>
      </c>
      <c r="G1008" s="1755" t="s">
        <v>964</v>
      </c>
      <c r="H1008" s="1752" t="s">
        <v>1035</v>
      </c>
    </row>
    <row r="1009" spans="1:8" ht="15.95" customHeight="1">
      <c r="A1009" s="343">
        <v>1</v>
      </c>
      <c r="B1009" s="343" t="s">
        <v>910</v>
      </c>
      <c r="C1009" s="1753">
        <v>1</v>
      </c>
      <c r="D1009" s="1754">
        <v>10</v>
      </c>
      <c r="E1009" s="1754">
        <v>3</v>
      </c>
      <c r="F1009" s="1754">
        <v>0.6</v>
      </c>
      <c r="G1009" s="388">
        <f>ROUND((C1009*D1009*E1009*F1009),2)</f>
        <v>18</v>
      </c>
      <c r="H1009" s="345" t="s">
        <v>625</v>
      </c>
    </row>
    <row r="1011" spans="1:8" ht="15.95" customHeight="1">
      <c r="B1011" s="285"/>
      <c r="C1011" s="359"/>
      <c r="D1011" s="360"/>
      <c r="E1011" s="360"/>
      <c r="F1011" s="360"/>
      <c r="G1011" s="389"/>
      <c r="H1011" s="285"/>
    </row>
    <row r="1012" spans="1:8" ht="15.95" customHeight="1">
      <c r="A1012" s="285" t="s">
        <v>939</v>
      </c>
      <c r="B1012" s="285"/>
      <c r="C1012" s="359"/>
      <c r="D1012" s="360"/>
      <c r="E1012" s="360"/>
      <c r="F1012" s="360"/>
      <c r="G1012" s="389"/>
      <c r="H1012" s="285"/>
    </row>
    <row r="1014" spans="1:8" ht="15.95" customHeight="1">
      <c r="A1014" s="1752" t="s">
        <v>908</v>
      </c>
      <c r="B1014" s="1752" t="s">
        <v>909</v>
      </c>
      <c r="C1014" s="1753"/>
      <c r="D1014" s="1754" t="s">
        <v>22</v>
      </c>
      <c r="E1014" s="1754" t="s">
        <v>23</v>
      </c>
      <c r="F1014" s="1754" t="s">
        <v>24</v>
      </c>
      <c r="G1014" s="1755" t="s">
        <v>914</v>
      </c>
      <c r="H1014" s="1752" t="s">
        <v>1035</v>
      </c>
    </row>
    <row r="1015" spans="1:8" ht="15.95" customHeight="1">
      <c r="A1015" s="1662">
        <v>1</v>
      </c>
      <c r="B1015" s="1717" t="s">
        <v>941</v>
      </c>
      <c r="C1015" s="1757"/>
      <c r="D1015" s="1719"/>
      <c r="E1015" s="1719"/>
      <c r="F1015" s="1719"/>
      <c r="G1015" s="1759"/>
      <c r="H1015" s="1662"/>
    </row>
    <row r="1016" spans="1:8" ht="15.95" customHeight="1">
      <c r="A1016" s="1643"/>
      <c r="B1016" s="1708" t="s">
        <v>942</v>
      </c>
      <c r="C1016" s="1709"/>
      <c r="D1016" s="1653"/>
      <c r="E1016" s="1653"/>
      <c r="F1016" s="1653"/>
      <c r="G1016" s="1655"/>
      <c r="H1016" s="1643"/>
    </row>
    <row r="1017" spans="1:8" ht="15.95" customHeight="1">
      <c r="A1017" s="1643"/>
      <c r="B1017" s="1708" t="s">
        <v>940</v>
      </c>
      <c r="C1017" s="1709">
        <v>1</v>
      </c>
      <c r="D1017" s="1653">
        <v>50</v>
      </c>
      <c r="E1017" s="1653">
        <v>0.6</v>
      </c>
      <c r="F1017" s="1653">
        <v>0.9</v>
      </c>
      <c r="G1017" s="481">
        <f>ROUND((C1017*D1017*E1017*F1017),2)</f>
        <v>27</v>
      </c>
      <c r="H1017" s="1643"/>
    </row>
    <row r="1018" spans="1:8" ht="15.95" customHeight="1">
      <c r="A1018" s="1643"/>
      <c r="B1018" s="1708" t="s">
        <v>944</v>
      </c>
      <c r="C1018" s="1709"/>
      <c r="D1018" s="1653"/>
      <c r="E1018" s="1653"/>
      <c r="F1018" s="1653"/>
      <c r="G1018" s="1655"/>
      <c r="H1018" s="1643"/>
    </row>
    <row r="1019" spans="1:8" ht="15.95" customHeight="1">
      <c r="A1019" s="1643"/>
      <c r="B1019" s="1708" t="s">
        <v>943</v>
      </c>
      <c r="C1019" s="1709">
        <v>1</v>
      </c>
      <c r="D1019" s="1653">
        <v>50</v>
      </c>
      <c r="E1019" s="1653">
        <v>0.6</v>
      </c>
      <c r="F1019" s="1653">
        <v>0.9</v>
      </c>
      <c r="G1019" s="481">
        <f>ROUND((C1019*D1019*E1019*F1019),2)</f>
        <v>27</v>
      </c>
      <c r="H1019" s="1643"/>
    </row>
    <row r="1020" spans="1:8" ht="15.95" customHeight="1">
      <c r="A1020" s="1643"/>
      <c r="B1020" s="1708"/>
      <c r="C1020" s="1709"/>
      <c r="D1020" s="1653"/>
      <c r="E1020" s="2940" t="s">
        <v>1108</v>
      </c>
      <c r="F1020" s="2941"/>
      <c r="G1020" s="1644">
        <f>ROUND(SUM(G1017:G1019),2)</f>
        <v>54</v>
      </c>
      <c r="H1020" s="1643" t="s">
        <v>1174</v>
      </c>
    </row>
    <row r="1021" spans="1:8" ht="15.95" customHeight="1">
      <c r="A1021" s="1643">
        <v>2</v>
      </c>
      <c r="B1021" s="1708" t="s">
        <v>915</v>
      </c>
      <c r="C1021" s="1709">
        <v>1</v>
      </c>
      <c r="D1021" s="1653">
        <v>100</v>
      </c>
      <c r="E1021" s="1653">
        <v>0.6</v>
      </c>
      <c r="F1021" s="1653">
        <v>0.9</v>
      </c>
      <c r="G1021" s="481">
        <f>ROUND((C1021*D1021*E1021*F1021),2)</f>
        <v>54</v>
      </c>
      <c r="H1021" s="1643" t="s">
        <v>1174</v>
      </c>
    </row>
    <row r="1022" spans="1:8" ht="15.95" customHeight="1">
      <c r="A1022" s="1643">
        <v>3</v>
      </c>
      <c r="B1022" s="1708" t="s">
        <v>2770</v>
      </c>
      <c r="C1022" s="1709"/>
      <c r="D1022" s="1653"/>
      <c r="E1022" s="1653"/>
      <c r="F1022" s="1653"/>
      <c r="G1022" s="1655"/>
      <c r="H1022" s="1643"/>
    </row>
    <row r="1023" spans="1:8" ht="15.95" customHeight="1">
      <c r="A1023" s="1654"/>
      <c r="B1023" s="1760" t="s">
        <v>783</v>
      </c>
      <c r="C1023" s="1711"/>
      <c r="D1023" s="1713">
        <v>100</v>
      </c>
      <c r="E1023" s="1713"/>
      <c r="F1023" s="1713"/>
      <c r="G1023" s="1761">
        <f>D1023</f>
        <v>100</v>
      </c>
      <c r="H1023" s="1654" t="s">
        <v>938</v>
      </c>
    </row>
    <row r="1025" spans="1:8" ht="15.95" customHeight="1">
      <c r="A1025" s="285" t="s">
        <v>950</v>
      </c>
    </row>
    <row r="1027" spans="1:8" ht="15.95" customHeight="1">
      <c r="A1027" s="1752" t="s">
        <v>908</v>
      </c>
      <c r="B1027" s="1752" t="s">
        <v>909</v>
      </c>
      <c r="C1027" s="1753" t="s">
        <v>1087</v>
      </c>
      <c r="D1027" s="1754" t="s">
        <v>22</v>
      </c>
      <c r="E1027" s="1754" t="s">
        <v>23</v>
      </c>
      <c r="F1027" s="1754" t="s">
        <v>24</v>
      </c>
      <c r="G1027" s="1755" t="s">
        <v>914</v>
      </c>
      <c r="H1027" s="1752" t="s">
        <v>1035</v>
      </c>
    </row>
    <row r="1028" spans="1:8" ht="15.95" customHeight="1">
      <c r="A1028" s="1662">
        <v>1</v>
      </c>
      <c r="B1028" s="1662" t="s">
        <v>947</v>
      </c>
      <c r="C1028" s="1718"/>
      <c r="D1028" s="1719"/>
      <c r="E1028" s="1719"/>
      <c r="F1028" s="1719"/>
      <c r="G1028" s="1759"/>
      <c r="H1028" s="1662"/>
    </row>
    <row r="1029" spans="1:8" ht="15.95" customHeight="1">
      <c r="A1029" s="1643"/>
      <c r="B1029" s="1643" t="s">
        <v>321</v>
      </c>
      <c r="C1029" s="1698">
        <v>6</v>
      </c>
      <c r="D1029" s="1653"/>
      <c r="E1029" s="1653"/>
      <c r="F1029" s="1653"/>
      <c r="G1029" s="1655">
        <f>$C$1029</f>
        <v>6</v>
      </c>
      <c r="H1029" s="1643" t="s">
        <v>949</v>
      </c>
    </row>
    <row r="1030" spans="1:8" ht="15.95" customHeight="1">
      <c r="A1030" s="1654">
        <v>2</v>
      </c>
      <c r="B1030" s="1654" t="s">
        <v>948</v>
      </c>
      <c r="C1030" s="1712">
        <v>18</v>
      </c>
      <c r="D1030" s="1713"/>
      <c r="E1030" s="1713"/>
      <c r="F1030" s="1713"/>
      <c r="G1030" s="1762">
        <f>$C$1030</f>
        <v>18</v>
      </c>
      <c r="H1030" s="1654" t="s">
        <v>1174</v>
      </c>
    </row>
  </sheetData>
  <mergeCells count="59">
    <mergeCell ref="C186:E187"/>
    <mergeCell ref="E205:F205"/>
    <mergeCell ref="A1:H1"/>
    <mergeCell ref="E483:F483"/>
    <mergeCell ref="E189:F189"/>
    <mergeCell ref="E184:F184"/>
    <mergeCell ref="E231:F231"/>
    <mergeCell ref="E327:F327"/>
    <mergeCell ref="E318:F318"/>
    <mergeCell ref="E254:F254"/>
    <mergeCell ref="E188:F188"/>
    <mergeCell ref="C190:D190"/>
    <mergeCell ref="C379:F380"/>
    <mergeCell ref="E253:F253"/>
    <mergeCell ref="E274:F274"/>
    <mergeCell ref="E221:F221"/>
    <mergeCell ref="E286:F286"/>
    <mergeCell ref="E299:F299"/>
    <mergeCell ref="E250:F250"/>
    <mergeCell ref="E272:F272"/>
    <mergeCell ref="E677:F677"/>
    <mergeCell ref="E618:F618"/>
    <mergeCell ref="C608:F609"/>
    <mergeCell ref="C646:D646"/>
    <mergeCell ref="C640:D640"/>
    <mergeCell ref="C643:D643"/>
    <mergeCell ref="C644:D644"/>
    <mergeCell ref="C641:D641"/>
    <mergeCell ref="E433:F433"/>
    <mergeCell ref="E458:F458"/>
    <mergeCell ref="E460:F460"/>
    <mergeCell ref="E542:F542"/>
    <mergeCell ref="E213:F213"/>
    <mergeCell ref="C635:E636"/>
    <mergeCell ref="E637:F637"/>
    <mergeCell ref="E220:F220"/>
    <mergeCell ref="E226:F226"/>
    <mergeCell ref="E413:F413"/>
    <mergeCell ref="E417:F417"/>
    <mergeCell ref="E308:F308"/>
    <mergeCell ref="C381:F382"/>
    <mergeCell ref="E536:F536"/>
    <mergeCell ref="E366:F366"/>
    <mergeCell ref="E368:F368"/>
    <mergeCell ref="E423:F423"/>
    <mergeCell ref="E501:F501"/>
    <mergeCell ref="E485:F485"/>
    <mergeCell ref="E429:F429"/>
    <mergeCell ref="E1020:F1020"/>
    <mergeCell ref="E988:F988"/>
    <mergeCell ref="E701:F701"/>
    <mergeCell ref="E707:F707"/>
    <mergeCell ref="A923:H923"/>
    <mergeCell ref="E319:F319"/>
    <mergeCell ref="E638:F638"/>
    <mergeCell ref="E606:F606"/>
    <mergeCell ref="E607:F607"/>
    <mergeCell ref="E554:F554"/>
    <mergeCell ref="E601:F601"/>
  </mergeCells>
  <phoneticPr fontId="0" type="noConversion"/>
  <pageMargins left="0.84" right="0.53" top="0.51" bottom="0.5" header="0.31" footer="0.5"/>
  <pageSetup firstPageNumber="45" orientation="portrait" useFirstPageNumber="1" r:id="rId1"/>
  <headerFooter alignWithMargins="0">
    <oddFooter>&amp;C&amp;"Times New Roman,Regular"&amp;11&amp;P</oddFooter>
  </headerFooter>
  <rowBreaks count="17" manualBreakCount="17">
    <brk id="50" max="7" man="1"/>
    <brk id="101" max="7" man="1"/>
    <brk id="145" max="7" man="1"/>
    <brk id="194" max="7" man="1"/>
    <brk id="242" max="7" man="1"/>
    <brk id="286" max="7" man="1"/>
    <brk id="327" max="7" man="1"/>
    <brk id="374" max="7" man="1"/>
    <brk id="400" max="7" man="1"/>
    <brk id="446" max="7" man="1"/>
    <brk id="488" max="7" man="1"/>
    <brk id="543" max="7" man="1"/>
    <brk id="584" max="7" man="1"/>
    <brk id="629" max="7" man="1"/>
    <brk id="666" max="7" man="1"/>
    <brk id="709" max="7" man="1"/>
    <brk id="994" max="7"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tint="-0.249977111117893"/>
  </sheetPr>
  <dimension ref="A1:U121"/>
  <sheetViews>
    <sheetView workbookViewId="0">
      <selection sqref="A1:H1"/>
    </sheetView>
  </sheetViews>
  <sheetFormatPr defaultColWidth="8.85546875" defaultRowHeight="14.25"/>
  <cols>
    <col min="1" max="1" width="5.7109375" style="2125" customWidth="1"/>
    <col min="2" max="2" width="43.7109375" style="2210" customWidth="1"/>
    <col min="3" max="3" width="4.7109375" style="2125" customWidth="1"/>
    <col min="4" max="5" width="9.28515625" style="2212" customWidth="1"/>
    <col min="6" max="6" width="9.7109375" style="2212" customWidth="1"/>
    <col min="7" max="7" width="10.28515625" style="2212" customWidth="1"/>
    <col min="8" max="8" width="8.28515625" style="2210" customWidth="1"/>
    <col min="9" max="9" width="8.85546875" style="2125"/>
    <col min="10" max="10" width="9.42578125" style="2125" bestFit="1" customWidth="1"/>
    <col min="11" max="17" width="8.85546875" style="2125"/>
    <col min="18" max="21" width="9.42578125" style="2125" bestFit="1" customWidth="1"/>
    <col min="22" max="16384" width="8.85546875" style="2125"/>
  </cols>
  <sheetData>
    <row r="1" spans="1:12" ht="18.75">
      <c r="A1" s="2966" t="s">
        <v>2958</v>
      </c>
      <c r="B1" s="2966"/>
      <c r="C1" s="2966"/>
      <c r="D1" s="2966"/>
      <c r="E1" s="2966"/>
      <c r="F1" s="2966"/>
      <c r="G1" s="2966"/>
      <c r="H1" s="2966"/>
    </row>
    <row r="2" spans="1:12" ht="15.75">
      <c r="A2" s="2126"/>
      <c r="B2" s="2126"/>
      <c r="C2" s="2126"/>
      <c r="D2" s="2126"/>
      <c r="E2" s="2126"/>
      <c r="F2" s="2126"/>
      <c r="G2" s="2126"/>
      <c r="H2" s="2126"/>
    </row>
    <row r="3" spans="1:12" ht="15" thickBot="1">
      <c r="A3" s="2967" t="s">
        <v>2959</v>
      </c>
      <c r="B3" s="2967"/>
      <c r="C3" s="2967"/>
      <c r="D3" s="2967"/>
      <c r="E3" s="2967"/>
      <c r="F3" s="2967"/>
      <c r="G3" s="2967"/>
      <c r="H3" s="2967"/>
    </row>
    <row r="4" spans="1:12" ht="17.25" customHeight="1" thickBot="1">
      <c r="A4" s="2127" t="s">
        <v>1357</v>
      </c>
      <c r="B4" s="2128" t="s">
        <v>962</v>
      </c>
      <c r="C4" s="2128" t="s">
        <v>1087</v>
      </c>
      <c r="D4" s="2128" t="s">
        <v>22</v>
      </c>
      <c r="E4" s="2128" t="s">
        <v>2960</v>
      </c>
      <c r="F4" s="2128" t="s">
        <v>24</v>
      </c>
      <c r="G4" s="2128" t="s">
        <v>964</v>
      </c>
      <c r="H4" s="2129" t="s">
        <v>1055</v>
      </c>
    </row>
    <row r="5" spans="1:12" ht="15">
      <c r="A5" s="2130" t="s">
        <v>2961</v>
      </c>
      <c r="B5" s="2131"/>
      <c r="C5" s="2131"/>
      <c r="D5" s="2131"/>
      <c r="E5" s="2131"/>
      <c r="F5" s="2131"/>
      <c r="G5" s="2131"/>
      <c r="H5" s="2132"/>
      <c r="K5" s="2125">
        <f>11.4+2*0.65+2*0.6</f>
        <v>13.9</v>
      </c>
    </row>
    <row r="6" spans="1:12">
      <c r="A6" s="2133">
        <v>1</v>
      </c>
      <c r="B6" s="2086" t="s">
        <v>26</v>
      </c>
      <c r="C6" s="2134">
        <v>1</v>
      </c>
      <c r="D6" s="2135">
        <f>PI()*(14^2)/4</f>
        <v>153.93804002589985</v>
      </c>
      <c r="E6" s="2136" t="s">
        <v>2962</v>
      </c>
      <c r="F6" s="2137"/>
      <c r="G6" s="2138">
        <f>C6*D6</f>
        <v>153.93804002589985</v>
      </c>
      <c r="H6" s="2139"/>
    </row>
    <row r="7" spans="1:12">
      <c r="A7" s="2133"/>
      <c r="B7" s="2086"/>
      <c r="C7" s="2134"/>
      <c r="D7" s="2135"/>
      <c r="E7" s="2136"/>
      <c r="F7" s="2140" t="s">
        <v>1108</v>
      </c>
      <c r="G7" s="2140">
        <f>G6</f>
        <v>153.93804002589985</v>
      </c>
      <c r="H7" s="2141" t="s">
        <v>2963</v>
      </c>
    </row>
    <row r="8" spans="1:12">
      <c r="A8" s="2133">
        <v>2</v>
      </c>
      <c r="B8" s="2092" t="s">
        <v>40</v>
      </c>
      <c r="C8" s="2134">
        <v>1</v>
      </c>
      <c r="D8" s="2135">
        <f>PI()*(14^2)/4</f>
        <v>153.93804002589985</v>
      </c>
      <c r="E8" s="2136" t="s">
        <v>2962</v>
      </c>
      <c r="F8" s="2142">
        <v>1.35</v>
      </c>
      <c r="G8" s="2138">
        <f>C8*D8*F8</f>
        <v>207.8163540349648</v>
      </c>
      <c r="H8" s="2141"/>
    </row>
    <row r="9" spans="1:12">
      <c r="A9" s="2133"/>
      <c r="B9" s="2086"/>
      <c r="C9" s="2134"/>
      <c r="D9" s="2135"/>
      <c r="E9" s="2136"/>
      <c r="F9" s="2140" t="s">
        <v>1108</v>
      </c>
      <c r="G9" s="2140">
        <f>G8</f>
        <v>207.8163540349648</v>
      </c>
      <c r="H9" s="2141" t="s">
        <v>2964</v>
      </c>
    </row>
    <row r="10" spans="1:12">
      <c r="A10" s="2133">
        <v>3</v>
      </c>
      <c r="B10" s="2086" t="s">
        <v>2728</v>
      </c>
      <c r="C10" s="2134">
        <v>1</v>
      </c>
      <c r="D10" s="2135">
        <f>PI()*(13.9^2)/4</f>
        <v>151.74677915002098</v>
      </c>
      <c r="E10" s="2136" t="s">
        <v>2962</v>
      </c>
      <c r="F10" s="2138">
        <v>0.2</v>
      </c>
      <c r="G10" s="2138">
        <f>C10*D10*F10</f>
        <v>30.3493558300042</v>
      </c>
      <c r="H10" s="2143"/>
    </row>
    <row r="11" spans="1:12">
      <c r="A11" s="2133"/>
      <c r="B11" s="2086"/>
      <c r="C11" s="2134"/>
      <c r="D11" s="2135"/>
      <c r="E11" s="2136"/>
      <c r="F11" s="2140" t="s">
        <v>1108</v>
      </c>
      <c r="G11" s="2140">
        <f>G10</f>
        <v>30.3493558300042</v>
      </c>
      <c r="H11" s="2141" t="s">
        <v>2964</v>
      </c>
    </row>
    <row r="12" spans="1:12">
      <c r="A12" s="2133">
        <v>4</v>
      </c>
      <c r="B12" s="2086" t="s">
        <v>2933</v>
      </c>
      <c r="C12" s="2134"/>
      <c r="D12" s="2135"/>
      <c r="E12" s="2136"/>
      <c r="F12" s="2138"/>
      <c r="G12" s="2138"/>
      <c r="H12" s="2143"/>
    </row>
    <row r="13" spans="1:12">
      <c r="A13" s="2133"/>
      <c r="B13" s="2086" t="s">
        <v>920</v>
      </c>
      <c r="C13" s="2134">
        <v>1</v>
      </c>
      <c r="D13" s="2135">
        <f>D10</f>
        <v>151.74677915002098</v>
      </c>
      <c r="E13" s="2136" t="s">
        <v>2962</v>
      </c>
      <c r="F13" s="2138">
        <v>0.15</v>
      </c>
      <c r="G13" s="2138">
        <f>C13*D13*F13</f>
        <v>22.762016872503146</v>
      </c>
      <c r="H13" s="2143"/>
    </row>
    <row r="14" spans="1:12">
      <c r="A14" s="2133"/>
      <c r="B14" s="2086"/>
      <c r="C14" s="2134"/>
      <c r="D14" s="2135"/>
      <c r="E14" s="2136"/>
      <c r="F14" s="2140" t="s">
        <v>1108</v>
      </c>
      <c r="G14" s="2140">
        <f>G13</f>
        <v>22.762016872503146</v>
      </c>
      <c r="H14" s="2141" t="s">
        <v>2964</v>
      </c>
    </row>
    <row r="15" spans="1:12" ht="14.25" customHeight="1">
      <c r="A15" s="2144">
        <v>5</v>
      </c>
      <c r="B15" s="2099" t="s">
        <v>2965</v>
      </c>
      <c r="C15" s="2134"/>
      <c r="D15" s="2137"/>
      <c r="E15" s="2136"/>
      <c r="F15" s="2138"/>
      <c r="G15" s="2138"/>
      <c r="H15" s="2143"/>
    </row>
    <row r="16" spans="1:12" s="2151" customFormat="1" ht="12.75" customHeight="1">
      <c r="A16" s="2145"/>
      <c r="B16" s="2146" t="s">
        <v>920</v>
      </c>
      <c r="C16" s="2147">
        <v>1</v>
      </c>
      <c r="D16" s="2148">
        <f>PI()*(13.9^2)/4</f>
        <v>151.74677915002098</v>
      </c>
      <c r="E16" s="2136" t="s">
        <v>2962</v>
      </c>
      <c r="F16" s="2149">
        <v>0.72</v>
      </c>
      <c r="G16" s="2148">
        <f>F16*D16*C16</f>
        <v>109.25768098801511</v>
      </c>
      <c r="H16" s="2150"/>
      <c r="K16" s="2152"/>
      <c r="L16" s="2152"/>
    </row>
    <row r="17" spans="1:16" s="2151" customFormat="1" ht="12.75">
      <c r="A17" s="2145"/>
      <c r="B17" s="2107" t="s">
        <v>2966</v>
      </c>
      <c r="C17" s="2147">
        <v>1</v>
      </c>
      <c r="D17" s="2148">
        <f>PI()*(11.4+2*0.425)</f>
        <v>38.484510006474963</v>
      </c>
      <c r="E17" s="2148">
        <f>(0.2+0.65)/2</f>
        <v>0.42500000000000004</v>
      </c>
      <c r="F17" s="2149">
        <v>4.3499999999999996</v>
      </c>
      <c r="G17" s="2148">
        <f>+F17*E17*D17*C17</f>
        <v>71.148237874470595</v>
      </c>
      <c r="H17" s="2150"/>
      <c r="K17" s="2153"/>
      <c r="L17" s="2153"/>
      <c r="M17" s="2153"/>
      <c r="N17" s="2153"/>
    </row>
    <row r="18" spans="1:16" s="2151" customFormat="1" ht="12.75">
      <c r="A18" s="2145"/>
      <c r="B18" s="2107" t="s">
        <v>2967</v>
      </c>
      <c r="C18" s="2147">
        <v>1</v>
      </c>
      <c r="D18" s="2148">
        <f>PI()*(11.4+2*0.45+2*0.175)</f>
        <v>39.741147067910887</v>
      </c>
      <c r="E18" s="2136">
        <v>0.35</v>
      </c>
      <c r="F18" s="2149">
        <v>0.35</v>
      </c>
      <c r="G18" s="2148">
        <f>+F18*E18*D18*C18</f>
        <v>4.8682905158190835</v>
      </c>
      <c r="H18" s="2150"/>
      <c r="K18" s="2153"/>
      <c r="L18" s="2153"/>
      <c r="M18" s="2153"/>
      <c r="N18" s="2153"/>
    </row>
    <row r="19" spans="1:16" s="2161" customFormat="1" ht="12.75">
      <c r="A19" s="2154"/>
      <c r="B19" s="2155" t="s">
        <v>2968</v>
      </c>
      <c r="C19" s="2156">
        <v>1</v>
      </c>
      <c r="D19" s="2157">
        <v>17.302499999999998</v>
      </c>
      <c r="E19" s="2158" t="s">
        <v>2969</v>
      </c>
      <c r="F19" s="2159"/>
      <c r="G19" s="2157">
        <f>D19*C19</f>
        <v>17.302499999999998</v>
      </c>
      <c r="H19" s="2160"/>
      <c r="K19" s="2162"/>
      <c r="L19" s="2163"/>
      <c r="M19" s="2163"/>
      <c r="N19" s="2163"/>
    </row>
    <row r="20" spans="1:16" s="2151" customFormat="1" ht="12.75">
      <c r="A20" s="2145"/>
      <c r="B20" s="2107" t="s">
        <v>2970</v>
      </c>
      <c r="C20" s="2147">
        <v>-1</v>
      </c>
      <c r="D20" s="2148">
        <f>PI()*(1^2)/4</f>
        <v>0.78539816339744828</v>
      </c>
      <c r="E20" s="2136" t="s">
        <v>2962</v>
      </c>
      <c r="F20" s="2149">
        <v>0.15</v>
      </c>
      <c r="G20" s="2148">
        <f>C20*D20*F20</f>
        <v>-0.11780972450961724</v>
      </c>
      <c r="H20" s="2150"/>
      <c r="K20" s="2153"/>
      <c r="L20" s="2153"/>
      <c r="M20" s="2153"/>
      <c r="N20" s="2153"/>
    </row>
    <row r="21" spans="1:16" s="2161" customFormat="1" ht="12.75">
      <c r="A21" s="2154"/>
      <c r="B21" s="2155" t="s">
        <v>2971</v>
      </c>
      <c r="C21" s="2156">
        <v>1</v>
      </c>
      <c r="D21" s="2157">
        <f>PI()*1.15</f>
        <v>3.6128315516282616</v>
      </c>
      <c r="E21" s="2164">
        <v>0.15</v>
      </c>
      <c r="F21" s="2159">
        <v>0.42</v>
      </c>
      <c r="G21" s="2157">
        <f>C21*D21*E21*F21</f>
        <v>0.22760838775258047</v>
      </c>
      <c r="H21" s="2160"/>
      <c r="K21" s="2163"/>
      <c r="L21" s="2163"/>
      <c r="M21" s="2163"/>
      <c r="N21" s="2163"/>
    </row>
    <row r="22" spans="1:16" s="2161" customFormat="1" ht="12.75">
      <c r="A22" s="2154"/>
      <c r="B22" s="2155"/>
      <c r="C22" s="2156">
        <v>1</v>
      </c>
      <c r="D22" s="2157">
        <f>PI()*1.25</f>
        <v>3.9269908169872414</v>
      </c>
      <c r="E22" s="2164">
        <v>0.05</v>
      </c>
      <c r="F22" s="2159">
        <v>0.08</v>
      </c>
      <c r="G22" s="2157">
        <f>C22*D22*E22*F22</f>
        <v>1.5707963267948967E-2</v>
      </c>
      <c r="H22" s="2160"/>
      <c r="K22" s="2163"/>
      <c r="L22" s="2163"/>
      <c r="M22" s="2163"/>
      <c r="N22" s="2163"/>
    </row>
    <row r="23" spans="1:16" s="2151" customFormat="1" ht="12.75">
      <c r="A23" s="2145"/>
      <c r="B23" s="2107" t="s">
        <v>2972</v>
      </c>
      <c r="C23" s="2147">
        <v>1</v>
      </c>
      <c r="D23" s="2148">
        <f>PI()*1.18^2/4</f>
        <v>1.0935884027146068</v>
      </c>
      <c r="E23" s="2136" t="s">
        <v>2962</v>
      </c>
      <c r="F23" s="2149">
        <v>7.4999999999999997E-2</v>
      </c>
      <c r="G23" s="2148">
        <f>C23*D23*F23</f>
        <v>8.2019130203595511E-2</v>
      </c>
      <c r="H23" s="2150"/>
      <c r="K23" s="2153"/>
      <c r="L23" s="2153"/>
      <c r="M23" s="2153"/>
      <c r="N23" s="2153"/>
    </row>
    <row r="24" spans="1:16" s="2151" customFormat="1" ht="12.75">
      <c r="A24" s="2145"/>
      <c r="B24" s="2107" t="s">
        <v>2973</v>
      </c>
      <c r="C24" s="2147">
        <v>-4</v>
      </c>
      <c r="D24" s="2148">
        <f>PI()*(0.23^2)/4</f>
        <v>4.1547562843725017E-2</v>
      </c>
      <c r="E24" s="2136" t="s">
        <v>2962</v>
      </c>
      <c r="F24" s="2149">
        <v>0.15</v>
      </c>
      <c r="G24" s="2148">
        <f>C24*D24*F24</f>
        <v>-2.4928537706235009E-2</v>
      </c>
      <c r="H24" s="2150"/>
      <c r="K24" s="2153"/>
      <c r="L24" s="2153"/>
      <c r="M24" s="2153"/>
      <c r="N24" s="2153"/>
    </row>
    <row r="25" spans="1:16">
      <c r="A25" s="2165"/>
      <c r="B25" s="2086"/>
      <c r="C25" s="2137"/>
      <c r="D25" s="2137"/>
      <c r="E25" s="2137"/>
      <c r="F25" s="2140" t="s">
        <v>1108</v>
      </c>
      <c r="G25" s="2140">
        <f>SUM(G16:G24)</f>
        <v>202.75930659731304</v>
      </c>
      <c r="H25" s="2141" t="s">
        <v>2964</v>
      </c>
      <c r="J25" s="2166"/>
      <c r="L25" s="2153"/>
      <c r="M25" s="2153"/>
      <c r="N25" s="2153"/>
      <c r="O25" s="2151"/>
      <c r="P25" s="2151"/>
    </row>
    <row r="26" spans="1:16">
      <c r="A26" s="2167" t="s">
        <v>2935</v>
      </c>
      <c r="B26" s="2103" t="s">
        <v>2936</v>
      </c>
      <c r="C26" s="2137"/>
      <c r="D26" s="2137"/>
      <c r="E26" s="2137"/>
      <c r="F26" s="2138"/>
      <c r="G26" s="2140">
        <v>12562</v>
      </c>
      <c r="H26" s="2141" t="s">
        <v>192</v>
      </c>
      <c r="J26" s="2166"/>
      <c r="L26" s="2153"/>
      <c r="M26" s="2153"/>
      <c r="N26" s="2153"/>
      <c r="O26" s="2151"/>
      <c r="P26" s="2151"/>
    </row>
    <row r="27" spans="1:16" ht="25.5">
      <c r="A27" s="2167" t="s">
        <v>988</v>
      </c>
      <c r="B27" s="2099" t="s">
        <v>2937</v>
      </c>
      <c r="C27" s="2137"/>
      <c r="D27" s="2137"/>
      <c r="E27" s="2137"/>
      <c r="F27" s="2138"/>
      <c r="G27" s="2140"/>
      <c r="H27" s="2143"/>
      <c r="J27" s="2166"/>
      <c r="L27" s="2153"/>
      <c r="M27" s="2153"/>
      <c r="N27" s="2153"/>
      <c r="O27" s="2151"/>
      <c r="P27" s="2151"/>
    </row>
    <row r="28" spans="1:16">
      <c r="A28" s="2145"/>
      <c r="B28" s="2107" t="s">
        <v>2974</v>
      </c>
      <c r="C28" s="2147">
        <v>1</v>
      </c>
      <c r="D28" s="2148">
        <f>PI()*13.9</f>
        <v>43.668137884898123</v>
      </c>
      <c r="E28" s="2148"/>
      <c r="F28" s="2168">
        <v>0.15</v>
      </c>
      <c r="G28" s="2169">
        <f>F28*D28*C28</f>
        <v>6.550220682734718</v>
      </c>
      <c r="H28" s="2150"/>
      <c r="J28" s="2166"/>
      <c r="L28" s="2153"/>
      <c r="M28" s="2153"/>
      <c r="N28" s="2153"/>
      <c r="O28" s="2151"/>
      <c r="P28" s="2151"/>
    </row>
    <row r="29" spans="1:16">
      <c r="A29" s="2145"/>
      <c r="B29" s="2107" t="s">
        <v>2975</v>
      </c>
      <c r="C29" s="2147">
        <v>1</v>
      </c>
      <c r="D29" s="2148">
        <f>PI()*13.9</f>
        <v>43.668137884898123</v>
      </c>
      <c r="E29" s="2148"/>
      <c r="F29" s="2168">
        <v>0.6</v>
      </c>
      <c r="G29" s="2169">
        <f>F29*D29*C29</f>
        <v>26.200882730938872</v>
      </c>
      <c r="H29" s="2150"/>
      <c r="J29" s="2166"/>
      <c r="L29" s="2153"/>
      <c r="M29" s="2153"/>
      <c r="N29" s="2153"/>
      <c r="O29" s="2151"/>
      <c r="P29" s="2151"/>
    </row>
    <row r="30" spans="1:16">
      <c r="A30" s="2145"/>
      <c r="B30" s="2107" t="s">
        <v>2976</v>
      </c>
      <c r="C30" s="2147">
        <v>1</v>
      </c>
      <c r="D30" s="2148">
        <f>PI()*11.4</f>
        <v>35.814156250923645</v>
      </c>
      <c r="E30" s="2148"/>
      <c r="F30" s="2168">
        <v>4.7</v>
      </c>
      <c r="G30" s="2169">
        <f>F30*D30*C30</f>
        <v>168.32653437934113</v>
      </c>
      <c r="H30" s="2150"/>
      <c r="J30" s="2166"/>
      <c r="L30" s="2153"/>
      <c r="M30" s="2153"/>
      <c r="N30" s="2153"/>
      <c r="O30" s="2151"/>
      <c r="P30" s="2151"/>
    </row>
    <row r="31" spans="1:16">
      <c r="A31" s="2145"/>
      <c r="B31" s="2107" t="s">
        <v>2977</v>
      </c>
      <c r="C31" s="2147">
        <v>1</v>
      </c>
      <c r="D31" s="2148">
        <f>PI()*(11.4+2*0.65)</f>
        <v>39.898226700590378</v>
      </c>
      <c r="E31" s="2148"/>
      <c r="F31" s="2168">
        <v>4.3499999999999996</v>
      </c>
      <c r="G31" s="2169">
        <f>F31*D31*C31</f>
        <v>173.55728614756813</v>
      </c>
      <c r="H31" s="2150"/>
      <c r="J31" s="2166"/>
      <c r="L31" s="2153"/>
      <c r="M31" s="2153"/>
      <c r="N31" s="2153"/>
      <c r="O31" s="2151"/>
      <c r="P31" s="2151"/>
    </row>
    <row r="32" spans="1:16" s="2173" customFormat="1">
      <c r="A32" s="2154"/>
      <c r="B32" s="2155" t="s">
        <v>2967</v>
      </c>
      <c r="C32" s="2156">
        <v>1</v>
      </c>
      <c r="D32" s="2170">
        <f>PI()*(11.4+2*0.45+0.35)</f>
        <v>39.741147067910887</v>
      </c>
      <c r="E32" s="2170"/>
      <c r="F32" s="2171">
        <f>3*0.35-0.2</f>
        <v>0.84999999999999987</v>
      </c>
      <c r="G32" s="2172">
        <f>F32*D32*C32</f>
        <v>33.779975007724246</v>
      </c>
      <c r="H32" s="2160"/>
      <c r="J32" s="2174"/>
      <c r="L32" s="2163"/>
      <c r="M32" s="2163"/>
      <c r="N32" s="2163"/>
      <c r="O32" s="2161"/>
      <c r="P32" s="2161"/>
    </row>
    <row r="33" spans="1:21" s="2173" customFormat="1">
      <c r="A33" s="2154"/>
      <c r="B33" s="2155" t="s">
        <v>2978</v>
      </c>
      <c r="C33" s="2156">
        <v>1</v>
      </c>
      <c r="D33" s="2157">
        <f>PI()*11.92^2/4</f>
        <v>111.5943976037552</v>
      </c>
      <c r="E33" s="2158" t="s">
        <v>2962</v>
      </c>
      <c r="F33" s="2171"/>
      <c r="G33" s="2172">
        <f>D33*C33</f>
        <v>111.5943976037552</v>
      </c>
      <c r="H33" s="2160"/>
    </row>
    <row r="34" spans="1:21" s="2173" customFormat="1">
      <c r="A34" s="2154"/>
      <c r="B34" s="2155" t="s">
        <v>2979</v>
      </c>
      <c r="C34" s="2156">
        <v>1</v>
      </c>
      <c r="D34" s="2157">
        <f>PI()*1</f>
        <v>3.1415926535897931</v>
      </c>
      <c r="E34" s="2158"/>
      <c r="F34" s="2171">
        <v>0.56000000000000005</v>
      </c>
      <c r="G34" s="2172">
        <f>C34*D34*F34</f>
        <v>1.7592918860102844</v>
      </c>
      <c r="H34" s="2160"/>
    </row>
    <row r="35" spans="1:21" s="2173" customFormat="1">
      <c r="A35" s="2154"/>
      <c r="B35" s="2155"/>
      <c r="C35" s="2156">
        <v>1</v>
      </c>
      <c r="D35" s="2157">
        <f>PI()*1.2</f>
        <v>3.7699111843077517</v>
      </c>
      <c r="E35" s="2158"/>
      <c r="F35" s="2171">
        <v>0.08</v>
      </c>
      <c r="G35" s="2172">
        <f>C35*D35*F35</f>
        <v>0.30159289474462014</v>
      </c>
      <c r="H35" s="2160"/>
    </row>
    <row r="36" spans="1:21" s="2173" customFormat="1">
      <c r="A36" s="2154"/>
      <c r="B36" s="2155" t="s">
        <v>2980</v>
      </c>
      <c r="C36" s="2156">
        <v>1</v>
      </c>
      <c r="D36" s="2157">
        <f>PI()*1.3</f>
        <v>4.0840704496667311</v>
      </c>
      <c r="E36" s="2158"/>
      <c r="F36" s="2171">
        <v>0.5</v>
      </c>
      <c r="G36" s="2172">
        <f>C36*D36*F36</f>
        <v>2.0420352248333655</v>
      </c>
      <c r="H36" s="2160"/>
    </row>
    <row r="37" spans="1:21" s="2173" customFormat="1">
      <c r="A37" s="2154"/>
      <c r="B37" s="2107" t="s">
        <v>2970</v>
      </c>
      <c r="C37" s="2156">
        <v>-1</v>
      </c>
      <c r="D37" s="2157">
        <f>PI()*1^2/4</f>
        <v>0.78539816339744828</v>
      </c>
      <c r="E37" s="2158" t="s">
        <v>2962</v>
      </c>
      <c r="F37" s="2171"/>
      <c r="G37" s="2172">
        <f>C37*D37</f>
        <v>-0.78539816339744828</v>
      </c>
      <c r="H37" s="2160"/>
    </row>
    <row r="38" spans="1:21" s="2173" customFormat="1">
      <c r="A38" s="2154"/>
      <c r="B38" s="2107" t="s">
        <v>2973</v>
      </c>
      <c r="C38" s="2147">
        <v>-4</v>
      </c>
      <c r="D38" s="2157">
        <f>D24</f>
        <v>4.1547562843725017E-2</v>
      </c>
      <c r="E38" s="2158" t="s">
        <v>2962</v>
      </c>
      <c r="F38" s="2171"/>
      <c r="G38" s="2172">
        <f>C38*D38</f>
        <v>-0.16619025137490007</v>
      </c>
      <c r="H38" s="2160"/>
    </row>
    <row r="39" spans="1:21" s="2173" customFormat="1">
      <c r="A39" s="2154"/>
      <c r="B39" s="2107" t="s">
        <v>2981</v>
      </c>
      <c r="C39" s="2147">
        <v>1</v>
      </c>
      <c r="D39" s="2157">
        <f>PI()*(1^2)/4</f>
        <v>0.78539816339744828</v>
      </c>
      <c r="E39" s="2158" t="s">
        <v>2962</v>
      </c>
      <c r="F39" s="2171"/>
      <c r="G39" s="2172">
        <f>C39*D39</f>
        <v>0.78539816339744828</v>
      </c>
      <c r="H39" s="2160"/>
    </row>
    <row r="40" spans="1:21" s="2173" customFormat="1">
      <c r="A40" s="2154"/>
      <c r="B40" s="2107" t="s">
        <v>2982</v>
      </c>
      <c r="C40" s="2147">
        <v>1</v>
      </c>
      <c r="D40" s="2157">
        <f>PI()*1.18</f>
        <v>3.7070793312359558</v>
      </c>
      <c r="E40" s="2158"/>
      <c r="F40" s="2171">
        <v>7.4999999999999997E-2</v>
      </c>
      <c r="G40" s="2172">
        <f>C40*D40*F40</f>
        <v>0.27803094984269666</v>
      </c>
      <c r="H40" s="2160"/>
    </row>
    <row r="41" spans="1:21">
      <c r="A41" s="2145"/>
      <c r="B41" s="2107"/>
      <c r="C41" s="2175"/>
      <c r="D41" s="2148"/>
      <c r="E41" s="2148"/>
      <c r="F41" s="2176" t="s">
        <v>1108</v>
      </c>
      <c r="G41" s="2177">
        <f>SUM(G28:G40)</f>
        <v>524.22405725611839</v>
      </c>
      <c r="H41" s="2141" t="s">
        <v>2963</v>
      </c>
    </row>
    <row r="42" spans="1:21">
      <c r="A42" s="2167" t="s">
        <v>2938</v>
      </c>
      <c r="B42" s="2099" t="s">
        <v>2939</v>
      </c>
      <c r="C42" s="2175"/>
      <c r="D42" s="2148"/>
      <c r="E42" s="2148"/>
      <c r="F42" s="2176"/>
      <c r="G42" s="2177"/>
      <c r="H42" s="2143"/>
      <c r="P42" s="2125">
        <f>SQRT(4*77.86/PI())</f>
        <v>9.9566274889181106</v>
      </c>
    </row>
    <row r="43" spans="1:21">
      <c r="A43" s="2178"/>
      <c r="B43" s="2107" t="s">
        <v>2977</v>
      </c>
      <c r="C43" s="2147">
        <v>1</v>
      </c>
      <c r="D43" s="2148">
        <f>PI()*(11.4+2*0.65)</f>
        <v>39.898226700590378</v>
      </c>
      <c r="E43" s="2148"/>
      <c r="F43" s="2149">
        <v>4</v>
      </c>
      <c r="G43" s="2148">
        <f>C43*D43*F43</f>
        <v>159.59290680236151</v>
      </c>
      <c r="H43" s="2150"/>
      <c r="R43" s="2179"/>
      <c r="S43" s="2179"/>
    </row>
    <row r="44" spans="1:21">
      <c r="A44" s="2178"/>
      <c r="B44" s="2107" t="s">
        <v>2967</v>
      </c>
      <c r="C44" s="2147">
        <v>1</v>
      </c>
      <c r="D44" s="2148">
        <f>D32</f>
        <v>39.741147067910887</v>
      </c>
      <c r="E44" s="2148"/>
      <c r="F44" s="2149">
        <f>F32</f>
        <v>0.84999999999999987</v>
      </c>
      <c r="G44" s="2148">
        <f>C44*D44*F44</f>
        <v>33.779975007724246</v>
      </c>
      <c r="H44" s="2150"/>
      <c r="R44" s="2179"/>
      <c r="S44" s="2179"/>
    </row>
    <row r="45" spans="1:21" s="2173" customFormat="1">
      <c r="A45" s="2180"/>
      <c r="B45" s="2155" t="s">
        <v>2983</v>
      </c>
      <c r="C45" s="2156">
        <v>1</v>
      </c>
      <c r="D45" s="2157">
        <f>PI()*(12.594^2)/4</f>
        <v>124.57108849300707</v>
      </c>
      <c r="E45" s="2158" t="s">
        <v>2962</v>
      </c>
      <c r="F45" s="2181"/>
      <c r="G45" s="2172">
        <f>C45*D45</f>
        <v>124.57108849300707</v>
      </c>
      <c r="H45" s="2182"/>
      <c r="L45" s="2183"/>
      <c r="R45" s="2184"/>
      <c r="S45" s="2184"/>
    </row>
    <row r="46" spans="1:21">
      <c r="A46" s="2178"/>
      <c r="B46" s="2107" t="s">
        <v>2984</v>
      </c>
      <c r="C46" s="2147">
        <v>1</v>
      </c>
      <c r="D46" s="2148">
        <f>PI()*1.3</f>
        <v>4.0840704496667311</v>
      </c>
      <c r="E46" s="2175"/>
      <c r="F46" s="2149">
        <v>0.5</v>
      </c>
      <c r="G46" s="2148">
        <f>C46*D46*F46</f>
        <v>2.0420352248333655</v>
      </c>
      <c r="H46" s="2143"/>
      <c r="L46" s="2185"/>
      <c r="R46" s="2179"/>
      <c r="S46" s="2179"/>
      <c r="U46" s="2179"/>
    </row>
    <row r="47" spans="1:21">
      <c r="A47" s="2178"/>
      <c r="B47" s="2107" t="s">
        <v>1510</v>
      </c>
      <c r="C47" s="2147">
        <v>1</v>
      </c>
      <c r="D47" s="2148">
        <f>PI()*1.18^2/4</f>
        <v>1.0935884027146068</v>
      </c>
      <c r="E47" s="2158" t="s">
        <v>2962</v>
      </c>
      <c r="F47" s="2176"/>
      <c r="G47" s="2169">
        <f>C47*D47</f>
        <v>1.0935884027146068</v>
      </c>
      <c r="H47" s="2143"/>
      <c r="L47" s="2185"/>
      <c r="R47" s="2179"/>
      <c r="S47" s="2179"/>
      <c r="U47" s="2179"/>
    </row>
    <row r="48" spans="1:21" s="2173" customFormat="1">
      <c r="A48" s="2180"/>
      <c r="B48" s="2155" t="s">
        <v>2985</v>
      </c>
      <c r="C48" s="2156">
        <v>1</v>
      </c>
      <c r="D48" s="2157">
        <f>PI()*1.18</f>
        <v>3.7070793312359558</v>
      </c>
      <c r="E48" s="2157"/>
      <c r="F48" s="2186">
        <v>7.4999999999999997E-2</v>
      </c>
      <c r="G48" s="2157">
        <f>C48*D48*F48</f>
        <v>0.27803094984269666</v>
      </c>
      <c r="H48" s="2187"/>
      <c r="L48" s="2183"/>
      <c r="R48" s="2184"/>
    </row>
    <row r="49" spans="1:18" s="2173" customFormat="1">
      <c r="A49" s="2180"/>
      <c r="B49" s="2155" t="s">
        <v>2986</v>
      </c>
      <c r="C49" s="2156">
        <v>-1</v>
      </c>
      <c r="D49" s="2157">
        <f>PI()*1^2/4</f>
        <v>0.78539816339744828</v>
      </c>
      <c r="E49" s="2158" t="s">
        <v>2962</v>
      </c>
      <c r="F49" s="2186"/>
      <c r="G49" s="2157">
        <f>C49*D49</f>
        <v>-0.78539816339744828</v>
      </c>
      <c r="H49" s="2187"/>
      <c r="L49" s="2183"/>
      <c r="R49" s="2184"/>
    </row>
    <row r="50" spans="1:18" s="2173" customFormat="1">
      <c r="A50" s="2180"/>
      <c r="B50" s="2155" t="s">
        <v>2973</v>
      </c>
      <c r="C50" s="2156">
        <v>-4</v>
      </c>
      <c r="D50" s="2157">
        <f>PI()*(0.23^2)/4</f>
        <v>4.1547562843725017E-2</v>
      </c>
      <c r="E50" s="2158" t="s">
        <v>2962</v>
      </c>
      <c r="F50" s="2186"/>
      <c r="G50" s="2157">
        <f>C50*D50</f>
        <v>-0.16619025137490007</v>
      </c>
      <c r="H50" s="2187"/>
      <c r="L50" s="2183"/>
      <c r="R50" s="2184"/>
    </row>
    <row r="51" spans="1:18">
      <c r="A51" s="2178"/>
      <c r="B51" s="2107"/>
      <c r="C51" s="2147"/>
      <c r="D51" s="2148"/>
      <c r="E51" s="2148"/>
      <c r="F51" s="2176" t="s">
        <v>1108</v>
      </c>
      <c r="G51" s="2188">
        <f>SUM(G43:G50)</f>
        <v>320.406036465711</v>
      </c>
      <c r="H51" s="2141" t="s">
        <v>2963</v>
      </c>
      <c r="L51" s="2185"/>
      <c r="P51" s="2125">
        <f>K51-O51</f>
        <v>0</v>
      </c>
      <c r="Q51" s="2125">
        <f>P51/4.5</f>
        <v>0</v>
      </c>
      <c r="R51" s="2125">
        <f>Q51/PI()</f>
        <v>0</v>
      </c>
    </row>
    <row r="52" spans="1:18">
      <c r="A52" s="2167" t="s">
        <v>2940</v>
      </c>
      <c r="B52" s="2103" t="s">
        <v>2941</v>
      </c>
      <c r="C52" s="2147"/>
      <c r="D52" s="2148"/>
      <c r="E52" s="2148"/>
      <c r="F52" s="2189"/>
      <c r="G52" s="2148"/>
      <c r="H52" s="2143"/>
      <c r="P52" s="2125">
        <f>K52-O52</f>
        <v>0</v>
      </c>
    </row>
    <row r="53" spans="1:18">
      <c r="A53" s="2145"/>
      <c r="B53" s="2107" t="s">
        <v>2976</v>
      </c>
      <c r="C53" s="2147">
        <v>1</v>
      </c>
      <c r="D53" s="2148">
        <f>PI()*11.4</f>
        <v>35.814156250923645</v>
      </c>
      <c r="E53" s="2148"/>
      <c r="F53" s="2149">
        <v>4.7</v>
      </c>
      <c r="G53" s="2148">
        <f>F53*D53*C53</f>
        <v>168.32653437934113</v>
      </c>
      <c r="H53" s="2150"/>
      <c r="P53" s="2190"/>
    </row>
    <row r="54" spans="1:18">
      <c r="A54" s="2145"/>
      <c r="B54" s="2107" t="s">
        <v>2987</v>
      </c>
      <c r="C54" s="2147">
        <v>1</v>
      </c>
      <c r="D54" s="2148">
        <f>PI()*11.4^2/4</f>
        <v>102.07034531513239</v>
      </c>
      <c r="E54" s="2158" t="s">
        <v>2962</v>
      </c>
      <c r="F54" s="2149"/>
      <c r="G54" s="2148">
        <f>D54*C54</f>
        <v>102.07034531513239</v>
      </c>
      <c r="H54" s="2150"/>
    </row>
    <row r="55" spans="1:18">
      <c r="A55" s="2145"/>
      <c r="B55" s="2107"/>
      <c r="C55" s="2175"/>
      <c r="D55" s="2148"/>
      <c r="E55" s="2148"/>
      <c r="F55" s="2176" t="s">
        <v>1108</v>
      </c>
      <c r="G55" s="2177">
        <f>SUM(G53:G54)</f>
        <v>270.39687969447351</v>
      </c>
      <c r="H55" s="2141" t="s">
        <v>2963</v>
      </c>
    </row>
    <row r="56" spans="1:18" ht="25.5">
      <c r="A56" s="2191" t="s">
        <v>2942</v>
      </c>
      <c r="B56" s="2099" t="s">
        <v>2943</v>
      </c>
      <c r="C56" s="2175"/>
      <c r="D56" s="2148"/>
      <c r="E56" s="2148"/>
      <c r="F56" s="2176"/>
      <c r="G56" s="2177"/>
      <c r="H56" s="2192"/>
    </row>
    <row r="57" spans="1:18" s="2173" customFormat="1">
      <c r="A57" s="2180"/>
      <c r="B57" s="2155" t="s">
        <v>2988</v>
      </c>
      <c r="C57" s="2156">
        <v>1</v>
      </c>
      <c r="D57" s="2157">
        <f>PI()*(11.92^2)/4</f>
        <v>111.5943976037552</v>
      </c>
      <c r="E57" s="2158" t="s">
        <v>2962</v>
      </c>
      <c r="F57" s="2159"/>
      <c r="G57" s="2157">
        <f>D57*C57</f>
        <v>111.5943976037552</v>
      </c>
      <c r="H57" s="2187"/>
    </row>
    <row r="58" spans="1:18">
      <c r="A58" s="2178"/>
      <c r="B58" s="2107"/>
      <c r="C58" s="2147"/>
      <c r="D58" s="2148"/>
      <c r="E58" s="2136"/>
      <c r="F58" s="2176" t="s">
        <v>1108</v>
      </c>
      <c r="G58" s="2188">
        <f>G57</f>
        <v>111.5943976037552</v>
      </c>
      <c r="H58" s="2141" t="s">
        <v>2963</v>
      </c>
    </row>
    <row r="59" spans="1:18">
      <c r="A59" s="2191" t="s">
        <v>2944</v>
      </c>
      <c r="B59" s="2103" t="s">
        <v>2945</v>
      </c>
      <c r="C59" s="2147">
        <v>1</v>
      </c>
      <c r="D59" s="2148"/>
      <c r="E59" s="2148"/>
      <c r="F59" s="2176"/>
      <c r="G59" s="2177">
        <f>G55+G58</f>
        <v>381.99127729822874</v>
      </c>
      <c r="H59" s="2141" t="s">
        <v>2963</v>
      </c>
    </row>
    <row r="60" spans="1:18">
      <c r="A60" s="2191" t="s">
        <v>2946</v>
      </c>
      <c r="B60" s="2103" t="s">
        <v>2947</v>
      </c>
      <c r="C60" s="2147">
        <v>1</v>
      </c>
      <c r="D60" s="2148"/>
      <c r="E60" s="2148"/>
      <c r="F60" s="2176"/>
      <c r="G60" s="2177">
        <f>G55</f>
        <v>270.39687969447351</v>
      </c>
      <c r="H60" s="2141" t="s">
        <v>2963</v>
      </c>
    </row>
    <row r="61" spans="1:18" s="2173" customFormat="1">
      <c r="A61" s="2193" t="s">
        <v>2948</v>
      </c>
      <c r="B61" s="2115" t="s">
        <v>2949</v>
      </c>
      <c r="C61" s="2156"/>
      <c r="D61" s="2157"/>
      <c r="E61" s="2157"/>
      <c r="F61" s="2181"/>
      <c r="G61" s="2194"/>
      <c r="H61" s="2195"/>
    </row>
    <row r="62" spans="1:18" s="2173" customFormat="1">
      <c r="A62" s="2193"/>
      <c r="B62" s="2115"/>
      <c r="C62" s="2156">
        <v>1</v>
      </c>
      <c r="D62" s="2157">
        <f>PI()*13.9</f>
        <v>43.668137884898123</v>
      </c>
      <c r="E62" s="2157">
        <v>0.6</v>
      </c>
      <c r="F62" s="2186">
        <v>0.4</v>
      </c>
      <c r="G62" s="2172">
        <f>F62*E62*D62*C62</f>
        <v>10.48035309237555</v>
      </c>
      <c r="H62" s="2195"/>
    </row>
    <row r="63" spans="1:18" s="2173" customFormat="1">
      <c r="A63" s="2193"/>
      <c r="B63" s="2115"/>
      <c r="C63" s="2156">
        <v>1</v>
      </c>
      <c r="D63" s="2157">
        <f>PI()*13.9</f>
        <v>43.668137884898123</v>
      </c>
      <c r="E63" s="2157">
        <v>0.1</v>
      </c>
      <c r="F63" s="2186">
        <v>0.2</v>
      </c>
      <c r="G63" s="2172">
        <f>F63*E63*D63*C63</f>
        <v>0.87336275769796257</v>
      </c>
      <c r="H63" s="2195"/>
    </row>
    <row r="64" spans="1:18" s="2173" customFormat="1">
      <c r="A64" s="2193"/>
      <c r="B64" s="2115"/>
      <c r="C64" s="2156"/>
      <c r="D64" s="2157"/>
      <c r="E64" s="2157"/>
      <c r="F64" s="2176" t="s">
        <v>1108</v>
      </c>
      <c r="G64" s="2194">
        <f>SUM(G62:G63)</f>
        <v>11.353715850073513</v>
      </c>
      <c r="H64" s="2195" t="s">
        <v>2964</v>
      </c>
    </row>
    <row r="65" spans="1:8" ht="27" customHeight="1">
      <c r="A65" s="2191" t="s">
        <v>2950</v>
      </c>
      <c r="B65" s="2099" t="s">
        <v>2989</v>
      </c>
      <c r="C65" s="2147">
        <v>1</v>
      </c>
      <c r="D65" s="2148">
        <f>PI()*(11.4+2*0.45+0.2)</f>
        <v>39.269908169872416</v>
      </c>
      <c r="E65" s="2148"/>
      <c r="F65" s="2176"/>
      <c r="G65" s="2177">
        <f>C65*D65</f>
        <v>39.269908169872416</v>
      </c>
      <c r="H65" s="2196" t="s">
        <v>965</v>
      </c>
    </row>
    <row r="66" spans="1:8" s="2173" customFormat="1">
      <c r="A66" s="2193" t="s">
        <v>2952</v>
      </c>
      <c r="B66" s="2115" t="s">
        <v>2953</v>
      </c>
      <c r="C66" s="2164"/>
      <c r="D66" s="2157"/>
      <c r="E66" s="2157"/>
      <c r="F66" s="2181"/>
      <c r="G66" s="2194">
        <v>48</v>
      </c>
      <c r="H66" s="2195" t="s">
        <v>965</v>
      </c>
    </row>
    <row r="67" spans="1:8" s="2173" customFormat="1" ht="25.5">
      <c r="A67" s="2193" t="s">
        <v>2954</v>
      </c>
      <c r="B67" s="2117" t="s">
        <v>2955</v>
      </c>
      <c r="C67" s="2164"/>
      <c r="D67" s="2157"/>
      <c r="E67" s="2157"/>
      <c r="F67" s="2181"/>
      <c r="G67" s="2194">
        <v>48</v>
      </c>
      <c r="H67" s="2197" t="s">
        <v>2963</v>
      </c>
    </row>
    <row r="68" spans="1:8" ht="25.5" hidden="1">
      <c r="A68" s="2191" t="s">
        <v>2957</v>
      </c>
      <c r="B68" s="2099" t="s">
        <v>2956</v>
      </c>
      <c r="C68" s="2175"/>
      <c r="D68" s="2148"/>
      <c r="E68" s="2148"/>
      <c r="F68" s="2176"/>
      <c r="G68" s="2177">
        <v>4</v>
      </c>
      <c r="H68" s="2196" t="s">
        <v>1038</v>
      </c>
    </row>
    <row r="69" spans="1:8">
      <c r="A69" s="2191">
        <v>16</v>
      </c>
      <c r="B69" s="2103" t="s">
        <v>1580</v>
      </c>
      <c r="C69" s="2175"/>
      <c r="D69" s="2148"/>
      <c r="E69" s="2148"/>
      <c r="F69" s="2176"/>
      <c r="G69" s="2177">
        <v>2</v>
      </c>
      <c r="H69" s="2196" t="s">
        <v>1038</v>
      </c>
    </row>
    <row r="70" spans="1:8">
      <c r="A70" s="2191">
        <v>17</v>
      </c>
      <c r="B70" s="2198" t="s">
        <v>2990</v>
      </c>
      <c r="C70" s="2147"/>
      <c r="D70" s="2148"/>
      <c r="E70" s="2148"/>
      <c r="F70" s="2176"/>
      <c r="G70" s="2177"/>
      <c r="H70" s="2196"/>
    </row>
    <row r="71" spans="1:8">
      <c r="A71" s="2191"/>
      <c r="B71" s="2199" t="s">
        <v>2991</v>
      </c>
      <c r="C71" s="2147">
        <v>5</v>
      </c>
      <c r="D71" s="2148"/>
      <c r="E71" s="2148"/>
      <c r="F71" s="2176"/>
      <c r="G71" s="2177">
        <f>C71</f>
        <v>5</v>
      </c>
      <c r="H71" s="2196" t="s">
        <v>965</v>
      </c>
    </row>
    <row r="72" spans="1:8">
      <c r="A72" s="2191"/>
      <c r="B72" s="2199" t="s">
        <v>2992</v>
      </c>
      <c r="C72" s="2147">
        <v>1</v>
      </c>
      <c r="D72" s="2148"/>
      <c r="E72" s="2148"/>
      <c r="F72" s="2176"/>
      <c r="G72" s="2177">
        <f>C72</f>
        <v>1</v>
      </c>
      <c r="H72" s="2196" t="s">
        <v>1087</v>
      </c>
    </row>
    <row r="73" spans="1:8">
      <c r="A73" s="2191"/>
      <c r="B73" s="2199" t="s">
        <v>2993</v>
      </c>
      <c r="C73" s="2147">
        <v>1</v>
      </c>
      <c r="D73" s="2148"/>
      <c r="E73" s="2148"/>
      <c r="F73" s="2176"/>
      <c r="G73" s="2177">
        <f>C73</f>
        <v>1</v>
      </c>
      <c r="H73" s="2196" t="s">
        <v>1087</v>
      </c>
    </row>
    <row r="74" spans="1:8">
      <c r="A74" s="2191"/>
      <c r="B74" s="2199" t="s">
        <v>2994</v>
      </c>
      <c r="C74" s="2147">
        <v>2</v>
      </c>
      <c r="D74" s="2148"/>
      <c r="E74" s="2148"/>
      <c r="F74" s="2176"/>
      <c r="G74" s="2177">
        <f>C74</f>
        <v>2</v>
      </c>
      <c r="H74" s="2196" t="s">
        <v>1087</v>
      </c>
    </row>
    <row r="75" spans="1:8" hidden="1">
      <c r="A75" s="2191"/>
      <c r="B75" s="2198"/>
      <c r="C75" s="2175"/>
      <c r="D75" s="2148"/>
      <c r="E75" s="2148"/>
      <c r="F75" s="2176"/>
      <c r="G75" s="2177"/>
      <c r="H75" s="2200"/>
    </row>
    <row r="76" spans="1:8" hidden="1">
      <c r="A76" s="2167" t="s">
        <v>2995</v>
      </c>
      <c r="B76" s="2201" t="s">
        <v>2996</v>
      </c>
      <c r="C76" s="2175"/>
      <c r="D76" s="2148"/>
      <c r="E76" s="2148"/>
      <c r="F76" s="2176"/>
      <c r="G76" s="2177"/>
      <c r="H76" s="2143"/>
    </row>
    <row r="77" spans="1:8" hidden="1">
      <c r="A77" s="2191" t="s">
        <v>2997</v>
      </c>
      <c r="B77" s="2103" t="s">
        <v>2998</v>
      </c>
      <c r="C77" s="2147">
        <v>1</v>
      </c>
      <c r="D77" s="2148">
        <v>78.319999999999993</v>
      </c>
      <c r="E77" s="2148">
        <v>1.6</v>
      </c>
      <c r="F77" s="2189">
        <v>1.0303100000000001</v>
      </c>
      <c r="G77" s="2148">
        <f>C77*D77*E77*F77</f>
        <v>129.11020672000001</v>
      </c>
      <c r="H77" s="2202" t="s">
        <v>2969</v>
      </c>
    </row>
    <row r="78" spans="1:8" hidden="1">
      <c r="A78" s="2191"/>
      <c r="B78" s="2103"/>
      <c r="C78" s="2147"/>
      <c r="D78" s="2148"/>
      <c r="E78" s="2148"/>
      <c r="F78" s="2176" t="s">
        <v>1108</v>
      </c>
      <c r="G78" s="2188">
        <f>G77</f>
        <v>129.11020672000001</v>
      </c>
      <c r="H78" s="2200" t="s">
        <v>2969</v>
      </c>
    </row>
    <row r="79" spans="1:8" hidden="1">
      <c r="A79" s="2191" t="s">
        <v>2999</v>
      </c>
      <c r="B79" s="2103" t="s">
        <v>3000</v>
      </c>
      <c r="C79" s="2147">
        <v>1</v>
      </c>
      <c r="D79" s="2148">
        <f>PI()*24.93003</f>
        <v>78.319999101773149</v>
      </c>
      <c r="E79" s="2148">
        <v>1</v>
      </c>
      <c r="F79" s="2176"/>
      <c r="G79" s="2169">
        <f>C79*D79*E79</f>
        <v>78.319999101773149</v>
      </c>
      <c r="H79" s="2202" t="s">
        <v>3001</v>
      </c>
    </row>
    <row r="80" spans="1:8" hidden="1">
      <c r="A80" s="2191"/>
      <c r="B80" s="2103"/>
      <c r="C80" s="2147"/>
      <c r="D80" s="2148"/>
      <c r="E80" s="2148"/>
      <c r="F80" s="2176" t="s">
        <v>1108</v>
      </c>
      <c r="G80" s="2177">
        <f>G79</f>
        <v>78.319999101773149</v>
      </c>
      <c r="H80" s="2200" t="s">
        <v>3001</v>
      </c>
    </row>
    <row r="81" spans="1:8" ht="25.5" hidden="1">
      <c r="A81" s="2191" t="s">
        <v>3002</v>
      </c>
      <c r="B81" s="2099" t="s">
        <v>3003</v>
      </c>
      <c r="C81" s="2147">
        <v>1</v>
      </c>
      <c r="D81" s="2148">
        <v>78.319999999999993</v>
      </c>
      <c r="E81" s="2148">
        <v>1</v>
      </c>
      <c r="F81" s="2189">
        <v>7.4999999999999997E-2</v>
      </c>
      <c r="G81" s="2148">
        <f>C81*D81*E81*F81</f>
        <v>5.8739999999999997</v>
      </c>
      <c r="H81" s="2202" t="s">
        <v>2969</v>
      </c>
    </row>
    <row r="82" spans="1:8" hidden="1">
      <c r="A82" s="2191"/>
      <c r="B82" s="2099"/>
      <c r="C82" s="2147"/>
      <c r="D82" s="2148"/>
      <c r="E82" s="2148"/>
      <c r="F82" s="2176" t="s">
        <v>1108</v>
      </c>
      <c r="G82" s="2188">
        <f>G81</f>
        <v>5.8739999999999997</v>
      </c>
      <c r="H82" s="2200" t="s">
        <v>2969</v>
      </c>
    </row>
    <row r="83" spans="1:8" hidden="1">
      <c r="A83" s="2191" t="s">
        <v>3004</v>
      </c>
      <c r="B83" s="2103" t="s">
        <v>3005</v>
      </c>
      <c r="C83" s="2147"/>
      <c r="D83" s="2148"/>
      <c r="E83" s="2148"/>
      <c r="F83" s="2176"/>
      <c r="G83" s="2177"/>
      <c r="H83" s="2143"/>
    </row>
    <row r="84" spans="1:8" hidden="1">
      <c r="A84" s="2191"/>
      <c r="B84" s="2103" t="s">
        <v>920</v>
      </c>
      <c r="C84" s="2147">
        <v>1</v>
      </c>
      <c r="D84" s="2148">
        <f>2*81.43+2*1</f>
        <v>164.86</v>
      </c>
      <c r="E84" s="2148"/>
      <c r="F84" s="2189">
        <v>7.4999999999999997E-2</v>
      </c>
      <c r="G84" s="2169">
        <f>C84*D84*F84</f>
        <v>12.364500000000001</v>
      </c>
      <c r="H84" s="2202" t="s">
        <v>3001</v>
      </c>
    </row>
    <row r="85" spans="1:8" hidden="1">
      <c r="A85" s="2191"/>
      <c r="B85" s="2103"/>
      <c r="C85" s="2147"/>
      <c r="D85" s="2148"/>
      <c r="E85" s="2148"/>
      <c r="F85" s="2176" t="s">
        <v>1108</v>
      </c>
      <c r="G85" s="2177">
        <f>G84</f>
        <v>12.364500000000001</v>
      </c>
      <c r="H85" s="2200" t="s">
        <v>3001</v>
      </c>
    </row>
    <row r="86" spans="1:8" hidden="1">
      <c r="A86" s="2191" t="s">
        <v>3006</v>
      </c>
      <c r="B86" s="2103" t="s">
        <v>3007</v>
      </c>
      <c r="C86" s="2147">
        <v>2</v>
      </c>
      <c r="D86" s="2148">
        <v>80</v>
      </c>
      <c r="E86" s="2148">
        <v>0.23</v>
      </c>
      <c r="F86" s="2189">
        <v>0.44800000000000001</v>
      </c>
      <c r="G86" s="2169">
        <f>F86*E86*D86*C86</f>
        <v>16.4864</v>
      </c>
      <c r="H86" s="2202" t="s">
        <v>2969</v>
      </c>
    </row>
    <row r="87" spans="1:8" hidden="1">
      <c r="A87" s="2191"/>
      <c r="B87" s="2103"/>
      <c r="C87" s="2147"/>
      <c r="D87" s="2148"/>
      <c r="E87" s="2148"/>
      <c r="F87" s="2176" t="s">
        <v>1108</v>
      </c>
      <c r="G87" s="2177">
        <f>G86</f>
        <v>16.4864</v>
      </c>
      <c r="H87" s="2200" t="s">
        <v>2969</v>
      </c>
    </row>
    <row r="88" spans="1:8" hidden="1">
      <c r="A88" s="2191" t="s">
        <v>2935</v>
      </c>
      <c r="B88" s="2103" t="s">
        <v>3008</v>
      </c>
      <c r="C88" s="2147">
        <v>1</v>
      </c>
      <c r="D88" s="2148">
        <v>80.247</v>
      </c>
      <c r="E88" s="2148">
        <v>3.3</v>
      </c>
      <c r="F88" s="2176"/>
      <c r="G88" s="2177">
        <f>C88*D88*E88</f>
        <v>264.81509999999997</v>
      </c>
      <c r="H88" s="2200" t="s">
        <v>3001</v>
      </c>
    </row>
    <row r="89" spans="1:8" hidden="1">
      <c r="A89" s="2191" t="s">
        <v>988</v>
      </c>
      <c r="B89" s="2103" t="s">
        <v>3009</v>
      </c>
      <c r="C89" s="2147"/>
      <c r="D89" s="2148"/>
      <c r="E89" s="2148"/>
      <c r="F89" s="2176"/>
      <c r="G89" s="2177">
        <v>124.86</v>
      </c>
      <c r="H89" s="2200" t="s">
        <v>2969</v>
      </c>
    </row>
    <row r="90" spans="1:8" ht="15" hidden="1" thickBot="1">
      <c r="A90" s="2203" t="s">
        <v>2938</v>
      </c>
      <c r="B90" s="2204" t="s">
        <v>3010</v>
      </c>
      <c r="C90" s="2205">
        <v>1</v>
      </c>
      <c r="D90" s="2206">
        <v>75</v>
      </c>
      <c r="E90" s="2206">
        <v>6</v>
      </c>
      <c r="F90" s="2207"/>
      <c r="G90" s="2208">
        <f>C90*D90*E90</f>
        <v>450</v>
      </c>
      <c r="H90" s="2209" t="s">
        <v>3001</v>
      </c>
    </row>
    <row r="91" spans="1:8">
      <c r="C91" s="2965"/>
      <c r="D91" s="2965"/>
      <c r="E91" s="2965"/>
      <c r="F91" s="2965"/>
      <c r="G91" s="2211"/>
      <c r="H91" s="2212"/>
    </row>
    <row r="92" spans="1:8">
      <c r="C92" s="2965"/>
      <c r="D92" s="2965"/>
      <c r="E92" s="2965"/>
      <c r="F92" s="2965"/>
      <c r="G92" s="2211"/>
      <c r="H92" s="2212"/>
    </row>
    <row r="93" spans="1:8">
      <c r="C93" s="2965"/>
      <c r="D93" s="2965"/>
      <c r="E93" s="2965"/>
      <c r="F93" s="2965"/>
      <c r="G93" s="2211"/>
      <c r="H93" s="2212"/>
    </row>
    <row r="94" spans="1:8">
      <c r="C94" s="2965"/>
      <c r="D94" s="2965"/>
      <c r="E94" s="2965"/>
      <c r="F94" s="2965"/>
      <c r="G94" s="2211"/>
      <c r="H94" s="2212"/>
    </row>
    <row r="95" spans="1:8">
      <c r="C95" s="2213"/>
      <c r="D95" s="2211"/>
      <c r="E95" s="2211"/>
      <c r="F95" s="2211"/>
      <c r="G95" s="2211"/>
    </row>
    <row r="96" spans="1:8">
      <c r="C96" s="2213"/>
      <c r="D96" s="2211"/>
      <c r="E96" s="2211"/>
      <c r="F96" s="2211"/>
      <c r="G96" s="2211"/>
    </row>
    <row r="97" spans="3:7" s="2210" customFormat="1">
      <c r="C97" s="2213"/>
      <c r="D97" s="2211"/>
      <c r="E97" s="2211"/>
      <c r="F97" s="2211"/>
      <c r="G97" s="2211"/>
    </row>
    <row r="98" spans="3:7" s="2210" customFormat="1">
      <c r="C98" s="2213"/>
      <c r="D98" s="2211"/>
      <c r="E98" s="2211"/>
      <c r="F98" s="2211"/>
      <c r="G98" s="2211"/>
    </row>
    <row r="99" spans="3:7" s="2210" customFormat="1">
      <c r="C99" s="2213"/>
      <c r="D99" s="2211"/>
      <c r="E99" s="2211"/>
      <c r="F99" s="2211"/>
      <c r="G99" s="2211"/>
    </row>
    <row r="100" spans="3:7" s="2210" customFormat="1">
      <c r="C100" s="2213"/>
      <c r="D100" s="2211"/>
      <c r="E100" s="2211"/>
      <c r="F100" s="2211"/>
      <c r="G100" s="2211"/>
    </row>
    <row r="101" spans="3:7" s="2210" customFormat="1">
      <c r="C101" s="2213"/>
      <c r="D101" s="2211"/>
      <c r="E101" s="2211"/>
      <c r="F101" s="2211"/>
      <c r="G101" s="2211"/>
    </row>
    <row r="102" spans="3:7" s="2210" customFormat="1">
      <c r="C102" s="2213"/>
      <c r="D102" s="2211"/>
      <c r="E102" s="2211"/>
      <c r="F102" s="2211"/>
      <c r="G102" s="2211"/>
    </row>
    <row r="103" spans="3:7" s="2210" customFormat="1">
      <c r="C103" s="2213"/>
      <c r="D103" s="2211"/>
      <c r="E103" s="2211"/>
      <c r="F103" s="2211"/>
      <c r="G103" s="2211"/>
    </row>
    <row r="104" spans="3:7" s="2210" customFormat="1">
      <c r="C104" s="2213"/>
      <c r="D104" s="2211"/>
      <c r="E104" s="2211"/>
      <c r="F104" s="2211"/>
      <c r="G104" s="2211"/>
    </row>
    <row r="105" spans="3:7" s="2210" customFormat="1">
      <c r="C105" s="2213"/>
      <c r="D105" s="2211"/>
      <c r="E105" s="2211"/>
      <c r="F105" s="2211"/>
      <c r="G105" s="2211"/>
    </row>
    <row r="106" spans="3:7" s="2210" customFormat="1">
      <c r="C106" s="2213"/>
      <c r="D106" s="2211"/>
      <c r="E106" s="2211"/>
      <c r="F106" s="2211"/>
      <c r="G106" s="2211"/>
    </row>
    <row r="107" spans="3:7" s="2210" customFormat="1">
      <c r="C107" s="2213"/>
      <c r="D107" s="2211"/>
      <c r="E107" s="2211"/>
      <c r="F107" s="2211"/>
      <c r="G107" s="2211"/>
    </row>
    <row r="108" spans="3:7" s="2210" customFormat="1">
      <c r="C108" s="2213"/>
      <c r="D108" s="2211"/>
      <c r="E108" s="2211"/>
      <c r="F108" s="2211"/>
      <c r="G108" s="2211"/>
    </row>
    <row r="109" spans="3:7" s="2210" customFormat="1">
      <c r="C109" s="2213"/>
      <c r="D109" s="2211"/>
      <c r="E109" s="2211"/>
      <c r="F109" s="2211"/>
      <c r="G109" s="2211"/>
    </row>
    <row r="110" spans="3:7" s="2210" customFormat="1">
      <c r="C110" s="2213"/>
      <c r="D110" s="2211"/>
      <c r="E110" s="2211"/>
      <c r="F110" s="2211"/>
      <c r="G110" s="2211"/>
    </row>
    <row r="111" spans="3:7" s="2210" customFormat="1">
      <c r="C111" s="2213"/>
      <c r="D111" s="2211"/>
      <c r="E111" s="2211"/>
      <c r="F111" s="2211"/>
      <c r="G111" s="2211"/>
    </row>
    <row r="112" spans="3:7" s="2210" customFormat="1">
      <c r="C112" s="2213"/>
      <c r="D112" s="2211"/>
      <c r="E112" s="2211"/>
      <c r="F112" s="2211"/>
      <c r="G112" s="2211"/>
    </row>
    <row r="113" spans="3:7" s="2210" customFormat="1">
      <c r="C113" s="2213"/>
      <c r="D113" s="2211"/>
      <c r="E113" s="2211"/>
      <c r="F113" s="2211"/>
      <c r="G113" s="2211"/>
    </row>
    <row r="114" spans="3:7" s="2210" customFormat="1">
      <c r="C114" s="2213"/>
      <c r="D114" s="2211"/>
      <c r="E114" s="2211"/>
      <c r="F114" s="2211"/>
      <c r="G114" s="2211"/>
    </row>
    <row r="115" spans="3:7" s="2210" customFormat="1">
      <c r="C115" s="2213"/>
      <c r="D115" s="2211"/>
      <c r="E115" s="2211"/>
      <c r="F115" s="2211"/>
      <c r="G115" s="2211"/>
    </row>
    <row r="116" spans="3:7" s="2210" customFormat="1">
      <c r="C116" s="2213"/>
      <c r="D116" s="2211"/>
      <c r="E116" s="2211"/>
      <c r="F116" s="2211"/>
      <c r="G116" s="2211"/>
    </row>
    <row r="117" spans="3:7" s="2210" customFormat="1">
      <c r="C117" s="2213"/>
      <c r="D117" s="2211"/>
      <c r="E117" s="2211"/>
      <c r="F117" s="2211"/>
      <c r="G117" s="2211"/>
    </row>
    <row r="118" spans="3:7" s="2210" customFormat="1">
      <c r="C118" s="2213"/>
      <c r="D118" s="2211"/>
      <c r="E118" s="2211"/>
      <c r="F118" s="2211"/>
      <c r="G118" s="2211"/>
    </row>
    <row r="119" spans="3:7" s="2210" customFormat="1">
      <c r="C119" s="2213"/>
      <c r="D119" s="2211"/>
      <c r="E119" s="2211"/>
      <c r="F119" s="2211"/>
      <c r="G119" s="2211"/>
    </row>
    <row r="120" spans="3:7" s="2210" customFormat="1">
      <c r="C120" s="2213"/>
      <c r="D120" s="2211"/>
      <c r="E120" s="2211"/>
      <c r="F120" s="2211"/>
      <c r="G120" s="2211"/>
    </row>
    <row r="121" spans="3:7" s="2210" customFormat="1">
      <c r="C121" s="2213"/>
      <c r="D121" s="2211"/>
      <c r="E121" s="2211"/>
      <c r="F121" s="2211"/>
      <c r="G121" s="2211"/>
    </row>
  </sheetData>
  <mergeCells count="6">
    <mergeCell ref="C94:F94"/>
    <mergeCell ref="A1:H1"/>
    <mergeCell ref="A3:H3"/>
    <mergeCell ref="C91:F91"/>
    <mergeCell ref="C92:F92"/>
    <mergeCell ref="C93:F93"/>
  </mergeCells>
  <pageMargins left="0.7" right="0.5" top="0.7" bottom="0.5" header="0.4" footer="0"/>
  <pageSetup paperSize="9" scale="90" firstPageNumber="81" orientation="portrait" useFirstPageNumber="1"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34"/>
  <sheetViews>
    <sheetView workbookViewId="0">
      <selection sqref="A1:K1"/>
    </sheetView>
  </sheetViews>
  <sheetFormatPr defaultColWidth="8.85546875" defaultRowHeight="12.75"/>
  <cols>
    <col min="1" max="1" width="4.5703125" style="536" customWidth="1"/>
    <col min="2" max="2" width="14.5703125" style="536" customWidth="1"/>
    <col min="3" max="3" width="16.7109375" style="536" customWidth="1"/>
    <col min="4" max="4" width="13.7109375" style="536" customWidth="1"/>
    <col min="5" max="5" width="8.7109375" style="536" customWidth="1"/>
    <col min="6" max="6" width="11.42578125" style="536" bestFit="1" customWidth="1"/>
    <col min="7" max="7" width="9" style="536" bestFit="1" customWidth="1"/>
    <col min="8" max="8" width="9" style="536" customWidth="1"/>
    <col min="9" max="9" width="16" style="536" customWidth="1"/>
    <col min="10" max="10" width="7.42578125" style="536" customWidth="1"/>
    <col min="11" max="16384" width="8.85546875" style="536"/>
  </cols>
  <sheetData>
    <row r="1" spans="1:11" ht="23.25">
      <c r="A1" s="2968" t="s">
        <v>1351</v>
      </c>
      <c r="B1" s="2968"/>
      <c r="C1" s="2968"/>
      <c r="D1" s="2968"/>
      <c r="E1" s="2968"/>
      <c r="F1" s="2968"/>
      <c r="G1" s="2968"/>
      <c r="H1" s="2968"/>
      <c r="I1" s="2968"/>
      <c r="J1" s="2968"/>
      <c r="K1" s="2968"/>
    </row>
    <row r="2" spans="1:11">
      <c r="A2" s="655"/>
      <c r="B2" s="655"/>
      <c r="C2" s="655"/>
      <c r="D2" s="655"/>
      <c r="E2" s="655"/>
      <c r="F2" s="655"/>
      <c r="G2" s="655"/>
      <c r="H2" s="655"/>
      <c r="I2" s="655"/>
      <c r="J2" s="655"/>
      <c r="K2" s="655"/>
    </row>
    <row r="3" spans="1:11">
      <c r="A3" s="655"/>
      <c r="B3" s="656"/>
      <c r="C3" s="656"/>
      <c r="D3" s="655"/>
      <c r="E3" s="655"/>
      <c r="F3" s="655"/>
      <c r="G3" s="655"/>
      <c r="H3" s="655"/>
      <c r="I3" s="655"/>
      <c r="J3" s="655"/>
      <c r="K3" s="655"/>
    </row>
    <row r="4" spans="1:11">
      <c r="A4" s="657"/>
      <c r="B4" s="658"/>
      <c r="C4" s="658"/>
      <c r="D4" s="658"/>
      <c r="E4" s="658" t="s">
        <v>1352</v>
      </c>
      <c r="F4" s="659" t="s">
        <v>1353</v>
      </c>
      <c r="G4" s="2969" t="s">
        <v>1354</v>
      </c>
      <c r="H4" s="2970"/>
      <c r="I4" s="660" t="s">
        <v>1355</v>
      </c>
      <c r="J4" s="2971" t="s">
        <v>1356</v>
      </c>
      <c r="K4" s="661" t="s">
        <v>1055</v>
      </c>
    </row>
    <row r="5" spans="1:11">
      <c r="A5" s="662" t="s">
        <v>1357</v>
      </c>
      <c r="B5" s="663" t="s">
        <v>1358</v>
      </c>
      <c r="C5" s="663" t="s">
        <v>1359</v>
      </c>
      <c r="D5" s="663" t="s">
        <v>1360</v>
      </c>
      <c r="E5" s="663" t="s">
        <v>1361</v>
      </c>
      <c r="F5" s="663" t="s">
        <v>1362</v>
      </c>
      <c r="G5" s="663" t="s">
        <v>1363</v>
      </c>
      <c r="H5" s="664" t="s">
        <v>1364</v>
      </c>
      <c r="I5" s="2974" t="s">
        <v>1365</v>
      </c>
      <c r="J5" s="2972"/>
      <c r="K5" s="2976" t="s">
        <v>1366</v>
      </c>
    </row>
    <row r="6" spans="1:11">
      <c r="A6" s="665"/>
      <c r="B6" s="666"/>
      <c r="C6" s="667" t="s">
        <v>1367</v>
      </c>
      <c r="D6" s="666"/>
      <c r="E6" s="667" t="s">
        <v>1273</v>
      </c>
      <c r="F6" s="666" t="s">
        <v>1368</v>
      </c>
      <c r="G6" s="667" t="s">
        <v>1273</v>
      </c>
      <c r="H6" s="667" t="s">
        <v>1273</v>
      </c>
      <c r="I6" s="2975"/>
      <c r="J6" s="2973"/>
      <c r="K6" s="2977"/>
    </row>
    <row r="7" spans="1:11">
      <c r="A7" s="668"/>
      <c r="B7" s="669"/>
      <c r="C7" s="663"/>
      <c r="D7" s="663"/>
      <c r="E7" s="670"/>
      <c r="F7" s="671"/>
      <c r="G7" s="670"/>
      <c r="H7" s="672"/>
      <c r="I7" s="672"/>
      <c r="J7" s="672"/>
      <c r="K7" s="673"/>
    </row>
    <row r="8" spans="1:11">
      <c r="A8" s="668">
        <v>1</v>
      </c>
      <c r="B8" s="669" t="s">
        <v>1268</v>
      </c>
      <c r="C8" s="663" t="s">
        <v>1252</v>
      </c>
      <c r="D8" s="663" t="s">
        <v>1369</v>
      </c>
      <c r="E8" s="670">
        <v>0.88</v>
      </c>
      <c r="F8" s="674"/>
      <c r="G8" s="670">
        <f>E8*0.9</f>
        <v>0.79200000000000004</v>
      </c>
      <c r="H8" s="670">
        <v>0.88</v>
      </c>
      <c r="I8" s="672" t="s">
        <v>1370</v>
      </c>
      <c r="J8" s="672" t="s">
        <v>963</v>
      </c>
      <c r="K8" s="673" t="s">
        <v>1371</v>
      </c>
    </row>
    <row r="9" spans="1:11">
      <c r="A9" s="668">
        <v>2</v>
      </c>
      <c r="B9" s="669" t="s">
        <v>1269</v>
      </c>
      <c r="C9" s="663" t="s">
        <v>1252</v>
      </c>
      <c r="D9" s="663" t="s">
        <v>1369</v>
      </c>
      <c r="E9" s="670">
        <v>0.28999999999999998</v>
      </c>
      <c r="F9" s="674"/>
      <c r="G9" s="670">
        <f>E9*0.9</f>
        <v>0.26100000000000001</v>
      </c>
      <c r="H9" s="670">
        <v>0.28999999999999998</v>
      </c>
      <c r="I9" s="672" t="s">
        <v>1370</v>
      </c>
      <c r="J9" s="672" t="s">
        <v>963</v>
      </c>
      <c r="K9" s="673" t="s">
        <v>1371</v>
      </c>
    </row>
    <row r="10" spans="1:11">
      <c r="A10" s="668">
        <v>3</v>
      </c>
      <c r="B10" s="669"/>
      <c r="C10" s="663" t="s">
        <v>1252</v>
      </c>
      <c r="D10" s="663" t="s">
        <v>253</v>
      </c>
      <c r="E10" s="670">
        <v>0.5</v>
      </c>
      <c r="F10" s="674"/>
      <c r="G10" s="670">
        <f>E10*0.9</f>
        <v>0.45</v>
      </c>
      <c r="H10" s="672">
        <v>0.5</v>
      </c>
      <c r="I10" s="672" t="s">
        <v>1370</v>
      </c>
      <c r="J10" s="672" t="s">
        <v>963</v>
      </c>
      <c r="K10" s="673" t="s">
        <v>1371</v>
      </c>
    </row>
    <row r="11" spans="1:11">
      <c r="A11" s="668"/>
      <c r="B11" s="669"/>
      <c r="C11" s="663"/>
      <c r="D11" s="663"/>
      <c r="E11" s="670"/>
      <c r="F11" s="674"/>
      <c r="G11" s="670"/>
      <c r="H11" s="672"/>
      <c r="I11" s="672"/>
      <c r="J11" s="672"/>
      <c r="K11" s="673"/>
    </row>
    <row r="12" spans="1:11">
      <c r="A12" s="668"/>
      <c r="B12" s="669"/>
      <c r="C12" s="663"/>
      <c r="D12" s="663"/>
      <c r="E12" s="663"/>
      <c r="F12" s="674"/>
      <c r="G12" s="663"/>
      <c r="H12" s="664"/>
      <c r="I12" s="672"/>
      <c r="J12" s="672"/>
      <c r="K12" s="673"/>
    </row>
    <row r="13" spans="1:11">
      <c r="A13" s="668"/>
      <c r="B13" s="669"/>
      <c r="C13" s="663"/>
      <c r="D13" s="663"/>
      <c r="E13" s="663"/>
      <c r="F13" s="663"/>
      <c r="G13" s="663"/>
      <c r="H13" s="664"/>
      <c r="I13" s="672"/>
      <c r="J13" s="672"/>
      <c r="K13" s="673"/>
    </row>
    <row r="14" spans="1:11">
      <c r="A14" s="668"/>
      <c r="B14" s="669"/>
      <c r="C14" s="663"/>
      <c r="D14" s="663"/>
      <c r="E14" s="663"/>
      <c r="F14" s="669"/>
      <c r="G14" s="670"/>
      <c r="H14" s="670"/>
      <c r="I14" s="672"/>
      <c r="J14" s="672"/>
      <c r="K14" s="673"/>
    </row>
    <row r="15" spans="1:11">
      <c r="A15" s="675"/>
      <c r="B15" s="676"/>
      <c r="C15" s="676"/>
      <c r="D15" s="676"/>
      <c r="E15" s="676"/>
      <c r="F15" s="676"/>
      <c r="G15" s="676"/>
      <c r="H15" s="677"/>
      <c r="I15" s="677"/>
      <c r="J15" s="677"/>
      <c r="K15" s="678"/>
    </row>
    <row r="16" spans="1:11">
      <c r="A16" s="655"/>
      <c r="B16" s="655"/>
      <c r="C16" s="655"/>
      <c r="D16" s="655"/>
      <c r="E16" s="655"/>
      <c r="F16" s="655"/>
      <c r="G16" s="655"/>
      <c r="H16" s="655"/>
      <c r="I16" s="655"/>
      <c r="J16" s="655"/>
    </row>
    <row r="17" spans="1:10">
      <c r="A17" s="655"/>
      <c r="B17" s="655"/>
      <c r="C17" s="655"/>
      <c r="D17" s="655"/>
      <c r="E17" s="655"/>
      <c r="F17" s="655"/>
      <c r="G17" s="655"/>
      <c r="H17" s="655"/>
      <c r="I17" s="655"/>
      <c r="J17" s="655"/>
    </row>
    <row r="18" spans="1:10">
      <c r="A18" s="655"/>
      <c r="B18" s="655"/>
      <c r="C18" s="655"/>
      <c r="D18" s="655"/>
      <c r="E18" s="655"/>
      <c r="F18" s="655"/>
      <c r="G18" s="655"/>
      <c r="H18" s="655"/>
      <c r="I18" s="655"/>
      <c r="J18" s="655"/>
    </row>
    <row r="19" spans="1:10">
      <c r="A19" s="655"/>
      <c r="B19" s="655"/>
      <c r="C19" s="655"/>
      <c r="D19" s="655"/>
      <c r="E19" s="655"/>
      <c r="F19" s="655"/>
      <c r="G19" s="655"/>
      <c r="H19" s="655"/>
      <c r="I19" s="655"/>
      <c r="J19" s="655"/>
    </row>
    <row r="20" spans="1:10">
      <c r="A20" s="655"/>
      <c r="B20" s="655"/>
      <c r="C20" s="655"/>
      <c r="D20" s="655"/>
      <c r="E20" s="655"/>
      <c r="F20" s="655"/>
      <c r="G20" s="655"/>
      <c r="H20" s="655"/>
      <c r="I20" s="655"/>
      <c r="J20" s="655"/>
    </row>
    <row r="21" spans="1:10">
      <c r="A21" s="655"/>
      <c r="B21" s="655"/>
      <c r="C21" s="655"/>
      <c r="D21" s="655"/>
      <c r="E21" s="655"/>
      <c r="F21" s="655"/>
      <c r="G21" s="655"/>
      <c r="H21" s="655"/>
      <c r="I21" s="655"/>
      <c r="J21" s="655"/>
    </row>
    <row r="22" spans="1:10">
      <c r="A22" s="655"/>
      <c r="B22" s="655"/>
      <c r="C22" s="655"/>
      <c r="D22" s="655"/>
      <c r="E22" s="655"/>
      <c r="F22" s="655"/>
      <c r="G22" s="655"/>
      <c r="H22" s="655"/>
      <c r="I22" s="655"/>
      <c r="J22" s="655"/>
    </row>
    <row r="23" spans="1:10">
      <c r="A23" s="655"/>
      <c r="B23" s="655"/>
      <c r="C23" s="655"/>
      <c r="D23" s="655"/>
      <c r="E23" s="655"/>
      <c r="F23" s="655"/>
      <c r="G23" s="655"/>
      <c r="H23" s="655"/>
      <c r="I23" s="655"/>
      <c r="J23" s="655"/>
    </row>
    <row r="24" spans="1:10">
      <c r="A24" s="655"/>
      <c r="B24" s="655"/>
      <c r="C24" s="655"/>
      <c r="D24" s="655"/>
      <c r="E24" s="655"/>
      <c r="F24" s="655"/>
      <c r="G24" s="655"/>
      <c r="H24" s="655"/>
      <c r="I24" s="655"/>
      <c r="J24" s="655"/>
    </row>
    <row r="25" spans="1:10">
      <c r="A25" s="655"/>
      <c r="B25" s="655"/>
      <c r="C25" s="655"/>
      <c r="D25" s="655"/>
      <c r="E25" s="655"/>
      <c r="F25" s="655"/>
      <c r="G25" s="655"/>
      <c r="H25" s="655"/>
      <c r="I25" s="655"/>
      <c r="J25" s="655"/>
    </row>
    <row r="26" spans="1:10">
      <c r="A26" s="655"/>
      <c r="B26" s="655"/>
      <c r="C26" s="655"/>
      <c r="D26" s="655"/>
      <c r="E26" s="655"/>
      <c r="F26" s="655"/>
      <c r="G26" s="655"/>
      <c r="H26" s="655"/>
      <c r="I26" s="655"/>
      <c r="J26" s="655"/>
    </row>
    <row r="27" spans="1:10">
      <c r="A27" s="655"/>
      <c r="B27" s="655"/>
      <c r="C27" s="655"/>
      <c r="D27" s="655"/>
      <c r="E27" s="655"/>
      <c r="F27" s="655"/>
      <c r="G27" s="655"/>
      <c r="H27" s="655"/>
      <c r="I27" s="655"/>
      <c r="J27" s="655"/>
    </row>
    <row r="28" spans="1:10">
      <c r="A28" s="655"/>
      <c r="B28" s="655"/>
      <c r="C28" s="655"/>
      <c r="D28" s="655"/>
      <c r="E28" s="655"/>
      <c r="F28" s="655"/>
      <c r="G28" s="655"/>
      <c r="H28" s="655"/>
      <c r="I28" s="655"/>
      <c r="J28" s="655"/>
    </row>
    <row r="29" spans="1:10">
      <c r="A29" s="655"/>
      <c r="B29" s="655"/>
      <c r="C29" s="655"/>
      <c r="D29" s="655"/>
      <c r="E29" s="655"/>
      <c r="F29" s="655"/>
      <c r="G29" s="655"/>
      <c r="H29" s="655"/>
      <c r="I29" s="655"/>
      <c r="J29" s="655"/>
    </row>
    <row r="30" spans="1:10">
      <c r="A30" s="655"/>
      <c r="B30" s="655"/>
      <c r="C30" s="655"/>
      <c r="D30" s="655"/>
      <c r="E30" s="655"/>
      <c r="F30" s="655"/>
      <c r="G30" s="655"/>
      <c r="H30" s="655"/>
      <c r="I30" s="655"/>
      <c r="J30" s="655"/>
    </row>
    <row r="31" spans="1:10">
      <c r="A31" s="655"/>
      <c r="B31" s="655"/>
      <c r="C31" s="655"/>
      <c r="D31" s="655"/>
      <c r="E31" s="655"/>
      <c r="F31" s="655"/>
      <c r="G31" s="655"/>
      <c r="H31" s="655"/>
      <c r="I31" s="655"/>
      <c r="J31" s="655"/>
    </row>
    <row r="32" spans="1:10">
      <c r="A32" s="655"/>
      <c r="B32" s="655"/>
      <c r="C32" s="655"/>
      <c r="D32" s="655"/>
      <c r="E32" s="655"/>
      <c r="F32" s="655"/>
      <c r="G32" s="655"/>
      <c r="H32" s="655"/>
      <c r="I32" s="655"/>
      <c r="J32" s="655"/>
    </row>
    <row r="33" spans="1:10">
      <c r="A33" s="655"/>
      <c r="B33" s="655"/>
      <c r="C33" s="655"/>
      <c r="D33" s="655"/>
      <c r="E33" s="655"/>
      <c r="F33" s="655"/>
      <c r="G33" s="655"/>
      <c r="H33" s="655"/>
      <c r="I33" s="655"/>
      <c r="J33" s="655"/>
    </row>
    <row r="34" spans="1:10">
      <c r="A34" s="655"/>
      <c r="B34" s="655"/>
      <c r="C34" s="655"/>
      <c r="D34" s="655"/>
      <c r="E34" s="655"/>
      <c r="F34" s="655"/>
      <c r="G34" s="655"/>
      <c r="H34" s="655"/>
      <c r="I34" s="655"/>
      <c r="J34" s="655"/>
    </row>
  </sheetData>
  <mergeCells count="5">
    <mergeCell ref="A1:K1"/>
    <mergeCell ref="G4:H4"/>
    <mergeCell ref="J4:J6"/>
    <mergeCell ref="I5:I6"/>
    <mergeCell ref="K5:K6"/>
  </mergeCells>
  <pageMargins left="1.04" right="0.66" top="1.21" bottom="1" header="0.5" footer="0.5"/>
  <pageSetup paperSize="9" scale="95" orientation="landscape" horizontalDpi="4294967293" verticalDpi="300" r:id="rId1"/>
  <headerFooter alignWithMargins="0">
    <oddFooter>&amp;LEstimated by&amp;CChecked by&amp;RApproved by</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94"/>
  <sheetViews>
    <sheetView workbookViewId="0">
      <selection sqref="A1:G1"/>
    </sheetView>
  </sheetViews>
  <sheetFormatPr defaultColWidth="9.140625" defaultRowHeight="12.75"/>
  <cols>
    <col min="1" max="1" width="10.140625" style="679" customWidth="1"/>
    <col min="2" max="2" width="10.85546875" style="679" customWidth="1"/>
    <col min="3" max="3" width="16.140625" style="679" customWidth="1"/>
    <col min="4" max="4" width="4.28515625" style="679" bestFit="1" customWidth="1"/>
    <col min="5" max="5" width="10.5703125" style="679" customWidth="1"/>
    <col min="6" max="6" width="10.28515625" style="679" customWidth="1"/>
    <col min="7" max="7" width="15.140625" style="679" bestFit="1" customWidth="1"/>
    <col min="8" max="8" width="9.140625" style="679"/>
    <col min="9" max="9" width="15.5703125" style="655" bestFit="1" customWidth="1"/>
    <col min="10" max="10" width="16.140625" style="655" customWidth="1"/>
    <col min="11" max="11" width="11.7109375" style="655" customWidth="1"/>
    <col min="12" max="12" width="10.140625" style="655" customWidth="1"/>
    <col min="13" max="13" width="11.140625" style="655" customWidth="1"/>
    <col min="14" max="14" width="9.28515625" style="655" bestFit="1" customWidth="1"/>
    <col min="15" max="15" width="5.7109375" style="655" customWidth="1"/>
    <col min="16" max="19" width="8.140625" style="655" bestFit="1" customWidth="1"/>
    <col min="20" max="27" width="9.140625" style="655" bestFit="1" customWidth="1"/>
    <col min="28" max="33" width="5.7109375" style="655" customWidth="1"/>
    <col min="34" max="34" width="9.140625" style="655"/>
    <col min="35" max="35" width="18.42578125" style="655" customWidth="1"/>
    <col min="36" max="36" width="5.28515625" style="655" bestFit="1" customWidth="1"/>
    <col min="37" max="16384" width="9.140625" style="655"/>
  </cols>
  <sheetData>
    <row r="1" spans="1:15" ht="23.25">
      <c r="A1" s="2981" t="s">
        <v>1372</v>
      </c>
      <c r="B1" s="2981"/>
      <c r="C1" s="2981"/>
      <c r="D1" s="2981"/>
      <c r="E1" s="2981"/>
      <c r="F1" s="2981"/>
      <c r="G1" s="2981"/>
    </row>
    <row r="2" spans="1:15" ht="18" customHeight="1">
      <c r="A2" s="680"/>
      <c r="I2" s="681" t="s">
        <v>1373</v>
      </c>
      <c r="J2" s="682">
        <v>250</v>
      </c>
    </row>
    <row r="3" spans="1:15" ht="12.75" customHeight="1">
      <c r="A3" s="2982" t="s">
        <v>1357</v>
      </c>
      <c r="B3" s="2984" t="s">
        <v>1375</v>
      </c>
      <c r="C3" s="2985"/>
      <c r="D3" s="2988" t="s">
        <v>1035</v>
      </c>
      <c r="E3" s="2990" t="s">
        <v>964</v>
      </c>
      <c r="F3" s="2990" t="s">
        <v>97</v>
      </c>
      <c r="G3" s="2992" t="s">
        <v>52</v>
      </c>
    </row>
    <row r="4" spans="1:15" ht="12.75" customHeight="1">
      <c r="A4" s="2983"/>
      <c r="B4" s="2986"/>
      <c r="C4" s="2987"/>
      <c r="D4" s="2989"/>
      <c r="E4" s="2991"/>
      <c r="F4" s="2991" t="s">
        <v>1376</v>
      </c>
      <c r="G4" s="2993" t="s">
        <v>107</v>
      </c>
    </row>
    <row r="5" spans="1:15" ht="15.75">
      <c r="A5" s="683">
        <v>1</v>
      </c>
      <c r="B5" s="684" t="s">
        <v>1377</v>
      </c>
      <c r="D5" s="685"/>
      <c r="E5" s="685"/>
      <c r="F5" s="685"/>
      <c r="G5" s="686"/>
    </row>
    <row r="6" spans="1:15" ht="15">
      <c r="A6" s="683"/>
      <c r="B6" s="735"/>
      <c r="C6" s="736"/>
      <c r="D6" s="685"/>
      <c r="E6" s="685"/>
      <c r="F6" s="690"/>
      <c r="G6" s="690"/>
      <c r="K6" s="655" t="s">
        <v>1256</v>
      </c>
    </row>
    <row r="7" spans="1:15" ht="15.75" hidden="1">
      <c r="A7" s="683"/>
      <c r="B7" s="735">
        <v>32</v>
      </c>
      <c r="C7" s="738">
        <v>6</v>
      </c>
      <c r="D7" s="688" t="s">
        <v>965</v>
      </c>
      <c r="E7" s="689">
        <f>N19</f>
        <v>0</v>
      </c>
      <c r="F7" s="690" t="s">
        <v>3052</v>
      </c>
      <c r="G7" s="690" t="s">
        <v>3052</v>
      </c>
      <c r="K7" s="692" t="s">
        <v>1378</v>
      </c>
      <c r="L7" s="692" t="s">
        <v>1379</v>
      </c>
      <c r="M7" s="692" t="s">
        <v>1108</v>
      </c>
      <c r="N7" s="692" t="s">
        <v>1380</v>
      </c>
    </row>
    <row r="8" spans="1:15" ht="15" hidden="1">
      <c r="A8" s="683"/>
      <c r="B8" s="735">
        <v>40</v>
      </c>
      <c r="C8" s="736">
        <v>6</v>
      </c>
      <c r="D8" s="688" t="s">
        <v>965</v>
      </c>
      <c r="E8" s="689">
        <f>N20</f>
        <v>0</v>
      </c>
      <c r="F8" s="690" t="s">
        <v>3052</v>
      </c>
      <c r="G8" s="690" t="s">
        <v>3052</v>
      </c>
      <c r="J8" s="693" t="s">
        <v>1381</v>
      </c>
      <c r="K8" s="694">
        <v>0</v>
      </c>
      <c r="L8" s="694">
        <v>0</v>
      </c>
      <c r="M8" s="695">
        <f>K8+L8</f>
        <v>0</v>
      </c>
      <c r="N8" s="696">
        <f t="shared" ref="N8:N43" si="0">ROUNDUP(M8*1.1,0)</f>
        <v>0</v>
      </c>
    </row>
    <row r="9" spans="1:15" ht="15" hidden="1">
      <c r="A9" s="683"/>
      <c r="B9" s="735">
        <v>50</v>
      </c>
      <c r="C9" s="736">
        <v>6</v>
      </c>
      <c r="D9" s="688" t="s">
        <v>965</v>
      </c>
      <c r="E9" s="689">
        <f t="shared" ref="E9:E25" si="1">N21</f>
        <v>0</v>
      </c>
      <c r="F9" s="690" t="s">
        <v>3052</v>
      </c>
      <c r="G9" s="690" t="s">
        <v>3052</v>
      </c>
      <c r="J9" s="693" t="s">
        <v>1382</v>
      </c>
      <c r="K9" s="694">
        <v>0</v>
      </c>
      <c r="L9" s="694">
        <v>0</v>
      </c>
      <c r="M9" s="695">
        <f t="shared" ref="M9:M43" si="2">K9+L9</f>
        <v>0</v>
      </c>
      <c r="N9" s="696">
        <f t="shared" si="0"/>
        <v>0</v>
      </c>
    </row>
    <row r="10" spans="1:15" ht="15" hidden="1">
      <c r="A10" s="683"/>
      <c r="B10" s="735">
        <v>63</v>
      </c>
      <c r="C10" s="736">
        <v>6</v>
      </c>
      <c r="D10" s="688" t="s">
        <v>965</v>
      </c>
      <c r="E10" s="689">
        <f t="shared" si="1"/>
        <v>0</v>
      </c>
      <c r="F10" s="690" t="s">
        <v>3052</v>
      </c>
      <c r="G10" s="690" t="s">
        <v>3052</v>
      </c>
      <c r="J10" s="693" t="s">
        <v>1383</v>
      </c>
      <c r="K10" s="694">
        <v>0</v>
      </c>
      <c r="L10" s="694">
        <v>0</v>
      </c>
      <c r="M10" s="695">
        <f t="shared" si="2"/>
        <v>0</v>
      </c>
      <c r="N10" s="696">
        <f t="shared" si="0"/>
        <v>0</v>
      </c>
    </row>
    <row r="11" spans="1:15" ht="15" hidden="1">
      <c r="A11" s="683"/>
      <c r="B11" s="735">
        <v>75</v>
      </c>
      <c r="C11" s="736">
        <v>6</v>
      </c>
      <c r="D11" s="688" t="s">
        <v>965</v>
      </c>
      <c r="E11" s="689">
        <f t="shared" si="1"/>
        <v>0</v>
      </c>
      <c r="F11" s="690" t="s">
        <v>3052</v>
      </c>
      <c r="G11" s="690" t="s">
        <v>3052</v>
      </c>
      <c r="J11" s="693" t="s">
        <v>1384</v>
      </c>
      <c r="K11" s="694">
        <v>0</v>
      </c>
      <c r="L11" s="694">
        <v>0</v>
      </c>
      <c r="M11" s="695">
        <f t="shared" si="2"/>
        <v>0</v>
      </c>
      <c r="N11" s="696">
        <f t="shared" si="0"/>
        <v>0</v>
      </c>
    </row>
    <row r="12" spans="1:15" ht="15" hidden="1">
      <c r="A12" s="683"/>
      <c r="B12" s="735">
        <v>90</v>
      </c>
      <c r="C12" s="736">
        <v>6</v>
      </c>
      <c r="D12" s="688" t="s">
        <v>965</v>
      </c>
      <c r="E12" s="689">
        <f t="shared" si="1"/>
        <v>0</v>
      </c>
      <c r="F12" s="690" t="s">
        <v>3052</v>
      </c>
      <c r="G12" s="690" t="s">
        <v>3052</v>
      </c>
      <c r="J12" s="693" t="s">
        <v>1385</v>
      </c>
      <c r="K12" s="694">
        <v>0</v>
      </c>
      <c r="L12" s="694">
        <v>0</v>
      </c>
      <c r="M12" s="695">
        <f t="shared" si="2"/>
        <v>0</v>
      </c>
      <c r="N12" s="696">
        <f t="shared" si="0"/>
        <v>0</v>
      </c>
    </row>
    <row r="13" spans="1:15" ht="15" hidden="1">
      <c r="A13" s="683"/>
      <c r="B13" s="735">
        <v>110</v>
      </c>
      <c r="C13" s="736">
        <v>6</v>
      </c>
      <c r="D13" s="688" t="s">
        <v>965</v>
      </c>
      <c r="E13" s="689">
        <f t="shared" si="1"/>
        <v>0</v>
      </c>
      <c r="F13" s="690" t="s">
        <v>3052</v>
      </c>
      <c r="G13" s="690" t="s">
        <v>3052</v>
      </c>
      <c r="J13" s="693" t="s">
        <v>1386</v>
      </c>
      <c r="K13" s="694">
        <v>0</v>
      </c>
      <c r="L13" s="694">
        <v>0</v>
      </c>
      <c r="M13" s="695">
        <f t="shared" si="2"/>
        <v>0</v>
      </c>
      <c r="N13" s="696">
        <f t="shared" si="0"/>
        <v>0</v>
      </c>
    </row>
    <row r="14" spans="1:15" ht="15" hidden="1">
      <c r="A14" s="683"/>
      <c r="B14" s="735">
        <v>125</v>
      </c>
      <c r="C14" s="736">
        <v>6</v>
      </c>
      <c r="D14" s="688" t="s">
        <v>965</v>
      </c>
      <c r="E14" s="689">
        <f t="shared" si="1"/>
        <v>0</v>
      </c>
      <c r="F14" s="690" t="s">
        <v>3052</v>
      </c>
      <c r="G14" s="690" t="s">
        <v>3052</v>
      </c>
      <c r="J14" s="693" t="s">
        <v>1828</v>
      </c>
      <c r="K14" s="694"/>
      <c r="L14" s="694"/>
      <c r="M14" s="695">
        <f t="shared" si="2"/>
        <v>0</v>
      </c>
      <c r="N14" s="696">
        <f t="shared" si="0"/>
        <v>0</v>
      </c>
    </row>
    <row r="15" spans="1:15" ht="15" hidden="1">
      <c r="A15" s="683"/>
      <c r="B15" s="735">
        <v>16</v>
      </c>
      <c r="C15" s="736">
        <v>10</v>
      </c>
      <c r="D15" s="688" t="s">
        <v>965</v>
      </c>
      <c r="E15" s="689">
        <f t="shared" si="1"/>
        <v>0</v>
      </c>
      <c r="F15" s="690" t="s">
        <v>3052</v>
      </c>
      <c r="G15" s="690" t="s">
        <v>3052</v>
      </c>
      <c r="J15" s="693" t="s">
        <v>1830</v>
      </c>
      <c r="K15" s="694"/>
      <c r="L15" s="694"/>
      <c r="M15" s="695">
        <f t="shared" si="2"/>
        <v>0</v>
      </c>
      <c r="N15" s="696">
        <f t="shared" si="0"/>
        <v>0</v>
      </c>
    </row>
    <row r="16" spans="1:15" ht="15" hidden="1">
      <c r="A16" s="683"/>
      <c r="B16" s="735">
        <v>20</v>
      </c>
      <c r="C16" s="736">
        <v>10</v>
      </c>
      <c r="D16" s="688" t="s">
        <v>965</v>
      </c>
      <c r="E16" s="689">
        <f t="shared" si="1"/>
        <v>0</v>
      </c>
      <c r="F16" s="690" t="s">
        <v>3052</v>
      </c>
      <c r="G16" s="690" t="s">
        <v>3052</v>
      </c>
      <c r="J16" s="693" t="s">
        <v>1820</v>
      </c>
      <c r="K16" s="694"/>
      <c r="L16" s="694"/>
      <c r="M16" s="695">
        <f t="shared" si="2"/>
        <v>0</v>
      </c>
      <c r="N16" s="696">
        <f t="shared" si="0"/>
        <v>0</v>
      </c>
      <c r="O16" s="655" t="s">
        <v>2849</v>
      </c>
    </row>
    <row r="17" spans="1:17" ht="15" hidden="1">
      <c r="A17" s="683"/>
      <c r="B17" s="735">
        <v>25</v>
      </c>
      <c r="C17" s="736">
        <v>10</v>
      </c>
      <c r="D17" s="688" t="s">
        <v>965</v>
      </c>
      <c r="E17" s="689">
        <f t="shared" si="1"/>
        <v>0</v>
      </c>
      <c r="F17" s="690" t="s">
        <v>3052</v>
      </c>
      <c r="G17" s="690" t="s">
        <v>3052</v>
      </c>
      <c r="J17" s="693" t="s">
        <v>2846</v>
      </c>
      <c r="K17" s="694"/>
      <c r="L17" s="694"/>
      <c r="M17" s="695">
        <f t="shared" si="2"/>
        <v>0</v>
      </c>
      <c r="N17" s="696">
        <f t="shared" si="0"/>
        <v>0</v>
      </c>
      <c r="O17" s="655" t="s">
        <v>2848</v>
      </c>
    </row>
    <row r="18" spans="1:17" ht="15" hidden="1">
      <c r="A18" s="683"/>
      <c r="B18" s="735">
        <v>32</v>
      </c>
      <c r="C18" s="736">
        <v>10</v>
      </c>
      <c r="D18" s="688" t="s">
        <v>965</v>
      </c>
      <c r="E18" s="689">
        <f t="shared" si="1"/>
        <v>0</v>
      </c>
      <c r="F18" s="690" t="s">
        <v>3052</v>
      </c>
      <c r="G18" s="690" t="s">
        <v>3052</v>
      </c>
      <c r="J18" s="693" t="s">
        <v>2847</v>
      </c>
      <c r="K18" s="694"/>
      <c r="L18" s="694"/>
      <c r="M18" s="695">
        <f t="shared" si="2"/>
        <v>0</v>
      </c>
      <c r="N18" s="696">
        <f t="shared" si="0"/>
        <v>0</v>
      </c>
    </row>
    <row r="19" spans="1:17" ht="15" hidden="1">
      <c r="A19" s="683"/>
      <c r="B19" s="735">
        <v>40</v>
      </c>
      <c r="C19" s="736">
        <v>10</v>
      </c>
      <c r="D19" s="688" t="s">
        <v>965</v>
      </c>
      <c r="E19" s="689">
        <f t="shared" si="1"/>
        <v>0</v>
      </c>
      <c r="F19" s="690" t="s">
        <v>3052</v>
      </c>
      <c r="G19" s="690" t="s">
        <v>3052</v>
      </c>
      <c r="J19" s="697" t="s">
        <v>1387</v>
      </c>
      <c r="K19" s="698"/>
      <c r="L19" s="698"/>
      <c r="M19" s="695">
        <f t="shared" si="2"/>
        <v>0</v>
      </c>
      <c r="N19" s="696">
        <f t="shared" si="0"/>
        <v>0</v>
      </c>
    </row>
    <row r="20" spans="1:17" ht="15">
      <c r="A20" s="683"/>
      <c r="B20" s="735">
        <v>50</v>
      </c>
      <c r="C20" s="736">
        <v>10</v>
      </c>
      <c r="D20" s="688" t="s">
        <v>965</v>
      </c>
      <c r="E20" s="689">
        <f t="shared" si="1"/>
        <v>1565</v>
      </c>
      <c r="F20" s="690" t="s">
        <v>3052</v>
      </c>
      <c r="G20" s="690" t="s">
        <v>3052</v>
      </c>
      <c r="J20" s="697" t="s">
        <v>1388</v>
      </c>
      <c r="K20" s="698"/>
      <c r="L20" s="698"/>
      <c r="M20" s="695">
        <f t="shared" si="2"/>
        <v>0</v>
      </c>
      <c r="N20" s="696">
        <f t="shared" si="0"/>
        <v>0</v>
      </c>
    </row>
    <row r="21" spans="1:17" ht="15">
      <c r="A21" s="683"/>
      <c r="B21" s="735">
        <v>63</v>
      </c>
      <c r="C21" s="736">
        <v>10</v>
      </c>
      <c r="D21" s="688" t="s">
        <v>965</v>
      </c>
      <c r="E21" s="689">
        <f t="shared" si="1"/>
        <v>1138</v>
      </c>
      <c r="F21" s="690" t="s">
        <v>3052</v>
      </c>
      <c r="G21" s="690" t="s">
        <v>3052</v>
      </c>
      <c r="J21" s="697" t="s">
        <v>1389</v>
      </c>
      <c r="K21" s="698"/>
      <c r="L21" s="698"/>
      <c r="M21" s="695">
        <f t="shared" si="2"/>
        <v>0</v>
      </c>
      <c r="N21" s="696">
        <f t="shared" si="0"/>
        <v>0</v>
      </c>
    </row>
    <row r="22" spans="1:17" ht="15">
      <c r="A22" s="683"/>
      <c r="B22" s="735">
        <v>75</v>
      </c>
      <c r="C22" s="736">
        <v>10</v>
      </c>
      <c r="D22" s="688" t="s">
        <v>965</v>
      </c>
      <c r="E22" s="689">
        <f t="shared" si="1"/>
        <v>2657</v>
      </c>
      <c r="F22" s="690" t="s">
        <v>3052</v>
      </c>
      <c r="G22" s="690" t="s">
        <v>3052</v>
      </c>
      <c r="J22" s="697" t="s">
        <v>1390</v>
      </c>
      <c r="K22" s="698"/>
      <c r="L22" s="698"/>
      <c r="M22" s="695">
        <f t="shared" si="2"/>
        <v>0</v>
      </c>
      <c r="N22" s="696">
        <f t="shared" si="0"/>
        <v>0</v>
      </c>
    </row>
    <row r="23" spans="1:17" ht="15">
      <c r="A23" s="683"/>
      <c r="B23" s="735">
        <v>90</v>
      </c>
      <c r="C23" s="736">
        <v>10</v>
      </c>
      <c r="D23" s="688" t="s">
        <v>965</v>
      </c>
      <c r="E23" s="689">
        <f t="shared" si="1"/>
        <v>1362</v>
      </c>
      <c r="F23" s="690" t="s">
        <v>3052</v>
      </c>
      <c r="G23" s="690" t="s">
        <v>3052</v>
      </c>
      <c r="J23" s="697" t="s">
        <v>1391</v>
      </c>
      <c r="K23" s="698"/>
      <c r="L23" s="698"/>
      <c r="M23" s="695">
        <f t="shared" si="2"/>
        <v>0</v>
      </c>
      <c r="N23" s="696">
        <f t="shared" si="0"/>
        <v>0</v>
      </c>
      <c r="Q23" s="655">
        <v>1379.6</v>
      </c>
    </row>
    <row r="24" spans="1:17" ht="15">
      <c r="A24" s="683"/>
      <c r="B24" s="735">
        <v>110</v>
      </c>
      <c r="C24" s="736">
        <v>10</v>
      </c>
      <c r="D24" s="688" t="s">
        <v>965</v>
      </c>
      <c r="E24" s="689">
        <f t="shared" si="1"/>
        <v>772</v>
      </c>
      <c r="F24" s="690" t="s">
        <v>3052</v>
      </c>
      <c r="G24" s="690" t="s">
        <v>3052</v>
      </c>
      <c r="J24" s="697" t="s">
        <v>1392</v>
      </c>
      <c r="K24" s="698"/>
      <c r="L24" s="698"/>
      <c r="M24" s="695">
        <f t="shared" si="2"/>
        <v>0</v>
      </c>
      <c r="N24" s="696">
        <f t="shared" si="0"/>
        <v>0</v>
      </c>
    </row>
    <row r="25" spans="1:17" ht="15" hidden="1">
      <c r="A25" s="683"/>
      <c r="B25" s="735">
        <v>125</v>
      </c>
      <c r="C25" s="736">
        <v>10</v>
      </c>
      <c r="D25" s="688" t="s">
        <v>965</v>
      </c>
      <c r="E25" s="689">
        <f t="shared" si="1"/>
        <v>0</v>
      </c>
      <c r="F25" s="690" t="s">
        <v>3052</v>
      </c>
      <c r="G25" s="690" t="s">
        <v>3052</v>
      </c>
      <c r="J25" s="697" t="s">
        <v>1393</v>
      </c>
      <c r="K25" s="698"/>
      <c r="L25" s="698"/>
      <c r="M25" s="695">
        <f t="shared" si="2"/>
        <v>0</v>
      </c>
      <c r="N25" s="696">
        <f t="shared" si="0"/>
        <v>0</v>
      </c>
    </row>
    <row r="26" spans="1:17" ht="15" hidden="1">
      <c r="A26" s="683"/>
      <c r="B26" s="2284">
        <v>110</v>
      </c>
      <c r="C26" s="2285">
        <v>4</v>
      </c>
      <c r="D26" s="699" t="s">
        <v>965</v>
      </c>
      <c r="E26" s="700"/>
      <c r="F26" s="690" t="s">
        <v>3052</v>
      </c>
      <c r="G26" s="690" t="s">
        <v>3052</v>
      </c>
      <c r="J26" s="697" t="s">
        <v>1394</v>
      </c>
      <c r="K26" s="698"/>
      <c r="L26" s="698"/>
      <c r="M26" s="695">
        <f t="shared" si="2"/>
        <v>0</v>
      </c>
      <c r="N26" s="696">
        <f t="shared" si="0"/>
        <v>0</v>
      </c>
    </row>
    <row r="27" spans="1:17" ht="15" hidden="1">
      <c r="A27" s="683"/>
      <c r="B27" s="2284">
        <v>63</v>
      </c>
      <c r="C27" s="2285">
        <v>4</v>
      </c>
      <c r="D27" s="699" t="s">
        <v>965</v>
      </c>
      <c r="E27" s="700"/>
      <c r="F27" s="690" t="s">
        <v>3052</v>
      </c>
      <c r="G27" s="690" t="s">
        <v>3052</v>
      </c>
      <c r="J27" s="697" t="s">
        <v>1395</v>
      </c>
      <c r="K27" s="698"/>
      <c r="L27" s="698"/>
      <c r="M27" s="695">
        <f t="shared" si="2"/>
        <v>0</v>
      </c>
      <c r="N27" s="696">
        <f t="shared" si="0"/>
        <v>0</v>
      </c>
    </row>
    <row r="28" spans="1:17" ht="15">
      <c r="A28" s="683"/>
      <c r="B28" s="735">
        <v>250</v>
      </c>
      <c r="C28" s="736">
        <v>10</v>
      </c>
      <c r="D28" s="701" t="s">
        <v>965</v>
      </c>
      <c r="E28" s="689">
        <f>N43</f>
        <v>27</v>
      </c>
      <c r="F28" s="690" t="s">
        <v>3052</v>
      </c>
      <c r="G28" s="690" t="s">
        <v>3052</v>
      </c>
      <c r="J28" s="697" t="s">
        <v>1396</v>
      </c>
      <c r="K28" s="698"/>
      <c r="L28" s="698"/>
      <c r="M28" s="695">
        <f t="shared" si="2"/>
        <v>0</v>
      </c>
      <c r="N28" s="696">
        <f t="shared" si="0"/>
        <v>0</v>
      </c>
    </row>
    <row r="29" spans="1:17" ht="15.75">
      <c r="A29" s="683"/>
      <c r="B29" s="735"/>
      <c r="C29" s="738"/>
      <c r="D29" s="688"/>
      <c r="E29" s="690"/>
      <c r="F29" s="690"/>
      <c r="G29" s="691"/>
      <c r="I29" s="692"/>
      <c r="J29" s="697" t="s">
        <v>1397</v>
      </c>
      <c r="K29" s="698"/>
      <c r="L29" s="698"/>
      <c r="M29" s="695">
        <f t="shared" si="2"/>
        <v>0</v>
      </c>
      <c r="N29" s="696">
        <f t="shared" si="0"/>
        <v>0</v>
      </c>
    </row>
    <row r="30" spans="1:17" ht="15">
      <c r="A30" s="683"/>
      <c r="B30" s="735"/>
      <c r="C30" s="2286" t="s">
        <v>1403</v>
      </c>
      <c r="D30" s="685"/>
      <c r="E30" s="689">
        <f>SUM(E7:E29)</f>
        <v>7521</v>
      </c>
      <c r="F30" s="703" t="s">
        <v>107</v>
      </c>
      <c r="G30" s="691">
        <f>SUM(G7:G29)</f>
        <v>0</v>
      </c>
      <c r="I30" s="704"/>
      <c r="J30" s="697" t="s">
        <v>1398</v>
      </c>
      <c r="K30" s="698"/>
      <c r="L30" s="698"/>
      <c r="M30" s="695">
        <f t="shared" si="2"/>
        <v>0</v>
      </c>
      <c r="N30" s="696">
        <f t="shared" si="0"/>
        <v>0</v>
      </c>
    </row>
    <row r="31" spans="1:17" ht="15">
      <c r="A31" s="683"/>
      <c r="B31" s="705" t="s">
        <v>1405</v>
      </c>
      <c r="D31" s="685"/>
      <c r="E31" s="690"/>
      <c r="F31" s="706">
        <v>5</v>
      </c>
      <c r="G31" s="691">
        <f>F31*G30/100</f>
        <v>0</v>
      </c>
      <c r="I31" s="704"/>
      <c r="J31" s="697" t="s">
        <v>1399</v>
      </c>
      <c r="K31" s="698"/>
      <c r="L31" s="698"/>
      <c r="M31" s="695">
        <f t="shared" si="2"/>
        <v>0</v>
      </c>
      <c r="N31" s="696">
        <f t="shared" si="0"/>
        <v>0</v>
      </c>
    </row>
    <row r="32" spans="1:17" ht="15">
      <c r="A32" s="683"/>
      <c r="C32" s="707" t="s">
        <v>1108</v>
      </c>
      <c r="D32" s="685"/>
      <c r="E32" s="690"/>
      <c r="F32" s="690"/>
      <c r="G32" s="691">
        <f>SUM(G30:G31)</f>
        <v>0</v>
      </c>
      <c r="I32" s="704"/>
      <c r="J32" s="697" t="s">
        <v>1400</v>
      </c>
      <c r="K32" s="698"/>
      <c r="L32" s="698">
        <v>1422</v>
      </c>
      <c r="M32" s="695">
        <f t="shared" si="2"/>
        <v>1422</v>
      </c>
      <c r="N32" s="696">
        <f t="shared" si="0"/>
        <v>1565</v>
      </c>
    </row>
    <row r="33" spans="1:14" ht="15">
      <c r="A33" s="683"/>
      <c r="B33" s="705" t="s">
        <v>1408</v>
      </c>
      <c r="C33" s="702"/>
      <c r="D33" s="685"/>
      <c r="E33" s="690"/>
      <c r="F33" s="708">
        <f>'Entry for Rates'!$F$114</f>
        <v>13</v>
      </c>
      <c r="G33" s="691">
        <f>F33*G32/100</f>
        <v>0</v>
      </c>
      <c r="I33" s="704"/>
      <c r="J33" s="697" t="s">
        <v>1401</v>
      </c>
      <c r="K33" s="698"/>
      <c r="L33" s="698">
        <v>1034</v>
      </c>
      <c r="M33" s="695">
        <f t="shared" si="2"/>
        <v>1034</v>
      </c>
      <c r="N33" s="696">
        <f t="shared" si="0"/>
        <v>1138</v>
      </c>
    </row>
    <row r="34" spans="1:14" ht="15.75">
      <c r="A34" s="683"/>
      <c r="B34" s="710" t="s">
        <v>1409</v>
      </c>
      <c r="C34" s="710"/>
      <c r="D34" s="711"/>
      <c r="E34" s="712"/>
      <c r="F34" s="713" t="s">
        <v>107</v>
      </c>
      <c r="G34" s="714">
        <f>+G33+G32</f>
        <v>0</v>
      </c>
      <c r="I34" s="704"/>
      <c r="J34" s="697" t="s">
        <v>1402</v>
      </c>
      <c r="K34" s="698">
        <v>0</v>
      </c>
      <c r="L34" s="698">
        <v>2415</v>
      </c>
      <c r="M34" s="695">
        <f t="shared" si="2"/>
        <v>2415</v>
      </c>
      <c r="N34" s="696">
        <f t="shared" si="0"/>
        <v>2657</v>
      </c>
    </row>
    <row r="35" spans="1:14" ht="15.75">
      <c r="A35" s="683">
        <v>2</v>
      </c>
      <c r="B35" s="684" t="s">
        <v>1410</v>
      </c>
      <c r="C35" s="702"/>
      <c r="D35" s="685"/>
      <c r="E35" s="690"/>
      <c r="F35" s="715"/>
      <c r="G35" s="691"/>
      <c r="J35" s="697" t="s">
        <v>1404</v>
      </c>
      <c r="K35" s="698">
        <v>0</v>
      </c>
      <c r="L35" s="698">
        <v>1238</v>
      </c>
      <c r="M35" s="695">
        <f t="shared" si="2"/>
        <v>1238</v>
      </c>
      <c r="N35" s="696">
        <f t="shared" si="0"/>
        <v>1362</v>
      </c>
    </row>
    <row r="36" spans="1:14" ht="15">
      <c r="A36" s="683"/>
      <c r="B36" s="687">
        <v>15</v>
      </c>
      <c r="C36" s="716" t="s">
        <v>1411</v>
      </c>
      <c r="D36" s="685" t="s">
        <v>965</v>
      </c>
      <c r="E36" s="689">
        <f>N8</f>
        <v>0</v>
      </c>
      <c r="F36" s="690">
        <f>IF(C36="GI (Medium)",VLOOKUP(B36,data!$A$4:$D$14,4,FALSE),IF(C36="GI (Heavy)",VLOOKUP(B36,data!$A$17:$D$27,4,FALSE),0))</f>
        <v>203</v>
      </c>
      <c r="G36" s="691">
        <f>+ROUND(E36*F36,2)</f>
        <v>0</v>
      </c>
      <c r="J36" s="697" t="s">
        <v>1406</v>
      </c>
      <c r="K36" s="698">
        <v>0</v>
      </c>
      <c r="L36" s="698">
        <v>701</v>
      </c>
      <c r="M36" s="695">
        <f t="shared" si="2"/>
        <v>701</v>
      </c>
      <c r="N36" s="696">
        <f t="shared" si="0"/>
        <v>772</v>
      </c>
    </row>
    <row r="37" spans="1:14" ht="15">
      <c r="A37" s="683"/>
      <c r="B37" s="687">
        <v>25</v>
      </c>
      <c r="C37" s="716" t="s">
        <v>1411</v>
      </c>
      <c r="D37" s="685" t="s">
        <v>965</v>
      </c>
      <c r="E37" s="689">
        <f>N10</f>
        <v>0</v>
      </c>
      <c r="F37" s="690">
        <f>IF(C37="GI (Medium)",VLOOKUP(B37,data!$A$4:$D$14,4,FALSE),IF(C37="GI (Heavy)",VLOOKUP(B37,data!$A$17:$D$27,4,FALSE),0))</f>
        <v>383</v>
      </c>
      <c r="G37" s="691">
        <f t="shared" ref="G37:G44" si="3">+ROUND(E37*F37,2)</f>
        <v>0</v>
      </c>
      <c r="J37" s="697" t="s">
        <v>1407</v>
      </c>
      <c r="K37" s="698">
        <v>0</v>
      </c>
      <c r="L37" s="698">
        <v>0</v>
      </c>
      <c r="M37" s="695">
        <f t="shared" si="2"/>
        <v>0</v>
      </c>
      <c r="N37" s="696">
        <f t="shared" si="0"/>
        <v>0</v>
      </c>
    </row>
    <row r="38" spans="1:14" ht="15">
      <c r="A38" s="683"/>
      <c r="B38" s="687">
        <v>32</v>
      </c>
      <c r="C38" s="716" t="s">
        <v>1411</v>
      </c>
      <c r="D38" s="685" t="s">
        <v>965</v>
      </c>
      <c r="E38" s="689">
        <f t="shared" ref="E38:E41" si="4">N11</f>
        <v>0</v>
      </c>
      <c r="F38" s="690">
        <f>IF(C38="GI (Medium)",VLOOKUP(B38,data!$A$4:$D$14,4,FALSE),IF(C38="GI (Heavy)",VLOOKUP(B38,data!$A$17:$D$27,4,FALSE),0))</f>
        <v>490</v>
      </c>
      <c r="G38" s="691">
        <f t="shared" si="3"/>
        <v>0</v>
      </c>
      <c r="J38" s="697" t="s">
        <v>3031</v>
      </c>
      <c r="K38" s="709"/>
      <c r="L38" s="709">
        <v>0</v>
      </c>
      <c r="M38" s="695">
        <f t="shared" si="2"/>
        <v>0</v>
      </c>
      <c r="N38" s="696">
        <f t="shared" si="0"/>
        <v>0</v>
      </c>
    </row>
    <row r="39" spans="1:14" ht="15">
      <c r="A39" s="683"/>
      <c r="B39" s="687">
        <v>40</v>
      </c>
      <c r="C39" s="716" t="s">
        <v>1411</v>
      </c>
      <c r="D39" s="685" t="s">
        <v>965</v>
      </c>
      <c r="E39" s="689">
        <f t="shared" si="4"/>
        <v>0</v>
      </c>
      <c r="F39" s="690">
        <f>IF(C39="GI (Medium)",VLOOKUP(B39,data!$A$4:$D$14,4,FALSE),IF(C39="GI (Heavy)",VLOOKUP(B39,data!$A$17:$D$27,4,FALSE),0))</f>
        <v>565</v>
      </c>
      <c r="G39" s="691">
        <f t="shared" si="3"/>
        <v>0</v>
      </c>
      <c r="J39" s="697" t="s">
        <v>3032</v>
      </c>
      <c r="K39" s="709"/>
      <c r="L39" s="709">
        <v>726</v>
      </c>
      <c r="M39" s="695">
        <f t="shared" si="2"/>
        <v>726</v>
      </c>
      <c r="N39" s="696">
        <f t="shared" si="0"/>
        <v>799</v>
      </c>
    </row>
    <row r="40" spans="1:14" ht="15">
      <c r="A40" s="683"/>
      <c r="B40" s="687">
        <v>50</v>
      </c>
      <c r="C40" s="716" t="s">
        <v>1411</v>
      </c>
      <c r="D40" s="685" t="s">
        <v>965</v>
      </c>
      <c r="E40" s="689">
        <f t="shared" si="4"/>
        <v>0</v>
      </c>
      <c r="F40" s="690">
        <f>IF(C40="GI (Medium)",VLOOKUP(B40,data!$A$4:$D$14,4,FALSE),IF(C40="GI (Heavy)",VLOOKUP(B40,data!$A$17:$D$27,4,FALSE),0))</f>
        <v>823</v>
      </c>
      <c r="G40" s="691">
        <f t="shared" si="3"/>
        <v>0</v>
      </c>
      <c r="J40" s="697" t="s">
        <v>3033</v>
      </c>
      <c r="K40" s="709"/>
      <c r="L40" s="709">
        <v>0</v>
      </c>
      <c r="M40" s="695">
        <f t="shared" si="2"/>
        <v>0</v>
      </c>
      <c r="N40" s="696">
        <f t="shared" si="0"/>
        <v>0</v>
      </c>
    </row>
    <row r="41" spans="1:14" ht="15">
      <c r="A41" s="683"/>
      <c r="B41" s="687">
        <v>80</v>
      </c>
      <c r="C41" s="716" t="s">
        <v>1411</v>
      </c>
      <c r="D41" s="685" t="s">
        <v>965</v>
      </c>
      <c r="E41" s="689">
        <f t="shared" si="4"/>
        <v>0</v>
      </c>
      <c r="F41" s="690">
        <f>IF(C41="GI (Medium)",VLOOKUP(B41,data!$A$4:$D$14,4,FALSE),IF(C41="GI (Heavy)",VLOOKUP(B41,data!$A$17:$D$27,4,FALSE),0))</f>
        <v>1215</v>
      </c>
      <c r="G41" s="691">
        <f t="shared" si="3"/>
        <v>0</v>
      </c>
      <c r="J41" s="697" t="s">
        <v>3034</v>
      </c>
      <c r="K41" s="709"/>
      <c r="L41" s="709">
        <v>145</v>
      </c>
      <c r="M41" s="695">
        <f t="shared" si="2"/>
        <v>145</v>
      </c>
      <c r="N41" s="696">
        <f t="shared" si="0"/>
        <v>160</v>
      </c>
    </row>
    <row r="42" spans="1:14" ht="15">
      <c r="A42" s="683"/>
      <c r="B42" s="687">
        <v>100</v>
      </c>
      <c r="C42" s="716" t="s">
        <v>1411</v>
      </c>
      <c r="D42" s="685" t="s">
        <v>965</v>
      </c>
      <c r="E42" s="689">
        <f>N16</f>
        <v>0</v>
      </c>
      <c r="F42" s="690">
        <f>IF(C42="GI (Medium)",VLOOKUP(B42,data!$A$4:$D$14,4,FALSE),IF(C42="GI (Heavy)",VLOOKUP(B42,data!$A$17:$D$27,4,FALSE),0))</f>
        <v>1883</v>
      </c>
      <c r="G42" s="691">
        <f t="shared" si="3"/>
        <v>0</v>
      </c>
      <c r="J42" s="697" t="s">
        <v>3035</v>
      </c>
      <c r="K42" s="709"/>
      <c r="L42" s="709">
        <v>0</v>
      </c>
      <c r="M42" s="695">
        <f t="shared" si="2"/>
        <v>0</v>
      </c>
      <c r="N42" s="696">
        <f t="shared" si="0"/>
        <v>0</v>
      </c>
    </row>
    <row r="43" spans="1:14" ht="15">
      <c r="A43" s="683"/>
      <c r="B43" s="687">
        <v>125</v>
      </c>
      <c r="C43" s="716" t="s">
        <v>1411</v>
      </c>
      <c r="D43" s="685" t="s">
        <v>965</v>
      </c>
      <c r="E43" s="689">
        <f>N17</f>
        <v>0</v>
      </c>
      <c r="F43" s="690">
        <f>IF(C43="GI (Medium)",VLOOKUP(B43,data!$A$4:$D$14,4,FALSE),IF(C43="GI (Heavy)",VLOOKUP(B43,data!$A$17:$D$27,4,FALSE),0))</f>
        <v>2440</v>
      </c>
      <c r="G43" s="691">
        <f t="shared" si="3"/>
        <v>0</v>
      </c>
      <c r="J43" s="697" t="s">
        <v>3036</v>
      </c>
      <c r="K43" s="709"/>
      <c r="L43" s="709">
        <v>24</v>
      </c>
      <c r="M43" s="695">
        <f t="shared" si="2"/>
        <v>24</v>
      </c>
      <c r="N43" s="696">
        <f t="shared" si="0"/>
        <v>27</v>
      </c>
    </row>
    <row r="44" spans="1:14" ht="15">
      <c r="A44" s="683"/>
      <c r="B44" s="687">
        <v>150</v>
      </c>
      <c r="C44" s="716" t="s">
        <v>1411</v>
      </c>
      <c r="D44" s="685" t="s">
        <v>965</v>
      </c>
      <c r="E44" s="689">
        <f>N18</f>
        <v>0</v>
      </c>
      <c r="F44" s="690">
        <f>IF(C44="GI (Medium)",VLOOKUP(B44,data!$A$4:$D$14,4,FALSE),IF(C44="GI (Heavy)",VLOOKUP(B44,data!$A$17:$D$27,4,FALSE),0))</f>
        <v>2767</v>
      </c>
      <c r="G44" s="691">
        <f t="shared" si="3"/>
        <v>0</v>
      </c>
      <c r="J44" s="697"/>
      <c r="K44" s="709"/>
      <c r="L44" s="709"/>
      <c r="M44" s="709"/>
      <c r="N44" s="709"/>
    </row>
    <row r="45" spans="1:14" ht="15.75">
      <c r="A45" s="683"/>
      <c r="B45" s="710" t="s">
        <v>1412</v>
      </c>
      <c r="C45" s="710"/>
      <c r="D45" s="717"/>
      <c r="E45" s="718">
        <f>SUM(E36:E44)</f>
        <v>0</v>
      </c>
      <c r="F45" s="719"/>
      <c r="G45" s="720">
        <f>SUM(G36:G44)</f>
        <v>0</v>
      </c>
      <c r="H45" s="721"/>
      <c r="J45" s="697"/>
      <c r="K45" s="709"/>
      <c r="L45" s="709"/>
      <c r="M45" s="709"/>
      <c r="N45" s="709"/>
    </row>
    <row r="46" spans="1:14" ht="15">
      <c r="A46" s="683"/>
      <c r="B46" s="1815" t="s">
        <v>1405</v>
      </c>
      <c r="C46" s="1815"/>
      <c r="D46" s="685"/>
      <c r="E46" s="690"/>
      <c r="F46" s="706">
        <v>5</v>
      </c>
      <c r="G46" s="691">
        <f>F46*G45/100</f>
        <v>0</v>
      </c>
      <c r="H46" s="721"/>
      <c r="J46" s="697"/>
      <c r="K46" s="709"/>
      <c r="L46" s="709"/>
      <c r="M46" s="709"/>
      <c r="N46" s="709"/>
    </row>
    <row r="47" spans="1:14" ht="15">
      <c r="A47" s="683"/>
      <c r="B47" s="1815"/>
      <c r="C47" s="1815" t="s">
        <v>1108</v>
      </c>
      <c r="D47" s="685"/>
      <c r="E47" s="690"/>
      <c r="F47" s="690"/>
      <c r="G47" s="691">
        <f>SUM(G45:G46)</f>
        <v>0</v>
      </c>
      <c r="H47" s="721"/>
      <c r="J47" s="697"/>
      <c r="K47" s="709"/>
      <c r="L47" s="709"/>
      <c r="M47" s="1792">
        <f>SUM(M8:M43)</f>
        <v>7705</v>
      </c>
      <c r="N47" s="1792">
        <f>SUM(N8:N43)</f>
        <v>8480</v>
      </c>
    </row>
    <row r="48" spans="1:14" ht="15">
      <c r="A48" s="742"/>
      <c r="B48" s="1793" t="s">
        <v>1408</v>
      </c>
      <c r="C48" s="1794"/>
      <c r="D48" s="743"/>
      <c r="E48" s="1793"/>
      <c r="F48" s="1795">
        <f>'[62]Entry for Rates'!$F$114</f>
        <v>13</v>
      </c>
      <c r="G48" s="1796">
        <f>F48*G45/100</f>
        <v>0</v>
      </c>
      <c r="I48" s="681"/>
    </row>
    <row r="49" spans="1:27" ht="15.75">
      <c r="A49" s="1797"/>
      <c r="B49" s="1798" t="s">
        <v>1413</v>
      </c>
      <c r="C49" s="1799"/>
      <c r="D49" s="1800"/>
      <c r="E49" s="1801"/>
      <c r="F49" s="1802"/>
      <c r="G49" s="1803">
        <f>G47+G48</f>
        <v>0</v>
      </c>
      <c r="H49" s="724"/>
    </row>
    <row r="50" spans="1:27" ht="15">
      <c r="A50" s="1804"/>
      <c r="B50" s="1805"/>
      <c r="C50" s="1806" t="s">
        <v>1414</v>
      </c>
      <c r="D50" s="1805"/>
      <c r="E50" s="1801">
        <f>+E45+E30</f>
        <v>7521</v>
      </c>
      <c r="F50" s="1807" t="s">
        <v>107</v>
      </c>
      <c r="G50" s="1808">
        <f>+G49+G34</f>
        <v>0</v>
      </c>
      <c r="H50" s="655"/>
    </row>
    <row r="51" spans="1:27" ht="15">
      <c r="A51" s="743"/>
      <c r="B51" s="1793"/>
      <c r="C51" s="1793"/>
      <c r="D51" s="1793"/>
      <c r="E51" s="1793"/>
      <c r="F51" s="1809"/>
      <c r="G51" s="1810"/>
      <c r="H51" s="655"/>
    </row>
    <row r="52" spans="1:27" ht="18.75">
      <c r="A52" s="2978" t="s">
        <v>1415</v>
      </c>
      <c r="B52" s="2978"/>
      <c r="C52" s="2978"/>
      <c r="D52" s="2978"/>
      <c r="E52" s="2978"/>
      <c r="F52" s="2978"/>
      <c r="G52" s="2978"/>
      <c r="H52" s="727"/>
    </row>
    <row r="53" spans="1:27" ht="15.75">
      <c r="A53" s="1811"/>
      <c r="B53" s="1812"/>
      <c r="C53" s="1812"/>
      <c r="D53" s="1812"/>
      <c r="E53" s="1812"/>
      <c r="F53" s="1812"/>
      <c r="G53" s="1812"/>
      <c r="H53" s="655"/>
    </row>
    <row r="54" spans="1:27" ht="25.5">
      <c r="A54" s="728" t="s">
        <v>1357</v>
      </c>
      <c r="B54" s="2979" t="s">
        <v>1375</v>
      </c>
      <c r="C54" s="2980"/>
      <c r="D54" s="729" t="s">
        <v>1035</v>
      </c>
      <c r="E54" s="730" t="s">
        <v>1416</v>
      </c>
      <c r="F54" s="730" t="s">
        <v>1417</v>
      </c>
      <c r="G54" s="731" t="s">
        <v>1418</v>
      </c>
      <c r="H54" s="655"/>
    </row>
    <row r="55" spans="1:27">
      <c r="A55" s="683"/>
      <c r="B55" s="732" t="s">
        <v>1419</v>
      </c>
      <c r="C55" s="723"/>
      <c r="D55" s="723"/>
      <c r="E55" s="723"/>
      <c r="F55" s="723"/>
      <c r="G55" s="733"/>
      <c r="H55" s="655"/>
      <c r="P55" s="681"/>
      <c r="Q55" s="681"/>
      <c r="R55" s="681"/>
      <c r="S55" s="681"/>
      <c r="T55" s="681"/>
      <c r="U55" s="681"/>
      <c r="V55" s="681"/>
      <c r="W55" s="681"/>
      <c r="X55" s="681"/>
      <c r="Y55" s="681"/>
      <c r="Z55" s="681"/>
      <c r="AA55" s="681"/>
    </row>
    <row r="56" spans="1:27" ht="15.75">
      <c r="A56" s="683">
        <v>1</v>
      </c>
      <c r="B56" s="734" t="s">
        <v>1377</v>
      </c>
      <c r="C56" s="685"/>
      <c r="D56" s="685"/>
      <c r="E56" s="685"/>
      <c r="F56" s="685"/>
      <c r="G56" s="686"/>
      <c r="H56" s="655"/>
    </row>
    <row r="57" spans="1:27" ht="15">
      <c r="A57" s="683"/>
      <c r="B57" s="735">
        <f t="shared" ref="B57:E72" si="5">B7</f>
        <v>32</v>
      </c>
      <c r="C57" s="736">
        <f t="shared" si="5"/>
        <v>6</v>
      </c>
      <c r="D57" s="688" t="str">
        <f t="shared" si="5"/>
        <v>m</v>
      </c>
      <c r="E57" s="685">
        <f t="shared" si="5"/>
        <v>0</v>
      </c>
      <c r="F57" s="690">
        <f>VLOOKUP(B57+C57,data!$A$31:$E$89,4,FALSE)</f>
        <v>0.22600000000000001</v>
      </c>
      <c r="G57" s="737">
        <f>E57*F57</f>
        <v>0</v>
      </c>
      <c r="H57" s="655"/>
    </row>
    <row r="58" spans="1:27" ht="15">
      <c r="A58" s="683"/>
      <c r="B58" s="735">
        <f t="shared" si="5"/>
        <v>40</v>
      </c>
      <c r="C58" s="736">
        <f t="shared" si="5"/>
        <v>6</v>
      </c>
      <c r="D58" s="688" t="str">
        <f t="shared" si="5"/>
        <v>m</v>
      </c>
      <c r="E58" s="685">
        <f t="shared" si="5"/>
        <v>0</v>
      </c>
      <c r="F58" s="690">
        <f>VLOOKUP(B58+C58,data!$A$31:$E$89,4,FALSE)</f>
        <v>0.35</v>
      </c>
      <c r="G58" s="737">
        <f t="shared" ref="G58:G78" si="6">E58*F58</f>
        <v>0</v>
      </c>
      <c r="H58" s="655"/>
    </row>
    <row r="59" spans="1:27" ht="15">
      <c r="A59" s="683"/>
      <c r="B59" s="735">
        <f t="shared" si="5"/>
        <v>50</v>
      </c>
      <c r="C59" s="736">
        <f t="shared" si="5"/>
        <v>6</v>
      </c>
      <c r="D59" s="688" t="str">
        <f t="shared" si="5"/>
        <v>m</v>
      </c>
      <c r="E59" s="685">
        <f t="shared" si="5"/>
        <v>0</v>
      </c>
      <c r="F59" s="690">
        <f>VLOOKUP(B59+C59,data!$A$31:$E$89,4,FALSE)</f>
        <v>0.54200000000000004</v>
      </c>
      <c r="G59" s="737">
        <f t="shared" si="6"/>
        <v>0</v>
      </c>
      <c r="H59" s="655"/>
    </row>
    <row r="60" spans="1:27" ht="15">
      <c r="A60" s="683"/>
      <c r="B60" s="735">
        <f t="shared" si="5"/>
        <v>63</v>
      </c>
      <c r="C60" s="736">
        <f t="shared" si="5"/>
        <v>6</v>
      </c>
      <c r="D60" s="688" t="str">
        <f t="shared" si="5"/>
        <v>m</v>
      </c>
      <c r="E60" s="685">
        <f t="shared" si="5"/>
        <v>0</v>
      </c>
      <c r="F60" s="690">
        <f>VLOOKUP(B60+C60,data!$A$31:$E$89,4,FALSE)</f>
        <v>0.85</v>
      </c>
      <c r="G60" s="737">
        <f t="shared" si="6"/>
        <v>0</v>
      </c>
      <c r="H60" s="655"/>
    </row>
    <row r="61" spans="1:27" ht="15">
      <c r="A61" s="683"/>
      <c r="B61" s="735">
        <f t="shared" si="5"/>
        <v>75</v>
      </c>
      <c r="C61" s="736">
        <f t="shared" si="5"/>
        <v>6</v>
      </c>
      <c r="D61" s="688" t="str">
        <f t="shared" si="5"/>
        <v>m</v>
      </c>
      <c r="E61" s="685">
        <f t="shared" si="5"/>
        <v>0</v>
      </c>
      <c r="F61" s="690">
        <f>VLOOKUP(B61+C61,data!$A$31:$E$89,4,FALSE)</f>
        <v>1.1910000000000001</v>
      </c>
      <c r="G61" s="737">
        <f t="shared" si="6"/>
        <v>0</v>
      </c>
      <c r="H61" s="655"/>
    </row>
    <row r="62" spans="1:27" ht="15">
      <c r="A62" s="683"/>
      <c r="B62" s="735">
        <f t="shared" si="5"/>
        <v>90</v>
      </c>
      <c r="C62" s="736">
        <f t="shared" si="5"/>
        <v>6</v>
      </c>
      <c r="D62" s="688" t="str">
        <f t="shared" si="5"/>
        <v>m</v>
      </c>
      <c r="E62" s="685">
        <f t="shared" si="5"/>
        <v>0</v>
      </c>
      <c r="F62" s="690">
        <f>VLOOKUP(B62+C62,data!$A$31:$E$89,4,FALSE)</f>
        <v>1.7150000000000001</v>
      </c>
      <c r="G62" s="737">
        <f t="shared" si="6"/>
        <v>0</v>
      </c>
      <c r="H62" s="655"/>
    </row>
    <row r="63" spans="1:27" ht="15">
      <c r="A63" s="683"/>
      <c r="B63" s="735">
        <f t="shared" si="5"/>
        <v>110</v>
      </c>
      <c r="C63" s="736">
        <f t="shared" si="5"/>
        <v>6</v>
      </c>
      <c r="D63" s="688" t="str">
        <f t="shared" si="5"/>
        <v>m</v>
      </c>
      <c r="E63" s="685">
        <f t="shared" si="5"/>
        <v>0</v>
      </c>
      <c r="F63" s="690">
        <f>VLOOKUP(B63+C63,data!$A$31:$E$89,4,FALSE)</f>
        <v>2.5449999999999999</v>
      </c>
      <c r="G63" s="737">
        <f t="shared" si="6"/>
        <v>0</v>
      </c>
      <c r="H63" s="655"/>
    </row>
    <row r="64" spans="1:27" ht="15">
      <c r="A64" s="683"/>
      <c r="B64" s="735">
        <f t="shared" si="5"/>
        <v>125</v>
      </c>
      <c r="C64" s="736">
        <f t="shared" si="5"/>
        <v>6</v>
      </c>
      <c r="D64" s="688" t="str">
        <f t="shared" si="5"/>
        <v>m</v>
      </c>
      <c r="E64" s="685">
        <f t="shared" si="5"/>
        <v>0</v>
      </c>
      <c r="F64" s="690">
        <f>VLOOKUP(B64+C64,data!$A$31:$E$89,4,FALSE)</f>
        <v>3.2930000000000001</v>
      </c>
      <c r="G64" s="737">
        <f t="shared" si="6"/>
        <v>0</v>
      </c>
      <c r="H64" s="655"/>
    </row>
    <row r="65" spans="1:8" ht="15">
      <c r="A65" s="683"/>
      <c r="B65" s="735">
        <f t="shared" si="5"/>
        <v>16</v>
      </c>
      <c r="C65" s="736">
        <f t="shared" si="5"/>
        <v>10</v>
      </c>
      <c r="D65" s="688" t="str">
        <f t="shared" si="5"/>
        <v>m</v>
      </c>
      <c r="E65" s="685">
        <f t="shared" si="5"/>
        <v>0</v>
      </c>
      <c r="F65" s="690">
        <f>VLOOKUP(B65+C65,data!$A$31:$E$89,4,FALSE)</f>
        <v>9.1999999999999998E-2</v>
      </c>
      <c r="G65" s="737">
        <f t="shared" si="6"/>
        <v>0</v>
      </c>
      <c r="H65" s="655"/>
    </row>
    <row r="66" spans="1:8" ht="15">
      <c r="A66" s="683"/>
      <c r="B66" s="735">
        <f t="shared" si="5"/>
        <v>20</v>
      </c>
      <c r="C66" s="736">
        <f t="shared" si="5"/>
        <v>10</v>
      </c>
      <c r="D66" s="688" t="str">
        <f t="shared" si="5"/>
        <v>m</v>
      </c>
      <c r="E66" s="685">
        <f t="shared" si="5"/>
        <v>0</v>
      </c>
      <c r="F66" s="690">
        <f>VLOOKUP(B66+C66,data!$A$31:$E$89,4,FALSE)</f>
        <v>0.13400000000000001</v>
      </c>
      <c r="G66" s="737">
        <f t="shared" si="6"/>
        <v>0</v>
      </c>
      <c r="H66" s="655"/>
    </row>
    <row r="67" spans="1:8" ht="15">
      <c r="A67" s="683"/>
      <c r="B67" s="735">
        <f t="shared" si="5"/>
        <v>25</v>
      </c>
      <c r="C67" s="736">
        <f t="shared" si="5"/>
        <v>10</v>
      </c>
      <c r="D67" s="688" t="str">
        <f t="shared" si="5"/>
        <v>m</v>
      </c>
      <c r="E67" s="685">
        <f t="shared" si="5"/>
        <v>0</v>
      </c>
      <c r="F67" s="690">
        <f>VLOOKUP(B67+C67,data!$A$31:$E$89,4,FALSE)</f>
        <v>0.20200000000000001</v>
      </c>
      <c r="G67" s="737">
        <f t="shared" si="6"/>
        <v>0</v>
      </c>
      <c r="H67" s="655"/>
    </row>
    <row r="68" spans="1:8" ht="15">
      <c r="A68" s="683"/>
      <c r="B68" s="735">
        <f t="shared" si="5"/>
        <v>32</v>
      </c>
      <c r="C68" s="736">
        <f t="shared" si="5"/>
        <v>10</v>
      </c>
      <c r="D68" s="688" t="str">
        <f t="shared" si="5"/>
        <v>m</v>
      </c>
      <c r="E68" s="685">
        <f t="shared" si="5"/>
        <v>0</v>
      </c>
      <c r="F68" s="690">
        <f>VLOOKUP(B68+C68,data!$A$31:$E$89,4,FALSE)</f>
        <v>0.33400000000000002</v>
      </c>
      <c r="G68" s="737">
        <f t="shared" si="6"/>
        <v>0</v>
      </c>
      <c r="H68" s="655"/>
    </row>
    <row r="69" spans="1:8" ht="15">
      <c r="A69" s="683"/>
      <c r="B69" s="735">
        <f t="shared" si="5"/>
        <v>40</v>
      </c>
      <c r="C69" s="736">
        <f t="shared" si="5"/>
        <v>10</v>
      </c>
      <c r="D69" s="688" t="str">
        <f t="shared" si="5"/>
        <v>m</v>
      </c>
      <c r="E69" s="685">
        <f t="shared" si="5"/>
        <v>0</v>
      </c>
      <c r="F69" s="690">
        <f>VLOOKUP(B69+C69,data!$A$31:$E$89,4,FALSE)</f>
        <v>0.51400000000000001</v>
      </c>
      <c r="G69" s="737">
        <f t="shared" si="6"/>
        <v>0</v>
      </c>
      <c r="H69" s="655"/>
    </row>
    <row r="70" spans="1:8" ht="15">
      <c r="A70" s="683"/>
      <c r="B70" s="735">
        <f t="shared" si="5"/>
        <v>50</v>
      </c>
      <c r="C70" s="736">
        <f t="shared" si="5"/>
        <v>10</v>
      </c>
      <c r="D70" s="688" t="str">
        <f t="shared" si="5"/>
        <v>m</v>
      </c>
      <c r="E70" s="685">
        <f t="shared" si="5"/>
        <v>1565</v>
      </c>
      <c r="F70" s="690">
        <f>VLOOKUP(B70+C70,data!$A$31:$E$89,4,FALSE)</f>
        <v>0.79600000000000004</v>
      </c>
      <c r="G70" s="737">
        <f t="shared" si="6"/>
        <v>1245.74</v>
      </c>
      <c r="H70" s="655"/>
    </row>
    <row r="71" spans="1:8" ht="15">
      <c r="A71" s="683"/>
      <c r="B71" s="735">
        <f t="shared" si="5"/>
        <v>63</v>
      </c>
      <c r="C71" s="736">
        <f t="shared" si="5"/>
        <v>10</v>
      </c>
      <c r="D71" s="688" t="str">
        <f t="shared" si="5"/>
        <v>m</v>
      </c>
      <c r="E71" s="685">
        <f t="shared" si="5"/>
        <v>1138</v>
      </c>
      <c r="F71" s="690">
        <f>VLOOKUP(B71+C71,data!$A$31:$E$89,4,FALSE)</f>
        <v>1.2689999999999999</v>
      </c>
      <c r="G71" s="737">
        <f t="shared" si="6"/>
        <v>1444.1219999999998</v>
      </c>
      <c r="H71" s="655"/>
    </row>
    <row r="72" spans="1:8" ht="15">
      <c r="A72" s="683"/>
      <c r="B72" s="735">
        <f t="shared" si="5"/>
        <v>75</v>
      </c>
      <c r="C72" s="736">
        <f t="shared" si="5"/>
        <v>10</v>
      </c>
      <c r="D72" s="688" t="str">
        <f t="shared" si="5"/>
        <v>m</v>
      </c>
      <c r="E72" s="685">
        <f t="shared" si="5"/>
        <v>2657</v>
      </c>
      <c r="F72" s="690">
        <f>VLOOKUP(B72+C72,data!$A$31:$E$89,4,FALSE)</f>
        <v>1.782</v>
      </c>
      <c r="G72" s="737">
        <f t="shared" si="6"/>
        <v>4734.7740000000003</v>
      </c>
      <c r="H72" s="655"/>
    </row>
    <row r="73" spans="1:8" ht="15">
      <c r="A73" s="683"/>
      <c r="B73" s="735">
        <f t="shared" ref="B73:E77" si="7">B23</f>
        <v>90</v>
      </c>
      <c r="C73" s="736">
        <f t="shared" si="7"/>
        <v>10</v>
      </c>
      <c r="D73" s="688" t="str">
        <f t="shared" si="7"/>
        <v>m</v>
      </c>
      <c r="E73" s="685">
        <f t="shared" si="7"/>
        <v>1362</v>
      </c>
      <c r="F73" s="690">
        <f>VLOOKUP(B73+C73,data!$A$31:$E$89,4,FALSE)</f>
        <v>2.5680000000000001</v>
      </c>
      <c r="G73" s="737">
        <f t="shared" si="6"/>
        <v>3497.616</v>
      </c>
      <c r="H73" s="655"/>
    </row>
    <row r="74" spans="1:8" ht="15">
      <c r="A74" s="683"/>
      <c r="B74" s="735">
        <f t="shared" si="7"/>
        <v>110</v>
      </c>
      <c r="C74" s="736">
        <f t="shared" si="7"/>
        <v>10</v>
      </c>
      <c r="D74" s="688" t="str">
        <f t="shared" si="7"/>
        <v>m</v>
      </c>
      <c r="E74" s="685">
        <f t="shared" si="7"/>
        <v>772</v>
      </c>
      <c r="F74" s="690">
        <f>VLOOKUP(B74+C74,data!$A$31:$E$89,4,FALSE)</f>
        <v>3.8010000000000002</v>
      </c>
      <c r="G74" s="737">
        <f t="shared" si="6"/>
        <v>2934.3720000000003</v>
      </c>
      <c r="H74" s="655"/>
    </row>
    <row r="75" spans="1:8" ht="15">
      <c r="A75" s="683"/>
      <c r="B75" s="735">
        <f t="shared" si="7"/>
        <v>125</v>
      </c>
      <c r="C75" s="736">
        <f t="shared" si="7"/>
        <v>10</v>
      </c>
      <c r="D75" s="688" t="str">
        <f t="shared" si="7"/>
        <v>m</v>
      </c>
      <c r="E75" s="685">
        <f t="shared" si="7"/>
        <v>0</v>
      </c>
      <c r="F75" s="690">
        <f>VLOOKUP(B75+C75,data!$A$31:$E$89,4,FALSE)</f>
        <v>4.9619999999999997</v>
      </c>
      <c r="G75" s="737">
        <f t="shared" si="6"/>
        <v>0</v>
      </c>
      <c r="H75" s="655"/>
    </row>
    <row r="76" spans="1:8" ht="15">
      <c r="A76" s="683"/>
      <c r="B76" s="735">
        <f t="shared" si="7"/>
        <v>110</v>
      </c>
      <c r="C76" s="736">
        <f t="shared" si="7"/>
        <v>4</v>
      </c>
      <c r="D76" s="688" t="str">
        <f t="shared" si="7"/>
        <v>m</v>
      </c>
      <c r="E76" s="685">
        <f t="shared" si="7"/>
        <v>0</v>
      </c>
      <c r="F76" s="690">
        <f>VLOOKUP(B76+C76,data!$A$31:$E$89,4,FALSE)</f>
        <v>1.7030000000000001</v>
      </c>
      <c r="G76" s="737">
        <f t="shared" si="6"/>
        <v>0</v>
      </c>
      <c r="H76" s="655"/>
    </row>
    <row r="77" spans="1:8" ht="15">
      <c r="A77" s="683"/>
      <c r="B77" s="735">
        <f t="shared" si="7"/>
        <v>63</v>
      </c>
      <c r="C77" s="736">
        <f t="shared" si="7"/>
        <v>4</v>
      </c>
      <c r="D77" s="688" t="str">
        <f t="shared" si="7"/>
        <v>m</v>
      </c>
      <c r="E77" s="685">
        <f t="shared" si="7"/>
        <v>0</v>
      </c>
      <c r="F77" s="690">
        <f>VLOOKUP(B77+C77,data!$A$31:$E$89,4,FALSE)</f>
        <v>0.58499999999999996</v>
      </c>
      <c r="G77" s="737">
        <f t="shared" si="6"/>
        <v>0</v>
      </c>
      <c r="H77" s="655"/>
    </row>
    <row r="78" spans="1:8" ht="15">
      <c r="A78" s="683"/>
      <c r="B78" s="735">
        <v>250</v>
      </c>
      <c r="C78" s="736">
        <v>10</v>
      </c>
      <c r="D78" s="688" t="s">
        <v>965</v>
      </c>
      <c r="E78" s="2281">
        <f>E28</f>
        <v>27</v>
      </c>
      <c r="F78" s="690">
        <f>VLOOKUP(B78+C78,data!$A$31:$E$89,4,FALSE)</f>
        <v>19.757000000000001</v>
      </c>
      <c r="G78" s="737">
        <f t="shared" si="6"/>
        <v>533.43900000000008</v>
      </c>
      <c r="H78" s="655"/>
    </row>
    <row r="79" spans="1:8" ht="15.75">
      <c r="A79" s="683"/>
      <c r="B79" s="735"/>
      <c r="C79" s="738" t="s">
        <v>1403</v>
      </c>
      <c r="D79" s="688"/>
      <c r="E79" s="685">
        <f>SUM(E57:E78)</f>
        <v>7521</v>
      </c>
      <c r="F79" s="688"/>
      <c r="G79" s="739">
        <f>SUM(G57:G78)</f>
        <v>14390.063</v>
      </c>
      <c r="H79" s="655"/>
    </row>
    <row r="80" spans="1:8" ht="15.75">
      <c r="A80" s="683"/>
      <c r="B80" s="734" t="s">
        <v>1410</v>
      </c>
      <c r="C80" s="685"/>
      <c r="D80" s="685"/>
      <c r="E80" s="685"/>
      <c r="F80" s="688"/>
      <c r="G80" s="740"/>
      <c r="H80" s="655"/>
    </row>
    <row r="81" spans="1:8" ht="15">
      <c r="A81" s="683"/>
      <c r="B81" s="735">
        <f t="shared" ref="B81:E89" si="8">B36</f>
        <v>15</v>
      </c>
      <c r="C81" s="741" t="str">
        <f t="shared" si="8"/>
        <v>GI (Heavy)</v>
      </c>
      <c r="D81" s="688" t="str">
        <f t="shared" si="8"/>
        <v>m</v>
      </c>
      <c r="E81" s="685">
        <f t="shared" si="8"/>
        <v>0</v>
      </c>
      <c r="F81" s="690">
        <f>IF(C81="GI (Medium)",VLOOKUP(B81,data!$A$4:$D$14,3,FALSE),IF(C81="GI (Heavy)",VLOOKUP(B81,data!$A$17:$D$27,3,FALSE),0))</f>
        <v>1.5129999999999999</v>
      </c>
      <c r="G81" s="737">
        <f>E81*F81</f>
        <v>0</v>
      </c>
      <c r="H81" s="655"/>
    </row>
    <row r="82" spans="1:8" ht="15">
      <c r="A82" s="683"/>
      <c r="B82" s="735">
        <f t="shared" si="8"/>
        <v>25</v>
      </c>
      <c r="C82" s="741" t="str">
        <f t="shared" si="8"/>
        <v>GI (Heavy)</v>
      </c>
      <c r="D82" s="688" t="str">
        <f t="shared" si="8"/>
        <v>m</v>
      </c>
      <c r="E82" s="685">
        <f t="shared" si="8"/>
        <v>0</v>
      </c>
      <c r="F82" s="690">
        <f>IF(C82="GI (Medium)",VLOOKUP(B82,data!$A$4:$D$14,3,FALSE),IF(C82="GI (Heavy)",VLOOKUP(B82,data!$A$17:$D$27,3,FALSE),0))</f>
        <v>3.077</v>
      </c>
      <c r="G82" s="737">
        <f t="shared" ref="G82:G89" si="9">E82*F82</f>
        <v>0</v>
      </c>
      <c r="H82" s="655"/>
    </row>
    <row r="83" spans="1:8" ht="15">
      <c r="A83" s="683"/>
      <c r="B83" s="735">
        <f t="shared" si="8"/>
        <v>32</v>
      </c>
      <c r="C83" s="741" t="str">
        <f t="shared" si="8"/>
        <v>GI (Heavy)</v>
      </c>
      <c r="D83" s="688" t="str">
        <f t="shared" si="8"/>
        <v>m</v>
      </c>
      <c r="E83" s="685">
        <f t="shared" si="8"/>
        <v>0</v>
      </c>
      <c r="F83" s="690">
        <f>IF(C83="GI (Medium)",VLOOKUP(B83,data!$A$4:$D$14,3,FALSE),IF(C83="GI (Heavy)",VLOOKUP(B83,data!$A$17:$D$27,3,FALSE),0))</f>
        <v>3.968</v>
      </c>
      <c r="G83" s="737">
        <f t="shared" si="9"/>
        <v>0</v>
      </c>
      <c r="H83" s="655"/>
    </row>
    <row r="84" spans="1:8" ht="15">
      <c r="A84" s="683"/>
      <c r="B84" s="735">
        <f t="shared" si="8"/>
        <v>40</v>
      </c>
      <c r="C84" s="741" t="str">
        <f t="shared" si="8"/>
        <v>GI (Heavy)</v>
      </c>
      <c r="D84" s="688" t="str">
        <f t="shared" si="8"/>
        <v>m</v>
      </c>
      <c r="E84" s="685">
        <f t="shared" si="8"/>
        <v>0</v>
      </c>
      <c r="F84" s="690">
        <f>IF(C84="GI (Medium)",VLOOKUP(B84,data!$A$4:$D$14,3,FALSE),IF(C84="GI (Heavy)",VLOOKUP(B84,data!$A$17:$D$27,3,FALSE),0))</f>
        <v>4.5869999999999997</v>
      </c>
      <c r="G84" s="737">
        <f t="shared" si="9"/>
        <v>0</v>
      </c>
      <c r="H84" s="655"/>
    </row>
    <row r="85" spans="1:8" ht="15">
      <c r="A85" s="683"/>
      <c r="B85" s="735">
        <f t="shared" si="8"/>
        <v>50</v>
      </c>
      <c r="C85" s="741" t="str">
        <f t="shared" si="8"/>
        <v>GI (Heavy)</v>
      </c>
      <c r="D85" s="688" t="str">
        <f t="shared" si="8"/>
        <v>m</v>
      </c>
      <c r="E85" s="685">
        <f t="shared" si="8"/>
        <v>0</v>
      </c>
      <c r="F85" s="690">
        <f>IF(C85="GI (Medium)",VLOOKUP(B85,data!$A$4:$D$14,3,FALSE),IF(C85="GI (Heavy)",VLOOKUP(B85,data!$A$17:$D$27,3,FALSE),0))</f>
        <v>6.3689999999999998</v>
      </c>
      <c r="G85" s="737">
        <f t="shared" si="9"/>
        <v>0</v>
      </c>
      <c r="H85" s="655"/>
    </row>
    <row r="86" spans="1:8" ht="15">
      <c r="A86" s="683"/>
      <c r="B86" s="735">
        <f t="shared" si="8"/>
        <v>80</v>
      </c>
      <c r="C86" s="741" t="str">
        <f t="shared" si="8"/>
        <v>GI (Heavy)</v>
      </c>
      <c r="D86" s="688" t="str">
        <f t="shared" si="8"/>
        <v>m</v>
      </c>
      <c r="E86" s="685">
        <f t="shared" si="8"/>
        <v>0</v>
      </c>
      <c r="F86" s="690">
        <f>IF(C86="GI (Medium)",VLOOKUP(B86,data!$A$4:$D$14,3,FALSE),IF(C86="GI (Heavy)",VLOOKUP(B86,data!$A$17:$D$27,3,FALSE),0))</f>
        <v>10.417</v>
      </c>
      <c r="G86" s="737">
        <f t="shared" si="9"/>
        <v>0</v>
      </c>
      <c r="H86" s="655"/>
    </row>
    <row r="87" spans="1:8" ht="15">
      <c r="A87" s="683"/>
      <c r="B87" s="735">
        <f t="shared" si="8"/>
        <v>100</v>
      </c>
      <c r="C87" s="741" t="str">
        <f t="shared" si="8"/>
        <v>GI (Heavy)</v>
      </c>
      <c r="D87" s="688" t="str">
        <f t="shared" si="8"/>
        <v>m</v>
      </c>
      <c r="E87" s="685">
        <f t="shared" si="8"/>
        <v>0</v>
      </c>
      <c r="F87" s="690">
        <f>IF(C87="GI (Medium)",VLOOKUP(B87,data!$A$4:$D$14,3,FALSE),IF(C87="GI (Heavy)",VLOOKUP(B87,data!$A$17:$D$27,3,FALSE),0))</f>
        <v>15.436</v>
      </c>
      <c r="G87" s="737">
        <f t="shared" si="9"/>
        <v>0</v>
      </c>
      <c r="H87" s="655"/>
    </row>
    <row r="88" spans="1:8" ht="15">
      <c r="A88" s="683"/>
      <c r="B88" s="735">
        <f t="shared" si="8"/>
        <v>125</v>
      </c>
      <c r="C88" s="741" t="str">
        <f t="shared" si="8"/>
        <v>GI (Heavy)</v>
      </c>
      <c r="D88" s="688" t="str">
        <f t="shared" si="8"/>
        <v>m</v>
      </c>
      <c r="E88" s="685">
        <f t="shared" si="8"/>
        <v>0</v>
      </c>
      <c r="F88" s="690">
        <f>IF(C88="GI (Medium)",VLOOKUP(B88,data!$A$4:$D$14,3,FALSE),IF(C88="GI (Heavy)",VLOOKUP(B88,data!$A$17:$D$27,3,FALSE),0))</f>
        <v>18.52</v>
      </c>
      <c r="G88" s="737">
        <f t="shared" si="9"/>
        <v>0</v>
      </c>
      <c r="H88" s="655"/>
    </row>
    <row r="89" spans="1:8" ht="15">
      <c r="A89" s="683"/>
      <c r="B89" s="735">
        <f t="shared" si="8"/>
        <v>150</v>
      </c>
      <c r="C89" s="741" t="str">
        <f t="shared" si="8"/>
        <v>GI (Heavy)</v>
      </c>
      <c r="D89" s="688" t="str">
        <f t="shared" si="8"/>
        <v>m</v>
      </c>
      <c r="E89" s="685">
        <f t="shared" si="8"/>
        <v>0</v>
      </c>
      <c r="F89" s="690">
        <f>IF(C89="GI (Medium)",VLOOKUP(B89,data!$A$4:$D$14,3,FALSE),IF(C89="GI (Heavy)",VLOOKUP(B89,data!$A$17:$D$27,3,FALSE),0))</f>
        <v>22.22</v>
      </c>
      <c r="G89" s="737">
        <f t="shared" si="9"/>
        <v>0</v>
      </c>
      <c r="H89" s="655"/>
    </row>
    <row r="90" spans="1:8" ht="15.75">
      <c r="A90" s="683"/>
      <c r="B90" s="738" t="s">
        <v>1403</v>
      </c>
      <c r="C90" s="685"/>
      <c r="D90" s="685"/>
      <c r="E90" s="690">
        <f>SUM(E81:E89)</f>
        <v>0</v>
      </c>
      <c r="F90" s="685"/>
      <c r="G90" s="737">
        <f>SUM(G81:G89)</f>
        <v>0</v>
      </c>
      <c r="H90" s="655"/>
    </row>
    <row r="91" spans="1:8" ht="15.75">
      <c r="A91" s="722"/>
      <c r="B91" s="738"/>
      <c r="C91" s="685"/>
      <c r="D91" s="685"/>
      <c r="E91" s="690"/>
      <c r="F91" s="685"/>
      <c r="G91" s="737"/>
    </row>
    <row r="92" spans="1:8">
      <c r="A92" s="722"/>
      <c r="B92" s="685" t="s">
        <v>2850</v>
      </c>
      <c r="C92" s="685"/>
      <c r="D92" s="685"/>
      <c r="E92" s="685"/>
      <c r="F92" s="685"/>
      <c r="G92" s="737">
        <f>(G79+G90)*0.15+FittingsSummary!AA126+tools!F39</f>
        <v>4376.6695500000005</v>
      </c>
    </row>
    <row r="93" spans="1:8" ht="15">
      <c r="A93" s="1813"/>
      <c r="B93" s="726" t="s">
        <v>1420</v>
      </c>
      <c r="C93" s="725"/>
      <c r="D93" s="725"/>
      <c r="E93" s="725"/>
      <c r="F93" s="725"/>
      <c r="G93" s="1814">
        <f>G79+G90+G92</f>
        <v>18766.732550000001</v>
      </c>
    </row>
    <row r="94" spans="1:8">
      <c r="D94" s="685"/>
      <c r="E94" s="685"/>
      <c r="G94" s="655"/>
      <c r="H94" s="655"/>
    </row>
  </sheetData>
  <mergeCells count="9">
    <mergeCell ref="A52:G52"/>
    <mergeCell ref="B54:C54"/>
    <mergeCell ref="A1:G1"/>
    <mergeCell ref="A3:A4"/>
    <mergeCell ref="B3:C4"/>
    <mergeCell ref="D3:D4"/>
    <mergeCell ref="E3:E4"/>
    <mergeCell ref="F3:F4"/>
    <mergeCell ref="G3:G4"/>
  </mergeCells>
  <printOptions horizontalCentered="1"/>
  <pageMargins left="1.1399999999999999" right="1" top="0.35" bottom="0.54" header="0.45" footer="0.54"/>
  <pageSetup paperSize="9" orientation="portrait" horizontalDpi="180" verticalDpi="180" r:id="rId1"/>
  <headerFooter alignWithMargins="0">
    <oddFooter>&amp;LEstimated by&amp;CChecked by&amp;RApproved by</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94"/>
  <sheetViews>
    <sheetView workbookViewId="0">
      <selection sqref="A1:G1"/>
    </sheetView>
  </sheetViews>
  <sheetFormatPr defaultColWidth="9.140625" defaultRowHeight="12.75"/>
  <cols>
    <col min="1" max="1" width="10.140625" style="679" customWidth="1"/>
    <col min="2" max="2" width="10.85546875" style="679" customWidth="1"/>
    <col min="3" max="3" width="16.140625" style="679" customWidth="1"/>
    <col min="4" max="4" width="4.28515625" style="679" bestFit="1" customWidth="1"/>
    <col min="5" max="5" width="10.5703125" style="679" customWidth="1"/>
    <col min="6" max="6" width="10.28515625" style="679" customWidth="1"/>
    <col min="7" max="7" width="15.140625" style="679" bestFit="1" customWidth="1"/>
    <col min="8" max="8" width="9.140625" style="679"/>
    <col min="9" max="9" width="15.5703125" style="655" bestFit="1" customWidth="1"/>
    <col min="10" max="10" width="16.140625" style="655" customWidth="1"/>
    <col min="11" max="11" width="11.7109375" style="655" customWidth="1"/>
    <col min="12" max="12" width="10.140625" style="655" customWidth="1"/>
    <col min="13" max="13" width="11.140625" style="655" customWidth="1"/>
    <col min="14" max="14" width="9.28515625" style="655" bestFit="1" customWidth="1"/>
    <col min="15" max="33" width="5.7109375" style="655" customWidth="1"/>
    <col min="34" max="34" width="9.140625" style="655"/>
    <col min="35" max="35" width="18.42578125" style="655" customWidth="1"/>
    <col min="36" max="36" width="5.28515625" style="655" bestFit="1" customWidth="1"/>
    <col min="37" max="16384" width="9.140625" style="655"/>
  </cols>
  <sheetData>
    <row r="1" spans="1:15" ht="23.25">
      <c r="A1" s="2981" t="s">
        <v>1372</v>
      </c>
      <c r="B1" s="2981"/>
      <c r="C1" s="2981"/>
      <c r="D1" s="2981"/>
      <c r="E1" s="2981"/>
      <c r="F1" s="2981"/>
      <c r="G1" s="2981"/>
    </row>
    <row r="2" spans="1:15" ht="18" customHeight="1">
      <c r="A2" s="680"/>
      <c r="I2" s="681" t="s">
        <v>1373</v>
      </c>
      <c r="J2" s="682">
        <v>250</v>
      </c>
    </row>
    <row r="3" spans="1:15" ht="12.75" customHeight="1">
      <c r="A3" s="2982" t="s">
        <v>1357</v>
      </c>
      <c r="B3" s="2984" t="s">
        <v>1375</v>
      </c>
      <c r="C3" s="2985"/>
      <c r="D3" s="2988" t="s">
        <v>1035</v>
      </c>
      <c r="E3" s="2990" t="s">
        <v>964</v>
      </c>
      <c r="F3" s="2990" t="s">
        <v>97</v>
      </c>
      <c r="G3" s="2992" t="s">
        <v>52</v>
      </c>
    </row>
    <row r="4" spans="1:15" ht="12.75" customHeight="1">
      <c r="A4" s="2983"/>
      <c r="B4" s="2986"/>
      <c r="C4" s="2987"/>
      <c r="D4" s="2989"/>
      <c r="E4" s="2991"/>
      <c r="F4" s="2991" t="s">
        <v>1376</v>
      </c>
      <c r="G4" s="2993" t="s">
        <v>107</v>
      </c>
    </row>
    <row r="5" spans="1:15" ht="15.75">
      <c r="A5" s="683">
        <v>1</v>
      </c>
      <c r="B5" s="684" t="s">
        <v>1377</v>
      </c>
      <c r="D5" s="685"/>
      <c r="E5" s="685"/>
      <c r="F5" s="685"/>
      <c r="G5" s="686"/>
    </row>
    <row r="6" spans="1:15">
      <c r="A6" s="683"/>
      <c r="B6" s="735"/>
      <c r="C6" s="736"/>
      <c r="D6" s="685"/>
      <c r="E6" s="685"/>
      <c r="F6" s="685"/>
      <c r="G6" s="686"/>
      <c r="K6" s="655" t="s">
        <v>1256</v>
      </c>
    </row>
    <row r="7" spans="1:15" ht="15.75" hidden="1">
      <c r="A7" s="683"/>
      <c r="B7" s="735">
        <v>32</v>
      </c>
      <c r="C7" s="738">
        <v>6</v>
      </c>
      <c r="D7" s="688" t="s">
        <v>965</v>
      </c>
      <c r="E7" s="689">
        <f>N19</f>
        <v>0</v>
      </c>
      <c r="F7" s="690">
        <f>ROUND(VLOOKUP(B7+C7,data!$A$31:$E$89,4,FALSE)*J$2,2)</f>
        <v>56.5</v>
      </c>
      <c r="G7" s="691">
        <f>+ROUND(E7*F7,2)</f>
        <v>0</v>
      </c>
      <c r="K7" s="692" t="s">
        <v>1378</v>
      </c>
      <c r="L7" s="692" t="s">
        <v>1379</v>
      </c>
      <c r="M7" s="692" t="s">
        <v>1108</v>
      </c>
      <c r="N7" s="692" t="s">
        <v>1380</v>
      </c>
    </row>
    <row r="8" spans="1:15" ht="15" hidden="1">
      <c r="A8" s="683"/>
      <c r="B8" s="735">
        <v>40</v>
      </c>
      <c r="C8" s="736">
        <v>6</v>
      </c>
      <c r="D8" s="688" t="s">
        <v>965</v>
      </c>
      <c r="E8" s="689">
        <f>N20</f>
        <v>0</v>
      </c>
      <c r="F8" s="690">
        <f>ROUND(VLOOKUP(B8+C8,data!$A$31:$E$89,4,FALSE)*J$2,2)</f>
        <v>87.5</v>
      </c>
      <c r="G8" s="691">
        <f t="shared" ref="G8:G28" si="0">+ROUND(E8*F8,2)</f>
        <v>0</v>
      </c>
      <c r="J8" s="693" t="s">
        <v>1381</v>
      </c>
      <c r="K8" s="694">
        <v>0</v>
      </c>
      <c r="L8" s="694">
        <v>0</v>
      </c>
      <c r="M8" s="695">
        <f>K8+L8</f>
        <v>0</v>
      </c>
      <c r="N8" s="696">
        <f t="shared" ref="N8:N43" si="1">ROUNDUP(M8*1.1,0)</f>
        <v>0</v>
      </c>
    </row>
    <row r="9" spans="1:15" ht="15" hidden="1">
      <c r="A9" s="683"/>
      <c r="B9" s="735">
        <v>50</v>
      </c>
      <c r="C9" s="736">
        <v>6</v>
      </c>
      <c r="D9" s="688" t="s">
        <v>965</v>
      </c>
      <c r="E9" s="689">
        <f t="shared" ref="E9:E25" si="2">N21</f>
        <v>0</v>
      </c>
      <c r="F9" s="690">
        <f>ROUND(VLOOKUP(B9+C9,data!$A$31:$E$89,4,FALSE)*J$2,2)</f>
        <v>135.5</v>
      </c>
      <c r="G9" s="691">
        <f t="shared" si="0"/>
        <v>0</v>
      </c>
      <c r="J9" s="693" t="s">
        <v>1382</v>
      </c>
      <c r="K9" s="694">
        <v>0</v>
      </c>
      <c r="L9" s="694">
        <v>0</v>
      </c>
      <c r="M9" s="695">
        <f t="shared" ref="M9:M43" si="3">K9+L9</f>
        <v>0</v>
      </c>
      <c r="N9" s="696">
        <f t="shared" si="1"/>
        <v>0</v>
      </c>
    </row>
    <row r="10" spans="1:15" ht="15" hidden="1">
      <c r="A10" s="683"/>
      <c r="B10" s="735">
        <v>63</v>
      </c>
      <c r="C10" s="736">
        <v>6</v>
      </c>
      <c r="D10" s="688" t="s">
        <v>965</v>
      </c>
      <c r="E10" s="689">
        <f t="shared" si="2"/>
        <v>0</v>
      </c>
      <c r="F10" s="690">
        <f>ROUND(VLOOKUP(B10+C10,data!$A$31:$E$89,4,FALSE)*J$2,2)</f>
        <v>212.5</v>
      </c>
      <c r="G10" s="691">
        <f t="shared" si="0"/>
        <v>0</v>
      </c>
      <c r="J10" s="693" t="s">
        <v>1383</v>
      </c>
      <c r="K10" s="694">
        <v>0</v>
      </c>
      <c r="L10" s="694">
        <v>0</v>
      </c>
      <c r="M10" s="695">
        <f t="shared" si="3"/>
        <v>0</v>
      </c>
      <c r="N10" s="696">
        <f t="shared" si="1"/>
        <v>0</v>
      </c>
    </row>
    <row r="11" spans="1:15" ht="15" hidden="1">
      <c r="A11" s="683"/>
      <c r="B11" s="735">
        <v>75</v>
      </c>
      <c r="C11" s="736">
        <v>6</v>
      </c>
      <c r="D11" s="688" t="s">
        <v>965</v>
      </c>
      <c r="E11" s="689">
        <f t="shared" si="2"/>
        <v>0</v>
      </c>
      <c r="F11" s="690">
        <f>ROUND(VLOOKUP(B11+C11,data!$A$31:$E$89,4,FALSE)*J$2,2)</f>
        <v>297.75</v>
      </c>
      <c r="G11" s="691">
        <f t="shared" si="0"/>
        <v>0</v>
      </c>
      <c r="J11" s="693" t="s">
        <v>1384</v>
      </c>
      <c r="K11" s="694">
        <v>0</v>
      </c>
      <c r="L11" s="694">
        <v>0</v>
      </c>
      <c r="M11" s="695">
        <f t="shared" si="3"/>
        <v>0</v>
      </c>
      <c r="N11" s="696">
        <f t="shared" si="1"/>
        <v>0</v>
      </c>
    </row>
    <row r="12" spans="1:15" ht="15" hidden="1">
      <c r="A12" s="683"/>
      <c r="B12" s="735">
        <v>90</v>
      </c>
      <c r="C12" s="736">
        <v>6</v>
      </c>
      <c r="D12" s="688" t="s">
        <v>965</v>
      </c>
      <c r="E12" s="689">
        <f t="shared" si="2"/>
        <v>0</v>
      </c>
      <c r="F12" s="690">
        <f>ROUND(VLOOKUP(B12+C12,data!$A$31:$E$89,4,FALSE)*J$2,2)</f>
        <v>428.75</v>
      </c>
      <c r="G12" s="691">
        <f t="shared" si="0"/>
        <v>0</v>
      </c>
      <c r="J12" s="693" t="s">
        <v>1385</v>
      </c>
      <c r="K12" s="694">
        <v>0</v>
      </c>
      <c r="L12" s="694">
        <v>0</v>
      </c>
      <c r="M12" s="695">
        <f t="shared" si="3"/>
        <v>0</v>
      </c>
      <c r="N12" s="696">
        <f t="shared" si="1"/>
        <v>0</v>
      </c>
    </row>
    <row r="13" spans="1:15" ht="15" hidden="1">
      <c r="A13" s="683"/>
      <c r="B13" s="735">
        <v>110</v>
      </c>
      <c r="C13" s="736">
        <v>6</v>
      </c>
      <c r="D13" s="688" t="s">
        <v>965</v>
      </c>
      <c r="E13" s="689">
        <f t="shared" si="2"/>
        <v>0</v>
      </c>
      <c r="F13" s="690">
        <f>ROUND(VLOOKUP(B13+C13,data!$A$31:$E$89,4,FALSE)*J$2,2)</f>
        <v>636.25</v>
      </c>
      <c r="G13" s="691">
        <f t="shared" si="0"/>
        <v>0</v>
      </c>
      <c r="J13" s="693" t="s">
        <v>1386</v>
      </c>
      <c r="K13" s="694">
        <v>0</v>
      </c>
      <c r="L13" s="694">
        <v>0</v>
      </c>
      <c r="M13" s="695">
        <f t="shared" si="3"/>
        <v>0</v>
      </c>
      <c r="N13" s="696">
        <f t="shared" si="1"/>
        <v>0</v>
      </c>
    </row>
    <row r="14" spans="1:15" ht="15" hidden="1">
      <c r="A14" s="683"/>
      <c r="B14" s="735">
        <v>125</v>
      </c>
      <c r="C14" s="736">
        <v>6</v>
      </c>
      <c r="D14" s="688" t="s">
        <v>965</v>
      </c>
      <c r="E14" s="689">
        <f t="shared" si="2"/>
        <v>0</v>
      </c>
      <c r="F14" s="690">
        <f>ROUND(VLOOKUP(B14+C14,data!$A$31:$E$89,4,FALSE)*J$2,2)</f>
        <v>823.25</v>
      </c>
      <c r="G14" s="691">
        <f t="shared" si="0"/>
        <v>0</v>
      </c>
      <c r="J14" s="693" t="s">
        <v>1828</v>
      </c>
      <c r="K14" s="694">
        <v>0</v>
      </c>
      <c r="L14" s="694">
        <v>0</v>
      </c>
      <c r="M14" s="695">
        <f t="shared" si="3"/>
        <v>0</v>
      </c>
      <c r="N14" s="696">
        <f t="shared" si="1"/>
        <v>0</v>
      </c>
    </row>
    <row r="15" spans="1:15" ht="15" hidden="1">
      <c r="A15" s="683"/>
      <c r="B15" s="735">
        <v>16</v>
      </c>
      <c r="C15" s="736">
        <v>10</v>
      </c>
      <c r="D15" s="688" t="s">
        <v>965</v>
      </c>
      <c r="E15" s="689">
        <f t="shared" si="2"/>
        <v>0</v>
      </c>
      <c r="F15" s="690">
        <f>ROUND(VLOOKUP(B15+C15,data!$A$31:$E$89,4,FALSE)*J$2,2)</f>
        <v>23</v>
      </c>
      <c r="G15" s="691">
        <f t="shared" si="0"/>
        <v>0</v>
      </c>
      <c r="J15" s="693" t="s">
        <v>1830</v>
      </c>
      <c r="K15" s="694">
        <v>0</v>
      </c>
      <c r="L15" s="694">
        <v>0</v>
      </c>
      <c r="M15" s="695">
        <f t="shared" si="3"/>
        <v>0</v>
      </c>
      <c r="N15" s="696">
        <f t="shared" si="1"/>
        <v>0</v>
      </c>
    </row>
    <row r="16" spans="1:15" ht="15" hidden="1">
      <c r="A16" s="683"/>
      <c r="B16" s="735">
        <v>20</v>
      </c>
      <c r="C16" s="736">
        <v>10</v>
      </c>
      <c r="D16" s="688" t="s">
        <v>965</v>
      </c>
      <c r="E16" s="689">
        <f t="shared" si="2"/>
        <v>0</v>
      </c>
      <c r="F16" s="690">
        <f>ROUND(VLOOKUP(B16+C16,data!$A$31:$E$89,4,FALSE)*J$2,2)</f>
        <v>33.5</v>
      </c>
      <c r="G16" s="691">
        <f t="shared" si="0"/>
        <v>0</v>
      </c>
      <c r="J16" s="693" t="s">
        <v>1820</v>
      </c>
      <c r="K16" s="694">
        <v>100</v>
      </c>
      <c r="L16" s="694">
        <f>1334.8+641.68</f>
        <v>1976.48</v>
      </c>
      <c r="M16" s="695">
        <f t="shared" si="3"/>
        <v>2076.48</v>
      </c>
      <c r="N16" s="696">
        <f t="shared" si="1"/>
        <v>2285</v>
      </c>
      <c r="O16" s="655" t="s">
        <v>2849</v>
      </c>
    </row>
    <row r="17" spans="1:17" ht="15" hidden="1">
      <c r="A17" s="683"/>
      <c r="B17" s="735">
        <v>25</v>
      </c>
      <c r="C17" s="736">
        <v>10</v>
      </c>
      <c r="D17" s="688" t="s">
        <v>965</v>
      </c>
      <c r="E17" s="689">
        <f t="shared" si="2"/>
        <v>0</v>
      </c>
      <c r="F17" s="690">
        <f>ROUND(VLOOKUP(B17+C17,data!$A$31:$E$89,4,FALSE)*J$2,2)</f>
        <v>50.5</v>
      </c>
      <c r="G17" s="691">
        <f t="shared" si="0"/>
        <v>0</v>
      </c>
      <c r="J17" s="693" t="s">
        <v>2846</v>
      </c>
      <c r="K17" s="694"/>
      <c r="L17" s="694"/>
      <c r="M17" s="695">
        <f t="shared" si="3"/>
        <v>0</v>
      </c>
      <c r="N17" s="696">
        <f t="shared" si="1"/>
        <v>0</v>
      </c>
      <c r="O17" s="655" t="s">
        <v>2848</v>
      </c>
    </row>
    <row r="18" spans="1:17" ht="15" hidden="1">
      <c r="A18" s="683"/>
      <c r="B18" s="735">
        <v>32</v>
      </c>
      <c r="C18" s="736">
        <v>10</v>
      </c>
      <c r="D18" s="688" t="s">
        <v>965</v>
      </c>
      <c r="E18" s="689">
        <f t="shared" si="2"/>
        <v>0</v>
      </c>
      <c r="F18" s="690">
        <f>ROUND(VLOOKUP(B18+C18,data!$A$31:$E$89,4,FALSE)*J$2,2)</f>
        <v>83.5</v>
      </c>
      <c r="G18" s="691">
        <f t="shared" si="0"/>
        <v>0</v>
      </c>
      <c r="J18" s="693" t="s">
        <v>2847</v>
      </c>
      <c r="K18" s="694">
        <v>158.63</v>
      </c>
      <c r="L18" s="694">
        <v>1231</v>
      </c>
      <c r="M18" s="695">
        <f t="shared" si="3"/>
        <v>1389.63</v>
      </c>
      <c r="N18" s="696">
        <f t="shared" si="1"/>
        <v>1529</v>
      </c>
    </row>
    <row r="19" spans="1:17" ht="15" hidden="1">
      <c r="A19" s="683"/>
      <c r="B19" s="735">
        <v>40</v>
      </c>
      <c r="C19" s="736">
        <v>10</v>
      </c>
      <c r="D19" s="688" t="s">
        <v>965</v>
      </c>
      <c r="E19" s="689">
        <f t="shared" si="2"/>
        <v>0</v>
      </c>
      <c r="F19" s="690">
        <f>ROUND(VLOOKUP(B19+C19,data!$A$31:$E$89,4,FALSE)*J$2,2)</f>
        <v>128.5</v>
      </c>
      <c r="G19" s="691">
        <f t="shared" si="0"/>
        <v>0</v>
      </c>
      <c r="J19" s="697" t="s">
        <v>1387</v>
      </c>
      <c r="K19" s="698"/>
      <c r="L19" s="698"/>
      <c r="M19" s="695">
        <f t="shared" si="3"/>
        <v>0</v>
      </c>
      <c r="N19" s="696">
        <f t="shared" si="1"/>
        <v>0</v>
      </c>
    </row>
    <row r="20" spans="1:17" ht="15" hidden="1">
      <c r="A20" s="683"/>
      <c r="B20" s="735">
        <v>50</v>
      </c>
      <c r="C20" s="736">
        <v>10</v>
      </c>
      <c r="D20" s="688" t="s">
        <v>965</v>
      </c>
      <c r="E20" s="689">
        <f t="shared" si="2"/>
        <v>0</v>
      </c>
      <c r="F20" s="690">
        <f>ROUND(VLOOKUP(B20+C20,data!$A$31:$E$89,4,FALSE)*J$2,2)</f>
        <v>199</v>
      </c>
      <c r="G20" s="691">
        <f t="shared" si="0"/>
        <v>0</v>
      </c>
      <c r="J20" s="697" t="s">
        <v>1388</v>
      </c>
      <c r="K20" s="698"/>
      <c r="L20" s="698"/>
      <c r="M20" s="695">
        <f t="shared" si="3"/>
        <v>0</v>
      </c>
      <c r="N20" s="696">
        <f t="shared" si="1"/>
        <v>0</v>
      </c>
    </row>
    <row r="21" spans="1:17" ht="15" hidden="1">
      <c r="A21" s="683"/>
      <c r="B21" s="735">
        <v>63</v>
      </c>
      <c r="C21" s="736">
        <v>10</v>
      </c>
      <c r="D21" s="688" t="s">
        <v>965</v>
      </c>
      <c r="E21" s="689">
        <f t="shared" si="2"/>
        <v>0</v>
      </c>
      <c r="F21" s="690">
        <f>ROUND(VLOOKUP(B21+C21,data!$A$31:$E$89,4,FALSE)*J$2,2)</f>
        <v>317.25</v>
      </c>
      <c r="G21" s="691">
        <f t="shared" si="0"/>
        <v>0</v>
      </c>
      <c r="J21" s="697" t="s">
        <v>1389</v>
      </c>
      <c r="K21" s="698"/>
      <c r="L21" s="698"/>
      <c r="M21" s="695">
        <f t="shared" si="3"/>
        <v>0</v>
      </c>
      <c r="N21" s="696">
        <f t="shared" si="1"/>
        <v>0</v>
      </c>
    </row>
    <row r="22" spans="1:17" ht="15" hidden="1">
      <c r="A22" s="683"/>
      <c r="B22" s="735">
        <v>75</v>
      </c>
      <c r="C22" s="736">
        <v>10</v>
      </c>
      <c r="D22" s="688" t="s">
        <v>965</v>
      </c>
      <c r="E22" s="689">
        <f t="shared" si="2"/>
        <v>0</v>
      </c>
      <c r="F22" s="690">
        <f>ROUND(VLOOKUP(B22+C22,data!$A$31:$E$89,4,FALSE)*J$2,2)</f>
        <v>445.5</v>
      </c>
      <c r="G22" s="691">
        <f t="shared" si="0"/>
        <v>0</v>
      </c>
      <c r="J22" s="697" t="s">
        <v>1390</v>
      </c>
      <c r="K22" s="698"/>
      <c r="L22" s="698"/>
      <c r="M22" s="695">
        <f t="shared" si="3"/>
        <v>0</v>
      </c>
      <c r="N22" s="696">
        <f t="shared" si="1"/>
        <v>0</v>
      </c>
    </row>
    <row r="23" spans="1:17" ht="15" hidden="1">
      <c r="A23" s="683"/>
      <c r="B23" s="735">
        <v>90</v>
      </c>
      <c r="C23" s="736">
        <v>10</v>
      </c>
      <c r="D23" s="688" t="s">
        <v>965</v>
      </c>
      <c r="E23" s="689">
        <f t="shared" si="2"/>
        <v>0</v>
      </c>
      <c r="F23" s="690">
        <f>ROUND(VLOOKUP(B23+C23,data!$A$31:$E$89,4,FALSE)*J$2,2)</f>
        <v>642</v>
      </c>
      <c r="G23" s="691">
        <f t="shared" si="0"/>
        <v>0</v>
      </c>
      <c r="J23" s="697" t="s">
        <v>1391</v>
      </c>
      <c r="K23" s="698"/>
      <c r="L23" s="698"/>
      <c r="M23" s="695">
        <f t="shared" si="3"/>
        <v>0</v>
      </c>
      <c r="N23" s="696">
        <f t="shared" si="1"/>
        <v>0</v>
      </c>
      <c r="Q23" s="655">
        <v>1379.6</v>
      </c>
    </row>
    <row r="24" spans="1:17" ht="15" hidden="1">
      <c r="A24" s="683"/>
      <c r="B24" s="735">
        <v>110</v>
      </c>
      <c r="C24" s="736">
        <v>10</v>
      </c>
      <c r="D24" s="688" t="s">
        <v>965</v>
      </c>
      <c r="E24" s="689">
        <f t="shared" si="2"/>
        <v>0</v>
      </c>
      <c r="F24" s="690">
        <f>ROUND(VLOOKUP(B24+C24,data!$A$31:$E$89,4,FALSE)*J$2,2)</f>
        <v>950.25</v>
      </c>
      <c r="G24" s="691">
        <f t="shared" si="0"/>
        <v>0</v>
      </c>
      <c r="J24" s="697" t="s">
        <v>1392</v>
      </c>
      <c r="K24" s="698"/>
      <c r="L24" s="698"/>
      <c r="M24" s="695">
        <f t="shared" si="3"/>
        <v>0</v>
      </c>
      <c r="N24" s="696">
        <f t="shared" si="1"/>
        <v>0</v>
      </c>
    </row>
    <row r="25" spans="1:17" ht="15" hidden="1">
      <c r="A25" s="683"/>
      <c r="B25" s="735">
        <v>125</v>
      </c>
      <c r="C25" s="736">
        <v>10</v>
      </c>
      <c r="D25" s="688" t="s">
        <v>965</v>
      </c>
      <c r="E25" s="689">
        <f t="shared" si="2"/>
        <v>0</v>
      </c>
      <c r="F25" s="690">
        <f>ROUND(VLOOKUP(B25+C25,data!$A$31:$E$89,4,FALSE)*J$2,2)</f>
        <v>1240.5</v>
      </c>
      <c r="G25" s="691">
        <f t="shared" si="0"/>
        <v>0</v>
      </c>
      <c r="J25" s="697" t="s">
        <v>1393</v>
      </c>
      <c r="K25" s="698"/>
      <c r="L25" s="698"/>
      <c r="M25" s="695">
        <f t="shared" si="3"/>
        <v>0</v>
      </c>
      <c r="N25" s="696">
        <f t="shared" si="1"/>
        <v>0</v>
      </c>
    </row>
    <row r="26" spans="1:17" ht="15" hidden="1">
      <c r="A26" s="683"/>
      <c r="B26" s="2284">
        <v>110</v>
      </c>
      <c r="C26" s="2285">
        <v>4</v>
      </c>
      <c r="D26" s="699" t="s">
        <v>965</v>
      </c>
      <c r="E26" s="700"/>
      <c r="F26" s="690">
        <f>ROUND(VLOOKUP(B26+C26,data!$A$31:$E$89,4,FALSE)*J$2,2)</f>
        <v>425.75</v>
      </c>
      <c r="G26" s="691">
        <f t="shared" si="0"/>
        <v>0</v>
      </c>
      <c r="J26" s="697" t="s">
        <v>1394</v>
      </c>
      <c r="K26" s="698"/>
      <c r="L26" s="698"/>
      <c r="M26" s="695">
        <f t="shared" si="3"/>
        <v>0</v>
      </c>
      <c r="N26" s="696">
        <f t="shared" si="1"/>
        <v>0</v>
      </c>
    </row>
    <row r="27" spans="1:17" ht="15" hidden="1">
      <c r="A27" s="683"/>
      <c r="B27" s="2284">
        <v>63</v>
      </c>
      <c r="C27" s="2285">
        <v>4</v>
      </c>
      <c r="D27" s="699" t="s">
        <v>965</v>
      </c>
      <c r="E27" s="700"/>
      <c r="F27" s="690">
        <f>ROUND(VLOOKUP(B27+C27,data!$A$31:$E$89,4,FALSE)*J$2,2)</f>
        <v>146.25</v>
      </c>
      <c r="G27" s="691">
        <f t="shared" si="0"/>
        <v>0</v>
      </c>
      <c r="J27" s="697" t="s">
        <v>1395</v>
      </c>
      <c r="K27" s="698"/>
      <c r="L27" s="698"/>
      <c r="M27" s="695">
        <f t="shared" si="3"/>
        <v>0</v>
      </c>
      <c r="N27" s="696">
        <f t="shared" si="1"/>
        <v>0</v>
      </c>
    </row>
    <row r="28" spans="1:17" ht="15">
      <c r="A28" s="683"/>
      <c r="B28" s="735">
        <v>250</v>
      </c>
      <c r="C28" s="736">
        <v>10</v>
      </c>
      <c r="D28" s="701" t="s">
        <v>965</v>
      </c>
      <c r="E28" s="689">
        <f>N43</f>
        <v>1518</v>
      </c>
      <c r="F28" s="690">
        <f>ROUND(VLOOKUP(B28+C28,data!$A$31:$E$89,4,FALSE)*J$2,2)</f>
        <v>4939.25</v>
      </c>
      <c r="G28" s="691">
        <f t="shared" si="0"/>
        <v>7497781.5</v>
      </c>
      <c r="J28" s="697" t="s">
        <v>1396</v>
      </c>
      <c r="K28" s="698"/>
      <c r="L28" s="698"/>
      <c r="M28" s="695">
        <f t="shared" si="3"/>
        <v>0</v>
      </c>
      <c r="N28" s="696">
        <f t="shared" si="1"/>
        <v>0</v>
      </c>
    </row>
    <row r="29" spans="1:17" ht="15.75">
      <c r="A29" s="683"/>
      <c r="B29" s="735"/>
      <c r="C29" s="738"/>
      <c r="D29" s="688"/>
      <c r="E29" s="690"/>
      <c r="F29" s="690"/>
      <c r="G29" s="691"/>
      <c r="I29" s="692"/>
      <c r="J29" s="697" t="s">
        <v>1397</v>
      </c>
      <c r="K29" s="698"/>
      <c r="L29" s="698"/>
      <c r="M29" s="695">
        <f t="shared" si="3"/>
        <v>0</v>
      </c>
      <c r="N29" s="696">
        <f t="shared" si="1"/>
        <v>0</v>
      </c>
    </row>
    <row r="30" spans="1:17" ht="15">
      <c r="A30" s="683"/>
      <c r="B30" s="735"/>
      <c r="C30" s="2286" t="s">
        <v>1403</v>
      </c>
      <c r="D30" s="685"/>
      <c r="E30" s="689">
        <f>SUM(E7:E29)</f>
        <v>1518</v>
      </c>
      <c r="F30" s="703" t="s">
        <v>107</v>
      </c>
      <c r="G30" s="691">
        <f>SUM(G7:G29)</f>
        <v>7497781.5</v>
      </c>
      <c r="I30" s="704"/>
      <c r="J30" s="697" t="s">
        <v>1398</v>
      </c>
      <c r="K30" s="698"/>
      <c r="L30" s="698"/>
      <c r="M30" s="695">
        <f t="shared" si="3"/>
        <v>0</v>
      </c>
      <c r="N30" s="696">
        <f t="shared" si="1"/>
        <v>0</v>
      </c>
    </row>
    <row r="31" spans="1:17" ht="15">
      <c r="A31" s="683"/>
      <c r="B31" s="705" t="s">
        <v>1405</v>
      </c>
      <c r="D31" s="685"/>
      <c r="E31" s="690"/>
      <c r="F31" s="706">
        <v>5</v>
      </c>
      <c r="G31" s="691">
        <f>F31*G30/100</f>
        <v>374889.07500000001</v>
      </c>
      <c r="I31" s="704"/>
      <c r="J31" s="697" t="s">
        <v>1399</v>
      </c>
      <c r="K31" s="698"/>
      <c r="L31" s="698"/>
      <c r="M31" s="695">
        <f t="shared" si="3"/>
        <v>0</v>
      </c>
      <c r="N31" s="696">
        <f t="shared" si="1"/>
        <v>0</v>
      </c>
    </row>
    <row r="32" spans="1:17" ht="15">
      <c r="A32" s="683"/>
      <c r="C32" s="707" t="s">
        <v>1108</v>
      </c>
      <c r="D32" s="685"/>
      <c r="E32" s="690"/>
      <c r="F32" s="690"/>
      <c r="G32" s="691">
        <f>SUM(G30:G31)</f>
        <v>7872670.5750000002</v>
      </c>
      <c r="I32" s="704"/>
      <c r="J32" s="697" t="s">
        <v>1400</v>
      </c>
      <c r="K32" s="698"/>
      <c r="L32" s="698"/>
      <c r="M32" s="695">
        <f t="shared" si="3"/>
        <v>0</v>
      </c>
      <c r="N32" s="696">
        <f t="shared" si="1"/>
        <v>0</v>
      </c>
    </row>
    <row r="33" spans="1:14" ht="15">
      <c r="A33" s="683"/>
      <c r="B33" s="705" t="s">
        <v>1408</v>
      </c>
      <c r="C33" s="702"/>
      <c r="D33" s="685"/>
      <c r="E33" s="690"/>
      <c r="F33" s="708">
        <f>'Entry for Rates'!$F$114</f>
        <v>13</v>
      </c>
      <c r="G33" s="691">
        <f>F33*G32/100</f>
        <v>1023447.1747500001</v>
      </c>
      <c r="I33" s="704"/>
      <c r="J33" s="697" t="s">
        <v>1401</v>
      </c>
      <c r="K33" s="698"/>
      <c r="L33" s="698"/>
      <c r="M33" s="695">
        <f t="shared" si="3"/>
        <v>0</v>
      </c>
      <c r="N33" s="696">
        <f t="shared" si="1"/>
        <v>0</v>
      </c>
    </row>
    <row r="34" spans="1:14" ht="15.75">
      <c r="A34" s="683"/>
      <c r="B34" s="710" t="s">
        <v>1409</v>
      </c>
      <c r="C34" s="710"/>
      <c r="D34" s="711"/>
      <c r="E34" s="712"/>
      <c r="F34" s="713" t="s">
        <v>107</v>
      </c>
      <c r="G34" s="714">
        <f>+G33+G32</f>
        <v>8896117.7497499995</v>
      </c>
      <c r="I34" s="704"/>
      <c r="J34" s="697" t="s">
        <v>1402</v>
      </c>
      <c r="K34" s="698">
        <v>0</v>
      </c>
      <c r="L34" s="698">
        <v>0</v>
      </c>
      <c r="M34" s="695">
        <f t="shared" si="3"/>
        <v>0</v>
      </c>
      <c r="N34" s="696">
        <f t="shared" si="1"/>
        <v>0</v>
      </c>
    </row>
    <row r="35" spans="1:14" ht="15.75">
      <c r="A35" s="683">
        <v>2</v>
      </c>
      <c r="B35" s="684" t="s">
        <v>1410</v>
      </c>
      <c r="C35" s="702"/>
      <c r="D35" s="685"/>
      <c r="E35" s="690"/>
      <c r="F35" s="715"/>
      <c r="G35" s="691"/>
      <c r="J35" s="697" t="s">
        <v>1404</v>
      </c>
      <c r="K35" s="698">
        <v>0</v>
      </c>
      <c r="L35" s="698">
        <v>0</v>
      </c>
      <c r="M35" s="695">
        <f t="shared" si="3"/>
        <v>0</v>
      </c>
      <c r="N35" s="696">
        <f t="shared" si="1"/>
        <v>0</v>
      </c>
    </row>
    <row r="36" spans="1:14" ht="15" hidden="1">
      <c r="A36" s="683"/>
      <c r="B36" s="687">
        <v>15</v>
      </c>
      <c r="C36" s="716" t="s">
        <v>1411</v>
      </c>
      <c r="D36" s="685" t="s">
        <v>965</v>
      </c>
      <c r="E36" s="689">
        <f>N8</f>
        <v>0</v>
      </c>
      <c r="F36" s="690">
        <f>IF(C36="GI (Medium)",VLOOKUP(B36,data!$A$4:$D$14,4,FALSE),IF(C36="GI (Heavy)",VLOOKUP(B36,data!$A$17:$D$27,4,FALSE),0))</f>
        <v>203</v>
      </c>
      <c r="G36" s="691">
        <f>+ROUND(E36*F36,2)</f>
        <v>0</v>
      </c>
      <c r="J36" s="697" t="s">
        <v>1406</v>
      </c>
      <c r="K36" s="698">
        <v>0</v>
      </c>
      <c r="L36" s="698">
        <v>0</v>
      </c>
      <c r="M36" s="695">
        <f t="shared" si="3"/>
        <v>0</v>
      </c>
      <c r="N36" s="696">
        <f t="shared" si="1"/>
        <v>0</v>
      </c>
    </row>
    <row r="37" spans="1:14" ht="15" hidden="1">
      <c r="A37" s="683"/>
      <c r="B37" s="687">
        <v>25</v>
      </c>
      <c r="C37" s="716" t="s">
        <v>1411</v>
      </c>
      <c r="D37" s="685" t="s">
        <v>965</v>
      </c>
      <c r="E37" s="689">
        <f>N10</f>
        <v>0</v>
      </c>
      <c r="F37" s="690">
        <f>IF(C37="GI (Medium)",VLOOKUP(B37,data!$A$4:$D$14,4,FALSE),IF(C37="GI (Heavy)",VLOOKUP(B37,data!$A$17:$D$27,4,FALSE),0))</f>
        <v>383</v>
      </c>
      <c r="G37" s="691">
        <f t="shared" ref="G37:G41" si="4">+ROUND(E37*F37,2)</f>
        <v>0</v>
      </c>
      <c r="J37" s="697" t="s">
        <v>1407</v>
      </c>
      <c r="K37" s="698">
        <v>0</v>
      </c>
      <c r="L37" s="698">
        <v>0</v>
      </c>
      <c r="M37" s="695">
        <f t="shared" si="3"/>
        <v>0</v>
      </c>
      <c r="N37" s="696">
        <f t="shared" si="1"/>
        <v>0</v>
      </c>
    </row>
    <row r="38" spans="1:14" ht="15" hidden="1">
      <c r="A38" s="683"/>
      <c r="B38" s="687">
        <v>32</v>
      </c>
      <c r="C38" s="716" t="s">
        <v>1411</v>
      </c>
      <c r="D38" s="685" t="s">
        <v>965</v>
      </c>
      <c r="E38" s="689">
        <f t="shared" ref="E38:E41" si="5">N11</f>
        <v>0</v>
      </c>
      <c r="F38" s="690">
        <f>IF(C38="GI (Medium)",VLOOKUP(B38,data!$A$4:$D$14,4,FALSE),IF(C38="GI (Heavy)",VLOOKUP(B38,data!$A$17:$D$27,4,FALSE),0))</f>
        <v>490</v>
      </c>
      <c r="G38" s="691">
        <f t="shared" si="4"/>
        <v>0</v>
      </c>
      <c r="J38" s="697" t="s">
        <v>3031</v>
      </c>
      <c r="K38" s="709"/>
      <c r="L38" s="709"/>
      <c r="M38" s="695">
        <f t="shared" si="3"/>
        <v>0</v>
      </c>
      <c r="N38" s="696">
        <f t="shared" si="1"/>
        <v>0</v>
      </c>
    </row>
    <row r="39" spans="1:14" ht="15" hidden="1">
      <c r="A39" s="683"/>
      <c r="B39" s="687">
        <v>40</v>
      </c>
      <c r="C39" s="716" t="s">
        <v>1411</v>
      </c>
      <c r="D39" s="685" t="s">
        <v>965</v>
      </c>
      <c r="E39" s="689">
        <f t="shared" si="5"/>
        <v>0</v>
      </c>
      <c r="F39" s="690">
        <f>IF(C39="GI (Medium)",VLOOKUP(B39,data!$A$4:$D$14,4,FALSE),IF(C39="GI (Heavy)",VLOOKUP(B39,data!$A$17:$D$27,4,FALSE),0))</f>
        <v>565</v>
      </c>
      <c r="G39" s="691">
        <f t="shared" si="4"/>
        <v>0</v>
      </c>
      <c r="J39" s="697" t="s">
        <v>3032</v>
      </c>
      <c r="K39" s="709"/>
      <c r="L39" s="709"/>
      <c r="M39" s="695">
        <f t="shared" si="3"/>
        <v>0</v>
      </c>
      <c r="N39" s="696">
        <f t="shared" si="1"/>
        <v>0</v>
      </c>
    </row>
    <row r="40" spans="1:14" ht="15" hidden="1">
      <c r="A40" s="683"/>
      <c r="B40" s="687">
        <v>50</v>
      </c>
      <c r="C40" s="716" t="s">
        <v>1411</v>
      </c>
      <c r="D40" s="685" t="s">
        <v>965</v>
      </c>
      <c r="E40" s="689">
        <f t="shared" si="5"/>
        <v>0</v>
      </c>
      <c r="F40" s="690">
        <f>IF(C40="GI (Medium)",VLOOKUP(B40,data!$A$4:$D$14,4,FALSE),IF(C40="GI (Heavy)",VLOOKUP(B40,data!$A$17:$D$27,4,FALSE),0))</f>
        <v>823</v>
      </c>
      <c r="G40" s="691">
        <f t="shared" si="4"/>
        <v>0</v>
      </c>
      <c r="J40" s="697" t="s">
        <v>3033</v>
      </c>
      <c r="K40" s="709"/>
      <c r="L40" s="709"/>
      <c r="M40" s="695">
        <f t="shared" si="3"/>
        <v>0</v>
      </c>
      <c r="N40" s="696">
        <f t="shared" si="1"/>
        <v>0</v>
      </c>
    </row>
    <row r="41" spans="1:14" ht="15" hidden="1">
      <c r="A41" s="683"/>
      <c r="B41" s="687">
        <v>80</v>
      </c>
      <c r="C41" s="716" t="s">
        <v>1411</v>
      </c>
      <c r="D41" s="685" t="s">
        <v>965</v>
      </c>
      <c r="E41" s="689">
        <f t="shared" si="5"/>
        <v>0</v>
      </c>
      <c r="F41" s="690">
        <f>IF(C41="GI (Medium)",VLOOKUP(B41,data!$A$4:$D$14,4,FALSE),IF(C41="GI (Heavy)",VLOOKUP(B41,data!$A$17:$D$27,4,FALSE),0))</f>
        <v>1215</v>
      </c>
      <c r="G41" s="691">
        <f t="shared" si="4"/>
        <v>0</v>
      </c>
      <c r="J41" s="697" t="s">
        <v>3034</v>
      </c>
      <c r="K41" s="709"/>
      <c r="L41" s="709"/>
      <c r="M41" s="695">
        <f t="shared" si="3"/>
        <v>0</v>
      </c>
      <c r="N41" s="696">
        <f t="shared" si="1"/>
        <v>0</v>
      </c>
    </row>
    <row r="42" spans="1:14" ht="15">
      <c r="A42" s="683"/>
      <c r="B42" s="687">
        <v>100</v>
      </c>
      <c r="C42" s="716" t="s">
        <v>1411</v>
      </c>
      <c r="D42" s="685" t="s">
        <v>965</v>
      </c>
      <c r="E42" s="689">
        <f>N16</f>
        <v>2285</v>
      </c>
      <c r="F42" s="690">
        <f>IF(C42="GI (Medium)",VLOOKUP(B42,data!$A$4:$D$14,4,FALSE),IF(C42="GI (Heavy)",VLOOKUP(B42,data!$A$17:$D$27,4,FALSE),0))</f>
        <v>1883</v>
      </c>
      <c r="G42" s="691">
        <f t="shared" ref="G42:G44" si="6">+ROUND(E42*F42,2)</f>
        <v>4302655</v>
      </c>
      <c r="J42" s="697" t="s">
        <v>3035</v>
      </c>
      <c r="K42" s="709"/>
      <c r="L42" s="709"/>
      <c r="M42" s="695">
        <f t="shared" si="3"/>
        <v>0</v>
      </c>
      <c r="N42" s="696">
        <f t="shared" si="1"/>
        <v>0</v>
      </c>
    </row>
    <row r="43" spans="1:14" ht="15" hidden="1">
      <c r="A43" s="683"/>
      <c r="B43" s="687">
        <v>125</v>
      </c>
      <c r="C43" s="716" t="s">
        <v>1411</v>
      </c>
      <c r="D43" s="685" t="s">
        <v>965</v>
      </c>
      <c r="E43" s="689">
        <f>N17</f>
        <v>0</v>
      </c>
      <c r="F43" s="690">
        <f>IF(C43="GI (Medium)",VLOOKUP(B43,data!$A$4:$D$14,4,FALSE),IF(C43="GI (Heavy)",VLOOKUP(B43,data!$A$17:$D$27,4,FALSE),0))</f>
        <v>2440</v>
      </c>
      <c r="G43" s="691">
        <f t="shared" si="6"/>
        <v>0</v>
      </c>
      <c r="J43" s="697" t="s">
        <v>3036</v>
      </c>
      <c r="K43" s="709"/>
      <c r="L43" s="709">
        <v>1380</v>
      </c>
      <c r="M43" s="695">
        <f t="shared" si="3"/>
        <v>1380</v>
      </c>
      <c r="N43" s="696">
        <f t="shared" si="1"/>
        <v>1518</v>
      </c>
    </row>
    <row r="44" spans="1:14" ht="15">
      <c r="A44" s="683"/>
      <c r="B44" s="687">
        <v>150</v>
      </c>
      <c r="C44" s="716" t="s">
        <v>1411</v>
      </c>
      <c r="D44" s="685" t="s">
        <v>965</v>
      </c>
      <c r="E44" s="689">
        <f>N18</f>
        <v>1529</v>
      </c>
      <c r="F44" s="690">
        <f>IF(C44="GI (Medium)",VLOOKUP(B44,data!$A$4:$D$14,4,FALSE),IF(C44="GI (Heavy)",VLOOKUP(B44,data!$A$17:$D$27,4,FALSE),0))</f>
        <v>2767</v>
      </c>
      <c r="G44" s="691">
        <f t="shared" si="6"/>
        <v>4230743</v>
      </c>
      <c r="J44" s="697"/>
      <c r="K44" s="709"/>
      <c r="L44" s="709"/>
      <c r="M44" s="709"/>
      <c r="N44" s="709"/>
    </row>
    <row r="45" spans="1:14" ht="15.75">
      <c r="A45" s="683"/>
      <c r="B45" s="710" t="s">
        <v>1412</v>
      </c>
      <c r="C45" s="710"/>
      <c r="D45" s="717"/>
      <c r="E45" s="718">
        <f>SUM(E36:E44)</f>
        <v>3814</v>
      </c>
      <c r="F45" s="719"/>
      <c r="G45" s="720">
        <f>SUM(G36:G44)</f>
        <v>8533398</v>
      </c>
      <c r="H45" s="721"/>
      <c r="J45" s="697"/>
      <c r="K45" s="709"/>
      <c r="L45" s="709"/>
      <c r="M45" s="709"/>
      <c r="N45" s="709"/>
    </row>
    <row r="46" spans="1:14" ht="15">
      <c r="A46" s="683"/>
      <c r="B46" s="1815" t="s">
        <v>1405</v>
      </c>
      <c r="C46" s="1815"/>
      <c r="D46" s="685"/>
      <c r="E46" s="690"/>
      <c r="F46" s="706">
        <v>5</v>
      </c>
      <c r="G46" s="691">
        <f>F46*G45/100</f>
        <v>426669.9</v>
      </c>
      <c r="H46" s="721"/>
      <c r="J46" s="697"/>
      <c r="K46" s="709"/>
      <c r="L46" s="709"/>
      <c r="M46" s="709"/>
      <c r="N46" s="709"/>
    </row>
    <row r="47" spans="1:14" ht="15">
      <c r="A47" s="683"/>
      <c r="B47" s="1815"/>
      <c r="C47" s="1815" t="s">
        <v>1108</v>
      </c>
      <c r="D47" s="685"/>
      <c r="E47" s="690"/>
      <c r="F47" s="690"/>
      <c r="G47" s="691">
        <f>SUM(G45:G46)</f>
        <v>8960067.9000000004</v>
      </c>
      <c r="H47" s="721"/>
      <c r="J47" s="697"/>
      <c r="K47" s="709"/>
      <c r="L47" s="709"/>
      <c r="M47" s="1792">
        <f>SUM(M8:M43)</f>
        <v>4846.1100000000006</v>
      </c>
      <c r="N47" s="1792">
        <f>SUM(N8:N43)</f>
        <v>5332</v>
      </c>
    </row>
    <row r="48" spans="1:14" ht="15">
      <c r="A48" s="742"/>
      <c r="B48" s="1793" t="s">
        <v>1408</v>
      </c>
      <c r="C48" s="1794"/>
      <c r="D48" s="743"/>
      <c r="E48" s="1793"/>
      <c r="F48" s="1795">
        <f>'[62]Entry for Rates'!$F$114</f>
        <v>13</v>
      </c>
      <c r="G48" s="1796">
        <f>F48*G45/100</f>
        <v>1109341.74</v>
      </c>
      <c r="I48" s="681"/>
    </row>
    <row r="49" spans="1:8" ht="15.75">
      <c r="A49" s="1797"/>
      <c r="B49" s="1798" t="s">
        <v>1413</v>
      </c>
      <c r="C49" s="1799"/>
      <c r="D49" s="1800"/>
      <c r="E49" s="1801"/>
      <c r="F49" s="1802"/>
      <c r="G49" s="1803">
        <f>G47+G48</f>
        <v>10069409.640000001</v>
      </c>
      <c r="H49" s="724"/>
    </row>
    <row r="50" spans="1:8" ht="15">
      <c r="A50" s="1804"/>
      <c r="B50" s="1805"/>
      <c r="C50" s="1806" t="s">
        <v>1414</v>
      </c>
      <c r="D50" s="1805"/>
      <c r="E50" s="1801">
        <f>+E45+E30</f>
        <v>5332</v>
      </c>
      <c r="F50" s="1807" t="s">
        <v>107</v>
      </c>
      <c r="G50" s="1808">
        <f>+G49+G34</f>
        <v>18965527.38975</v>
      </c>
      <c r="H50" s="655"/>
    </row>
    <row r="51" spans="1:8" ht="15">
      <c r="A51" s="743"/>
      <c r="B51" s="1793"/>
      <c r="C51" s="1793"/>
      <c r="D51" s="1793"/>
      <c r="E51" s="1793"/>
      <c r="F51" s="1809"/>
      <c r="G51" s="1810"/>
      <c r="H51" s="655"/>
    </row>
    <row r="52" spans="1:8" ht="18.75">
      <c r="A52" s="2978" t="s">
        <v>1415</v>
      </c>
      <c r="B52" s="2978"/>
      <c r="C52" s="2978"/>
      <c r="D52" s="2978"/>
      <c r="E52" s="2978"/>
      <c r="F52" s="2978"/>
      <c r="G52" s="2978"/>
      <c r="H52" s="727"/>
    </row>
    <row r="53" spans="1:8" ht="15.75">
      <c r="A53" s="1811"/>
      <c r="B53" s="1812"/>
      <c r="C53" s="1812"/>
      <c r="D53" s="1812"/>
      <c r="E53" s="1812"/>
      <c r="F53" s="1812"/>
      <c r="G53" s="1812"/>
      <c r="H53" s="655"/>
    </row>
    <row r="54" spans="1:8" ht="25.5">
      <c r="A54" s="728" t="s">
        <v>1357</v>
      </c>
      <c r="B54" s="2979" t="s">
        <v>1375</v>
      </c>
      <c r="C54" s="2980"/>
      <c r="D54" s="729" t="s">
        <v>1035</v>
      </c>
      <c r="E54" s="730" t="s">
        <v>1416</v>
      </c>
      <c r="F54" s="730" t="s">
        <v>1417</v>
      </c>
      <c r="G54" s="731" t="s">
        <v>1418</v>
      </c>
      <c r="H54" s="655"/>
    </row>
    <row r="55" spans="1:8">
      <c r="A55" s="683"/>
      <c r="B55" s="732" t="s">
        <v>1419</v>
      </c>
      <c r="C55" s="723"/>
      <c r="D55" s="723"/>
      <c r="E55" s="723"/>
      <c r="F55" s="723"/>
      <c r="G55" s="733"/>
      <c r="H55" s="655"/>
    </row>
    <row r="56" spans="1:8" ht="15.75">
      <c r="A56" s="683">
        <v>1</v>
      </c>
      <c r="B56" s="734" t="s">
        <v>1377</v>
      </c>
      <c r="C56" s="685"/>
      <c r="D56" s="685"/>
      <c r="E56" s="685"/>
      <c r="F56" s="685"/>
      <c r="G56" s="686"/>
      <c r="H56" s="655"/>
    </row>
    <row r="57" spans="1:8" ht="15">
      <c r="A57" s="683"/>
      <c r="B57" s="735">
        <f t="shared" ref="B57:E77" si="7">B7</f>
        <v>32</v>
      </c>
      <c r="C57" s="736">
        <f t="shared" si="7"/>
        <v>6</v>
      </c>
      <c r="D57" s="688" t="str">
        <f t="shared" si="7"/>
        <v>m</v>
      </c>
      <c r="E57" s="685">
        <f t="shared" si="7"/>
        <v>0</v>
      </c>
      <c r="F57" s="690">
        <f>VLOOKUP(B57+C57,data!$A$31:$E$89,4,FALSE)</f>
        <v>0.22600000000000001</v>
      </c>
      <c r="G57" s="737">
        <f>E57*F57</f>
        <v>0</v>
      </c>
      <c r="H57" s="655"/>
    </row>
    <row r="58" spans="1:8" ht="15">
      <c r="A58" s="683"/>
      <c r="B58" s="735">
        <f t="shared" si="7"/>
        <v>40</v>
      </c>
      <c r="C58" s="736">
        <f t="shared" si="7"/>
        <v>6</v>
      </c>
      <c r="D58" s="688" t="str">
        <f t="shared" si="7"/>
        <v>m</v>
      </c>
      <c r="E58" s="685">
        <f t="shared" si="7"/>
        <v>0</v>
      </c>
      <c r="F58" s="690">
        <f>VLOOKUP(B58+C58,data!$A$31:$E$89,4,FALSE)</f>
        <v>0.35</v>
      </c>
      <c r="G58" s="737">
        <f t="shared" ref="G58:G78" si="8">E58*F58</f>
        <v>0</v>
      </c>
      <c r="H58" s="655"/>
    </row>
    <row r="59" spans="1:8" ht="15">
      <c r="A59" s="683"/>
      <c r="B59" s="735">
        <f t="shared" si="7"/>
        <v>50</v>
      </c>
      <c r="C59" s="736">
        <f t="shared" si="7"/>
        <v>6</v>
      </c>
      <c r="D59" s="688" t="str">
        <f t="shared" si="7"/>
        <v>m</v>
      </c>
      <c r="E59" s="685">
        <f t="shared" si="7"/>
        <v>0</v>
      </c>
      <c r="F59" s="690">
        <f>VLOOKUP(B59+C59,data!$A$31:$E$89,4,FALSE)</f>
        <v>0.54200000000000004</v>
      </c>
      <c r="G59" s="737">
        <f t="shared" si="8"/>
        <v>0</v>
      </c>
      <c r="H59" s="655"/>
    </row>
    <row r="60" spans="1:8" ht="15">
      <c r="A60" s="683"/>
      <c r="B60" s="735">
        <f t="shared" si="7"/>
        <v>63</v>
      </c>
      <c r="C60" s="736">
        <f t="shared" si="7"/>
        <v>6</v>
      </c>
      <c r="D60" s="688" t="str">
        <f t="shared" si="7"/>
        <v>m</v>
      </c>
      <c r="E60" s="685">
        <f t="shared" si="7"/>
        <v>0</v>
      </c>
      <c r="F60" s="690">
        <f>VLOOKUP(B60+C60,data!$A$31:$E$89,4,FALSE)</f>
        <v>0.85</v>
      </c>
      <c r="G60" s="737">
        <f t="shared" si="8"/>
        <v>0</v>
      </c>
      <c r="H60" s="655"/>
    </row>
    <row r="61" spans="1:8" ht="15">
      <c r="A61" s="683"/>
      <c r="B61" s="735">
        <f t="shared" si="7"/>
        <v>75</v>
      </c>
      <c r="C61" s="736">
        <f t="shared" si="7"/>
        <v>6</v>
      </c>
      <c r="D61" s="688" t="str">
        <f t="shared" si="7"/>
        <v>m</v>
      </c>
      <c r="E61" s="685">
        <f t="shared" si="7"/>
        <v>0</v>
      </c>
      <c r="F61" s="690">
        <f>VLOOKUP(B61+C61,data!$A$31:$E$89,4,FALSE)</f>
        <v>1.1910000000000001</v>
      </c>
      <c r="G61" s="737">
        <f t="shared" si="8"/>
        <v>0</v>
      </c>
      <c r="H61" s="655"/>
    </row>
    <row r="62" spans="1:8" ht="15">
      <c r="A62" s="683"/>
      <c r="B62" s="735">
        <f t="shared" si="7"/>
        <v>90</v>
      </c>
      <c r="C62" s="736">
        <f t="shared" si="7"/>
        <v>6</v>
      </c>
      <c r="D62" s="688" t="str">
        <f t="shared" si="7"/>
        <v>m</v>
      </c>
      <c r="E62" s="685">
        <f t="shared" si="7"/>
        <v>0</v>
      </c>
      <c r="F62" s="690">
        <f>VLOOKUP(B62+C62,data!$A$31:$E$89,4,FALSE)</f>
        <v>1.7150000000000001</v>
      </c>
      <c r="G62" s="737">
        <f t="shared" si="8"/>
        <v>0</v>
      </c>
      <c r="H62" s="655"/>
    </row>
    <row r="63" spans="1:8" ht="15">
      <c r="A63" s="683"/>
      <c r="B63" s="735">
        <f t="shared" si="7"/>
        <v>110</v>
      </c>
      <c r="C63" s="736">
        <f t="shared" si="7"/>
        <v>6</v>
      </c>
      <c r="D63" s="688" t="str">
        <f t="shared" si="7"/>
        <v>m</v>
      </c>
      <c r="E63" s="685">
        <f t="shared" si="7"/>
        <v>0</v>
      </c>
      <c r="F63" s="690">
        <f>VLOOKUP(B63+C63,data!$A$31:$E$89,4,FALSE)</f>
        <v>2.5449999999999999</v>
      </c>
      <c r="G63" s="737">
        <f t="shared" si="8"/>
        <v>0</v>
      </c>
      <c r="H63" s="655"/>
    </row>
    <row r="64" spans="1:8" ht="15">
      <c r="A64" s="683"/>
      <c r="B64" s="735">
        <f t="shared" si="7"/>
        <v>125</v>
      </c>
      <c r="C64" s="736">
        <f t="shared" si="7"/>
        <v>6</v>
      </c>
      <c r="D64" s="688" t="str">
        <f t="shared" si="7"/>
        <v>m</v>
      </c>
      <c r="E64" s="685">
        <f t="shared" si="7"/>
        <v>0</v>
      </c>
      <c r="F64" s="690">
        <f>VLOOKUP(B64+C64,data!$A$31:$E$89,4,FALSE)</f>
        <v>3.2930000000000001</v>
      </c>
      <c r="G64" s="737">
        <f t="shared" si="8"/>
        <v>0</v>
      </c>
      <c r="H64" s="655"/>
    </row>
    <row r="65" spans="1:8" ht="15">
      <c r="A65" s="683"/>
      <c r="B65" s="735">
        <f t="shared" si="7"/>
        <v>16</v>
      </c>
      <c r="C65" s="736">
        <f t="shared" si="7"/>
        <v>10</v>
      </c>
      <c r="D65" s="688" t="str">
        <f t="shared" si="7"/>
        <v>m</v>
      </c>
      <c r="E65" s="685">
        <f t="shared" si="7"/>
        <v>0</v>
      </c>
      <c r="F65" s="690">
        <f>VLOOKUP(B65+C65,data!$A$31:$E$89,4,FALSE)</f>
        <v>9.1999999999999998E-2</v>
      </c>
      <c r="G65" s="737">
        <f t="shared" si="8"/>
        <v>0</v>
      </c>
      <c r="H65" s="655"/>
    </row>
    <row r="66" spans="1:8" ht="15">
      <c r="A66" s="683"/>
      <c r="B66" s="735">
        <f t="shared" si="7"/>
        <v>20</v>
      </c>
      <c r="C66" s="736">
        <f t="shared" si="7"/>
        <v>10</v>
      </c>
      <c r="D66" s="688" t="str">
        <f t="shared" si="7"/>
        <v>m</v>
      </c>
      <c r="E66" s="685">
        <f t="shared" si="7"/>
        <v>0</v>
      </c>
      <c r="F66" s="690">
        <f>VLOOKUP(B66+C66,data!$A$31:$E$89,4,FALSE)</f>
        <v>0.13400000000000001</v>
      </c>
      <c r="G66" s="737">
        <f t="shared" si="8"/>
        <v>0</v>
      </c>
      <c r="H66" s="655"/>
    </row>
    <row r="67" spans="1:8" ht="15">
      <c r="A67" s="683"/>
      <c r="B67" s="735">
        <f t="shared" si="7"/>
        <v>25</v>
      </c>
      <c r="C67" s="736">
        <f t="shared" si="7"/>
        <v>10</v>
      </c>
      <c r="D67" s="688" t="str">
        <f t="shared" si="7"/>
        <v>m</v>
      </c>
      <c r="E67" s="685">
        <f t="shared" si="7"/>
        <v>0</v>
      </c>
      <c r="F67" s="690">
        <f>VLOOKUP(B67+C67,data!$A$31:$E$89,4,FALSE)</f>
        <v>0.20200000000000001</v>
      </c>
      <c r="G67" s="737">
        <f t="shared" si="8"/>
        <v>0</v>
      </c>
      <c r="H67" s="655"/>
    </row>
    <row r="68" spans="1:8" ht="15">
      <c r="A68" s="683"/>
      <c r="B68" s="735">
        <f t="shared" si="7"/>
        <v>32</v>
      </c>
      <c r="C68" s="736">
        <f t="shared" si="7"/>
        <v>10</v>
      </c>
      <c r="D68" s="688" t="str">
        <f t="shared" si="7"/>
        <v>m</v>
      </c>
      <c r="E68" s="685">
        <f t="shared" si="7"/>
        <v>0</v>
      </c>
      <c r="F68" s="690">
        <f>VLOOKUP(B68+C68,data!$A$31:$E$89,4,FALSE)</f>
        <v>0.33400000000000002</v>
      </c>
      <c r="G68" s="737">
        <f t="shared" si="8"/>
        <v>0</v>
      </c>
      <c r="H68" s="655"/>
    </row>
    <row r="69" spans="1:8" ht="15">
      <c r="A69" s="683"/>
      <c r="B69" s="735">
        <f t="shared" si="7"/>
        <v>40</v>
      </c>
      <c r="C69" s="736">
        <f t="shared" si="7"/>
        <v>10</v>
      </c>
      <c r="D69" s="688" t="str">
        <f t="shared" si="7"/>
        <v>m</v>
      </c>
      <c r="E69" s="685">
        <f t="shared" si="7"/>
        <v>0</v>
      </c>
      <c r="F69" s="690">
        <f>VLOOKUP(B69+C69,data!$A$31:$E$89,4,FALSE)</f>
        <v>0.51400000000000001</v>
      </c>
      <c r="G69" s="737">
        <f t="shared" si="8"/>
        <v>0</v>
      </c>
      <c r="H69" s="655"/>
    </row>
    <row r="70" spans="1:8" ht="15">
      <c r="A70" s="683"/>
      <c r="B70" s="735">
        <f t="shared" si="7"/>
        <v>50</v>
      </c>
      <c r="C70" s="736">
        <f t="shared" si="7"/>
        <v>10</v>
      </c>
      <c r="D70" s="688" t="str">
        <f t="shared" si="7"/>
        <v>m</v>
      </c>
      <c r="E70" s="685">
        <f t="shared" si="7"/>
        <v>0</v>
      </c>
      <c r="F70" s="690">
        <f>VLOOKUP(B70+C70,data!$A$31:$E$89,4,FALSE)</f>
        <v>0.79600000000000004</v>
      </c>
      <c r="G70" s="737">
        <f t="shared" si="8"/>
        <v>0</v>
      </c>
      <c r="H70" s="655"/>
    </row>
    <row r="71" spans="1:8" ht="15">
      <c r="A71" s="683"/>
      <c r="B71" s="735">
        <f t="shared" si="7"/>
        <v>63</v>
      </c>
      <c r="C71" s="736">
        <f t="shared" si="7"/>
        <v>10</v>
      </c>
      <c r="D71" s="688" t="str">
        <f t="shared" si="7"/>
        <v>m</v>
      </c>
      <c r="E71" s="685">
        <f t="shared" si="7"/>
        <v>0</v>
      </c>
      <c r="F71" s="690">
        <f>VLOOKUP(B71+C71,data!$A$31:$E$89,4,FALSE)</f>
        <v>1.2689999999999999</v>
      </c>
      <c r="G71" s="737">
        <f t="shared" si="8"/>
        <v>0</v>
      </c>
      <c r="H71" s="655"/>
    </row>
    <row r="72" spans="1:8" ht="15">
      <c r="A72" s="683"/>
      <c r="B72" s="735">
        <f t="shared" si="7"/>
        <v>75</v>
      </c>
      <c r="C72" s="736">
        <f t="shared" si="7"/>
        <v>10</v>
      </c>
      <c r="D72" s="688" t="str">
        <f t="shared" si="7"/>
        <v>m</v>
      </c>
      <c r="E72" s="685">
        <f t="shared" si="7"/>
        <v>0</v>
      </c>
      <c r="F72" s="690">
        <f>VLOOKUP(B72+C72,data!$A$31:$E$89,4,FALSE)</f>
        <v>1.782</v>
      </c>
      <c r="G72" s="737">
        <f t="shared" si="8"/>
        <v>0</v>
      </c>
      <c r="H72" s="655"/>
    </row>
    <row r="73" spans="1:8" ht="15">
      <c r="A73" s="683"/>
      <c r="B73" s="735">
        <f t="shared" si="7"/>
        <v>90</v>
      </c>
      <c r="C73" s="736">
        <f t="shared" si="7"/>
        <v>10</v>
      </c>
      <c r="D73" s="688" t="str">
        <f t="shared" si="7"/>
        <v>m</v>
      </c>
      <c r="E73" s="685">
        <f t="shared" si="7"/>
        <v>0</v>
      </c>
      <c r="F73" s="690">
        <f>VLOOKUP(B73+C73,data!$A$31:$E$89,4,FALSE)</f>
        <v>2.5680000000000001</v>
      </c>
      <c r="G73" s="737">
        <f t="shared" si="8"/>
        <v>0</v>
      </c>
      <c r="H73" s="655"/>
    </row>
    <row r="74" spans="1:8" ht="15">
      <c r="A74" s="683"/>
      <c r="B74" s="735">
        <f t="shared" si="7"/>
        <v>110</v>
      </c>
      <c r="C74" s="736">
        <f t="shared" si="7"/>
        <v>10</v>
      </c>
      <c r="D74" s="688" t="str">
        <f t="shared" si="7"/>
        <v>m</v>
      </c>
      <c r="E74" s="685">
        <f t="shared" si="7"/>
        <v>0</v>
      </c>
      <c r="F74" s="690">
        <f>VLOOKUP(B74+C74,data!$A$31:$E$89,4,FALSE)</f>
        <v>3.8010000000000002</v>
      </c>
      <c r="G74" s="737">
        <f t="shared" si="8"/>
        <v>0</v>
      </c>
      <c r="H74" s="655"/>
    </row>
    <row r="75" spans="1:8" ht="15">
      <c r="A75" s="683"/>
      <c r="B75" s="735">
        <f t="shared" si="7"/>
        <v>125</v>
      </c>
      <c r="C75" s="736">
        <f t="shared" si="7"/>
        <v>10</v>
      </c>
      <c r="D75" s="688" t="str">
        <f t="shared" si="7"/>
        <v>m</v>
      </c>
      <c r="E75" s="685">
        <f t="shared" si="7"/>
        <v>0</v>
      </c>
      <c r="F75" s="690">
        <f>VLOOKUP(B75+C75,data!$A$31:$E$89,4,FALSE)</f>
        <v>4.9619999999999997</v>
      </c>
      <c r="G75" s="737">
        <f t="shared" si="8"/>
        <v>0</v>
      </c>
      <c r="H75" s="655"/>
    </row>
    <row r="76" spans="1:8" ht="15">
      <c r="A76" s="683"/>
      <c r="B76" s="735">
        <f t="shared" si="7"/>
        <v>110</v>
      </c>
      <c r="C76" s="736">
        <f t="shared" si="7"/>
        <v>4</v>
      </c>
      <c r="D76" s="688" t="str">
        <f t="shared" si="7"/>
        <v>m</v>
      </c>
      <c r="E76" s="685">
        <f t="shared" si="7"/>
        <v>0</v>
      </c>
      <c r="F76" s="690">
        <f>VLOOKUP(B76+C76,data!$A$31:$E$89,4,FALSE)</f>
        <v>1.7030000000000001</v>
      </c>
      <c r="G76" s="737">
        <f t="shared" si="8"/>
        <v>0</v>
      </c>
      <c r="H76" s="655"/>
    </row>
    <row r="77" spans="1:8" ht="15">
      <c r="A77" s="683"/>
      <c r="B77" s="735">
        <f t="shared" si="7"/>
        <v>63</v>
      </c>
      <c r="C77" s="736">
        <f t="shared" si="7"/>
        <v>4</v>
      </c>
      <c r="D77" s="688" t="str">
        <f t="shared" si="7"/>
        <v>m</v>
      </c>
      <c r="E77" s="685">
        <f t="shared" si="7"/>
        <v>0</v>
      </c>
      <c r="F77" s="690">
        <f>VLOOKUP(B77+C77,data!$A$31:$E$89,4,FALSE)</f>
        <v>0.58499999999999996</v>
      </c>
      <c r="G77" s="737">
        <f t="shared" si="8"/>
        <v>0</v>
      </c>
      <c r="H77" s="655"/>
    </row>
    <row r="78" spans="1:8" ht="15">
      <c r="A78" s="683"/>
      <c r="B78" s="735">
        <v>250</v>
      </c>
      <c r="C78" s="736">
        <v>10</v>
      </c>
      <c r="D78" s="688" t="s">
        <v>965</v>
      </c>
      <c r="E78" s="2281">
        <f>E28</f>
        <v>1518</v>
      </c>
      <c r="F78" s="690">
        <f>VLOOKUP(B78+C78,data!$A$31:$E$89,4,FALSE)</f>
        <v>19.757000000000001</v>
      </c>
      <c r="G78" s="737">
        <f t="shared" si="8"/>
        <v>29991.126000000004</v>
      </c>
      <c r="H78" s="655"/>
    </row>
    <row r="79" spans="1:8" ht="15.75">
      <c r="A79" s="683"/>
      <c r="B79" s="735"/>
      <c r="C79" s="738" t="s">
        <v>1403</v>
      </c>
      <c r="D79" s="688"/>
      <c r="E79" s="685">
        <f>SUM(E57:E78)</f>
        <v>1518</v>
      </c>
      <c r="F79" s="688"/>
      <c r="G79" s="739">
        <f>SUM(G57:G78)</f>
        <v>29991.126000000004</v>
      </c>
      <c r="H79" s="655"/>
    </row>
    <row r="80" spans="1:8" ht="15.75">
      <c r="A80" s="683"/>
      <c r="B80" s="734" t="s">
        <v>1410</v>
      </c>
      <c r="C80" s="685"/>
      <c r="D80" s="685"/>
      <c r="E80" s="685"/>
      <c r="F80" s="688"/>
      <c r="G80" s="740"/>
      <c r="H80" s="655"/>
    </row>
    <row r="81" spans="1:8" ht="15">
      <c r="A81" s="683"/>
      <c r="B81" s="735">
        <f t="shared" ref="B81:E86" si="9">B36</f>
        <v>15</v>
      </c>
      <c r="C81" s="741" t="str">
        <f t="shared" si="9"/>
        <v>GI (Heavy)</v>
      </c>
      <c r="D81" s="688" t="str">
        <f t="shared" si="9"/>
        <v>m</v>
      </c>
      <c r="E81" s="685">
        <f t="shared" si="9"/>
        <v>0</v>
      </c>
      <c r="F81" s="690">
        <f>IF(C81="GI (Medium)",VLOOKUP(B81,data!$A$4:$D$14,3,FALSE),IF(C81="GI (Heavy)",VLOOKUP(B81,data!$A$17:$D$27,3,FALSE),0))</f>
        <v>1.5129999999999999</v>
      </c>
      <c r="G81" s="737">
        <f>E81*F81</f>
        <v>0</v>
      </c>
      <c r="H81" s="655"/>
    </row>
    <row r="82" spans="1:8" ht="15">
      <c r="A82" s="683"/>
      <c r="B82" s="735">
        <f t="shared" si="9"/>
        <v>25</v>
      </c>
      <c r="C82" s="741" t="str">
        <f t="shared" si="9"/>
        <v>GI (Heavy)</v>
      </c>
      <c r="D82" s="688" t="str">
        <f t="shared" si="9"/>
        <v>m</v>
      </c>
      <c r="E82" s="685">
        <f t="shared" si="9"/>
        <v>0</v>
      </c>
      <c r="F82" s="690">
        <f>IF(C82="GI (Medium)",VLOOKUP(B82,data!$A$4:$D$14,3,FALSE),IF(C82="GI (Heavy)",VLOOKUP(B82,data!$A$17:$D$27,3,FALSE),0))</f>
        <v>3.077</v>
      </c>
      <c r="G82" s="737">
        <f t="shared" ref="G82:G86" si="10">E82*F82</f>
        <v>0</v>
      </c>
      <c r="H82" s="655"/>
    </row>
    <row r="83" spans="1:8" ht="15">
      <c r="A83" s="683"/>
      <c r="B83" s="735">
        <f t="shared" si="9"/>
        <v>32</v>
      </c>
      <c r="C83" s="741" t="str">
        <f t="shared" si="9"/>
        <v>GI (Heavy)</v>
      </c>
      <c r="D83" s="688" t="str">
        <f t="shared" si="9"/>
        <v>m</v>
      </c>
      <c r="E83" s="685">
        <f t="shared" si="9"/>
        <v>0</v>
      </c>
      <c r="F83" s="690">
        <f>IF(C83="GI (Medium)",VLOOKUP(B83,data!$A$4:$D$14,3,FALSE),IF(C83="GI (Heavy)",VLOOKUP(B83,data!$A$17:$D$27,3,FALSE),0))</f>
        <v>3.968</v>
      </c>
      <c r="G83" s="737">
        <f t="shared" si="10"/>
        <v>0</v>
      </c>
      <c r="H83" s="655"/>
    </row>
    <row r="84" spans="1:8" ht="15">
      <c r="A84" s="683"/>
      <c r="B84" s="735">
        <f t="shared" si="9"/>
        <v>40</v>
      </c>
      <c r="C84" s="741" t="str">
        <f t="shared" si="9"/>
        <v>GI (Heavy)</v>
      </c>
      <c r="D84" s="688" t="str">
        <f t="shared" si="9"/>
        <v>m</v>
      </c>
      <c r="E84" s="685">
        <f t="shared" si="9"/>
        <v>0</v>
      </c>
      <c r="F84" s="690">
        <f>IF(C84="GI (Medium)",VLOOKUP(B84,data!$A$4:$D$14,3,FALSE),IF(C84="GI (Heavy)",VLOOKUP(B84,data!$A$17:$D$27,3,FALSE),0))</f>
        <v>4.5869999999999997</v>
      </c>
      <c r="G84" s="737">
        <f t="shared" si="10"/>
        <v>0</v>
      </c>
      <c r="H84" s="655"/>
    </row>
    <row r="85" spans="1:8" ht="15">
      <c r="A85" s="683"/>
      <c r="B85" s="735">
        <f t="shared" si="9"/>
        <v>50</v>
      </c>
      <c r="C85" s="741" t="str">
        <f t="shared" si="9"/>
        <v>GI (Heavy)</v>
      </c>
      <c r="D85" s="688" t="str">
        <f t="shared" si="9"/>
        <v>m</v>
      </c>
      <c r="E85" s="685">
        <f t="shared" si="9"/>
        <v>0</v>
      </c>
      <c r="F85" s="690">
        <f>IF(C85="GI (Medium)",VLOOKUP(B85,data!$A$4:$D$14,3,FALSE),IF(C85="GI (Heavy)",VLOOKUP(B85,data!$A$17:$D$27,3,FALSE),0))</f>
        <v>6.3689999999999998</v>
      </c>
      <c r="G85" s="737">
        <f t="shared" si="10"/>
        <v>0</v>
      </c>
      <c r="H85" s="655"/>
    </row>
    <row r="86" spans="1:8" ht="15">
      <c r="A86" s="683"/>
      <c r="B86" s="735">
        <f t="shared" si="9"/>
        <v>80</v>
      </c>
      <c r="C86" s="741" t="str">
        <f t="shared" si="9"/>
        <v>GI (Heavy)</v>
      </c>
      <c r="D86" s="688" t="str">
        <f t="shared" si="9"/>
        <v>m</v>
      </c>
      <c r="E86" s="685">
        <f t="shared" si="9"/>
        <v>0</v>
      </c>
      <c r="F86" s="690">
        <f>IF(C86="GI (Medium)",VLOOKUP(B86,data!$A$4:$D$14,3,FALSE),IF(C86="GI (Heavy)",VLOOKUP(B86,data!$A$17:$D$27,3,FALSE),0))</f>
        <v>10.417</v>
      </c>
      <c r="G86" s="737">
        <f t="shared" si="10"/>
        <v>0</v>
      </c>
      <c r="H86" s="655"/>
    </row>
    <row r="87" spans="1:8" ht="15">
      <c r="A87" s="683"/>
      <c r="B87" s="735">
        <f t="shared" ref="B87:E87" si="11">B42</f>
        <v>100</v>
      </c>
      <c r="C87" s="741" t="str">
        <f t="shared" si="11"/>
        <v>GI (Heavy)</v>
      </c>
      <c r="D87" s="688" t="str">
        <f t="shared" si="11"/>
        <v>m</v>
      </c>
      <c r="E87" s="685">
        <f t="shared" si="11"/>
        <v>2285</v>
      </c>
      <c r="F87" s="690">
        <f>IF(C87="GI (Medium)",VLOOKUP(B87,data!$A$4:$D$14,3,FALSE),IF(C87="GI (Heavy)",VLOOKUP(B87,data!$A$17:$D$27,3,FALSE),0))</f>
        <v>15.436</v>
      </c>
      <c r="G87" s="737">
        <f t="shared" ref="G87:G89" si="12">E87*F87</f>
        <v>35271.26</v>
      </c>
      <c r="H87" s="655"/>
    </row>
    <row r="88" spans="1:8" ht="15">
      <c r="A88" s="683"/>
      <c r="B88" s="735">
        <f t="shared" ref="B88:E88" si="13">B43</f>
        <v>125</v>
      </c>
      <c r="C88" s="741" t="str">
        <f t="shared" si="13"/>
        <v>GI (Heavy)</v>
      </c>
      <c r="D88" s="688" t="str">
        <f t="shared" si="13"/>
        <v>m</v>
      </c>
      <c r="E88" s="685">
        <f t="shared" si="13"/>
        <v>0</v>
      </c>
      <c r="F88" s="690">
        <f>IF(C88="GI (Medium)",VLOOKUP(B88,data!$A$4:$D$14,3,FALSE),IF(C88="GI (Heavy)",VLOOKUP(B88,data!$A$17:$D$27,3,FALSE),0))</f>
        <v>18.52</v>
      </c>
      <c r="G88" s="737">
        <f t="shared" si="12"/>
        <v>0</v>
      </c>
      <c r="H88" s="655"/>
    </row>
    <row r="89" spans="1:8" ht="15">
      <c r="A89" s="683"/>
      <c r="B89" s="735">
        <f t="shared" ref="B89:E89" si="14">B44</f>
        <v>150</v>
      </c>
      <c r="C89" s="741" t="str">
        <f t="shared" si="14"/>
        <v>GI (Heavy)</v>
      </c>
      <c r="D89" s="688" t="str">
        <f t="shared" si="14"/>
        <v>m</v>
      </c>
      <c r="E89" s="685">
        <f t="shared" si="14"/>
        <v>1529</v>
      </c>
      <c r="F89" s="690">
        <f>IF(C89="GI (Medium)",VLOOKUP(B89,data!$A$4:$D$14,3,FALSE),IF(C89="GI (Heavy)",VLOOKUP(B89,data!$A$17:$D$27,3,FALSE),0))</f>
        <v>22.22</v>
      </c>
      <c r="G89" s="737">
        <f t="shared" si="12"/>
        <v>33974.379999999997</v>
      </c>
      <c r="H89" s="655"/>
    </row>
    <row r="90" spans="1:8" ht="15.75">
      <c r="A90" s="683"/>
      <c r="B90" s="738" t="s">
        <v>1403</v>
      </c>
      <c r="C90" s="685"/>
      <c r="D90" s="685"/>
      <c r="E90" s="690">
        <f>SUM(E81:E89)</f>
        <v>3814</v>
      </c>
      <c r="F90" s="685"/>
      <c r="G90" s="737">
        <f>SUM(G81:G89)</f>
        <v>69245.64</v>
      </c>
      <c r="H90" s="655"/>
    </row>
    <row r="91" spans="1:8" ht="15.75">
      <c r="A91" s="722"/>
      <c r="B91" s="738"/>
      <c r="C91" s="685"/>
      <c r="D91" s="685"/>
      <c r="E91" s="690"/>
      <c r="F91" s="685"/>
      <c r="G91" s="737"/>
    </row>
    <row r="92" spans="1:8">
      <c r="A92" s="722"/>
      <c r="B92" s="685" t="s">
        <v>2850</v>
      </c>
      <c r="C92" s="685"/>
      <c r="D92" s="685"/>
      <c r="E92" s="685"/>
      <c r="F92" s="685"/>
      <c r="G92" s="737">
        <f>(G79+G90)*0.15+FittingsSummary!AA126+tools!F39</f>
        <v>17103.674999999999</v>
      </c>
    </row>
    <row r="93" spans="1:8" ht="15">
      <c r="A93" s="1813"/>
      <c r="B93" s="726" t="s">
        <v>1420</v>
      </c>
      <c r="C93" s="725"/>
      <c r="D93" s="725"/>
      <c r="E93" s="725"/>
      <c r="F93" s="725"/>
      <c r="G93" s="1814">
        <f>G79+G90+G92</f>
        <v>116340.44100000001</v>
      </c>
    </row>
    <row r="94" spans="1:8">
      <c r="D94" s="685"/>
      <c r="E94" s="685"/>
      <c r="G94" s="655"/>
      <c r="H94" s="655"/>
    </row>
  </sheetData>
  <mergeCells count="9">
    <mergeCell ref="A52:G52"/>
    <mergeCell ref="B54:C54"/>
    <mergeCell ref="A1:G1"/>
    <mergeCell ref="A3:A4"/>
    <mergeCell ref="B3:C4"/>
    <mergeCell ref="D3:D4"/>
    <mergeCell ref="E3:E4"/>
    <mergeCell ref="F3:F4"/>
    <mergeCell ref="G3:G4"/>
  </mergeCells>
  <printOptions horizontalCentered="1"/>
  <pageMargins left="1.1399999999999999" right="1" top="0.35" bottom="0.54" header="0.45" footer="0.54"/>
  <pageSetup paperSize="9" orientation="portrait" horizontalDpi="180" verticalDpi="180" r:id="rId1"/>
  <headerFooter alignWithMargins="0">
    <oddFooter>&amp;LEstimated by&amp;CChecked by&amp;RApproved by</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42"/>
  <sheetViews>
    <sheetView workbookViewId="0">
      <selection sqref="A1:I1"/>
    </sheetView>
  </sheetViews>
  <sheetFormatPr defaultColWidth="8.85546875" defaultRowHeight="15"/>
  <cols>
    <col min="1" max="1" width="7.140625" style="2299" customWidth="1"/>
    <col min="2" max="2" width="31.7109375" style="2299" customWidth="1"/>
    <col min="3" max="3" width="8.42578125" style="2299" customWidth="1"/>
    <col min="4" max="6" width="8.85546875" style="2299"/>
    <col min="7" max="7" width="14.5703125" style="2299" customWidth="1"/>
    <col min="8" max="8" width="8.85546875" style="2299"/>
    <col min="9" max="9" width="11.42578125" style="2299" customWidth="1"/>
    <col min="10" max="16384" width="8.85546875" style="2299"/>
  </cols>
  <sheetData>
    <row r="1" spans="1:9" ht="16.5">
      <c r="A1" s="2996" t="s">
        <v>3076</v>
      </c>
      <c r="B1" s="2996"/>
      <c r="C1" s="2996"/>
      <c r="D1" s="2996"/>
      <c r="E1" s="2996"/>
      <c r="F1" s="2996"/>
      <c r="G1" s="2996"/>
      <c r="H1" s="2996"/>
      <c r="I1" s="2996"/>
    </row>
    <row r="2" spans="1:9" ht="31.5">
      <c r="A2" s="2343" t="s">
        <v>961</v>
      </c>
      <c r="B2" s="2344" t="s">
        <v>962</v>
      </c>
      <c r="C2" s="2343" t="s">
        <v>1082</v>
      </c>
      <c r="D2" s="2345" t="s">
        <v>3077</v>
      </c>
      <c r="E2" s="2345" t="s">
        <v>3078</v>
      </c>
      <c r="F2" s="2345" t="s">
        <v>3079</v>
      </c>
      <c r="G2" s="2346" t="s">
        <v>964</v>
      </c>
      <c r="H2" s="2347" t="s">
        <v>1035</v>
      </c>
      <c r="I2" s="2345" t="s">
        <v>3080</v>
      </c>
    </row>
    <row r="3" spans="1:9" ht="15.75">
      <c r="A3" s="2348">
        <v>1</v>
      </c>
      <c r="B3" s="2349" t="s">
        <v>3081</v>
      </c>
      <c r="C3" s="2350"/>
      <c r="D3" s="2351"/>
      <c r="E3" s="2351"/>
      <c r="F3" s="2351"/>
      <c r="G3" s="2352"/>
      <c r="H3" s="2351"/>
      <c r="I3" s="2351"/>
    </row>
    <row r="4" spans="1:9" ht="15.75">
      <c r="A4" s="2348"/>
      <c r="B4" s="2353"/>
      <c r="C4" s="2350">
        <v>1</v>
      </c>
      <c r="D4" s="2351"/>
      <c r="E4" s="2351"/>
      <c r="F4" s="2351"/>
      <c r="G4" s="2346">
        <f>F4*E4*D4*C4</f>
        <v>0</v>
      </c>
      <c r="H4" s="2347" t="s">
        <v>1221</v>
      </c>
      <c r="I4" s="2351"/>
    </row>
    <row r="5" spans="1:9" ht="15.75">
      <c r="A5" s="2348"/>
      <c r="B5" s="2353"/>
      <c r="C5" s="2350"/>
      <c r="D5" s="2351"/>
      <c r="E5" s="2351"/>
      <c r="F5" s="2351"/>
      <c r="G5" s="2346"/>
      <c r="H5" s="2347"/>
      <c r="I5" s="2351"/>
    </row>
    <row r="6" spans="1:9" ht="15.75">
      <c r="A6" s="2348">
        <v>2</v>
      </c>
      <c r="B6" s="2349" t="s">
        <v>3082</v>
      </c>
      <c r="C6" s="2350"/>
      <c r="D6" s="2351"/>
      <c r="E6" s="2351"/>
      <c r="F6" s="2351"/>
      <c r="G6" s="2346"/>
      <c r="H6" s="2347"/>
      <c r="I6" s="2351"/>
    </row>
    <row r="7" spans="1:9" ht="15.75">
      <c r="A7" s="2348"/>
      <c r="B7" s="2353"/>
      <c r="C7" s="2350">
        <v>9</v>
      </c>
      <c r="D7" s="2351">
        <v>2</v>
      </c>
      <c r="E7" s="2351">
        <v>2</v>
      </c>
      <c r="F7" s="2351">
        <v>2.5</v>
      </c>
      <c r="G7" s="2346">
        <f>PRODUCT(C7:F7)</f>
        <v>90</v>
      </c>
      <c r="H7" s="2347"/>
      <c r="I7" s="2351"/>
    </row>
    <row r="8" spans="1:9" ht="15.75">
      <c r="A8" s="2348"/>
      <c r="B8" s="2353"/>
      <c r="C8" s="2350"/>
      <c r="D8" s="2351"/>
      <c r="E8" s="2351"/>
      <c r="F8" s="2351"/>
      <c r="G8" s="2346">
        <f>PRODUCT(C8:F8)</f>
        <v>0</v>
      </c>
      <c r="H8" s="2347"/>
      <c r="I8" s="2351"/>
    </row>
    <row r="9" spans="1:9" ht="15.75">
      <c r="A9" s="2348"/>
      <c r="B9" s="2353"/>
      <c r="C9" s="2350"/>
      <c r="D9" s="2351"/>
      <c r="E9" s="2997" t="s">
        <v>3083</v>
      </c>
      <c r="F9" s="2998"/>
      <c r="G9" s="2346">
        <f>SUM(G7:G8)</f>
        <v>90</v>
      </c>
      <c r="H9" s="2347" t="s">
        <v>3062</v>
      </c>
      <c r="I9" s="2351"/>
    </row>
    <row r="10" spans="1:9" ht="15.75">
      <c r="A10" s="2348">
        <v>3</v>
      </c>
      <c r="B10" s="2349" t="s">
        <v>3084</v>
      </c>
      <c r="C10" s="2350"/>
      <c r="D10" s="2354"/>
      <c r="E10" s="2355"/>
      <c r="F10" s="2356"/>
      <c r="G10" s="2346"/>
      <c r="H10" s="2347"/>
      <c r="I10" s="2351"/>
    </row>
    <row r="11" spans="1:9" ht="15.75">
      <c r="C11" s="2350">
        <v>1</v>
      </c>
      <c r="D11" s="2999" t="s">
        <v>3085</v>
      </c>
      <c r="E11" s="3000"/>
      <c r="F11" s="2998"/>
      <c r="G11" s="2346">
        <f>0.3*G9</f>
        <v>27</v>
      </c>
      <c r="H11" s="2347" t="s">
        <v>3062</v>
      </c>
      <c r="I11" s="2351"/>
    </row>
    <row r="12" spans="1:9" ht="15.75">
      <c r="A12" s="2348">
        <v>4</v>
      </c>
      <c r="B12" s="2349" t="s">
        <v>3086</v>
      </c>
      <c r="C12" s="2350"/>
      <c r="D12" s="2351"/>
      <c r="E12" s="2351"/>
      <c r="F12" s="2351"/>
      <c r="G12" s="2346"/>
      <c r="H12" s="2347"/>
      <c r="I12" s="2351"/>
    </row>
    <row r="13" spans="1:9" ht="15.75">
      <c r="A13" s="2348"/>
      <c r="B13" s="2353" t="s">
        <v>3087</v>
      </c>
      <c r="C13" s="2350">
        <v>9</v>
      </c>
      <c r="D13" s="2351">
        <v>2</v>
      </c>
      <c r="E13" s="2351">
        <v>2</v>
      </c>
      <c r="F13" s="2351"/>
      <c r="G13" s="2346">
        <f>PRODUCT(C13:F13)</f>
        <v>36</v>
      </c>
      <c r="H13" s="2351"/>
      <c r="I13" s="2351"/>
    </row>
    <row r="14" spans="1:9" ht="15.75">
      <c r="A14" s="2350"/>
      <c r="B14" s="2357"/>
      <c r="C14" s="2350"/>
      <c r="D14" s="2351"/>
      <c r="E14" s="2997" t="s">
        <v>3088</v>
      </c>
      <c r="F14" s="2998"/>
      <c r="G14" s="2346">
        <f>SUM(G13:G13)</f>
        <v>36</v>
      </c>
      <c r="H14" s="2347" t="s">
        <v>3065</v>
      </c>
      <c r="I14" s="2351"/>
    </row>
    <row r="15" spans="1:9" ht="15.75">
      <c r="A15" s="2348">
        <v>5</v>
      </c>
      <c r="B15" s="2344" t="s">
        <v>3089</v>
      </c>
      <c r="C15" s="2350"/>
      <c r="D15" s="2351"/>
      <c r="E15" s="2351"/>
      <c r="F15" s="2351"/>
      <c r="G15" s="2352"/>
      <c r="H15" s="2351"/>
      <c r="I15" s="2351"/>
    </row>
    <row r="16" spans="1:9" ht="15.75">
      <c r="A16" s="2350"/>
      <c r="B16" s="2353" t="s">
        <v>3087</v>
      </c>
      <c r="C16" s="2350">
        <v>9</v>
      </c>
      <c r="D16" s="2351">
        <v>2</v>
      </c>
      <c r="E16" s="2351">
        <v>2</v>
      </c>
      <c r="F16" s="2351"/>
      <c r="G16" s="2346">
        <f>PRODUCT(C16:F16)</f>
        <v>36</v>
      </c>
      <c r="H16" s="2351"/>
      <c r="I16" s="2351"/>
    </row>
    <row r="17" spans="1:9" ht="15.75">
      <c r="A17" s="2350"/>
      <c r="B17" s="2357"/>
      <c r="C17" s="2350"/>
      <c r="D17" s="2351"/>
      <c r="E17" s="2351"/>
      <c r="F17" s="2351"/>
      <c r="G17" s="2346">
        <f>PRODUCT(C17:F17)</f>
        <v>0</v>
      </c>
      <c r="H17" s="2351"/>
      <c r="I17" s="2351"/>
    </row>
    <row r="18" spans="1:9" ht="15.75">
      <c r="A18" s="2350"/>
      <c r="B18" s="2357"/>
      <c r="C18" s="2350"/>
      <c r="D18" s="2351"/>
      <c r="E18" s="2997" t="s">
        <v>3088</v>
      </c>
      <c r="F18" s="2998"/>
      <c r="G18" s="2346">
        <f>SUM(G16:G17)</f>
        <v>36</v>
      </c>
      <c r="H18" s="2347" t="s">
        <v>3065</v>
      </c>
      <c r="I18" s="2351"/>
    </row>
    <row r="19" spans="1:9" ht="15.75">
      <c r="A19" s="2343">
        <v>6</v>
      </c>
      <c r="B19" s="2344" t="s">
        <v>3090</v>
      </c>
      <c r="C19" s="2350"/>
      <c r="D19" s="2351"/>
      <c r="E19" s="2351"/>
      <c r="F19" s="2351"/>
      <c r="G19" s="2352"/>
      <c r="H19" s="2351"/>
      <c r="I19" s="2351"/>
    </row>
    <row r="20" spans="1:9" ht="15.75">
      <c r="A20" s="2343"/>
      <c r="B20" s="2357" t="s">
        <v>3091</v>
      </c>
      <c r="C20" s="2350">
        <v>9</v>
      </c>
      <c r="D20" s="2351">
        <v>1</v>
      </c>
      <c r="E20" s="2351">
        <v>1</v>
      </c>
      <c r="F20" s="2351">
        <v>0.5</v>
      </c>
      <c r="G20" s="2346">
        <f>PRODUCT(C20:F20)</f>
        <v>4.5</v>
      </c>
      <c r="H20" s="2347"/>
      <c r="I20" s="2347"/>
    </row>
    <row r="21" spans="1:9" ht="15.75">
      <c r="A21" s="2343"/>
      <c r="B21" s="2344" t="s">
        <v>1108</v>
      </c>
      <c r="C21" s="2343"/>
      <c r="D21" s="2347"/>
      <c r="E21" s="2347"/>
      <c r="F21" s="2347"/>
      <c r="G21" s="2346">
        <f>SUM(G20:G20)</f>
        <v>4.5</v>
      </c>
      <c r="H21" s="2347" t="s">
        <v>3062</v>
      </c>
      <c r="I21" s="2347"/>
    </row>
    <row r="22" spans="1:9" ht="15.75">
      <c r="A22" s="2343"/>
      <c r="B22" s="2344"/>
      <c r="C22" s="2343"/>
      <c r="D22" s="2347"/>
      <c r="E22" s="2347"/>
      <c r="F22" s="2347"/>
      <c r="G22" s="2346"/>
      <c r="H22" s="2347"/>
      <c r="I22" s="2347"/>
    </row>
    <row r="23" spans="1:9" ht="15.75">
      <c r="A23" s="2343">
        <v>7</v>
      </c>
      <c r="B23" s="2344" t="s">
        <v>3092</v>
      </c>
      <c r="C23" s="2350"/>
      <c r="D23" s="2351"/>
      <c r="E23" s="2351"/>
      <c r="F23" s="2351"/>
      <c r="G23" s="2352"/>
      <c r="H23" s="2351"/>
      <c r="I23" s="2351"/>
    </row>
    <row r="24" spans="1:9" ht="15.75">
      <c r="A24" s="2350"/>
      <c r="B24" s="2357" t="s">
        <v>3093</v>
      </c>
      <c r="C24" s="2350">
        <v>9</v>
      </c>
      <c r="D24" s="2351">
        <v>4</v>
      </c>
      <c r="E24" s="2351" t="s">
        <v>3094</v>
      </c>
      <c r="F24" s="2351">
        <v>1</v>
      </c>
      <c r="G24" s="2352">
        <f>PRODUCT(C24:F24)</f>
        <v>36</v>
      </c>
      <c r="H24" s="2351"/>
      <c r="I24" s="2351"/>
    </row>
    <row r="25" spans="1:9" ht="15.75">
      <c r="A25" s="2350"/>
      <c r="B25" s="2357" t="s">
        <v>3095</v>
      </c>
      <c r="C25" s="2350">
        <v>9</v>
      </c>
      <c r="D25" s="2351">
        <v>2.5</v>
      </c>
      <c r="E25" s="2351" t="s">
        <v>3094</v>
      </c>
      <c r="F25" s="2351">
        <v>1</v>
      </c>
      <c r="G25" s="2352">
        <f>PRODUCT(C25:F25)</f>
        <v>22.5</v>
      </c>
      <c r="H25" s="2351"/>
      <c r="I25" s="2351"/>
    </row>
    <row r="26" spans="1:9" ht="15.75">
      <c r="A26" s="2350"/>
      <c r="B26" s="2357"/>
      <c r="C26" s="2350"/>
      <c r="D26" s="2351"/>
      <c r="E26" s="2994" t="s">
        <v>3096</v>
      </c>
      <c r="F26" s="2995"/>
      <c r="G26" s="2346">
        <f>SUM(G24:G25)</f>
        <v>58.5</v>
      </c>
      <c r="H26" s="2358" t="s">
        <v>3062</v>
      </c>
      <c r="I26" s="2351"/>
    </row>
    <row r="27" spans="1:9" ht="15.75">
      <c r="A27" s="2343">
        <v>8</v>
      </c>
      <c r="B27" s="2344" t="s">
        <v>3097</v>
      </c>
      <c r="C27" s="2350"/>
      <c r="D27" s="2351"/>
      <c r="E27" s="2351"/>
      <c r="F27" s="2351"/>
      <c r="G27" s="2352"/>
      <c r="H27" s="2351"/>
      <c r="I27" s="2351"/>
    </row>
    <row r="28" spans="1:9" ht="15.75">
      <c r="A28" s="2350"/>
      <c r="B28" s="2357" t="s">
        <v>3098</v>
      </c>
      <c r="C28" s="2350">
        <v>9</v>
      </c>
      <c r="D28" s="2351">
        <f>9.75+2</f>
        <v>11.75</v>
      </c>
      <c r="E28" s="2359">
        <v>6.01</v>
      </c>
      <c r="F28" s="2351" t="s">
        <v>3099</v>
      </c>
      <c r="G28" s="2352">
        <f>PRODUCT(C28:F28)/3.28</f>
        <v>193.76753048780489</v>
      </c>
      <c r="H28" s="2351"/>
      <c r="I28" s="2351"/>
    </row>
    <row r="29" spans="1:9" ht="15.75">
      <c r="A29" s="2350"/>
      <c r="B29" s="2357" t="s">
        <v>3100</v>
      </c>
      <c r="C29" s="2350">
        <v>3</v>
      </c>
      <c r="D29" s="2351">
        <v>11.5</v>
      </c>
      <c r="E29" s="2359">
        <v>2.2999999999999998</v>
      </c>
      <c r="F29" s="2351" t="s">
        <v>3099</v>
      </c>
      <c r="G29" s="2352">
        <f t="shared" ref="G29:G32" si="0">PRODUCT(C29:F29)/3.28</f>
        <v>24.192073170731707</v>
      </c>
      <c r="H29" s="2351"/>
      <c r="I29" s="2351"/>
    </row>
    <row r="30" spans="1:9" ht="15.75">
      <c r="A30" s="2350"/>
      <c r="B30" s="2357" t="s">
        <v>3101</v>
      </c>
      <c r="C30" s="2350">
        <v>6</v>
      </c>
      <c r="D30" s="2351">
        <v>7</v>
      </c>
      <c r="E30" s="2359">
        <v>2.2999999999999998</v>
      </c>
      <c r="F30" s="2351" t="s">
        <v>3099</v>
      </c>
      <c r="G30" s="2352">
        <f t="shared" si="0"/>
        <v>29.451219512195124</v>
      </c>
      <c r="H30" s="2351"/>
      <c r="I30" s="2351"/>
    </row>
    <row r="31" spans="1:9" ht="15.75">
      <c r="A31" s="2350"/>
      <c r="B31" s="2357" t="s">
        <v>3102</v>
      </c>
      <c r="C31" s="2350">
        <v>6</v>
      </c>
      <c r="D31" s="2351">
        <v>15</v>
      </c>
      <c r="E31" s="2359">
        <v>1.72</v>
      </c>
      <c r="F31" s="2351" t="s">
        <v>3099</v>
      </c>
      <c r="G31" s="2352">
        <f t="shared" si="0"/>
        <v>47.195121951219519</v>
      </c>
      <c r="H31" s="2351"/>
      <c r="I31" s="2351"/>
    </row>
    <row r="32" spans="1:9" ht="15.75">
      <c r="A32" s="2350"/>
      <c r="B32" s="2357" t="s">
        <v>3103</v>
      </c>
      <c r="C32" s="2350">
        <v>12</v>
      </c>
      <c r="D32" s="2351">
        <v>40</v>
      </c>
      <c r="E32" s="2359">
        <v>1.72</v>
      </c>
      <c r="F32" s="2351" t="s">
        <v>3099</v>
      </c>
      <c r="G32" s="2352">
        <f t="shared" si="0"/>
        <v>251.70731707317074</v>
      </c>
      <c r="H32" s="2351"/>
      <c r="I32" s="2351"/>
    </row>
    <row r="33" spans="1:9" ht="15.75">
      <c r="A33" s="2350"/>
      <c r="B33" s="2357"/>
      <c r="C33" s="2350"/>
      <c r="D33" s="2351"/>
      <c r="E33" s="2994" t="s">
        <v>3104</v>
      </c>
      <c r="F33" s="2995"/>
      <c r="G33" s="2346">
        <f>SUM(G28:G32)</f>
        <v>546.31326219512198</v>
      </c>
      <c r="H33" s="2347" t="s">
        <v>192</v>
      </c>
      <c r="I33" s="2351"/>
    </row>
    <row r="34" spans="1:9" ht="15.75">
      <c r="A34" s="2343">
        <v>9</v>
      </c>
      <c r="B34" s="2344" t="s">
        <v>3105</v>
      </c>
      <c r="C34" s="2350"/>
      <c r="D34" s="2351"/>
      <c r="E34" s="2351"/>
      <c r="F34" s="2351"/>
      <c r="G34" s="2360"/>
      <c r="H34" s="2351"/>
      <c r="I34" s="2351"/>
    </row>
    <row r="35" spans="1:9" ht="15.75">
      <c r="A35" s="2350"/>
      <c r="B35" s="2357"/>
      <c r="C35" s="2350">
        <v>2</v>
      </c>
      <c r="D35" s="2351">
        <v>18.399999999999999</v>
      </c>
      <c r="E35" s="2351">
        <v>13.2</v>
      </c>
      <c r="F35" s="2351"/>
      <c r="G35" s="2360">
        <f>PRODUCT(C35:F35)</f>
        <v>485.75999999999993</v>
      </c>
      <c r="H35" s="2351"/>
      <c r="I35" s="2351"/>
    </row>
    <row r="36" spans="1:9" ht="15.75">
      <c r="A36" s="2350"/>
      <c r="B36" s="2357"/>
      <c r="C36" s="2350"/>
      <c r="D36" s="2351"/>
      <c r="E36" s="2994" t="s">
        <v>3106</v>
      </c>
      <c r="F36" s="2995"/>
      <c r="G36" s="2361">
        <f>SUM(G35)</f>
        <v>485.75999999999993</v>
      </c>
      <c r="H36" s="2347" t="s">
        <v>3065</v>
      </c>
      <c r="I36" s="2351"/>
    </row>
    <row r="37" spans="1:9" ht="15.75">
      <c r="A37" s="2350"/>
      <c r="B37" s="2357"/>
      <c r="C37" s="2350"/>
      <c r="D37" s="2351"/>
      <c r="E37" s="2358"/>
      <c r="F37" s="2362"/>
      <c r="G37" s="2361"/>
      <c r="H37" s="2347"/>
      <c r="I37" s="2351"/>
    </row>
    <row r="38" spans="1:9" ht="15.75">
      <c r="A38" s="2343">
        <v>16</v>
      </c>
      <c r="B38" s="2344" t="s">
        <v>3107</v>
      </c>
      <c r="C38" s="2350">
        <v>1</v>
      </c>
      <c r="D38" s="2351">
        <v>18.399999999999999</v>
      </c>
      <c r="E38" s="2351"/>
      <c r="F38" s="2351"/>
      <c r="G38" s="2352">
        <f>PRODUCT(C38:F38)</f>
        <v>18.399999999999999</v>
      </c>
      <c r="H38" s="2351"/>
      <c r="I38" s="2351"/>
    </row>
    <row r="39" spans="1:9" ht="15.75">
      <c r="A39" s="2343"/>
      <c r="B39" s="2344"/>
      <c r="C39" s="2343"/>
      <c r="D39" s="2347"/>
      <c r="E39" s="2994" t="s">
        <v>3108</v>
      </c>
      <c r="F39" s="2995"/>
      <c r="G39" s="2346">
        <f>SUM(G38)</f>
        <v>18.399999999999999</v>
      </c>
      <c r="H39" s="2347" t="s">
        <v>3073</v>
      </c>
      <c r="I39" s="2347"/>
    </row>
    <row r="40" spans="1:9" ht="15.75">
      <c r="A40" s="2343"/>
      <c r="B40" s="2344"/>
      <c r="C40" s="2343"/>
      <c r="D40" s="2347"/>
      <c r="E40" s="2347"/>
      <c r="F40" s="2347"/>
      <c r="G40" s="2346"/>
      <c r="H40" s="2347"/>
      <c r="I40" s="2347"/>
    </row>
    <row r="41" spans="1:9" ht="15.75">
      <c r="A41" s="2343">
        <v>10</v>
      </c>
      <c r="B41" s="2344" t="s">
        <v>3109</v>
      </c>
      <c r="C41" s="2350">
        <v>2</v>
      </c>
      <c r="D41" s="2351">
        <v>18.399999999999999</v>
      </c>
      <c r="E41" s="2351"/>
      <c r="F41" s="2351"/>
      <c r="G41" s="2352">
        <f>PRODUCT(C41:F41)</f>
        <v>36.799999999999997</v>
      </c>
      <c r="H41" s="2351"/>
      <c r="I41" s="2351"/>
    </row>
    <row r="42" spans="1:9" ht="15.75">
      <c r="A42" s="2350"/>
      <c r="B42" s="2357"/>
      <c r="C42" s="2350"/>
      <c r="D42" s="2351"/>
      <c r="E42" s="2994" t="s">
        <v>3108</v>
      </c>
      <c r="F42" s="2995"/>
      <c r="G42" s="2346">
        <f>SUM(G41)</f>
        <v>36.799999999999997</v>
      </c>
      <c r="H42" s="2347" t="s">
        <v>3073</v>
      </c>
      <c r="I42" s="2351"/>
    </row>
  </sheetData>
  <mergeCells count="10">
    <mergeCell ref="E33:F33"/>
    <mergeCell ref="E36:F36"/>
    <mergeCell ref="E39:F39"/>
    <mergeCell ref="E42:F42"/>
    <mergeCell ref="A1:I1"/>
    <mergeCell ref="E9:F9"/>
    <mergeCell ref="D11:F11"/>
    <mergeCell ref="E14:F14"/>
    <mergeCell ref="E18:F18"/>
    <mergeCell ref="E26:F26"/>
  </mergeCells>
  <pageMargins left="0.7" right="0.7" top="0.75" bottom="0.75" header="0.3" footer="0.3"/>
  <pageSetup scale="81"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0"/>
  </sheetPr>
  <dimension ref="A1:T444"/>
  <sheetViews>
    <sheetView workbookViewId="0">
      <selection sqref="A1:I1"/>
    </sheetView>
  </sheetViews>
  <sheetFormatPr defaultColWidth="8.85546875" defaultRowHeight="12.75"/>
  <cols>
    <col min="1" max="1" width="4.7109375" style="536" customWidth="1"/>
    <col min="2" max="2" width="30" style="536" customWidth="1"/>
    <col min="3" max="3" width="7" style="536" customWidth="1"/>
    <col min="4" max="4" width="6.7109375" style="536" customWidth="1"/>
    <col min="5" max="5" width="6" style="536" customWidth="1"/>
    <col min="6" max="6" width="9.42578125" style="536" customWidth="1"/>
    <col min="7" max="7" width="7.7109375" style="536" customWidth="1"/>
    <col min="8" max="8" width="11.140625" style="536" customWidth="1"/>
    <col min="9" max="9" width="14.42578125" style="536" customWidth="1"/>
    <col min="10" max="11" width="8.85546875" style="536"/>
    <col min="12" max="12" width="9.42578125" style="536" customWidth="1"/>
    <col min="13" max="13" width="11.7109375" style="536" customWidth="1"/>
    <col min="14" max="16" width="10.140625" style="536" customWidth="1"/>
    <col min="17" max="17" width="11.5703125" style="536" customWidth="1"/>
    <col min="18" max="18" width="10.28515625" style="536" bestFit="1" customWidth="1"/>
    <col min="19" max="16384" width="8.85546875" style="536"/>
  </cols>
  <sheetData>
    <row r="1" spans="1:20" ht="23.25">
      <c r="A1" s="3001" t="s">
        <v>1421</v>
      </c>
      <c r="B1" s="3001"/>
      <c r="C1" s="3001"/>
      <c r="D1" s="3001"/>
      <c r="E1" s="3001"/>
      <c r="F1" s="3001"/>
      <c r="G1" s="3001"/>
      <c r="H1" s="3001"/>
      <c r="I1" s="3001"/>
      <c r="J1" s="654">
        <f>'[63]Design-2'!$D$10</f>
        <v>1.481111111111111</v>
      </c>
    </row>
    <row r="2" spans="1:20" ht="15.75">
      <c r="A2" s="3002" t="s">
        <v>1422</v>
      </c>
      <c r="B2" s="3002"/>
      <c r="C2" s="3002"/>
      <c r="D2" s="3002"/>
      <c r="E2" s="3002"/>
      <c r="F2" s="3002"/>
      <c r="G2" s="3002"/>
      <c r="H2" s="3002"/>
      <c r="I2" s="3002"/>
      <c r="L2" s="1816">
        <v>250</v>
      </c>
    </row>
    <row r="3" spans="1:20" ht="15.75">
      <c r="A3" s="1817"/>
      <c r="B3" s="1818"/>
      <c r="C3" s="1819"/>
      <c r="D3" s="1818"/>
      <c r="E3" s="1818"/>
      <c r="F3" s="1818"/>
      <c r="G3" s="1818"/>
      <c r="H3" s="1818"/>
      <c r="L3" s="615" t="s">
        <v>1374</v>
      </c>
    </row>
    <row r="4" spans="1:20" ht="18">
      <c r="A4" s="1820"/>
      <c r="B4" s="1821"/>
      <c r="D4" s="1822"/>
      <c r="E4" s="1823"/>
      <c r="F4" s="1821"/>
      <c r="G4" s="1821"/>
      <c r="H4" s="1821"/>
    </row>
    <row r="5" spans="1:20">
      <c r="A5" s="1824" t="s">
        <v>405</v>
      </c>
      <c r="B5" s="1825" t="s">
        <v>1423</v>
      </c>
      <c r="C5" s="1826" t="s">
        <v>22</v>
      </c>
      <c r="D5" s="1826" t="s">
        <v>23</v>
      </c>
      <c r="E5" s="1826" t="s">
        <v>24</v>
      </c>
      <c r="F5" s="1826" t="s">
        <v>964</v>
      </c>
      <c r="G5" s="1826" t="s">
        <v>1035</v>
      </c>
      <c r="H5" s="1826" t="s">
        <v>97</v>
      </c>
      <c r="I5" s="1827" t="s">
        <v>52</v>
      </c>
    </row>
    <row r="6" spans="1:20">
      <c r="A6" s="1828"/>
      <c r="B6" s="1829"/>
      <c r="C6" s="1830"/>
      <c r="D6" s="1831"/>
      <c r="E6" s="1832"/>
      <c r="F6" s="1831"/>
      <c r="G6" s="1832"/>
      <c r="H6" s="1833"/>
      <c r="I6" s="1834"/>
    </row>
    <row r="7" spans="1:20" ht="15">
      <c r="A7" s="1835" t="s">
        <v>710</v>
      </c>
      <c r="B7" s="1836" t="s">
        <v>1424</v>
      </c>
      <c r="C7" s="1837"/>
      <c r="D7" s="1838"/>
      <c r="E7" s="1839"/>
      <c r="F7" s="1838"/>
      <c r="G7" s="1839"/>
      <c r="H7" s="1840"/>
      <c r="I7" s="1841"/>
    </row>
    <row r="8" spans="1:20" ht="13.5">
      <c r="A8" s="1835">
        <v>1</v>
      </c>
      <c r="B8" s="1840" t="s">
        <v>1425</v>
      </c>
      <c r="C8" s="1837">
        <f>SUM(M9:M38)*1.1</f>
        <v>284.49299999999999</v>
      </c>
      <c r="D8" s="1838">
        <v>0.45</v>
      </c>
      <c r="E8" s="1839">
        <v>0.9</v>
      </c>
      <c r="F8" s="1838">
        <f>ROUND(C8*D8*E8,2)</f>
        <v>115.22</v>
      </c>
      <c r="G8" s="1839" t="s">
        <v>2853</v>
      </c>
      <c r="H8" s="1842">
        <f>+Rates!$F$9</f>
        <v>1480.63</v>
      </c>
      <c r="I8" s="1843">
        <f>+ROUND(F8*H8,2)</f>
        <v>170598.19</v>
      </c>
      <c r="M8" s="1844" t="s">
        <v>1378</v>
      </c>
      <c r="N8" s="1844" t="s">
        <v>1379</v>
      </c>
      <c r="O8" s="1844" t="s">
        <v>1378</v>
      </c>
      <c r="P8" s="1844" t="s">
        <v>1379</v>
      </c>
      <c r="Q8" s="1844" t="s">
        <v>1108</v>
      </c>
      <c r="R8" s="1844" t="s">
        <v>1380</v>
      </c>
    </row>
    <row r="9" spans="1:20" ht="13.5">
      <c r="A9" s="1835">
        <v>2</v>
      </c>
      <c r="B9" s="1840" t="s">
        <v>1427</v>
      </c>
      <c r="C9" s="1837">
        <f>C8</f>
        <v>284.49299999999999</v>
      </c>
      <c r="D9" s="1838">
        <v>0.45</v>
      </c>
      <c r="E9" s="1839">
        <v>0.9</v>
      </c>
      <c r="F9" s="1838">
        <f>ROUND(C9*D9*E9,2)</f>
        <v>115.22</v>
      </c>
      <c r="G9" s="1839" t="s">
        <v>2853</v>
      </c>
      <c r="H9" s="1842">
        <f>+Rates!$F$15</f>
        <v>746.24</v>
      </c>
      <c r="I9" s="1843">
        <f>+ROUND(F9*H9,2)</f>
        <v>85981.77</v>
      </c>
      <c r="L9" s="1845" t="str">
        <f>Pipe!J8</f>
        <v>GPM-15</v>
      </c>
      <c r="M9" s="1846">
        <f>Pipe!K8</f>
        <v>0</v>
      </c>
      <c r="N9" s="1846">
        <f>Pipe!L8</f>
        <v>0</v>
      </c>
      <c r="O9" s="1846">
        <f>M9*1.1</f>
        <v>0</v>
      </c>
      <c r="P9" s="1846">
        <f>N9*1.1</f>
        <v>0</v>
      </c>
      <c r="Q9" s="1847">
        <f>M9+N9</f>
        <v>0</v>
      </c>
      <c r="R9" s="1848">
        <f>Q9*1.1</f>
        <v>0</v>
      </c>
    </row>
    <row r="10" spans="1:20">
      <c r="A10" s="1835"/>
      <c r="B10" s="1840"/>
      <c r="C10" s="1837"/>
      <c r="D10" s="1838"/>
      <c r="E10" s="1839"/>
      <c r="F10" s="1838"/>
      <c r="G10" s="1839"/>
      <c r="H10" s="1842"/>
      <c r="I10" s="1843"/>
      <c r="L10" s="1845" t="str">
        <f>Pipe!J9</f>
        <v>GPM-20</v>
      </c>
      <c r="M10" s="1846">
        <f>Pipe!K9</f>
        <v>0</v>
      </c>
      <c r="N10" s="1846">
        <f>Pipe!L9</f>
        <v>0</v>
      </c>
      <c r="O10" s="1846">
        <f t="shared" ref="O10:O18" si="0">M10*1.1</f>
        <v>0</v>
      </c>
      <c r="P10" s="1846">
        <f t="shared" ref="O10:P38" si="1">N10*1.1</f>
        <v>0</v>
      </c>
      <c r="Q10" s="1847">
        <f t="shared" ref="Q10:Q33" si="2">M10+N10</f>
        <v>0</v>
      </c>
      <c r="R10" s="1848">
        <f t="shared" ref="R10:R33" si="3">Q10*1.1</f>
        <v>0</v>
      </c>
    </row>
    <row r="11" spans="1:20">
      <c r="A11" s="1849">
        <v>3</v>
      </c>
      <c r="B11" s="1850" t="s">
        <v>1428</v>
      </c>
      <c r="C11" s="1837"/>
      <c r="D11" s="1838"/>
      <c r="E11" s="1839"/>
      <c r="F11" s="1838"/>
      <c r="G11" s="1839"/>
      <c r="H11" s="1840"/>
      <c r="I11" s="1843"/>
      <c r="J11" s="1851"/>
      <c r="K11" s="1852"/>
      <c r="L11" s="1845" t="str">
        <f>Pipe!J10</f>
        <v>GPM-25</v>
      </c>
      <c r="M11" s="1846">
        <f>Pipe!K10</f>
        <v>0</v>
      </c>
      <c r="N11" s="1846">
        <f>Pipe!L10</f>
        <v>0</v>
      </c>
      <c r="O11" s="1846">
        <f t="shared" si="0"/>
        <v>0</v>
      </c>
      <c r="P11" s="1846">
        <f t="shared" si="1"/>
        <v>0</v>
      </c>
      <c r="Q11" s="1847">
        <f t="shared" si="2"/>
        <v>0</v>
      </c>
      <c r="R11" s="1848">
        <f t="shared" si="3"/>
        <v>0</v>
      </c>
      <c r="T11" s="1853"/>
    </row>
    <row r="12" spans="1:20" hidden="1">
      <c r="A12" s="1835"/>
      <c r="B12" s="1840" t="s">
        <v>1429</v>
      </c>
      <c r="C12" s="1837">
        <f>O20+O29+O30+Q262921+O31</f>
        <v>0</v>
      </c>
      <c r="D12" s="1838"/>
      <c r="E12" s="1839"/>
      <c r="F12" s="1838">
        <f t="shared" ref="F12:F16" si="4">+C12</f>
        <v>0</v>
      </c>
      <c r="G12" s="1839" t="s">
        <v>965</v>
      </c>
      <c r="H12" s="1842">
        <f>Rates!F76</f>
        <v>6.55</v>
      </c>
      <c r="I12" s="1843">
        <f t="shared" ref="I12:I19" si="5">+ROUND(F12*H12,2)</f>
        <v>0</v>
      </c>
      <c r="K12" s="1852"/>
      <c r="L12" s="1845" t="str">
        <f>Pipe!J11</f>
        <v>GPM-32</v>
      </c>
      <c r="M12" s="1846">
        <f>Pipe!K11</f>
        <v>0</v>
      </c>
      <c r="N12" s="1846">
        <f>Pipe!L11</f>
        <v>0</v>
      </c>
      <c r="O12" s="1846">
        <f t="shared" si="0"/>
        <v>0</v>
      </c>
      <c r="P12" s="1846">
        <f t="shared" si="1"/>
        <v>0</v>
      </c>
      <c r="Q12" s="1847">
        <f t="shared" si="2"/>
        <v>0</v>
      </c>
      <c r="R12" s="1848">
        <f t="shared" si="3"/>
        <v>0</v>
      </c>
      <c r="T12" s="1853"/>
    </row>
    <row r="13" spans="1:20" hidden="1">
      <c r="A13" s="1835"/>
      <c r="B13" s="1840" t="s">
        <v>1430</v>
      </c>
      <c r="C13" s="1837">
        <f>O21+O22+O32+O33</f>
        <v>0</v>
      </c>
      <c r="D13" s="1838"/>
      <c r="E13" s="1839"/>
      <c r="F13" s="1838">
        <f t="shared" si="4"/>
        <v>0</v>
      </c>
      <c r="G13" s="1839" t="s">
        <v>965</v>
      </c>
      <c r="H13" s="1842">
        <f>Rates!F77</f>
        <v>7.95</v>
      </c>
      <c r="I13" s="1843">
        <f t="shared" si="5"/>
        <v>0</v>
      </c>
      <c r="K13" s="1852"/>
      <c r="L13" s="1845" t="str">
        <f>Pipe!J12</f>
        <v>GPM-40</v>
      </c>
      <c r="M13" s="1846">
        <f>Pipe!K12</f>
        <v>0</v>
      </c>
      <c r="N13" s="1846">
        <f>Pipe!L12</f>
        <v>0</v>
      </c>
      <c r="O13" s="1846">
        <f t="shared" si="0"/>
        <v>0</v>
      </c>
      <c r="P13" s="1846">
        <f t="shared" si="1"/>
        <v>0</v>
      </c>
      <c r="Q13" s="1847">
        <f t="shared" si="2"/>
        <v>0</v>
      </c>
      <c r="R13" s="1848">
        <f t="shared" si="3"/>
        <v>0</v>
      </c>
      <c r="T13" s="1853"/>
    </row>
    <row r="14" spans="1:20" hidden="1">
      <c r="A14" s="1835"/>
      <c r="B14" s="1840" t="s">
        <v>1431</v>
      </c>
      <c r="C14" s="1837">
        <f>O23+O24+O25+O34+O35+O36</f>
        <v>0</v>
      </c>
      <c r="D14" s="1838"/>
      <c r="E14" s="1839"/>
      <c r="F14" s="1838">
        <f t="shared" si="4"/>
        <v>0</v>
      </c>
      <c r="G14" s="1839" t="s">
        <v>965</v>
      </c>
      <c r="H14" s="1842">
        <f>Rates!F78</f>
        <v>105.27</v>
      </c>
      <c r="I14" s="1843">
        <f t="shared" si="5"/>
        <v>0</v>
      </c>
      <c r="K14" s="1852"/>
      <c r="L14" s="1845" t="str">
        <f>Pipe!J13</f>
        <v>GPM-50</v>
      </c>
      <c r="M14" s="1846">
        <f>Pipe!K13</f>
        <v>0</v>
      </c>
      <c r="N14" s="1846">
        <f>Pipe!L13</f>
        <v>0</v>
      </c>
      <c r="O14" s="1846">
        <f t="shared" si="0"/>
        <v>0</v>
      </c>
      <c r="P14" s="1846">
        <f t="shared" si="1"/>
        <v>0</v>
      </c>
      <c r="Q14" s="1847">
        <f>M14+N14</f>
        <v>0</v>
      </c>
      <c r="R14" s="1848">
        <f t="shared" si="3"/>
        <v>0</v>
      </c>
      <c r="T14" s="1853"/>
    </row>
    <row r="15" spans="1:20" hidden="1">
      <c r="A15" s="1835"/>
      <c r="B15" s="1840" t="s">
        <v>1432</v>
      </c>
      <c r="C15" s="1837">
        <f>SUM(O9:O12)</f>
        <v>0</v>
      </c>
      <c r="D15" s="1838"/>
      <c r="E15" s="1839"/>
      <c r="F15" s="1838">
        <f t="shared" si="4"/>
        <v>0</v>
      </c>
      <c r="G15" s="1839" t="s">
        <v>965</v>
      </c>
      <c r="H15" s="1842">
        <f>Rates!F84</f>
        <v>158.05000000000001</v>
      </c>
      <c r="I15" s="1843">
        <f t="shared" si="5"/>
        <v>0</v>
      </c>
      <c r="K15" s="1852"/>
      <c r="L15" s="1845" t="str">
        <f>Pipe!J14</f>
        <v>GPM-65</v>
      </c>
      <c r="M15" s="1846">
        <f>Pipe!K14</f>
        <v>0</v>
      </c>
      <c r="N15" s="1846">
        <f>Pipe!L14</f>
        <v>0</v>
      </c>
      <c r="O15" s="1846">
        <f t="shared" si="0"/>
        <v>0</v>
      </c>
      <c r="P15" s="1846">
        <f t="shared" ref="P15:P19" si="6">N15*1.1</f>
        <v>0</v>
      </c>
      <c r="Q15" s="1847">
        <f t="shared" ref="Q15:Q18" si="7">M15+N15</f>
        <v>0</v>
      </c>
      <c r="R15" s="1848">
        <f t="shared" ref="R15:R19" si="8">Q15*1.1</f>
        <v>0</v>
      </c>
      <c r="T15" s="1853"/>
    </row>
    <row r="16" spans="1:20" hidden="1">
      <c r="A16" s="1835"/>
      <c r="B16" s="1840" t="s">
        <v>1433</v>
      </c>
      <c r="C16" s="1837">
        <f>SUM(O13:O14)</f>
        <v>0</v>
      </c>
      <c r="D16" s="1838"/>
      <c r="E16" s="1839"/>
      <c r="F16" s="1838">
        <f t="shared" si="4"/>
        <v>0</v>
      </c>
      <c r="G16" s="1839" t="s">
        <v>965</v>
      </c>
      <c r="H16" s="1842">
        <f>Rates!F85</f>
        <v>215.52</v>
      </c>
      <c r="I16" s="1843">
        <f t="shared" si="5"/>
        <v>0</v>
      </c>
      <c r="K16" s="1852"/>
      <c r="L16" s="1845" t="str">
        <f>Pipe!J15</f>
        <v>GPM-80</v>
      </c>
      <c r="M16" s="1846">
        <f>Pipe!K15</f>
        <v>0</v>
      </c>
      <c r="N16" s="1846">
        <f>Pipe!L15</f>
        <v>0</v>
      </c>
      <c r="O16" s="1846">
        <f t="shared" si="0"/>
        <v>0</v>
      </c>
      <c r="P16" s="1846">
        <f t="shared" si="6"/>
        <v>0</v>
      </c>
      <c r="Q16" s="1847">
        <f t="shared" si="7"/>
        <v>0</v>
      </c>
      <c r="R16" s="1848">
        <f t="shared" si="8"/>
        <v>0</v>
      </c>
      <c r="T16" s="1853"/>
    </row>
    <row r="17" spans="1:20" hidden="1">
      <c r="A17" s="1835"/>
      <c r="B17" s="1840" t="s">
        <v>1434</v>
      </c>
      <c r="C17" s="1837">
        <f>SUM(O15:O16)</f>
        <v>0</v>
      </c>
      <c r="D17" s="1838"/>
      <c r="E17" s="1839"/>
      <c r="F17" s="1838">
        <f t="shared" ref="F17:F19" si="9">+C17</f>
        <v>0</v>
      </c>
      <c r="G17" s="1839" t="s">
        <v>965</v>
      </c>
      <c r="H17" s="1842">
        <f>Rates!F86</f>
        <v>287.32</v>
      </c>
      <c r="I17" s="1843">
        <f t="shared" si="5"/>
        <v>0</v>
      </c>
      <c r="K17" s="1852"/>
      <c r="L17" s="1845" t="str">
        <f>Pipe!J16</f>
        <v>GPM-100</v>
      </c>
      <c r="M17" s="1846">
        <f>Pipe!K16</f>
        <v>100</v>
      </c>
      <c r="N17" s="1846">
        <f>Pipe!L16</f>
        <v>1976.48</v>
      </c>
      <c r="O17" s="1846">
        <f t="shared" si="0"/>
        <v>110.00000000000001</v>
      </c>
      <c r="P17" s="1846">
        <f t="shared" si="6"/>
        <v>2174.1280000000002</v>
      </c>
      <c r="Q17" s="1847">
        <f>M17+N17</f>
        <v>2076.48</v>
      </c>
      <c r="R17" s="1848">
        <f>Q17*1.1</f>
        <v>2284.1280000000002</v>
      </c>
      <c r="T17" s="1853"/>
    </row>
    <row r="18" spans="1:20">
      <c r="A18" s="1835"/>
      <c r="B18" s="1840" t="s">
        <v>2851</v>
      </c>
      <c r="C18" s="1837">
        <f>ROUNDUP(O17,0)</f>
        <v>110</v>
      </c>
      <c r="D18" s="1838"/>
      <c r="E18" s="1839"/>
      <c r="F18" s="1838">
        <f t="shared" si="9"/>
        <v>110</v>
      </c>
      <c r="G18" s="1839" t="s">
        <v>965</v>
      </c>
      <c r="H18" s="1842">
        <f>Rates!F87</f>
        <v>359.12</v>
      </c>
      <c r="I18" s="1843">
        <f t="shared" si="5"/>
        <v>39503.199999999997</v>
      </c>
      <c r="K18" s="1852"/>
      <c r="L18" s="1845" t="str">
        <f>Pipe!J17</f>
        <v>GPM-125</v>
      </c>
      <c r="M18" s="1846">
        <f>Pipe!K17</f>
        <v>0</v>
      </c>
      <c r="N18" s="1846">
        <f>Pipe!L17</f>
        <v>0</v>
      </c>
      <c r="O18" s="1846">
        <f t="shared" si="0"/>
        <v>0</v>
      </c>
      <c r="P18" s="1846">
        <f t="shared" si="6"/>
        <v>0</v>
      </c>
      <c r="Q18" s="1847">
        <f t="shared" si="7"/>
        <v>0</v>
      </c>
      <c r="R18" s="1848">
        <f t="shared" si="8"/>
        <v>0</v>
      </c>
      <c r="T18" s="1853"/>
    </row>
    <row r="19" spans="1:20" hidden="1">
      <c r="A19" s="1835"/>
      <c r="B19" s="1840" t="s">
        <v>2852</v>
      </c>
      <c r="C19" s="1837">
        <f>ROUNDUP(O18,0)</f>
        <v>0</v>
      </c>
      <c r="D19" s="1838"/>
      <c r="E19" s="1839"/>
      <c r="F19" s="1838">
        <f t="shared" si="9"/>
        <v>0</v>
      </c>
      <c r="G19" s="1839" t="s">
        <v>965</v>
      </c>
      <c r="H19" s="1842">
        <f>Rates!F88</f>
        <v>438.15</v>
      </c>
      <c r="I19" s="1843">
        <f t="shared" si="5"/>
        <v>0</v>
      </c>
      <c r="K19" s="1852"/>
      <c r="L19" s="1845" t="str">
        <f>Pipe!J18</f>
        <v>GPM-150</v>
      </c>
      <c r="M19" s="1846">
        <f>Pipe!K18</f>
        <v>158.63</v>
      </c>
      <c r="N19" s="1846">
        <f>Pipe!L18</f>
        <v>1231</v>
      </c>
      <c r="O19" s="1846">
        <f t="shared" ref="O19" si="10">M19*1.1</f>
        <v>174.49299999999999</v>
      </c>
      <c r="P19" s="1846">
        <f t="shared" si="6"/>
        <v>1354.1000000000001</v>
      </c>
      <c r="Q19" s="1847">
        <f>M19+N19</f>
        <v>1389.63</v>
      </c>
      <c r="R19" s="1848">
        <f t="shared" si="8"/>
        <v>1528.5930000000003</v>
      </c>
      <c r="T19" s="1853"/>
    </row>
    <row r="20" spans="1:20">
      <c r="A20" s="1835"/>
      <c r="B20" s="1840" t="s">
        <v>3037</v>
      </c>
      <c r="C20" s="1837">
        <f>ROUNDUP(O19,0)</f>
        <v>175</v>
      </c>
      <c r="D20" s="1838"/>
      <c r="E20" s="1839"/>
      <c r="F20" s="1838">
        <f t="shared" ref="F20" si="11">+C20</f>
        <v>175</v>
      </c>
      <c r="G20" s="1839" t="s">
        <v>965</v>
      </c>
      <c r="H20" s="1842">
        <f>Rates!F89</f>
        <v>502.84</v>
      </c>
      <c r="I20" s="1843">
        <f t="shared" ref="I20" si="12">+ROUND(F20*H20,2)</f>
        <v>87997</v>
      </c>
      <c r="K20" s="1852"/>
      <c r="L20" s="1855" t="s">
        <v>1387</v>
      </c>
      <c r="M20" s="1846">
        <f>Pipe!K19</f>
        <v>0</v>
      </c>
      <c r="N20" s="1846">
        <f>Pipe!L19</f>
        <v>0</v>
      </c>
      <c r="O20" s="1856">
        <f>M20*1.1</f>
        <v>0</v>
      </c>
      <c r="P20" s="1856">
        <f t="shared" si="1"/>
        <v>0</v>
      </c>
      <c r="Q20" s="752">
        <f t="shared" si="2"/>
        <v>0</v>
      </c>
      <c r="R20" s="1857">
        <f t="shared" si="3"/>
        <v>0</v>
      </c>
      <c r="T20" s="1853"/>
    </row>
    <row r="21" spans="1:20">
      <c r="A21" s="1835"/>
      <c r="B21" s="1840"/>
      <c r="C21" s="1837"/>
      <c r="D21" s="1838"/>
      <c r="E21" s="1839"/>
      <c r="F21" s="1838"/>
      <c r="G21" s="1839"/>
      <c r="H21" s="1842"/>
      <c r="I21" s="1854"/>
      <c r="K21" s="1852"/>
      <c r="L21" s="1855" t="s">
        <v>1388</v>
      </c>
      <c r="M21" s="1846">
        <f>Pipe!K20</f>
        <v>0</v>
      </c>
      <c r="N21" s="1846">
        <f>Pipe!L20</f>
        <v>0</v>
      </c>
      <c r="O21" s="1856">
        <f t="shared" si="1"/>
        <v>0</v>
      </c>
      <c r="P21" s="1856">
        <f t="shared" si="1"/>
        <v>0</v>
      </c>
      <c r="Q21" s="752">
        <f t="shared" si="2"/>
        <v>0</v>
      </c>
      <c r="R21" s="1857">
        <f t="shared" si="3"/>
        <v>0</v>
      </c>
      <c r="T21" s="1853"/>
    </row>
    <row r="22" spans="1:20" ht="14.25">
      <c r="A22" s="1835"/>
      <c r="B22" s="1858" t="s">
        <v>1435</v>
      </c>
      <c r="C22" s="1859">
        <f>SUM(C12:C20)</f>
        <v>285</v>
      </c>
      <c r="D22" s="1838"/>
      <c r="E22" s="1839"/>
      <c r="F22" s="1860">
        <f>SUM(F12:F20)</f>
        <v>285</v>
      </c>
      <c r="G22" s="1839"/>
      <c r="H22" s="1861"/>
      <c r="I22" s="1862">
        <f>SUM(I8:I20)</f>
        <v>384080.16000000003</v>
      </c>
      <c r="K22" s="1852"/>
      <c r="L22" s="1855" t="s">
        <v>1389</v>
      </c>
      <c r="M22" s="1846">
        <f>Pipe!K21</f>
        <v>0</v>
      </c>
      <c r="N22" s="1846">
        <f>Pipe!L21</f>
        <v>0</v>
      </c>
      <c r="O22" s="1856">
        <f t="shared" si="1"/>
        <v>0</v>
      </c>
      <c r="P22" s="1856">
        <f t="shared" si="1"/>
        <v>0</v>
      </c>
      <c r="Q22" s="752">
        <f t="shared" si="2"/>
        <v>0</v>
      </c>
      <c r="R22" s="1857">
        <f t="shared" si="3"/>
        <v>0</v>
      </c>
      <c r="T22" s="1853"/>
    </row>
    <row r="23" spans="1:20" ht="14.25">
      <c r="A23" s="1835"/>
      <c r="B23" s="1863">
        <f>'Entry for Rates'!$F$114</f>
        <v>13</v>
      </c>
      <c r="C23" s="1837"/>
      <c r="D23" s="1838"/>
      <c r="E23" s="1839"/>
      <c r="F23" s="1859"/>
      <c r="G23" s="1839"/>
      <c r="H23" s="1861"/>
      <c r="I23" s="1864">
        <f>I22*B23/100</f>
        <v>49930.4208</v>
      </c>
      <c r="K23" s="1852"/>
      <c r="L23" s="1855" t="s">
        <v>1390</v>
      </c>
      <c r="M23" s="1846">
        <f>Pipe!K22</f>
        <v>0</v>
      </c>
      <c r="N23" s="1846">
        <f>Pipe!L22</f>
        <v>0</v>
      </c>
      <c r="O23" s="1856">
        <f t="shared" si="1"/>
        <v>0</v>
      </c>
      <c r="P23" s="1856">
        <f t="shared" si="1"/>
        <v>0</v>
      </c>
      <c r="Q23" s="752">
        <f t="shared" si="2"/>
        <v>0</v>
      </c>
      <c r="R23" s="1857">
        <f t="shared" si="3"/>
        <v>0</v>
      </c>
      <c r="T23" s="1853"/>
    </row>
    <row r="24" spans="1:20" ht="15">
      <c r="A24" s="1835"/>
      <c r="B24" s="1865" t="s">
        <v>1436</v>
      </c>
      <c r="C24" s="1837"/>
      <c r="D24" s="1838"/>
      <c r="E24" s="1839"/>
      <c r="F24" s="1859"/>
      <c r="G24" s="1839"/>
      <c r="H24" s="1866" t="s">
        <v>107</v>
      </c>
      <c r="I24" s="1867">
        <f>I23+I22</f>
        <v>434010.58080000005</v>
      </c>
      <c r="K24" s="1852"/>
      <c r="L24" s="1855" t="s">
        <v>1391</v>
      </c>
      <c r="M24" s="1846">
        <f>Pipe!K23</f>
        <v>0</v>
      </c>
      <c r="N24" s="1846">
        <f>Pipe!L23</f>
        <v>0</v>
      </c>
      <c r="O24" s="1856">
        <f t="shared" si="1"/>
        <v>0</v>
      </c>
      <c r="P24" s="1856">
        <f t="shared" si="1"/>
        <v>0</v>
      </c>
      <c r="Q24" s="752">
        <f t="shared" si="2"/>
        <v>0</v>
      </c>
      <c r="R24" s="1857">
        <f t="shared" si="3"/>
        <v>0</v>
      </c>
      <c r="T24" s="1853"/>
    </row>
    <row r="25" spans="1:20" ht="15">
      <c r="A25" s="1835" t="s">
        <v>712</v>
      </c>
      <c r="B25" s="1836" t="s">
        <v>1437</v>
      </c>
      <c r="C25" s="1837"/>
      <c r="D25" s="1838"/>
      <c r="E25" s="1839"/>
      <c r="F25" s="1838"/>
      <c r="G25" s="1839"/>
      <c r="H25" s="1840"/>
      <c r="I25" s="1843"/>
      <c r="L25" s="1855" t="s">
        <v>1392</v>
      </c>
      <c r="M25" s="1846">
        <f>Pipe!K24</f>
        <v>0</v>
      </c>
      <c r="N25" s="1846">
        <f>Pipe!L24</f>
        <v>0</v>
      </c>
      <c r="O25" s="1856">
        <f t="shared" si="1"/>
        <v>0</v>
      </c>
      <c r="P25" s="1856">
        <f t="shared" si="1"/>
        <v>0</v>
      </c>
      <c r="Q25" s="752">
        <f t="shared" si="2"/>
        <v>0</v>
      </c>
      <c r="R25" s="1857">
        <f t="shared" si="3"/>
        <v>0</v>
      </c>
    </row>
    <row r="26" spans="1:20">
      <c r="A26" s="1835"/>
      <c r="B26" s="1840"/>
      <c r="C26" s="1837"/>
      <c r="D26" s="1838"/>
      <c r="E26" s="1839"/>
      <c r="F26" s="1838"/>
      <c r="G26" s="1839"/>
      <c r="H26" s="1840"/>
      <c r="I26" s="1843"/>
      <c r="L26" s="1855" t="s">
        <v>1393</v>
      </c>
      <c r="M26" s="1846">
        <f>Pipe!K25</f>
        <v>0</v>
      </c>
      <c r="N26" s="1846">
        <f>Pipe!L25</f>
        <v>0</v>
      </c>
      <c r="O26" s="1856">
        <f t="shared" si="1"/>
        <v>0</v>
      </c>
      <c r="P26" s="1856">
        <f t="shared" si="1"/>
        <v>0</v>
      </c>
      <c r="Q26" s="752">
        <f t="shared" si="2"/>
        <v>0</v>
      </c>
      <c r="R26" s="1857">
        <f t="shared" si="3"/>
        <v>0</v>
      </c>
    </row>
    <row r="27" spans="1:20">
      <c r="A27" s="1835">
        <v>1</v>
      </c>
      <c r="B27" s="1840" t="s">
        <v>1438</v>
      </c>
      <c r="C27" s="1837">
        <f>SUM(N9:N38)*1.1</f>
        <v>3528.2280000000005</v>
      </c>
      <c r="D27" s="1838">
        <v>0.45</v>
      </c>
      <c r="E27" s="1839">
        <v>0.9</v>
      </c>
      <c r="F27" s="1838">
        <f>ROUND(C27*D27*E27,2)</f>
        <v>1428.93</v>
      </c>
      <c r="G27" s="1839" t="s">
        <v>29</v>
      </c>
      <c r="H27" s="1842">
        <f>+Rates!F9</f>
        <v>1480.63</v>
      </c>
      <c r="I27" s="1843">
        <f>+ROUND(F27*H27,2)</f>
        <v>2115716.63</v>
      </c>
      <c r="K27" s="1868"/>
      <c r="L27" s="536" t="s">
        <v>1394</v>
      </c>
      <c r="M27" s="1846">
        <f>Pipe!K26</f>
        <v>0</v>
      </c>
      <c r="N27" s="1846">
        <f>Pipe!L26</f>
        <v>0</v>
      </c>
      <c r="O27" s="1856">
        <f t="shared" si="1"/>
        <v>0</v>
      </c>
      <c r="P27" s="1856">
        <f t="shared" si="1"/>
        <v>0</v>
      </c>
      <c r="Q27" s="752">
        <f t="shared" si="2"/>
        <v>0</v>
      </c>
      <c r="R27" s="1857">
        <f t="shared" si="3"/>
        <v>0</v>
      </c>
    </row>
    <row r="28" spans="1:20">
      <c r="A28" s="1835">
        <v>2</v>
      </c>
      <c r="B28" s="1840" t="s">
        <v>1427</v>
      </c>
      <c r="C28" s="1837">
        <f>C27</f>
        <v>3528.2280000000005</v>
      </c>
      <c r="D28" s="1838">
        <v>0.45</v>
      </c>
      <c r="E28" s="1839">
        <v>0.9</v>
      </c>
      <c r="F28" s="1838">
        <f>ROUND(C28*D28*E28,2)</f>
        <v>1428.93</v>
      </c>
      <c r="G28" s="1839" t="s">
        <v>29</v>
      </c>
      <c r="H28" s="1842">
        <f>+Rates!F15</f>
        <v>746.24</v>
      </c>
      <c r="I28" s="1843">
        <f>+ROUND(F28*H28,2)</f>
        <v>1066324.72</v>
      </c>
      <c r="L28" s="536" t="s">
        <v>1395</v>
      </c>
      <c r="M28" s="1846">
        <f>Pipe!K27</f>
        <v>0</v>
      </c>
      <c r="N28" s="1846">
        <f>Pipe!L27</f>
        <v>0</v>
      </c>
      <c r="O28" s="1856">
        <f t="shared" si="1"/>
        <v>0</v>
      </c>
      <c r="P28" s="1856">
        <f t="shared" si="1"/>
        <v>0</v>
      </c>
      <c r="Q28" s="752">
        <f t="shared" si="2"/>
        <v>0</v>
      </c>
      <c r="R28" s="1857">
        <f t="shared" si="3"/>
        <v>0</v>
      </c>
    </row>
    <row r="29" spans="1:20">
      <c r="A29" s="1849">
        <v>3</v>
      </c>
      <c r="B29" s="1850" t="s">
        <v>1428</v>
      </c>
      <c r="C29" s="1837"/>
      <c r="D29" s="1838"/>
      <c r="E29" s="1839"/>
      <c r="F29" s="1838"/>
      <c r="G29" s="1839"/>
      <c r="H29" s="1840"/>
      <c r="I29" s="1843"/>
      <c r="J29" s="1851"/>
      <c r="L29" s="536" t="s">
        <v>1396</v>
      </c>
      <c r="M29" s="1846">
        <f>Pipe!K28</f>
        <v>0</v>
      </c>
      <c r="N29" s="1846">
        <f>Pipe!L28</f>
        <v>0</v>
      </c>
      <c r="O29" s="1856">
        <f t="shared" si="1"/>
        <v>0</v>
      </c>
      <c r="P29" s="1856">
        <f t="shared" si="1"/>
        <v>0</v>
      </c>
      <c r="Q29" s="752">
        <f t="shared" si="2"/>
        <v>0</v>
      </c>
      <c r="R29" s="1857">
        <f t="shared" si="3"/>
        <v>0</v>
      </c>
    </row>
    <row r="30" spans="1:20" hidden="1">
      <c r="A30" s="1835"/>
      <c r="B30" s="1840" t="s">
        <v>1439</v>
      </c>
      <c r="C30" s="1837">
        <f>P28</f>
        <v>0</v>
      </c>
      <c r="D30" s="1838"/>
      <c r="E30" s="1839"/>
      <c r="F30" s="1838">
        <f>+C30</f>
        <v>0</v>
      </c>
      <c r="G30" s="1839" t="s">
        <v>965</v>
      </c>
      <c r="H30" s="1842">
        <f>Rates!F74</f>
        <v>0</v>
      </c>
      <c r="I30" s="1843">
        <f>+ROUND(F30*H30,2)</f>
        <v>0</v>
      </c>
      <c r="L30" s="536" t="s">
        <v>1397</v>
      </c>
      <c r="M30" s="1846">
        <f>Pipe!K29</f>
        <v>0</v>
      </c>
      <c r="N30" s="1846">
        <f>Pipe!L29</f>
        <v>0</v>
      </c>
      <c r="O30" s="1856">
        <f t="shared" si="1"/>
        <v>0</v>
      </c>
      <c r="P30" s="1856">
        <f t="shared" si="1"/>
        <v>0</v>
      </c>
      <c r="Q30" s="752">
        <f t="shared" si="2"/>
        <v>0</v>
      </c>
      <c r="R30" s="1857">
        <f t="shared" si="3"/>
        <v>0</v>
      </c>
    </row>
    <row r="31" spans="1:20" hidden="1">
      <c r="A31" s="1835"/>
      <c r="B31" s="1840" t="s">
        <v>1440</v>
      </c>
      <c r="C31" s="1837">
        <f>SUM(P29:P30)</f>
        <v>0</v>
      </c>
      <c r="D31" s="1838"/>
      <c r="E31" s="1839"/>
      <c r="F31" s="1838">
        <f>+C31</f>
        <v>0</v>
      </c>
      <c r="G31" s="1839" t="s">
        <v>965</v>
      </c>
      <c r="H31" s="1842">
        <f>Rates!F75</f>
        <v>5.3</v>
      </c>
      <c r="I31" s="1843">
        <f>+ROUND(F31*H31,2)</f>
        <v>0</v>
      </c>
      <c r="L31" s="536" t="s">
        <v>1398</v>
      </c>
      <c r="M31" s="1846">
        <f>Pipe!K30</f>
        <v>0</v>
      </c>
      <c r="N31" s="1846">
        <f>Pipe!L30</f>
        <v>0</v>
      </c>
      <c r="O31" s="1856">
        <f t="shared" si="1"/>
        <v>0</v>
      </c>
      <c r="P31" s="1856">
        <f t="shared" si="1"/>
        <v>0</v>
      </c>
      <c r="Q31" s="752">
        <f t="shared" si="2"/>
        <v>0</v>
      </c>
      <c r="R31" s="1857">
        <f t="shared" si="3"/>
        <v>0</v>
      </c>
    </row>
    <row r="32" spans="1:20" hidden="1">
      <c r="A32" s="1835"/>
      <c r="B32" s="1840" t="s">
        <v>1441</v>
      </c>
      <c r="C32" s="1837">
        <f>SUM(P31+P20)</f>
        <v>0</v>
      </c>
      <c r="D32" s="1838"/>
      <c r="E32" s="1839"/>
      <c r="F32" s="1838">
        <f t="shared" ref="F32:F42" si="13">+C32</f>
        <v>0</v>
      </c>
      <c r="G32" s="1839" t="s">
        <v>965</v>
      </c>
      <c r="H32" s="1842">
        <f>Rates!F76</f>
        <v>6.55</v>
      </c>
      <c r="I32" s="1843">
        <f t="shared" ref="I32:I42" si="14">+ROUND(F32*H32,2)</f>
        <v>0</v>
      </c>
      <c r="L32" s="536" t="s">
        <v>1399</v>
      </c>
      <c r="M32" s="1846">
        <f>Pipe!K31</f>
        <v>0</v>
      </c>
      <c r="N32" s="1846">
        <f>Pipe!L31</f>
        <v>0</v>
      </c>
      <c r="O32" s="1856">
        <f t="shared" si="1"/>
        <v>0</v>
      </c>
      <c r="P32" s="1856">
        <f t="shared" si="1"/>
        <v>0</v>
      </c>
      <c r="Q32" s="752">
        <f t="shared" si="2"/>
        <v>0</v>
      </c>
      <c r="R32" s="1857">
        <f t="shared" si="3"/>
        <v>0</v>
      </c>
    </row>
    <row r="33" spans="1:20" hidden="1">
      <c r="A33" s="1835"/>
      <c r="B33" s="1840" t="s">
        <v>1442</v>
      </c>
      <c r="C33" s="1837">
        <f>SUM(P21:P22,P32:P33)</f>
        <v>0</v>
      </c>
      <c r="D33" s="1838"/>
      <c r="E33" s="1839"/>
      <c r="F33" s="1838">
        <f t="shared" si="13"/>
        <v>0</v>
      </c>
      <c r="G33" s="1839" t="s">
        <v>965</v>
      </c>
      <c r="H33" s="1842">
        <f>Rates!F77</f>
        <v>7.95</v>
      </c>
      <c r="I33" s="1843">
        <f t="shared" si="14"/>
        <v>0</v>
      </c>
      <c r="L33" s="536" t="s">
        <v>1400</v>
      </c>
      <c r="M33" s="1846">
        <f>Pipe!K32</f>
        <v>0</v>
      </c>
      <c r="N33" s="1846">
        <f>Pipe!L32</f>
        <v>0</v>
      </c>
      <c r="O33" s="1856">
        <f t="shared" si="1"/>
        <v>0</v>
      </c>
      <c r="P33" s="1856">
        <f t="shared" si="1"/>
        <v>0</v>
      </c>
      <c r="Q33" s="752">
        <f t="shared" si="2"/>
        <v>0</v>
      </c>
      <c r="R33" s="1857">
        <f t="shared" si="3"/>
        <v>0</v>
      </c>
    </row>
    <row r="34" spans="1:20" hidden="1">
      <c r="A34" s="1835"/>
      <c r="B34" s="1840" t="s">
        <v>1431</v>
      </c>
      <c r="C34" s="1837">
        <f>SUM(P23:P25,P34:P36)</f>
        <v>0</v>
      </c>
      <c r="D34" s="1838"/>
      <c r="E34" s="1839"/>
      <c r="F34" s="1838">
        <f t="shared" si="13"/>
        <v>0</v>
      </c>
      <c r="G34" s="1839" t="s">
        <v>965</v>
      </c>
      <c r="H34" s="1842">
        <f>Rates!F78</f>
        <v>105.27</v>
      </c>
      <c r="I34" s="1843">
        <f t="shared" si="14"/>
        <v>0</v>
      </c>
      <c r="L34" s="536" t="s">
        <v>1401</v>
      </c>
      <c r="M34" s="1846">
        <f>Pipe!K33</f>
        <v>0</v>
      </c>
      <c r="N34" s="1846">
        <f>Pipe!L33</f>
        <v>0</v>
      </c>
      <c r="O34" s="1856">
        <f t="shared" si="1"/>
        <v>0</v>
      </c>
      <c r="P34" s="1856">
        <f t="shared" si="1"/>
        <v>0</v>
      </c>
      <c r="Q34" s="752">
        <f>M34+N34</f>
        <v>0</v>
      </c>
      <c r="R34" s="1857">
        <f>Q34*1.1</f>
        <v>0</v>
      </c>
    </row>
    <row r="35" spans="1:20" hidden="1">
      <c r="A35" s="1835"/>
      <c r="B35" s="1840" t="s">
        <v>1443</v>
      </c>
      <c r="C35" s="1837">
        <f>SUM(P26,P37:P38)</f>
        <v>0</v>
      </c>
      <c r="D35" s="1838"/>
      <c r="E35" s="1839"/>
      <c r="F35" s="1838">
        <f t="shared" si="13"/>
        <v>0</v>
      </c>
      <c r="G35" s="1839" t="s">
        <v>965</v>
      </c>
      <c r="H35" s="1842">
        <f>Rates!F79</f>
        <v>155.06</v>
      </c>
      <c r="I35" s="1843">
        <f t="shared" si="14"/>
        <v>0</v>
      </c>
      <c r="L35" s="536" t="s">
        <v>1402</v>
      </c>
      <c r="M35" s="1846">
        <f>Pipe!K34</f>
        <v>0</v>
      </c>
      <c r="N35" s="1846">
        <f>Pipe!L34</f>
        <v>0</v>
      </c>
      <c r="O35" s="1856">
        <f t="shared" si="1"/>
        <v>0</v>
      </c>
      <c r="P35" s="1856">
        <f t="shared" si="1"/>
        <v>0</v>
      </c>
      <c r="Q35" s="752">
        <f>M35+N35</f>
        <v>0</v>
      </c>
      <c r="R35" s="1857">
        <f>Q35*1.1</f>
        <v>0</v>
      </c>
    </row>
    <row r="36" spans="1:20">
      <c r="A36" s="1835"/>
      <c r="B36" s="1840" t="s">
        <v>3040</v>
      </c>
      <c r="C36" s="1837">
        <f>P43</f>
        <v>1518.0000000000002</v>
      </c>
      <c r="D36" s="1838"/>
      <c r="E36" s="1839"/>
      <c r="F36" s="1838">
        <f t="shared" ref="F36" si="15">+C36</f>
        <v>1518.0000000000002</v>
      </c>
      <c r="G36" s="1839" t="s">
        <v>965</v>
      </c>
      <c r="H36" s="1842">
        <f>Rates!F81</f>
        <v>273.18</v>
      </c>
      <c r="I36" s="1843">
        <f t="shared" ref="I36" si="16">+ROUND(F36*H36,2)</f>
        <v>414687.24</v>
      </c>
      <c r="L36" s="536" t="s">
        <v>1404</v>
      </c>
      <c r="M36" s="1846">
        <f>Pipe!K35</f>
        <v>0</v>
      </c>
      <c r="N36" s="1846">
        <f>Pipe!L35</f>
        <v>0</v>
      </c>
      <c r="O36" s="1856">
        <f t="shared" si="1"/>
        <v>0</v>
      </c>
      <c r="P36" s="1856">
        <f t="shared" si="1"/>
        <v>0</v>
      </c>
      <c r="Q36" s="752">
        <f>M36+N36</f>
        <v>0</v>
      </c>
      <c r="R36" s="1857">
        <f>Q36*1.1</f>
        <v>0</v>
      </c>
    </row>
    <row r="37" spans="1:20" hidden="1">
      <c r="A37" s="1835"/>
      <c r="B37" s="1840" t="s">
        <v>1444</v>
      </c>
      <c r="C37" s="1837">
        <f>P9+P10</f>
        <v>0</v>
      </c>
      <c r="D37" s="1838"/>
      <c r="E37" s="1839"/>
      <c r="F37" s="1838">
        <f t="shared" si="13"/>
        <v>0</v>
      </c>
      <c r="G37" s="1839" t="s">
        <v>965</v>
      </c>
      <c r="H37" s="1842">
        <f>Rates!F83</f>
        <v>114.93</v>
      </c>
      <c r="I37" s="1843">
        <f t="shared" si="14"/>
        <v>0</v>
      </c>
      <c r="L37" s="536" t="s">
        <v>1406</v>
      </c>
      <c r="M37" s="1846">
        <f>Pipe!K36</f>
        <v>0</v>
      </c>
      <c r="N37" s="1846">
        <f>Pipe!L36</f>
        <v>0</v>
      </c>
      <c r="O37" s="1856">
        <f t="shared" si="1"/>
        <v>0</v>
      </c>
      <c r="P37" s="1856">
        <f t="shared" si="1"/>
        <v>0</v>
      </c>
      <c r="Q37" s="752">
        <f>M37+N37</f>
        <v>0</v>
      </c>
      <c r="R37" s="1857">
        <f>Q37*1.1</f>
        <v>0</v>
      </c>
    </row>
    <row r="38" spans="1:20" hidden="1">
      <c r="A38" s="1835"/>
      <c r="B38" s="1840" t="s">
        <v>1432</v>
      </c>
      <c r="C38" s="1837">
        <f>P11+P12</f>
        <v>0</v>
      </c>
      <c r="D38" s="1838"/>
      <c r="E38" s="1839"/>
      <c r="F38" s="1838">
        <f t="shared" si="13"/>
        <v>0</v>
      </c>
      <c r="G38" s="1839" t="s">
        <v>965</v>
      </c>
      <c r="H38" s="1842">
        <f>Rates!F84</f>
        <v>158.05000000000001</v>
      </c>
      <c r="I38" s="1843">
        <f t="shared" si="14"/>
        <v>0</v>
      </c>
      <c r="L38" s="536" t="s">
        <v>1407</v>
      </c>
      <c r="M38" s="1846">
        <f>Pipe!K37</f>
        <v>0</v>
      </c>
      <c r="N38" s="1846">
        <f>Pipe!L37</f>
        <v>0</v>
      </c>
      <c r="O38" s="1856">
        <f t="shared" si="1"/>
        <v>0</v>
      </c>
      <c r="P38" s="1856">
        <f t="shared" si="1"/>
        <v>0</v>
      </c>
      <c r="Q38" s="752">
        <f>M38+N38</f>
        <v>0</v>
      </c>
      <c r="R38" s="1857">
        <f>Q38*1.1</f>
        <v>0</v>
      </c>
    </row>
    <row r="39" spans="1:20" hidden="1">
      <c r="A39" s="1835"/>
      <c r="B39" s="1840" t="s">
        <v>1433</v>
      </c>
      <c r="C39" s="1837">
        <f>ROUNDUP(P13+P14,0)</f>
        <v>0</v>
      </c>
      <c r="D39" s="1838"/>
      <c r="E39" s="1839"/>
      <c r="F39" s="1838">
        <f t="shared" si="13"/>
        <v>0</v>
      </c>
      <c r="G39" s="1839" t="s">
        <v>965</v>
      </c>
      <c r="H39" s="1842">
        <f>Rates!F85</f>
        <v>215.52</v>
      </c>
      <c r="I39" s="1843">
        <f t="shared" si="14"/>
        <v>0</v>
      </c>
      <c r="O39" s="1856"/>
      <c r="P39" s="1856"/>
      <c r="Q39" s="752"/>
      <c r="R39" s="1857"/>
    </row>
    <row r="40" spans="1:20" hidden="1">
      <c r="A40" s="1835"/>
      <c r="B40" s="1840" t="s">
        <v>1434</v>
      </c>
      <c r="C40" s="1837">
        <f>ROUNDUP(P16+P15,0)</f>
        <v>0</v>
      </c>
      <c r="D40" s="1838"/>
      <c r="E40" s="1839"/>
      <c r="F40" s="1838">
        <f t="shared" si="13"/>
        <v>0</v>
      </c>
      <c r="G40" s="1839" t="s">
        <v>965</v>
      </c>
      <c r="H40" s="1842">
        <f>Rates!F86</f>
        <v>287.32</v>
      </c>
      <c r="I40" s="1843">
        <f t="shared" si="14"/>
        <v>0</v>
      </c>
      <c r="L40" s="1845" t="str">
        <f>Pipe!J40</f>
        <v>HP10-180</v>
      </c>
      <c r="M40" s="1846">
        <f>Pipe!K40</f>
        <v>0</v>
      </c>
      <c r="N40" s="1846">
        <f>Pipe!L40</f>
        <v>0</v>
      </c>
      <c r="O40" s="1846">
        <f t="shared" ref="O40:O42" si="17">M40*1.1</f>
        <v>0</v>
      </c>
      <c r="P40" s="1846">
        <f t="shared" ref="P40:P42" si="18">N40*1.1</f>
        <v>0</v>
      </c>
      <c r="Q40" s="1847">
        <f t="shared" ref="Q40:Q42" si="19">M40+N40</f>
        <v>0</v>
      </c>
      <c r="R40" s="1848">
        <f t="shared" ref="R40:R42" si="20">Q40*1.1</f>
        <v>0</v>
      </c>
    </row>
    <row r="41" spans="1:20">
      <c r="A41" s="1835"/>
      <c r="B41" s="1840" t="s">
        <v>2851</v>
      </c>
      <c r="C41" s="1837">
        <f>ROUNDUP(P17,0)</f>
        <v>2175</v>
      </c>
      <c r="D41" s="1838"/>
      <c r="E41" s="1839"/>
      <c r="F41" s="1838">
        <f>+C41</f>
        <v>2175</v>
      </c>
      <c r="G41" s="1839" t="s">
        <v>965</v>
      </c>
      <c r="H41" s="1842">
        <f>Rates!F87</f>
        <v>359.12</v>
      </c>
      <c r="I41" s="1843">
        <f t="shared" si="14"/>
        <v>781086</v>
      </c>
      <c r="K41" s="1852"/>
      <c r="L41" s="1845" t="str">
        <f>Pipe!J41</f>
        <v>HP10-200</v>
      </c>
      <c r="M41" s="1846">
        <f>Pipe!K47</f>
        <v>0</v>
      </c>
      <c r="N41" s="1846">
        <f>Pipe!L47</f>
        <v>0</v>
      </c>
      <c r="O41" s="1846">
        <f t="shared" si="17"/>
        <v>0</v>
      </c>
      <c r="P41" s="1846">
        <f t="shared" si="18"/>
        <v>0</v>
      </c>
      <c r="Q41" s="1847">
        <f t="shared" si="19"/>
        <v>0</v>
      </c>
      <c r="R41" s="1848">
        <f t="shared" si="20"/>
        <v>0</v>
      </c>
      <c r="T41" s="1853"/>
    </row>
    <row r="42" spans="1:20" hidden="1">
      <c r="A42" s="1835"/>
      <c r="B42" s="1840" t="s">
        <v>2852</v>
      </c>
      <c r="C42" s="1837">
        <f>ROUNDUP(P18,0)</f>
        <v>0</v>
      </c>
      <c r="D42" s="1838"/>
      <c r="E42" s="1839"/>
      <c r="F42" s="1838">
        <f t="shared" si="13"/>
        <v>0</v>
      </c>
      <c r="G42" s="1839" t="s">
        <v>965</v>
      </c>
      <c r="H42" s="1842">
        <f>Rates!F88</f>
        <v>438.15</v>
      </c>
      <c r="I42" s="1843">
        <f t="shared" si="14"/>
        <v>0</v>
      </c>
      <c r="K42" s="1852"/>
      <c r="L42" s="1845" t="str">
        <f>Pipe!J42</f>
        <v>HP10-225</v>
      </c>
      <c r="M42" s="1846">
        <f>Pipe!K48</f>
        <v>0</v>
      </c>
      <c r="N42" s="1846">
        <f>Pipe!L48</f>
        <v>0</v>
      </c>
      <c r="O42" s="1846">
        <f t="shared" si="17"/>
        <v>0</v>
      </c>
      <c r="P42" s="1846">
        <f t="shared" si="18"/>
        <v>0</v>
      </c>
      <c r="Q42" s="1847">
        <f t="shared" si="19"/>
        <v>0</v>
      </c>
      <c r="R42" s="1848">
        <f t="shared" si="20"/>
        <v>0</v>
      </c>
      <c r="T42" s="1853"/>
    </row>
    <row r="43" spans="1:20">
      <c r="A43" s="1835"/>
      <c r="B43" s="1840" t="s">
        <v>3037</v>
      </c>
      <c r="C43" s="1837">
        <f>ROUNDUP(P19,0)</f>
        <v>1355</v>
      </c>
      <c r="D43" s="1838"/>
      <c r="E43" s="1839"/>
      <c r="F43" s="1838">
        <f t="shared" ref="F43" si="21">+C43</f>
        <v>1355</v>
      </c>
      <c r="G43" s="1839" t="s">
        <v>965</v>
      </c>
      <c r="H43" s="1842">
        <f>Rates!F89</f>
        <v>502.84</v>
      </c>
      <c r="I43" s="1843">
        <f t="shared" ref="I43" si="22">+ROUND(F43*H43,2)</f>
        <v>681348.2</v>
      </c>
      <c r="K43" s="1852"/>
      <c r="L43" s="1845" t="str">
        <f>Pipe!J43</f>
        <v>HP10-250</v>
      </c>
      <c r="M43" s="1846">
        <f>Pipe!K49</f>
        <v>0</v>
      </c>
      <c r="N43" s="1846">
        <f>Pipe!L43</f>
        <v>1380</v>
      </c>
      <c r="O43" s="1846">
        <f t="shared" ref="O43" si="23">M43*1.1</f>
        <v>0</v>
      </c>
      <c r="P43" s="1846">
        <f t="shared" ref="P43" si="24">N43*1.1</f>
        <v>1518.0000000000002</v>
      </c>
      <c r="Q43" s="1847">
        <f t="shared" ref="Q43" si="25">M43+N43</f>
        <v>1380</v>
      </c>
      <c r="R43" s="1848">
        <f t="shared" ref="R43" si="26">Q43*1.1</f>
        <v>1518.0000000000002</v>
      </c>
      <c r="T43" s="1853"/>
    </row>
    <row r="44" spans="1:20">
      <c r="A44" s="1835"/>
      <c r="B44" s="1840"/>
      <c r="C44" s="1837"/>
      <c r="D44" s="1838"/>
      <c r="E44" s="1839"/>
      <c r="F44" s="1838"/>
      <c r="G44" s="1839"/>
      <c r="H44" s="1842"/>
      <c r="I44" s="1843"/>
      <c r="M44" s="752">
        <f>SUM(M9:M38)</f>
        <v>258.63</v>
      </c>
      <c r="N44" s="752">
        <f>SUM(N9:N38)</f>
        <v>3207.48</v>
      </c>
      <c r="O44" s="752">
        <f>SUM(O9:O38)</f>
        <v>284.49299999999999</v>
      </c>
      <c r="P44" s="752">
        <f>SUM(P9:P38)</f>
        <v>3528.2280000000001</v>
      </c>
      <c r="Q44" s="752">
        <f>SUM(Q9:Q43)</f>
        <v>4846.1100000000006</v>
      </c>
      <c r="R44" s="752">
        <f>SUM(R9:R43)</f>
        <v>5330.7210000000005</v>
      </c>
    </row>
    <row r="45" spans="1:20" ht="14.25">
      <c r="A45" s="1835"/>
      <c r="B45" s="1858" t="s">
        <v>1435</v>
      </c>
      <c r="C45" s="1869">
        <f>SUM(C30:C43)</f>
        <v>5048</v>
      </c>
      <c r="D45" s="1870"/>
      <c r="E45" s="1871"/>
      <c r="F45" s="1872">
        <f>SUM(F30:F43)</f>
        <v>5048</v>
      </c>
      <c r="G45" s="1871"/>
      <c r="H45" s="1873" t="s">
        <v>107</v>
      </c>
      <c r="I45" s="1874">
        <f>SUM(I27:I44)</f>
        <v>5059162.79</v>
      </c>
    </row>
    <row r="46" spans="1:20" ht="14.25">
      <c r="A46" s="1887"/>
      <c r="B46" s="1863">
        <f>'Entry for Rates'!$F$114</f>
        <v>13</v>
      </c>
      <c r="C46" s="1875"/>
      <c r="D46" s="1876"/>
      <c r="E46" s="1877"/>
      <c r="F46" s="1878"/>
      <c r="G46" s="1877"/>
      <c r="H46" s="1819"/>
      <c r="I46" s="1879">
        <f>I45*B46/100</f>
        <v>657691.16269999999</v>
      </c>
    </row>
    <row r="47" spans="1:20" ht="15">
      <c r="A47" s="1819"/>
      <c r="B47" s="1880" t="s">
        <v>1445</v>
      </c>
      <c r="C47" s="1881"/>
      <c r="D47" s="1882"/>
      <c r="E47" s="1883"/>
      <c r="F47" s="1884"/>
      <c r="G47" s="1883"/>
      <c r="H47" s="1885" t="s">
        <v>107</v>
      </c>
      <c r="I47" s="1886">
        <f>I46+I45</f>
        <v>5716853.9527000003</v>
      </c>
    </row>
    <row r="48" spans="1:20" ht="23.25">
      <c r="A48" s="2283" t="s">
        <v>1447</v>
      </c>
      <c r="B48" s="1888" t="s">
        <v>1446</v>
      </c>
      <c r="C48" s="1889"/>
      <c r="D48" s="1889"/>
      <c r="E48" s="1890"/>
      <c r="F48" s="1891"/>
      <c r="G48" s="1890"/>
      <c r="H48" s="1892" t="s">
        <v>107</v>
      </c>
      <c r="I48" s="1893">
        <f>+I47+I24</f>
        <v>6150864.5334999999</v>
      </c>
    </row>
    <row r="49" spans="1:12" ht="14.25">
      <c r="A49" s="1897" t="s">
        <v>1357</v>
      </c>
      <c r="B49" s="1894"/>
      <c r="C49" s="1878"/>
      <c r="D49" s="1878"/>
      <c r="E49" s="1877"/>
      <c r="F49" s="1876"/>
      <c r="G49" s="1877"/>
      <c r="H49" s="1895"/>
      <c r="I49" s="1896"/>
    </row>
    <row r="50" spans="1:12" ht="23.25">
      <c r="A50" s="1902">
        <v>1</v>
      </c>
      <c r="B50" s="2282"/>
      <c r="C50" s="2282"/>
      <c r="D50" s="2282"/>
      <c r="E50" s="2282"/>
      <c r="F50" s="2282"/>
      <c r="G50" s="2282"/>
      <c r="H50" s="2282"/>
      <c r="I50" s="2282"/>
    </row>
    <row r="51" spans="1:12" ht="14.25">
      <c r="A51" s="1835"/>
      <c r="B51" s="3003" t="s">
        <v>1448</v>
      </c>
      <c r="C51" s="3004"/>
      <c r="D51" s="3004"/>
      <c r="E51" s="3005"/>
      <c r="F51" s="1898" t="s">
        <v>964</v>
      </c>
      <c r="G51" s="1899" t="s">
        <v>1035</v>
      </c>
      <c r="H51" s="1900" t="s">
        <v>97</v>
      </c>
      <c r="I51" s="1901" t="s">
        <v>52</v>
      </c>
    </row>
    <row r="52" spans="1:12" ht="14.25">
      <c r="A52" s="1835"/>
      <c r="B52" s="1903" t="s">
        <v>1449</v>
      </c>
      <c r="C52" s="1903"/>
      <c r="D52" s="1903"/>
      <c r="E52" s="1904"/>
      <c r="F52" s="1905"/>
      <c r="G52" s="1904"/>
      <c r="H52" s="1906"/>
      <c r="I52" s="1862"/>
    </row>
    <row r="53" spans="1:12" ht="14.25">
      <c r="A53" s="1835"/>
      <c r="B53" s="1865" t="s">
        <v>1108</v>
      </c>
      <c r="C53" s="1859"/>
      <c r="D53" s="1859"/>
      <c r="E53" s="1839"/>
      <c r="F53" s="1838">
        <f>+Pipe!G93</f>
        <v>116340.44100000001</v>
      </c>
      <c r="G53" s="1839" t="s">
        <v>1034</v>
      </c>
      <c r="H53" s="1839">
        <f>(10*'Rate-1'!I36+1*'Rate-1'!I28*100)/100</f>
        <v>0</v>
      </c>
      <c r="I53" s="1907">
        <f>F53*H53</f>
        <v>0</v>
      </c>
    </row>
    <row r="54" spans="1:12" ht="14.25">
      <c r="A54" s="1908"/>
      <c r="B54" s="1865" t="s">
        <v>1111</v>
      </c>
      <c r="C54" s="1859"/>
      <c r="D54" s="1859"/>
      <c r="E54" s="1839"/>
      <c r="F54" s="1838">
        <f>SUM(F53:F53)</f>
        <v>116340.44100000001</v>
      </c>
      <c r="G54" s="1839" t="s">
        <v>1034</v>
      </c>
      <c r="H54" s="1839"/>
      <c r="I54" s="1907">
        <f>SUM(I53:I53)</f>
        <v>0</v>
      </c>
    </row>
    <row r="55" spans="1:12" ht="14.25">
      <c r="A55" s="1819"/>
      <c r="B55" s="1863">
        <f>'Entry for Rates'!$F$114</f>
        <v>13</v>
      </c>
      <c r="C55" s="1837"/>
      <c r="D55" s="1838"/>
      <c r="E55" s="1839"/>
      <c r="F55" s="1859"/>
      <c r="G55" s="1839"/>
      <c r="H55" s="1861"/>
      <c r="I55" s="1864">
        <f>I54*B55/100</f>
        <v>0</v>
      </c>
    </row>
    <row r="56" spans="1:12" ht="15">
      <c r="A56" s="1819"/>
      <c r="B56" s="1909" t="s">
        <v>1450</v>
      </c>
      <c r="C56" s="1910"/>
      <c r="D56" s="1910"/>
      <c r="E56" s="1911"/>
      <c r="F56" s="1912"/>
      <c r="G56" s="1911"/>
      <c r="H56" s="1913" t="s">
        <v>1451</v>
      </c>
      <c r="I56" s="1914">
        <f>SUM(I54:I55)</f>
        <v>0</v>
      </c>
    </row>
    <row r="57" spans="1:12" ht="14.25">
      <c r="A57" s="1819"/>
      <c r="B57" s="1894"/>
      <c r="C57" s="1878"/>
      <c r="D57" s="1878"/>
      <c r="E57" s="1877"/>
      <c r="F57" s="1876"/>
      <c r="G57" s="1877"/>
      <c r="H57" s="1895"/>
      <c r="I57" s="1896"/>
    </row>
    <row r="58" spans="1:12" ht="14.25">
      <c r="A58" s="1819"/>
      <c r="B58" s="1894"/>
      <c r="C58" s="1878"/>
      <c r="D58" s="1878"/>
      <c r="E58" s="1877"/>
      <c r="F58" s="1876"/>
      <c r="G58" s="1877"/>
      <c r="H58" s="1895"/>
      <c r="I58" s="1896"/>
    </row>
    <row r="59" spans="1:12" ht="14.25">
      <c r="A59" s="1819"/>
      <c r="B59" s="1894"/>
      <c r="C59" s="1878"/>
      <c r="D59" s="1878"/>
      <c r="E59" s="1877"/>
      <c r="F59" s="1876"/>
      <c r="G59" s="1877"/>
      <c r="H59" s="1895"/>
      <c r="I59" s="1896"/>
      <c r="L59" s="615"/>
    </row>
    <row r="60" spans="1:12" ht="14.25">
      <c r="A60" s="1819"/>
      <c r="B60" s="1894"/>
      <c r="C60" s="1878"/>
      <c r="D60" s="1878"/>
      <c r="E60" s="1877"/>
      <c r="F60" s="1876"/>
      <c r="G60" s="1877"/>
      <c r="H60" s="1895"/>
      <c r="I60" s="1896"/>
    </row>
    <row r="61" spans="1:12" ht="14.25">
      <c r="A61" s="1819"/>
      <c r="B61" s="1894"/>
      <c r="C61" s="1878"/>
      <c r="D61" s="1878"/>
      <c r="E61" s="1877"/>
      <c r="F61" s="1876"/>
      <c r="G61" s="1877"/>
      <c r="H61" s="1895"/>
      <c r="I61" s="1896"/>
    </row>
    <row r="62" spans="1:12" ht="14.25">
      <c r="A62" s="1819"/>
      <c r="B62" s="1894"/>
      <c r="C62" s="1878"/>
      <c r="D62" s="1878"/>
      <c r="E62" s="1877"/>
      <c r="F62" s="1876"/>
      <c r="G62" s="1877"/>
      <c r="H62" s="1895"/>
      <c r="I62" s="1896"/>
    </row>
    <row r="63" spans="1:12" ht="14.25">
      <c r="A63" s="1819"/>
      <c r="B63" s="1894"/>
      <c r="C63" s="1878"/>
      <c r="D63" s="1878"/>
      <c r="E63" s="1877"/>
      <c r="F63" s="1876"/>
      <c r="G63" s="1877"/>
      <c r="H63" s="1895"/>
      <c r="I63" s="1896"/>
    </row>
    <row r="64" spans="1:12" ht="14.25">
      <c r="A64" s="1819"/>
      <c r="B64" s="1894"/>
      <c r="C64" s="1878"/>
      <c r="D64" s="1878"/>
      <c r="E64" s="1877"/>
      <c r="F64" s="1876"/>
      <c r="G64" s="1877"/>
      <c r="H64" s="1895"/>
      <c r="I64" s="1896"/>
    </row>
    <row r="65" spans="1:17" ht="14.25">
      <c r="A65" s="1819"/>
      <c r="B65" s="1894"/>
      <c r="C65" s="1878"/>
      <c r="D65" s="1878"/>
      <c r="E65" s="1877"/>
      <c r="F65" s="1876"/>
      <c r="G65" s="1877"/>
      <c r="H65" s="1895"/>
      <c r="I65" s="1896"/>
    </row>
    <row r="66" spans="1:17" ht="14.25">
      <c r="A66" s="1819"/>
      <c r="B66" s="1894"/>
      <c r="C66" s="1878"/>
      <c r="D66" s="1878"/>
      <c r="E66" s="1877"/>
      <c r="F66" s="1876"/>
      <c r="G66" s="1877"/>
      <c r="H66" s="1895"/>
      <c r="I66" s="1896"/>
    </row>
    <row r="67" spans="1:17" ht="14.25">
      <c r="A67" s="1819"/>
      <c r="B67" s="1894"/>
      <c r="C67" s="1878"/>
      <c r="D67" s="1878"/>
      <c r="E67" s="1877"/>
      <c r="F67" s="1876"/>
      <c r="G67" s="1877"/>
      <c r="H67" s="1895"/>
      <c r="I67" s="1896"/>
    </row>
    <row r="68" spans="1:17" ht="14.25">
      <c r="A68" s="1819"/>
      <c r="B68" s="1894"/>
      <c r="C68" s="1878"/>
      <c r="D68" s="1878"/>
      <c r="E68" s="1877"/>
      <c r="F68" s="1876"/>
      <c r="G68" s="1877"/>
      <c r="H68" s="1895"/>
      <c r="I68" s="1896"/>
    </row>
    <row r="69" spans="1:17" ht="14.25">
      <c r="A69" s="1819"/>
      <c r="B69" s="1894"/>
      <c r="C69" s="1878"/>
      <c r="D69" s="1878"/>
      <c r="E69" s="1877"/>
      <c r="F69" s="1876"/>
      <c r="G69" s="1877"/>
      <c r="H69" s="1895"/>
      <c r="I69" s="1896"/>
    </row>
    <row r="70" spans="1:17" ht="14.25">
      <c r="A70" s="1819"/>
      <c r="B70" s="1894"/>
      <c r="C70" s="1878"/>
      <c r="D70" s="1878"/>
      <c r="E70" s="1877"/>
      <c r="F70" s="1876"/>
      <c r="G70" s="1877"/>
      <c r="H70" s="1895"/>
      <c r="I70" s="1896"/>
    </row>
    <row r="71" spans="1:17" ht="14.25">
      <c r="A71" s="1819"/>
      <c r="B71" s="1894"/>
      <c r="C71" s="1878"/>
      <c r="D71" s="1878"/>
      <c r="E71" s="1877"/>
      <c r="F71" s="1876"/>
      <c r="G71" s="1877"/>
      <c r="H71" s="1895"/>
      <c r="I71" s="1896"/>
      <c r="Q71" s="615"/>
    </row>
    <row r="72" spans="1:17" ht="14.25">
      <c r="A72" s="1819"/>
      <c r="B72" s="1894"/>
      <c r="C72" s="1878"/>
      <c r="D72" s="1878"/>
      <c r="E72" s="1877"/>
      <c r="F72" s="1876"/>
      <c r="G72" s="1877"/>
      <c r="H72" s="1895"/>
      <c r="I72" s="1896"/>
    </row>
    <row r="73" spans="1:17" ht="14.25">
      <c r="A73" s="1819"/>
      <c r="B73" s="1894"/>
      <c r="C73" s="1878"/>
      <c r="D73" s="1878"/>
      <c r="E73" s="1877"/>
      <c r="F73" s="1876"/>
      <c r="G73" s="1877"/>
      <c r="H73" s="1895"/>
      <c r="I73" s="1896"/>
    </row>
    <row r="74" spans="1:17" ht="14.25">
      <c r="A74" s="1819"/>
      <c r="B74" s="1894"/>
      <c r="C74" s="1878"/>
      <c r="D74" s="1878"/>
      <c r="E74" s="1877"/>
      <c r="F74" s="1876"/>
      <c r="G74" s="1877"/>
      <c r="H74" s="1895"/>
      <c r="I74" s="1896"/>
    </row>
    <row r="75" spans="1:17" ht="14.25">
      <c r="A75" s="1819"/>
      <c r="B75" s="1894"/>
      <c r="C75" s="1878"/>
      <c r="D75" s="1878"/>
      <c r="E75" s="1877"/>
      <c r="F75" s="1876"/>
      <c r="G75" s="1877"/>
      <c r="H75" s="1895"/>
      <c r="I75" s="1896"/>
      <c r="Q75" s="615"/>
    </row>
    <row r="76" spans="1:17" ht="14.25">
      <c r="A76" s="1819"/>
      <c r="B76" s="1894"/>
      <c r="C76" s="1878"/>
      <c r="D76" s="1878"/>
      <c r="E76" s="1877"/>
      <c r="F76" s="1876"/>
      <c r="G76" s="1877"/>
      <c r="H76" s="1895"/>
      <c r="I76" s="1896"/>
      <c r="Q76" s="615"/>
    </row>
    <row r="77" spans="1:17" ht="14.25">
      <c r="A77" s="1819"/>
      <c r="B77" s="1894"/>
      <c r="C77" s="1878"/>
      <c r="D77" s="1878"/>
      <c r="E77" s="1877"/>
      <c r="F77" s="1876"/>
      <c r="G77" s="1877"/>
      <c r="H77" s="1895"/>
      <c r="I77" s="1896"/>
    </row>
    <row r="78" spans="1:17" ht="14.25">
      <c r="A78" s="1819"/>
      <c r="B78" s="1894"/>
      <c r="C78" s="1878"/>
      <c r="D78" s="1878"/>
      <c r="E78" s="1877"/>
      <c r="F78" s="1876"/>
      <c r="G78" s="1877"/>
      <c r="H78" s="1895"/>
      <c r="I78" s="1896"/>
    </row>
    <row r="79" spans="1:17" ht="14.25">
      <c r="A79" s="1819"/>
      <c r="B79" s="1894"/>
      <c r="C79" s="1878"/>
      <c r="D79" s="1878"/>
      <c r="E79" s="1877"/>
      <c r="F79" s="1876"/>
      <c r="G79" s="1877"/>
      <c r="H79" s="1895"/>
      <c r="I79" s="1896"/>
    </row>
    <row r="80" spans="1:17" ht="14.25">
      <c r="A80" s="1819"/>
      <c r="B80" s="1894"/>
      <c r="C80" s="1878"/>
      <c r="D80" s="1878"/>
      <c r="E80" s="1877"/>
      <c r="F80" s="1876"/>
      <c r="G80" s="1877"/>
      <c r="H80" s="1895"/>
      <c r="I80" s="1896"/>
    </row>
    <row r="81" spans="1:9" ht="14.25">
      <c r="A81" s="1819"/>
      <c r="B81" s="1894"/>
      <c r="C81" s="1878"/>
      <c r="D81" s="1878"/>
      <c r="E81" s="1877"/>
      <c r="F81" s="1876"/>
      <c r="G81" s="1877"/>
      <c r="H81" s="1895"/>
      <c r="I81" s="1896"/>
    </row>
    <row r="82" spans="1:9" ht="14.25">
      <c r="A82" s="1819"/>
      <c r="B82" s="1894"/>
      <c r="C82" s="1878"/>
      <c r="D82" s="1878"/>
      <c r="E82" s="1877"/>
      <c r="F82" s="1876"/>
      <c r="G82" s="1877"/>
      <c r="H82" s="1895"/>
      <c r="I82" s="1896"/>
    </row>
    <row r="83" spans="1:9" ht="14.25">
      <c r="A83" s="1819"/>
      <c r="B83" s="1894"/>
      <c r="C83" s="1878"/>
      <c r="D83" s="1878"/>
      <c r="E83" s="1877"/>
      <c r="F83" s="1876"/>
      <c r="G83" s="1877"/>
      <c r="H83" s="1895"/>
      <c r="I83" s="1896"/>
    </row>
    <row r="84" spans="1:9" ht="14.25">
      <c r="A84" s="1819"/>
      <c r="B84" s="1894"/>
      <c r="C84" s="1878"/>
      <c r="D84" s="1878"/>
      <c r="E84" s="1877"/>
      <c r="F84" s="1876"/>
      <c r="G84" s="1877"/>
      <c r="H84" s="1895"/>
      <c r="I84" s="1896"/>
    </row>
    <row r="85" spans="1:9" ht="14.25">
      <c r="A85" s="1819"/>
      <c r="B85" s="1894"/>
      <c r="C85" s="1878"/>
      <c r="D85" s="1878"/>
      <c r="E85" s="1877"/>
      <c r="F85" s="1876"/>
      <c r="G85" s="1877"/>
      <c r="H85" s="1895"/>
      <c r="I85" s="1896"/>
    </row>
    <row r="86" spans="1:9" ht="14.25">
      <c r="A86" s="1819"/>
      <c r="B86" s="1894"/>
      <c r="C86" s="1878"/>
      <c r="D86" s="1878"/>
      <c r="E86" s="1877"/>
      <c r="F86" s="1876"/>
      <c r="G86" s="1877"/>
      <c r="H86" s="1895"/>
      <c r="I86" s="1896"/>
    </row>
    <row r="87" spans="1:9" ht="14.25">
      <c r="A87" s="1819"/>
      <c r="B87" s="1894"/>
      <c r="C87" s="1878"/>
      <c r="D87" s="1878"/>
      <c r="E87" s="1877"/>
      <c r="F87" s="1876"/>
      <c r="G87" s="1877"/>
      <c r="H87" s="1895"/>
      <c r="I87" s="1896"/>
    </row>
    <row r="88" spans="1:9" ht="14.25">
      <c r="A88" s="1819"/>
      <c r="B88" s="1894"/>
      <c r="C88" s="1878"/>
      <c r="D88" s="1878"/>
      <c r="E88" s="1877"/>
      <c r="F88" s="1876"/>
      <c r="G88" s="1877"/>
      <c r="H88" s="1895"/>
      <c r="I88" s="1896"/>
    </row>
    <row r="89" spans="1:9" ht="14.25">
      <c r="A89" s="1819"/>
      <c r="B89" s="1894"/>
      <c r="C89" s="1878"/>
      <c r="D89" s="1878"/>
      <c r="E89" s="1877"/>
      <c r="F89" s="1876"/>
      <c r="G89" s="1877"/>
      <c r="H89" s="1895"/>
      <c r="I89" s="1896"/>
    </row>
    <row r="90" spans="1:9" ht="14.25">
      <c r="A90" s="1819"/>
      <c r="B90" s="1894"/>
      <c r="C90" s="1878"/>
      <c r="D90" s="1878"/>
      <c r="E90" s="1877"/>
      <c r="F90" s="1876"/>
      <c r="G90" s="1877"/>
      <c r="H90" s="1895"/>
      <c r="I90" s="1896"/>
    </row>
    <row r="91" spans="1:9" ht="14.25">
      <c r="A91" s="1819"/>
      <c r="B91" s="1894"/>
      <c r="C91" s="1878"/>
      <c r="D91" s="1878"/>
      <c r="E91" s="1877"/>
      <c r="F91" s="1876"/>
      <c r="G91" s="1877"/>
      <c r="H91" s="1895"/>
      <c r="I91" s="1896"/>
    </row>
    <row r="92" spans="1:9" ht="14.25">
      <c r="A92" s="1819"/>
      <c r="B92" s="1894"/>
      <c r="C92" s="1878"/>
      <c r="D92" s="1878"/>
      <c r="E92" s="1877"/>
      <c r="F92" s="1876"/>
      <c r="G92" s="1877"/>
      <c r="H92" s="1895"/>
      <c r="I92" s="1896"/>
    </row>
    <row r="93" spans="1:9" ht="14.25">
      <c r="A93" s="1819"/>
      <c r="B93" s="1894"/>
      <c r="C93" s="1878"/>
      <c r="D93" s="1878"/>
      <c r="E93" s="1877"/>
      <c r="F93" s="1876"/>
      <c r="G93" s="1877"/>
      <c r="H93" s="1895"/>
      <c r="I93" s="1896"/>
    </row>
    <row r="94" spans="1:9" ht="14.25">
      <c r="A94" s="1819"/>
      <c r="B94" s="1894"/>
      <c r="C94" s="1878"/>
      <c r="D94" s="1878"/>
      <c r="E94" s="1877"/>
      <c r="F94" s="1876"/>
      <c r="G94" s="1877"/>
      <c r="H94" s="1895"/>
      <c r="I94" s="1896"/>
    </row>
    <row r="95" spans="1:9" ht="14.25">
      <c r="A95" s="1819"/>
      <c r="B95" s="1894"/>
      <c r="C95" s="1878"/>
      <c r="D95" s="1878"/>
      <c r="E95" s="1877"/>
      <c r="F95" s="1876"/>
      <c r="G95" s="1877"/>
      <c r="H95" s="1895"/>
      <c r="I95" s="1896"/>
    </row>
    <row r="96" spans="1:9" ht="14.25">
      <c r="A96" s="1819"/>
      <c r="B96" s="1894"/>
      <c r="C96" s="1878"/>
      <c r="D96" s="1878"/>
      <c r="E96" s="1877"/>
      <c r="F96" s="1876"/>
      <c r="G96" s="1877"/>
      <c r="H96" s="1895"/>
      <c r="I96" s="1896"/>
    </row>
    <row r="97" spans="1:9" ht="14.25">
      <c r="A97" s="1819"/>
      <c r="B97" s="1894"/>
      <c r="C97" s="1878"/>
      <c r="D97" s="1878"/>
      <c r="E97" s="1877"/>
      <c r="F97" s="1876"/>
      <c r="G97" s="1877"/>
      <c r="H97" s="1895"/>
      <c r="I97" s="1896"/>
    </row>
    <row r="98" spans="1:9" ht="14.25">
      <c r="A98" s="1819"/>
      <c r="B98" s="1894"/>
      <c r="C98" s="1878"/>
      <c r="D98" s="1878"/>
      <c r="E98" s="1877"/>
      <c r="F98" s="1876"/>
      <c r="G98" s="1877"/>
      <c r="H98" s="1895"/>
      <c r="I98" s="1896"/>
    </row>
    <row r="99" spans="1:9" ht="14.25">
      <c r="A99" s="1819"/>
      <c r="B99" s="1894"/>
      <c r="C99" s="1878"/>
      <c r="D99" s="1878"/>
      <c r="E99" s="1877"/>
      <c r="F99" s="1876"/>
      <c r="G99" s="1877"/>
      <c r="H99" s="1895"/>
      <c r="I99" s="1896"/>
    </row>
    <row r="100" spans="1:9" ht="14.25">
      <c r="A100" s="1819"/>
      <c r="B100" s="1894"/>
      <c r="C100" s="1878"/>
      <c r="D100" s="1878"/>
      <c r="E100" s="1877"/>
      <c r="F100" s="1876"/>
      <c r="G100" s="1877"/>
      <c r="H100" s="1895"/>
      <c r="I100" s="1896"/>
    </row>
    <row r="101" spans="1:9" ht="14.25">
      <c r="A101" s="1819"/>
      <c r="B101" s="1894"/>
      <c r="C101" s="1878"/>
      <c r="D101" s="1878"/>
      <c r="E101" s="1877"/>
      <c r="F101" s="1876"/>
      <c r="G101" s="1877"/>
      <c r="H101" s="1895"/>
      <c r="I101" s="1896"/>
    </row>
    <row r="102" spans="1:9" ht="14.25">
      <c r="A102" s="1819"/>
      <c r="B102" s="1894"/>
      <c r="C102" s="1878"/>
      <c r="D102" s="1878"/>
      <c r="E102" s="1877"/>
      <c r="F102" s="1876"/>
      <c r="G102" s="1877"/>
      <c r="H102" s="1895"/>
      <c r="I102" s="1896"/>
    </row>
    <row r="103" spans="1:9" ht="14.25">
      <c r="A103" s="1819"/>
      <c r="B103" s="1894"/>
      <c r="C103" s="1878"/>
      <c r="D103" s="1878"/>
      <c r="E103" s="1877"/>
      <c r="F103" s="1876"/>
      <c r="G103" s="1877"/>
      <c r="H103" s="1895"/>
      <c r="I103" s="1896"/>
    </row>
    <row r="104" spans="1:9" ht="14.25">
      <c r="A104" s="1819"/>
      <c r="B104" s="1894"/>
      <c r="C104" s="1878"/>
      <c r="D104" s="1878"/>
      <c r="E104" s="1877"/>
      <c r="F104" s="1876"/>
      <c r="G104" s="1877"/>
      <c r="H104" s="1895"/>
      <c r="I104" s="1896"/>
    </row>
    <row r="105" spans="1:9" ht="14.25">
      <c r="A105" s="1819"/>
      <c r="B105" s="1894"/>
      <c r="C105" s="1878"/>
      <c r="D105" s="1878"/>
      <c r="E105" s="1877"/>
      <c r="F105" s="1876"/>
      <c r="G105" s="1877"/>
      <c r="H105" s="1895"/>
      <c r="I105" s="1896"/>
    </row>
    <row r="106" spans="1:9" ht="14.25">
      <c r="A106" s="1819"/>
      <c r="B106" s="1894"/>
      <c r="C106" s="1878"/>
      <c r="D106" s="1878"/>
      <c r="E106" s="1877"/>
      <c r="F106" s="1876"/>
      <c r="G106" s="1877"/>
      <c r="H106" s="1895"/>
      <c r="I106" s="1896"/>
    </row>
    <row r="107" spans="1:9" ht="14.25">
      <c r="A107" s="1819"/>
      <c r="B107" s="1894"/>
      <c r="C107" s="1878"/>
      <c r="D107" s="1878"/>
      <c r="E107" s="1877"/>
      <c r="F107" s="1876"/>
      <c r="G107" s="1877"/>
      <c r="H107" s="1895"/>
      <c r="I107" s="1896"/>
    </row>
    <row r="108" spans="1:9" ht="14.25">
      <c r="A108" s="1819"/>
      <c r="B108" s="1894"/>
      <c r="C108" s="1878"/>
      <c r="D108" s="1878"/>
      <c r="E108" s="1877"/>
      <c r="F108" s="1876"/>
      <c r="G108" s="1877"/>
      <c r="H108" s="1895"/>
      <c r="I108" s="1896"/>
    </row>
    <row r="109" spans="1:9" ht="14.25">
      <c r="A109" s="1819"/>
      <c r="B109" s="1894"/>
      <c r="C109" s="1878"/>
      <c r="D109" s="1878"/>
      <c r="E109" s="1877"/>
      <c r="F109" s="1876"/>
      <c r="G109" s="1877"/>
      <c r="H109" s="1895"/>
      <c r="I109" s="1896"/>
    </row>
    <row r="110" spans="1:9" ht="14.25">
      <c r="A110" s="1819"/>
      <c r="B110" s="1894"/>
      <c r="C110" s="1878"/>
      <c r="D110" s="1878"/>
      <c r="E110" s="1877"/>
      <c r="F110" s="1876"/>
      <c r="G110" s="1877"/>
      <c r="H110" s="1895"/>
      <c r="I110" s="1896"/>
    </row>
    <row r="111" spans="1:9" ht="14.25">
      <c r="A111" s="1819"/>
      <c r="B111" s="1894"/>
      <c r="C111" s="1878"/>
      <c r="D111" s="1878"/>
      <c r="E111" s="1877"/>
      <c r="F111" s="1876"/>
      <c r="G111" s="1877"/>
      <c r="H111" s="1895"/>
      <c r="I111" s="1896"/>
    </row>
    <row r="112" spans="1:9" ht="14.25">
      <c r="A112" s="1819"/>
      <c r="B112" s="1894"/>
      <c r="C112" s="1878"/>
      <c r="D112" s="1878"/>
      <c r="E112" s="1877"/>
      <c r="F112" s="1876"/>
      <c r="G112" s="1877"/>
      <c r="H112" s="1895"/>
      <c r="I112" s="1896"/>
    </row>
    <row r="113" spans="1:9" ht="14.25">
      <c r="A113" s="1819"/>
      <c r="B113" s="1894"/>
      <c r="C113" s="1878"/>
      <c r="D113" s="1878"/>
      <c r="E113" s="1877"/>
      <c r="F113" s="1876"/>
      <c r="G113" s="1877"/>
      <c r="H113" s="1895"/>
      <c r="I113" s="1896"/>
    </row>
    <row r="114" spans="1:9" ht="14.25">
      <c r="A114" s="1819"/>
      <c r="B114" s="1894"/>
      <c r="C114" s="1878"/>
      <c r="D114" s="1878"/>
      <c r="E114" s="1877"/>
      <c r="F114" s="1876"/>
      <c r="G114" s="1877"/>
      <c r="H114" s="1895"/>
      <c r="I114" s="1896"/>
    </row>
    <row r="115" spans="1:9" ht="14.25">
      <c r="A115" s="1819"/>
      <c r="B115" s="1894"/>
      <c r="C115" s="1878"/>
      <c r="D115" s="1878"/>
      <c r="E115" s="1877"/>
      <c r="F115" s="1876"/>
      <c r="G115" s="1877"/>
      <c r="H115" s="1895"/>
      <c r="I115" s="1896"/>
    </row>
    <row r="116" spans="1:9" ht="14.25">
      <c r="A116" s="1819"/>
      <c r="B116" s="1894"/>
      <c r="C116" s="1878"/>
      <c r="D116" s="1878"/>
      <c r="E116" s="1877"/>
      <c r="F116" s="1876"/>
      <c r="G116" s="1877"/>
      <c r="H116" s="1895"/>
      <c r="I116" s="1896"/>
    </row>
    <row r="117" spans="1:9" ht="14.25">
      <c r="A117" s="1819"/>
      <c r="B117" s="1894"/>
      <c r="C117" s="1878"/>
      <c r="D117" s="1878"/>
      <c r="E117" s="1877"/>
      <c r="F117" s="1876"/>
      <c r="G117" s="1877"/>
      <c r="H117" s="1895"/>
      <c r="I117" s="1896"/>
    </row>
    <row r="118" spans="1:9" ht="14.25">
      <c r="A118" s="1819"/>
      <c r="B118" s="1894"/>
      <c r="C118" s="1878"/>
      <c r="D118" s="1878"/>
      <c r="E118" s="1877"/>
      <c r="F118" s="1876"/>
      <c r="G118" s="1877"/>
      <c r="H118" s="1895"/>
      <c r="I118" s="1896"/>
    </row>
    <row r="119" spans="1:9" ht="14.25">
      <c r="A119" s="1819"/>
      <c r="B119" s="1894"/>
      <c r="C119" s="1878"/>
      <c r="D119" s="1878"/>
      <c r="E119" s="1877"/>
      <c r="F119" s="1876"/>
      <c r="G119" s="1877"/>
      <c r="H119" s="1895"/>
      <c r="I119" s="1896"/>
    </row>
    <row r="120" spans="1:9" ht="14.25">
      <c r="A120" s="1819"/>
      <c r="B120" s="1894"/>
      <c r="C120" s="1878"/>
      <c r="D120" s="1878"/>
      <c r="E120" s="1877"/>
      <c r="F120" s="1876"/>
      <c r="G120" s="1877"/>
      <c r="H120" s="1895"/>
      <c r="I120" s="1896"/>
    </row>
    <row r="121" spans="1:9" ht="14.25">
      <c r="A121" s="1819"/>
      <c r="B121" s="1894"/>
      <c r="C121" s="1878"/>
      <c r="D121" s="1878"/>
      <c r="E121" s="1877"/>
      <c r="F121" s="1876"/>
      <c r="G121" s="1877"/>
      <c r="H121" s="1895"/>
      <c r="I121" s="1896"/>
    </row>
    <row r="122" spans="1:9" ht="14.25">
      <c r="A122" s="1819"/>
      <c r="B122" s="1894"/>
      <c r="C122" s="1878"/>
      <c r="D122" s="1878"/>
      <c r="E122" s="1877"/>
      <c r="F122" s="1876"/>
      <c r="G122" s="1877"/>
      <c r="H122" s="1895"/>
      <c r="I122" s="1896"/>
    </row>
    <row r="123" spans="1:9" ht="14.25">
      <c r="A123" s="1819"/>
      <c r="B123" s="1894"/>
      <c r="C123" s="1878"/>
      <c r="D123" s="1878"/>
      <c r="E123" s="1877"/>
      <c r="F123" s="1876"/>
      <c r="G123" s="1877"/>
      <c r="H123" s="1895"/>
      <c r="I123" s="1896"/>
    </row>
    <row r="124" spans="1:9" ht="14.25">
      <c r="A124" s="1819"/>
      <c r="B124" s="1894"/>
      <c r="C124" s="1878"/>
      <c r="D124" s="1878"/>
      <c r="E124" s="1877"/>
      <c r="F124" s="1876"/>
      <c r="G124" s="1877"/>
      <c r="H124" s="1895"/>
      <c r="I124" s="1896"/>
    </row>
    <row r="125" spans="1:9" ht="14.25">
      <c r="A125" s="1819"/>
      <c r="B125" s="1894"/>
      <c r="C125" s="1878"/>
      <c r="D125" s="1878"/>
      <c r="E125" s="1877"/>
      <c r="F125" s="1876"/>
      <c r="G125" s="1877"/>
      <c r="H125" s="1895"/>
      <c r="I125" s="1896"/>
    </row>
    <row r="126" spans="1:9" ht="14.25">
      <c r="A126" s="1819"/>
      <c r="B126" s="1894"/>
      <c r="C126" s="1878"/>
      <c r="D126" s="1878"/>
      <c r="E126" s="1877"/>
      <c r="F126" s="1876"/>
      <c r="G126" s="1877"/>
      <c r="H126" s="1895"/>
      <c r="I126" s="1896"/>
    </row>
    <row r="127" spans="1:9" ht="14.25">
      <c r="A127" s="1819"/>
      <c r="B127" s="1894"/>
      <c r="C127" s="1878"/>
      <c r="D127" s="1878"/>
      <c r="E127" s="1877"/>
      <c r="F127" s="1876"/>
      <c r="G127" s="1877"/>
      <c r="H127" s="1895"/>
      <c r="I127" s="1896"/>
    </row>
    <row r="128" spans="1:9" ht="14.25">
      <c r="A128" s="1819"/>
      <c r="B128" s="1894"/>
      <c r="C128" s="1878"/>
      <c r="D128" s="1878"/>
      <c r="E128" s="1877"/>
      <c r="F128" s="1876"/>
      <c r="G128" s="1877"/>
      <c r="H128" s="1895"/>
      <c r="I128" s="1896"/>
    </row>
    <row r="129" spans="1:9" ht="14.25">
      <c r="A129" s="1819"/>
      <c r="B129" s="1894"/>
      <c r="C129" s="1878"/>
      <c r="D129" s="1878"/>
      <c r="E129" s="1877"/>
      <c r="F129" s="1876"/>
      <c r="G129" s="1877"/>
      <c r="H129" s="1895"/>
      <c r="I129" s="1896"/>
    </row>
    <row r="130" spans="1:9" ht="14.25">
      <c r="A130" s="1819"/>
      <c r="B130" s="1894"/>
      <c r="C130" s="1878"/>
      <c r="D130" s="1878"/>
      <c r="E130" s="1877"/>
      <c r="F130" s="1876"/>
      <c r="G130" s="1877"/>
      <c r="H130" s="1895"/>
      <c r="I130" s="1896"/>
    </row>
    <row r="131" spans="1:9" ht="14.25">
      <c r="A131" s="1819"/>
      <c r="B131" s="1894"/>
      <c r="C131" s="1878"/>
      <c r="D131" s="1878"/>
      <c r="E131" s="1877"/>
      <c r="F131" s="1876"/>
      <c r="G131" s="1877"/>
      <c r="H131" s="1895"/>
      <c r="I131" s="1896"/>
    </row>
    <row r="132" spans="1:9" ht="14.25">
      <c r="A132" s="1819"/>
      <c r="B132" s="1894"/>
      <c r="C132" s="1878"/>
      <c r="D132" s="1878"/>
      <c r="E132" s="1877"/>
      <c r="F132" s="1876"/>
      <c r="G132" s="1877"/>
      <c r="H132" s="1895"/>
      <c r="I132" s="1896"/>
    </row>
    <row r="133" spans="1:9" ht="14.25">
      <c r="A133" s="1819"/>
      <c r="B133" s="1894"/>
      <c r="C133" s="1878"/>
      <c r="D133" s="1878"/>
      <c r="E133" s="1877"/>
      <c r="F133" s="1876"/>
      <c r="G133" s="1877"/>
      <c r="H133" s="1895"/>
      <c r="I133" s="1896"/>
    </row>
    <row r="134" spans="1:9" ht="14.25">
      <c r="A134" s="1819"/>
      <c r="B134" s="1894"/>
      <c r="C134" s="1878"/>
      <c r="D134" s="1878"/>
      <c r="E134" s="1877"/>
      <c r="F134" s="1876"/>
      <c r="G134" s="1877"/>
      <c r="H134" s="1895"/>
      <c r="I134" s="1896"/>
    </row>
    <row r="135" spans="1:9" ht="14.25">
      <c r="A135" s="1819"/>
      <c r="B135" s="1894"/>
      <c r="C135" s="1878"/>
      <c r="D135" s="1878"/>
      <c r="E135" s="1877"/>
      <c r="F135" s="1876"/>
      <c r="G135" s="1877"/>
      <c r="H135" s="1895"/>
      <c r="I135" s="1896"/>
    </row>
    <row r="136" spans="1:9" ht="14.25">
      <c r="A136" s="1819"/>
      <c r="B136" s="1894"/>
      <c r="C136" s="1878"/>
      <c r="D136" s="1878"/>
      <c r="E136" s="1877"/>
      <c r="F136" s="1876"/>
      <c r="G136" s="1877"/>
      <c r="H136" s="1895"/>
      <c r="I136" s="1896"/>
    </row>
    <row r="137" spans="1:9" ht="14.25">
      <c r="A137" s="1819"/>
      <c r="B137" s="1894"/>
      <c r="C137" s="1878"/>
      <c r="D137" s="1878"/>
      <c r="E137" s="1877"/>
      <c r="F137" s="1876"/>
      <c r="G137" s="1877"/>
      <c r="H137" s="1895"/>
      <c r="I137" s="1896"/>
    </row>
    <row r="138" spans="1:9" ht="14.25">
      <c r="A138" s="1819"/>
      <c r="B138" s="1894"/>
      <c r="C138" s="1878"/>
      <c r="D138" s="1878"/>
      <c r="E138" s="1877"/>
      <c r="F138" s="1876"/>
      <c r="G138" s="1877"/>
      <c r="H138" s="1895"/>
      <c r="I138" s="1896"/>
    </row>
    <row r="139" spans="1:9" ht="14.25">
      <c r="A139" s="1819"/>
      <c r="B139" s="1894"/>
      <c r="C139" s="1878"/>
      <c r="D139" s="1878"/>
      <c r="E139" s="1877"/>
      <c r="F139" s="1876"/>
      <c r="G139" s="1877"/>
      <c r="H139" s="1895"/>
      <c r="I139" s="1896"/>
    </row>
    <row r="140" spans="1:9" ht="14.25">
      <c r="A140" s="1819"/>
      <c r="B140" s="1894"/>
      <c r="C140" s="1878"/>
      <c r="D140" s="1878"/>
      <c r="E140" s="1877"/>
      <c r="F140" s="1876"/>
      <c r="G140" s="1877"/>
      <c r="H140" s="1895"/>
      <c r="I140" s="1896"/>
    </row>
    <row r="141" spans="1:9" ht="14.25">
      <c r="A141" s="1819"/>
      <c r="B141" s="1894"/>
      <c r="C141" s="1878"/>
      <c r="D141" s="1878"/>
      <c r="E141" s="1877"/>
      <c r="F141" s="1876"/>
      <c r="G141" s="1877"/>
      <c r="H141" s="1895"/>
      <c r="I141" s="1896"/>
    </row>
    <row r="142" spans="1:9" ht="14.25">
      <c r="A142" s="1819"/>
      <c r="B142" s="1894"/>
      <c r="C142" s="1878"/>
      <c r="D142" s="1878"/>
      <c r="E142" s="1877"/>
      <c r="F142" s="1876"/>
      <c r="G142" s="1877"/>
      <c r="H142" s="1895"/>
      <c r="I142" s="1896"/>
    </row>
    <row r="143" spans="1:9" ht="14.25">
      <c r="A143" s="1819"/>
      <c r="B143" s="1894"/>
      <c r="C143" s="1878"/>
      <c r="D143" s="1878"/>
      <c r="E143" s="1877"/>
      <c r="F143" s="1876"/>
      <c r="G143" s="1877"/>
      <c r="H143" s="1895"/>
      <c r="I143" s="1896"/>
    </row>
    <row r="144" spans="1:9" ht="14.25">
      <c r="A144" s="1819"/>
      <c r="B144" s="1894"/>
      <c r="C144" s="1878"/>
      <c r="D144" s="1878"/>
      <c r="E144" s="1877"/>
      <c r="F144" s="1876"/>
      <c r="G144" s="1877"/>
      <c r="H144" s="1895"/>
      <c r="I144" s="1896"/>
    </row>
    <row r="145" spans="1:9" ht="14.25">
      <c r="A145" s="1819"/>
      <c r="B145" s="1894"/>
      <c r="C145" s="1878"/>
      <c r="D145" s="1878"/>
      <c r="E145" s="1877"/>
      <c r="F145" s="1876"/>
      <c r="G145" s="1877"/>
      <c r="H145" s="1895"/>
      <c r="I145" s="1896"/>
    </row>
    <row r="146" spans="1:9" ht="14.25">
      <c r="A146" s="1819"/>
      <c r="B146" s="1894"/>
      <c r="C146" s="1878"/>
      <c r="D146" s="1878"/>
      <c r="E146" s="1877"/>
      <c r="F146" s="1876"/>
      <c r="G146" s="1877"/>
      <c r="H146" s="1895"/>
      <c r="I146" s="1896"/>
    </row>
    <row r="147" spans="1:9" ht="14.25">
      <c r="A147" s="1819"/>
      <c r="B147" s="1894"/>
      <c r="C147" s="1878"/>
      <c r="D147" s="1878"/>
      <c r="E147" s="1877"/>
      <c r="F147" s="1876"/>
      <c r="G147" s="1877"/>
      <c r="H147" s="1895"/>
      <c r="I147" s="1896"/>
    </row>
    <row r="148" spans="1:9" ht="14.25">
      <c r="A148" s="1819"/>
      <c r="B148" s="1894"/>
      <c r="C148" s="1878"/>
      <c r="D148" s="1878"/>
      <c r="E148" s="1877"/>
      <c r="F148" s="1876"/>
      <c r="G148" s="1877"/>
      <c r="H148" s="1895"/>
      <c r="I148" s="1896"/>
    </row>
    <row r="149" spans="1:9" ht="14.25">
      <c r="A149" s="1819"/>
      <c r="B149" s="1894"/>
      <c r="C149" s="1878"/>
      <c r="D149" s="1878"/>
      <c r="E149" s="1877"/>
      <c r="F149" s="1876"/>
      <c r="G149" s="1877"/>
      <c r="H149" s="1895"/>
      <c r="I149" s="1896"/>
    </row>
    <row r="150" spans="1:9" ht="14.25">
      <c r="A150" s="1819"/>
      <c r="B150" s="1894"/>
      <c r="C150" s="1878"/>
      <c r="D150" s="1878"/>
      <c r="E150" s="1877"/>
      <c r="F150" s="1876"/>
      <c r="G150" s="1877"/>
      <c r="H150" s="1895"/>
      <c r="I150" s="1896"/>
    </row>
    <row r="151" spans="1:9" ht="14.25">
      <c r="A151" s="1819"/>
      <c r="B151" s="1894"/>
      <c r="C151" s="1878"/>
      <c r="D151" s="1878"/>
      <c r="E151" s="1877"/>
      <c r="F151" s="1876"/>
      <c r="G151" s="1877"/>
      <c r="H151" s="1895"/>
      <c r="I151" s="1896"/>
    </row>
    <row r="152" spans="1:9" ht="14.25">
      <c r="A152" s="1819"/>
      <c r="B152" s="1894"/>
      <c r="C152" s="1878"/>
      <c r="D152" s="1878"/>
      <c r="E152" s="1877"/>
      <c r="F152" s="1876"/>
      <c r="G152" s="1877"/>
      <c r="H152" s="1895"/>
      <c r="I152" s="1896"/>
    </row>
    <row r="153" spans="1:9" ht="14.25">
      <c r="A153" s="1819"/>
      <c r="B153" s="1894"/>
      <c r="C153" s="1878"/>
      <c r="D153" s="1878"/>
      <c r="E153" s="1877"/>
      <c r="F153" s="1876"/>
      <c r="G153" s="1877"/>
      <c r="H153" s="1895"/>
      <c r="I153" s="1896"/>
    </row>
    <row r="154" spans="1:9" ht="14.25">
      <c r="A154" s="1819"/>
      <c r="B154" s="1894"/>
      <c r="C154" s="1878"/>
      <c r="D154" s="1878"/>
      <c r="E154" s="1877"/>
      <c r="F154" s="1876"/>
      <c r="G154" s="1877"/>
      <c r="H154" s="1895"/>
      <c r="I154" s="1896"/>
    </row>
    <row r="155" spans="1:9" ht="14.25">
      <c r="A155" s="1819"/>
      <c r="B155" s="1894"/>
      <c r="C155" s="1878"/>
      <c r="D155" s="1878"/>
      <c r="E155" s="1877"/>
      <c r="F155" s="1876"/>
      <c r="G155" s="1877"/>
      <c r="H155" s="1895"/>
      <c r="I155" s="1896"/>
    </row>
    <row r="156" spans="1:9" ht="14.25">
      <c r="A156" s="1819"/>
      <c r="B156" s="1894"/>
      <c r="C156" s="1878"/>
      <c r="D156" s="1878"/>
      <c r="E156" s="1877"/>
      <c r="F156" s="1876"/>
      <c r="G156" s="1877"/>
      <c r="H156" s="1895"/>
      <c r="I156" s="1896"/>
    </row>
    <row r="157" spans="1:9" ht="14.25">
      <c r="A157" s="1819"/>
      <c r="B157" s="1894"/>
      <c r="C157" s="1878"/>
      <c r="D157" s="1878"/>
      <c r="E157" s="1877"/>
      <c r="F157" s="1876"/>
      <c r="G157" s="1877"/>
      <c r="H157" s="1895"/>
      <c r="I157" s="1896"/>
    </row>
    <row r="158" spans="1:9" ht="14.25">
      <c r="A158" s="1819"/>
      <c r="B158" s="1894"/>
      <c r="C158" s="1878"/>
      <c r="D158" s="1878"/>
      <c r="E158" s="1877"/>
      <c r="F158" s="1876"/>
      <c r="G158" s="1877"/>
      <c r="H158" s="1895"/>
      <c r="I158" s="1896"/>
    </row>
    <row r="159" spans="1:9" ht="14.25">
      <c r="A159" s="1819"/>
      <c r="B159" s="1894"/>
      <c r="C159" s="1878"/>
      <c r="D159" s="1878"/>
      <c r="E159" s="1877"/>
      <c r="F159" s="1876"/>
      <c r="G159" s="1877"/>
      <c r="H159" s="1895"/>
      <c r="I159" s="1896"/>
    </row>
    <row r="160" spans="1:9" ht="14.25">
      <c r="A160" s="1819"/>
      <c r="B160" s="1894"/>
      <c r="C160" s="1878"/>
      <c r="D160" s="1878"/>
      <c r="E160" s="1877"/>
      <c r="F160" s="1876"/>
      <c r="G160" s="1877"/>
      <c r="H160" s="1895"/>
      <c r="I160" s="1896"/>
    </row>
    <row r="161" spans="1:9" ht="14.25">
      <c r="A161" s="1819"/>
      <c r="B161" s="1894"/>
      <c r="C161" s="1878"/>
      <c r="D161" s="1878"/>
      <c r="E161" s="1877"/>
      <c r="F161" s="1876"/>
      <c r="G161" s="1877"/>
      <c r="H161" s="1895"/>
      <c r="I161" s="1896"/>
    </row>
    <row r="162" spans="1:9" ht="14.25">
      <c r="A162" s="1819"/>
      <c r="B162" s="1894"/>
      <c r="C162" s="1878"/>
      <c r="D162" s="1878"/>
      <c r="E162" s="1877"/>
      <c r="F162" s="1876"/>
      <c r="G162" s="1877"/>
      <c r="H162" s="1895"/>
      <c r="I162" s="1896"/>
    </row>
    <row r="163" spans="1:9" ht="14.25">
      <c r="A163" s="1819"/>
      <c r="B163" s="1894"/>
      <c r="C163" s="1878"/>
      <c r="D163" s="1878"/>
      <c r="E163" s="1877"/>
      <c r="F163" s="1876"/>
      <c r="G163" s="1877"/>
      <c r="H163" s="1895"/>
      <c r="I163" s="1896"/>
    </row>
    <row r="164" spans="1:9" ht="14.25">
      <c r="A164" s="1819"/>
      <c r="B164" s="1894"/>
      <c r="C164" s="1878"/>
      <c r="D164" s="1878"/>
      <c r="E164" s="1877"/>
      <c r="F164" s="1876"/>
      <c r="G164" s="1877"/>
      <c r="H164" s="1895"/>
      <c r="I164" s="1896"/>
    </row>
    <row r="165" spans="1:9" ht="14.25">
      <c r="A165" s="1819"/>
      <c r="B165" s="1894"/>
      <c r="C165" s="1878"/>
      <c r="D165" s="1878"/>
      <c r="E165" s="1877"/>
      <c r="F165" s="1876"/>
      <c r="G165" s="1877"/>
      <c r="H165" s="1895"/>
      <c r="I165" s="1896"/>
    </row>
    <row r="166" spans="1:9" ht="14.25">
      <c r="A166" s="1819"/>
      <c r="B166" s="1894"/>
      <c r="C166" s="1878"/>
      <c r="D166" s="1878"/>
      <c r="E166" s="1877"/>
      <c r="F166" s="1876"/>
      <c r="G166" s="1877"/>
      <c r="H166" s="1895"/>
      <c r="I166" s="1896"/>
    </row>
    <row r="167" spans="1:9" ht="14.25">
      <c r="A167" s="1819"/>
      <c r="B167" s="1894"/>
      <c r="C167" s="1878"/>
      <c r="D167" s="1878"/>
      <c r="E167" s="1877"/>
      <c r="F167" s="1876"/>
      <c r="G167" s="1877"/>
      <c r="H167" s="1895"/>
      <c r="I167" s="1896"/>
    </row>
    <row r="168" spans="1:9" ht="14.25">
      <c r="A168" s="1819"/>
      <c r="B168" s="1894"/>
      <c r="C168" s="1878"/>
      <c r="D168" s="1878"/>
      <c r="E168" s="1877"/>
      <c r="F168" s="1876"/>
      <c r="G168" s="1877"/>
      <c r="H168" s="1895"/>
      <c r="I168" s="1896"/>
    </row>
    <row r="169" spans="1:9" ht="14.25">
      <c r="A169" s="1819"/>
      <c r="B169" s="1894"/>
      <c r="C169" s="1878"/>
      <c r="D169" s="1878"/>
      <c r="E169" s="1877"/>
      <c r="F169" s="1876"/>
      <c r="G169" s="1877"/>
      <c r="H169" s="1895"/>
      <c r="I169" s="1896"/>
    </row>
    <row r="170" spans="1:9" ht="14.25">
      <c r="A170" s="1819"/>
      <c r="B170" s="1894"/>
      <c r="C170" s="1878"/>
      <c r="D170" s="1878"/>
      <c r="E170" s="1877"/>
      <c r="F170" s="1876"/>
      <c r="G170" s="1877"/>
      <c r="H170" s="1895"/>
      <c r="I170" s="1896"/>
    </row>
    <row r="171" spans="1:9" ht="14.25">
      <c r="A171" s="1819"/>
      <c r="B171" s="1894"/>
      <c r="C171" s="1878"/>
      <c r="D171" s="1878"/>
      <c r="E171" s="1877"/>
      <c r="F171" s="1876"/>
      <c r="G171" s="1877"/>
      <c r="H171" s="1895"/>
      <c r="I171" s="1896"/>
    </row>
    <row r="172" spans="1:9" ht="14.25">
      <c r="A172" s="1819"/>
      <c r="B172" s="1894"/>
      <c r="C172" s="1878"/>
      <c r="D172" s="1878"/>
      <c r="E172" s="1877"/>
      <c r="F172" s="1876"/>
      <c r="G172" s="1877"/>
      <c r="H172" s="1895"/>
      <c r="I172" s="1896"/>
    </row>
    <row r="173" spans="1:9" ht="14.25">
      <c r="A173" s="1819"/>
      <c r="B173" s="1894"/>
      <c r="C173" s="1878"/>
      <c r="D173" s="1878"/>
      <c r="E173" s="1877"/>
      <c r="F173" s="1876"/>
      <c r="G173" s="1877"/>
      <c r="H173" s="1895"/>
      <c r="I173" s="1896"/>
    </row>
    <row r="174" spans="1:9" ht="14.25">
      <c r="A174" s="1819"/>
      <c r="B174" s="1894"/>
      <c r="C174" s="1878"/>
      <c r="D174" s="1878"/>
      <c r="E174" s="1877"/>
      <c r="F174" s="1876"/>
      <c r="G174" s="1877"/>
      <c r="H174" s="1895"/>
      <c r="I174" s="1896"/>
    </row>
    <row r="175" spans="1:9" ht="14.25">
      <c r="A175" s="1819"/>
      <c r="B175" s="1894"/>
      <c r="C175" s="1878"/>
      <c r="D175" s="1878"/>
      <c r="E175" s="1877"/>
      <c r="F175" s="1876"/>
      <c r="G175" s="1877"/>
      <c r="H175" s="1895"/>
      <c r="I175" s="1896"/>
    </row>
    <row r="176" spans="1:9" ht="14.25">
      <c r="A176" s="1819"/>
      <c r="B176" s="1894"/>
      <c r="C176" s="1878"/>
      <c r="D176" s="1878"/>
      <c r="E176" s="1877"/>
      <c r="F176" s="1876"/>
      <c r="G176" s="1877"/>
      <c r="H176" s="1895"/>
      <c r="I176" s="1896"/>
    </row>
    <row r="177" spans="1:9" ht="14.25">
      <c r="A177" s="1819"/>
      <c r="B177" s="1894"/>
      <c r="C177" s="1878"/>
      <c r="D177" s="1878"/>
      <c r="E177" s="1877"/>
      <c r="F177" s="1876"/>
      <c r="G177" s="1877"/>
      <c r="H177" s="1895"/>
      <c r="I177" s="1896"/>
    </row>
    <row r="178" spans="1:9" ht="14.25">
      <c r="A178" s="1819"/>
      <c r="B178" s="1894"/>
      <c r="C178" s="1878"/>
      <c r="D178" s="1878"/>
      <c r="E178" s="1877"/>
      <c r="F178" s="1876"/>
      <c r="G178" s="1877"/>
      <c r="H178" s="1895"/>
      <c r="I178" s="1896"/>
    </row>
    <row r="179" spans="1:9" ht="14.25">
      <c r="A179" s="1819"/>
      <c r="B179" s="1894"/>
      <c r="C179" s="1878"/>
      <c r="D179" s="1878"/>
      <c r="E179" s="1877"/>
      <c r="F179" s="1876"/>
      <c r="G179" s="1877"/>
      <c r="H179" s="1895"/>
      <c r="I179" s="1896"/>
    </row>
    <row r="180" spans="1:9" ht="14.25">
      <c r="A180" s="1819"/>
      <c r="B180" s="1894"/>
      <c r="C180" s="1878"/>
      <c r="D180" s="1878"/>
      <c r="E180" s="1877"/>
      <c r="F180" s="1876"/>
      <c r="G180" s="1877"/>
      <c r="H180" s="1895"/>
      <c r="I180" s="1896"/>
    </row>
    <row r="181" spans="1:9" ht="14.25">
      <c r="A181" s="1819"/>
      <c r="B181" s="1894"/>
      <c r="C181" s="1878"/>
      <c r="D181" s="1878"/>
      <c r="E181" s="1877"/>
      <c r="F181" s="1876"/>
      <c r="G181" s="1877"/>
      <c r="H181" s="1895"/>
      <c r="I181" s="1896"/>
    </row>
    <row r="182" spans="1:9" ht="14.25">
      <c r="A182" s="1819"/>
      <c r="B182" s="1894"/>
      <c r="C182" s="1878"/>
      <c r="D182" s="1878"/>
      <c r="E182" s="1877"/>
      <c r="F182" s="1876"/>
      <c r="G182" s="1877"/>
      <c r="H182" s="1895"/>
      <c r="I182" s="1896"/>
    </row>
    <row r="183" spans="1:9" ht="14.25">
      <c r="A183" s="1819"/>
      <c r="B183" s="1894"/>
      <c r="C183" s="1878"/>
      <c r="D183" s="1878"/>
      <c r="E183" s="1877"/>
      <c r="F183" s="1876"/>
      <c r="G183" s="1877"/>
      <c r="H183" s="1895"/>
      <c r="I183" s="1896"/>
    </row>
    <row r="184" spans="1:9" ht="14.25">
      <c r="A184" s="1819"/>
      <c r="B184" s="1894"/>
      <c r="C184" s="1878"/>
      <c r="D184" s="1878"/>
      <c r="E184" s="1877"/>
      <c r="F184" s="1876"/>
      <c r="G184" s="1877"/>
      <c r="H184" s="1895"/>
      <c r="I184" s="1896"/>
    </row>
    <row r="185" spans="1:9" ht="14.25">
      <c r="A185" s="1819"/>
      <c r="B185" s="1894"/>
      <c r="C185" s="1878"/>
      <c r="D185" s="1878"/>
      <c r="E185" s="1877"/>
      <c r="F185" s="1876"/>
      <c r="G185" s="1877"/>
      <c r="H185" s="1895"/>
      <c r="I185" s="1896"/>
    </row>
    <row r="186" spans="1:9" ht="14.25">
      <c r="A186" s="1819"/>
      <c r="B186" s="1894"/>
      <c r="C186" s="1878"/>
      <c r="D186" s="1878"/>
      <c r="E186" s="1877"/>
      <c r="F186" s="1876"/>
      <c r="G186" s="1877"/>
      <c r="H186" s="1895"/>
      <c r="I186" s="1896"/>
    </row>
    <row r="187" spans="1:9" ht="14.25">
      <c r="A187" s="1819"/>
      <c r="B187" s="1894"/>
      <c r="C187" s="1878"/>
      <c r="D187" s="1878"/>
      <c r="E187" s="1877"/>
      <c r="F187" s="1876"/>
      <c r="G187" s="1877"/>
      <c r="H187" s="1895"/>
      <c r="I187" s="1896"/>
    </row>
    <row r="188" spans="1:9" ht="14.25">
      <c r="A188" s="1819"/>
      <c r="B188" s="1894"/>
      <c r="C188" s="1878"/>
      <c r="D188" s="1878"/>
      <c r="E188" s="1877"/>
      <c r="F188" s="1876"/>
      <c r="G188" s="1877"/>
      <c r="H188" s="1895"/>
      <c r="I188" s="1896"/>
    </row>
    <row r="189" spans="1:9" ht="14.25">
      <c r="A189" s="1819"/>
      <c r="B189" s="1894"/>
      <c r="C189" s="1878"/>
      <c r="D189" s="1878"/>
      <c r="E189" s="1877"/>
      <c r="F189" s="1876"/>
      <c r="G189" s="1877"/>
      <c r="H189" s="1895"/>
      <c r="I189" s="1896"/>
    </row>
    <row r="190" spans="1:9" ht="14.25">
      <c r="A190" s="1819"/>
      <c r="B190" s="1894"/>
      <c r="C190" s="1878"/>
      <c r="D190" s="1878"/>
      <c r="E190" s="1877"/>
      <c r="F190" s="1876"/>
      <c r="G190" s="1877"/>
      <c r="H190" s="1895"/>
      <c r="I190" s="1896"/>
    </row>
    <row r="191" spans="1:9" ht="14.25">
      <c r="A191" s="1819"/>
      <c r="B191" s="1894"/>
      <c r="C191" s="1878"/>
      <c r="D191" s="1878"/>
      <c r="E191" s="1877"/>
      <c r="F191" s="1876"/>
      <c r="G191" s="1877"/>
      <c r="H191" s="1895"/>
      <c r="I191" s="1896"/>
    </row>
    <row r="192" spans="1:9" ht="14.25">
      <c r="A192" s="1819"/>
      <c r="B192" s="1894"/>
      <c r="C192" s="1878"/>
      <c r="D192" s="1878"/>
      <c r="E192" s="1877"/>
      <c r="F192" s="1876"/>
      <c r="G192" s="1877"/>
      <c r="H192" s="1895"/>
      <c r="I192" s="1896"/>
    </row>
    <row r="193" spans="1:9" ht="14.25">
      <c r="A193" s="1819"/>
      <c r="B193" s="1894"/>
      <c r="C193" s="1878"/>
      <c r="D193" s="1878"/>
      <c r="E193" s="1877"/>
      <c r="F193" s="1876"/>
      <c r="G193" s="1877"/>
      <c r="H193" s="1895"/>
      <c r="I193" s="1896"/>
    </row>
    <row r="194" spans="1:9" ht="14.25">
      <c r="A194" s="1819"/>
      <c r="B194" s="1894"/>
      <c r="C194" s="1878"/>
      <c r="D194" s="1878"/>
      <c r="E194" s="1877"/>
      <c r="F194" s="1876"/>
      <c r="G194" s="1877"/>
      <c r="H194" s="1895"/>
      <c r="I194" s="1896"/>
    </row>
    <row r="195" spans="1:9" ht="14.25">
      <c r="A195" s="1819"/>
      <c r="B195" s="1894"/>
      <c r="C195" s="1878"/>
      <c r="D195" s="1878"/>
      <c r="E195" s="1877"/>
      <c r="F195" s="1876"/>
      <c r="G195" s="1877"/>
      <c r="H195" s="1895"/>
      <c r="I195" s="1896"/>
    </row>
    <row r="196" spans="1:9" ht="14.25">
      <c r="A196" s="1819"/>
      <c r="B196" s="1894"/>
      <c r="C196" s="1878"/>
      <c r="D196" s="1878"/>
      <c r="E196" s="1877"/>
      <c r="F196" s="1876"/>
      <c r="G196" s="1877"/>
      <c r="H196" s="1895"/>
      <c r="I196" s="1896"/>
    </row>
    <row r="197" spans="1:9" ht="14.25">
      <c r="A197" s="1819"/>
      <c r="B197" s="1894"/>
      <c r="C197" s="1878"/>
      <c r="D197" s="1878"/>
      <c r="E197" s="1877"/>
      <c r="F197" s="1876"/>
      <c r="G197" s="1877"/>
      <c r="H197" s="1895"/>
      <c r="I197" s="1896"/>
    </row>
    <row r="198" spans="1:9" ht="14.25">
      <c r="A198" s="1819"/>
      <c r="B198" s="1894"/>
      <c r="C198" s="1878"/>
      <c r="D198" s="1878"/>
      <c r="E198" s="1877"/>
      <c r="F198" s="1876"/>
      <c r="G198" s="1877"/>
      <c r="H198" s="1895"/>
      <c r="I198" s="1896"/>
    </row>
    <row r="199" spans="1:9" ht="14.25">
      <c r="A199" s="1819"/>
      <c r="B199" s="1894"/>
      <c r="C199" s="1878"/>
      <c r="D199" s="1878"/>
      <c r="E199" s="1877"/>
      <c r="F199" s="1876"/>
      <c r="G199" s="1877"/>
      <c r="H199" s="1895"/>
      <c r="I199" s="1896"/>
    </row>
    <row r="200" spans="1:9" ht="14.25">
      <c r="A200" s="1819"/>
      <c r="B200" s="1894"/>
      <c r="C200" s="1878"/>
      <c r="D200" s="1878"/>
      <c r="E200" s="1877"/>
      <c r="F200" s="1876"/>
      <c r="G200" s="1877"/>
      <c r="H200" s="1895"/>
      <c r="I200" s="1896"/>
    </row>
    <row r="201" spans="1:9" ht="14.25">
      <c r="A201" s="1819"/>
      <c r="B201" s="1894"/>
      <c r="C201" s="1878"/>
      <c r="D201" s="1878"/>
      <c r="E201" s="1877"/>
      <c r="F201" s="1876"/>
      <c r="G201" s="1877"/>
      <c r="H201" s="1895"/>
      <c r="I201" s="1896"/>
    </row>
    <row r="202" spans="1:9" ht="14.25">
      <c r="A202" s="1819"/>
      <c r="B202" s="1894"/>
      <c r="C202" s="1878"/>
      <c r="D202" s="1878"/>
      <c r="E202" s="1877"/>
      <c r="F202" s="1876"/>
      <c r="G202" s="1877"/>
      <c r="H202" s="1895"/>
      <c r="I202" s="1896"/>
    </row>
    <row r="203" spans="1:9" ht="14.25">
      <c r="A203" s="1819"/>
      <c r="B203" s="1894"/>
      <c r="C203" s="1878"/>
      <c r="D203" s="1878"/>
      <c r="E203" s="1877"/>
      <c r="F203" s="1876"/>
      <c r="G203" s="1877"/>
      <c r="H203" s="1895"/>
      <c r="I203" s="1896"/>
    </row>
    <row r="204" spans="1:9" ht="14.25">
      <c r="A204" s="1819"/>
      <c r="B204" s="1894"/>
      <c r="C204" s="1878"/>
      <c r="D204" s="1878"/>
      <c r="E204" s="1877"/>
      <c r="F204" s="1876"/>
      <c r="G204" s="1877"/>
      <c r="H204" s="1895"/>
      <c r="I204" s="1896"/>
    </row>
    <row r="205" spans="1:9" ht="14.25">
      <c r="A205" s="1819"/>
      <c r="B205" s="1894"/>
      <c r="C205" s="1878"/>
      <c r="D205" s="1878"/>
      <c r="E205" s="1877"/>
      <c r="F205" s="1876"/>
      <c r="G205" s="1877"/>
      <c r="H205" s="1895"/>
      <c r="I205" s="1896"/>
    </row>
    <row r="206" spans="1:9" ht="14.25">
      <c r="A206" s="1819"/>
      <c r="B206" s="1894"/>
      <c r="C206" s="1878"/>
      <c r="D206" s="1878"/>
      <c r="E206" s="1877"/>
      <c r="F206" s="1876"/>
      <c r="G206" s="1877"/>
      <c r="H206" s="1895"/>
      <c r="I206" s="1896"/>
    </row>
    <row r="207" spans="1:9" ht="14.25">
      <c r="A207" s="1819"/>
      <c r="B207" s="1894"/>
      <c r="C207" s="1878"/>
      <c r="D207" s="1878"/>
      <c r="E207" s="1877"/>
      <c r="F207" s="1876"/>
      <c r="G207" s="1877"/>
      <c r="H207" s="1895"/>
      <c r="I207" s="1896"/>
    </row>
    <row r="208" spans="1:9" ht="14.25">
      <c r="A208" s="1819"/>
      <c r="B208" s="1894"/>
      <c r="C208" s="1878"/>
      <c r="D208" s="1878"/>
      <c r="E208" s="1877"/>
      <c r="F208" s="1876"/>
      <c r="G208" s="1877"/>
      <c r="H208" s="1895"/>
      <c r="I208" s="1896"/>
    </row>
    <row r="209" spans="1:9" ht="14.25">
      <c r="A209" s="1819"/>
      <c r="B209" s="1894"/>
      <c r="C209" s="1878"/>
      <c r="D209" s="1878"/>
      <c r="E209" s="1877"/>
      <c r="F209" s="1876"/>
      <c r="G209" s="1877"/>
      <c r="H209" s="1895"/>
      <c r="I209" s="1896"/>
    </row>
    <row r="210" spans="1:9" ht="14.25">
      <c r="A210" s="1819"/>
      <c r="B210" s="1894"/>
      <c r="C210" s="1878"/>
      <c r="D210" s="1878"/>
      <c r="E210" s="1877"/>
      <c r="F210" s="1876"/>
      <c r="G210" s="1877"/>
      <c r="H210" s="1895"/>
      <c r="I210" s="1896"/>
    </row>
    <row r="211" spans="1:9" ht="14.25">
      <c r="A211" s="1819"/>
      <c r="B211" s="1894"/>
      <c r="C211" s="1878"/>
      <c r="D211" s="1878"/>
      <c r="E211" s="1877"/>
      <c r="F211" s="1876"/>
      <c r="G211" s="1877"/>
      <c r="H211" s="1895"/>
      <c r="I211" s="1896"/>
    </row>
    <row r="212" spans="1:9" ht="14.25">
      <c r="A212" s="1819"/>
      <c r="B212" s="1894"/>
      <c r="C212" s="1878"/>
      <c r="D212" s="1878"/>
      <c r="E212" s="1877"/>
      <c r="F212" s="1876"/>
      <c r="G212" s="1877"/>
      <c r="H212" s="1895"/>
      <c r="I212" s="1896"/>
    </row>
    <row r="213" spans="1:9" ht="14.25">
      <c r="A213" s="1819"/>
      <c r="B213" s="1894"/>
      <c r="C213" s="1878"/>
      <c r="D213" s="1878"/>
      <c r="E213" s="1877"/>
      <c r="F213" s="1876"/>
      <c r="G213" s="1877"/>
      <c r="H213" s="1895"/>
      <c r="I213" s="1896"/>
    </row>
    <row r="214" spans="1:9" ht="14.25">
      <c r="A214" s="1819"/>
      <c r="B214" s="1894"/>
      <c r="C214" s="1878"/>
      <c r="D214" s="1878"/>
      <c r="E214" s="1877"/>
      <c r="F214" s="1876"/>
      <c r="G214" s="1877"/>
      <c r="H214" s="1895"/>
      <c r="I214" s="1896"/>
    </row>
    <row r="215" spans="1:9" ht="14.25">
      <c r="A215" s="1819"/>
      <c r="B215" s="1894"/>
      <c r="C215" s="1878"/>
      <c r="D215" s="1878"/>
      <c r="E215" s="1877"/>
      <c r="F215" s="1876"/>
      <c r="G215" s="1877"/>
      <c r="H215" s="1895"/>
      <c r="I215" s="1896"/>
    </row>
    <row r="216" spans="1:9" ht="14.25">
      <c r="A216" s="1819"/>
      <c r="B216" s="1894"/>
      <c r="C216" s="1878"/>
      <c r="D216" s="1878"/>
      <c r="E216" s="1877"/>
      <c r="F216" s="1876"/>
      <c r="G216" s="1877"/>
      <c r="H216" s="1895"/>
      <c r="I216" s="1896"/>
    </row>
    <row r="217" spans="1:9" ht="14.25">
      <c r="A217" s="1819"/>
      <c r="B217" s="1894"/>
      <c r="C217" s="1878"/>
      <c r="D217" s="1878"/>
      <c r="E217" s="1877"/>
      <c r="F217" s="1876"/>
      <c r="G217" s="1877"/>
      <c r="H217" s="1895"/>
      <c r="I217" s="1896"/>
    </row>
    <row r="218" spans="1:9" ht="14.25">
      <c r="A218" s="1819"/>
      <c r="B218" s="1894"/>
      <c r="C218" s="1878"/>
      <c r="D218" s="1878"/>
      <c r="E218" s="1877"/>
      <c r="F218" s="1876"/>
      <c r="G218" s="1877"/>
      <c r="H218" s="1895"/>
      <c r="I218" s="1896"/>
    </row>
    <row r="219" spans="1:9" ht="14.25">
      <c r="A219" s="1819"/>
      <c r="B219" s="1894"/>
      <c r="C219" s="1878"/>
      <c r="D219" s="1878"/>
      <c r="E219" s="1877"/>
      <c r="F219" s="1876"/>
      <c r="G219" s="1877"/>
      <c r="H219" s="1895"/>
      <c r="I219" s="1896"/>
    </row>
    <row r="220" spans="1:9" ht="14.25">
      <c r="A220" s="1819"/>
      <c r="B220" s="1894"/>
      <c r="C220" s="1878"/>
      <c r="D220" s="1878"/>
      <c r="E220" s="1877"/>
      <c r="F220" s="1876"/>
      <c r="G220" s="1877"/>
      <c r="H220" s="1895"/>
      <c r="I220" s="1896"/>
    </row>
    <row r="221" spans="1:9" ht="14.25">
      <c r="A221" s="1819"/>
      <c r="B221" s="1894"/>
      <c r="C221" s="1878"/>
      <c r="D221" s="1878"/>
      <c r="E221" s="1877"/>
      <c r="F221" s="1876"/>
      <c r="G221" s="1877"/>
      <c r="H221" s="1895"/>
      <c r="I221" s="1896"/>
    </row>
    <row r="222" spans="1:9" ht="14.25">
      <c r="A222" s="1819"/>
      <c r="B222" s="1894"/>
      <c r="C222" s="1878"/>
      <c r="D222" s="1878"/>
      <c r="E222" s="1877"/>
      <c r="F222" s="1876"/>
      <c r="G222" s="1877"/>
      <c r="H222" s="1895"/>
      <c r="I222" s="1896"/>
    </row>
    <row r="223" spans="1:9" ht="14.25">
      <c r="A223" s="1819"/>
      <c r="B223" s="1894"/>
      <c r="C223" s="1878"/>
      <c r="D223" s="1878"/>
      <c r="E223" s="1877"/>
      <c r="F223" s="1876"/>
      <c r="G223" s="1877"/>
      <c r="H223" s="1895"/>
      <c r="I223" s="1896"/>
    </row>
    <row r="224" spans="1:9" ht="14.25">
      <c r="A224" s="1819"/>
      <c r="B224" s="1894"/>
      <c r="C224" s="1878"/>
      <c r="D224" s="1878"/>
      <c r="E224" s="1877"/>
      <c r="F224" s="1876"/>
      <c r="G224" s="1877"/>
      <c r="H224" s="1895"/>
      <c r="I224" s="1896"/>
    </row>
    <row r="225" spans="1:9" ht="14.25">
      <c r="A225" s="1819"/>
      <c r="B225" s="1894"/>
      <c r="C225" s="1878"/>
      <c r="D225" s="1878"/>
      <c r="E225" s="1877"/>
      <c r="F225" s="1876"/>
      <c r="G225" s="1877"/>
      <c r="H225" s="1895"/>
      <c r="I225" s="1896"/>
    </row>
    <row r="226" spans="1:9" ht="14.25">
      <c r="A226" s="1819"/>
      <c r="B226" s="1894"/>
      <c r="C226" s="1878"/>
      <c r="D226" s="1878"/>
      <c r="E226" s="1877"/>
      <c r="F226" s="1876"/>
      <c r="G226" s="1877"/>
      <c r="H226" s="1895"/>
      <c r="I226" s="1896"/>
    </row>
    <row r="227" spans="1:9" ht="14.25">
      <c r="A227" s="1819"/>
      <c r="B227" s="1894"/>
      <c r="C227" s="1878"/>
      <c r="D227" s="1878"/>
      <c r="E227" s="1877"/>
      <c r="F227" s="1876"/>
      <c r="G227" s="1877"/>
      <c r="H227" s="1895"/>
      <c r="I227" s="1896"/>
    </row>
    <row r="228" spans="1:9" ht="14.25">
      <c r="A228" s="1819"/>
      <c r="B228" s="1894"/>
      <c r="C228" s="1878"/>
      <c r="D228" s="1878"/>
      <c r="E228" s="1877"/>
      <c r="F228" s="1876"/>
      <c r="G228" s="1877"/>
      <c r="H228" s="1895"/>
      <c r="I228" s="1896"/>
    </row>
    <row r="229" spans="1:9" ht="14.25">
      <c r="A229" s="1819"/>
      <c r="B229" s="1894"/>
      <c r="C229" s="1878"/>
      <c r="D229" s="1878"/>
      <c r="E229" s="1877"/>
      <c r="F229" s="1876"/>
      <c r="G229" s="1877"/>
      <c r="H229" s="1895"/>
      <c r="I229" s="1896"/>
    </row>
    <row r="230" spans="1:9" ht="14.25">
      <c r="A230" s="1819"/>
      <c r="B230" s="1894"/>
      <c r="C230" s="1878"/>
      <c r="D230" s="1878"/>
      <c r="E230" s="1877"/>
      <c r="F230" s="1876"/>
      <c r="G230" s="1877"/>
      <c r="H230" s="1895"/>
      <c r="I230" s="1896"/>
    </row>
    <row r="231" spans="1:9" ht="14.25">
      <c r="A231" s="1819"/>
      <c r="B231" s="1894"/>
      <c r="C231" s="1878"/>
      <c r="D231" s="1878"/>
      <c r="E231" s="1877"/>
      <c r="F231" s="1876"/>
      <c r="G231" s="1877"/>
      <c r="H231" s="1895"/>
      <c r="I231" s="1896"/>
    </row>
    <row r="232" spans="1:9" ht="14.25">
      <c r="A232" s="1819"/>
      <c r="B232" s="1894"/>
      <c r="C232" s="1878"/>
      <c r="D232" s="1878"/>
      <c r="E232" s="1877"/>
      <c r="F232" s="1876"/>
      <c r="G232" s="1877"/>
      <c r="H232" s="1895"/>
      <c r="I232" s="1896"/>
    </row>
    <row r="233" spans="1:9" ht="14.25">
      <c r="A233" s="1819"/>
      <c r="B233" s="1894"/>
      <c r="C233" s="1878"/>
      <c r="D233" s="1878"/>
      <c r="E233" s="1877"/>
      <c r="F233" s="1876"/>
      <c r="G233" s="1877"/>
      <c r="H233" s="1895"/>
      <c r="I233" s="1896"/>
    </row>
    <row r="234" spans="1:9" ht="14.25">
      <c r="A234" s="1819"/>
      <c r="B234" s="1894"/>
      <c r="C234" s="1878"/>
      <c r="D234" s="1878"/>
      <c r="E234" s="1877"/>
      <c r="F234" s="1876"/>
      <c r="G234" s="1877"/>
      <c r="H234" s="1895"/>
      <c r="I234" s="1896"/>
    </row>
    <row r="235" spans="1:9" ht="14.25">
      <c r="A235" s="1819"/>
      <c r="B235" s="1894"/>
      <c r="C235" s="1878"/>
      <c r="D235" s="1878"/>
      <c r="E235" s="1877"/>
      <c r="F235" s="1876"/>
      <c r="G235" s="1877"/>
      <c r="H235" s="1895"/>
      <c r="I235" s="1896"/>
    </row>
    <row r="236" spans="1:9" ht="14.25">
      <c r="A236" s="1819"/>
      <c r="B236" s="1894"/>
      <c r="C236" s="1878"/>
      <c r="D236" s="1878"/>
      <c r="E236" s="1877"/>
      <c r="F236" s="1876"/>
      <c r="G236" s="1877"/>
      <c r="H236" s="1895"/>
      <c r="I236" s="1896"/>
    </row>
    <row r="237" spans="1:9" ht="14.25">
      <c r="A237" s="1819"/>
      <c r="B237" s="1894"/>
      <c r="C237" s="1878"/>
      <c r="D237" s="1878"/>
      <c r="E237" s="1877"/>
      <c r="F237" s="1876"/>
      <c r="G237" s="1877"/>
      <c r="H237" s="1895"/>
      <c r="I237" s="1896"/>
    </row>
    <row r="238" spans="1:9" ht="14.25">
      <c r="A238" s="1819"/>
      <c r="B238" s="1894"/>
      <c r="C238" s="1878"/>
      <c r="D238" s="1878"/>
      <c r="E238" s="1877"/>
      <c r="F238" s="1876"/>
      <c r="G238" s="1877"/>
      <c r="H238" s="1895"/>
      <c r="I238" s="1896"/>
    </row>
    <row r="239" spans="1:9" ht="14.25">
      <c r="A239" s="1819"/>
      <c r="B239" s="1894"/>
      <c r="C239" s="1878"/>
      <c r="D239" s="1878"/>
      <c r="E239" s="1877"/>
      <c r="F239" s="1876"/>
      <c r="G239" s="1877"/>
      <c r="H239" s="1895"/>
      <c r="I239" s="1896"/>
    </row>
    <row r="240" spans="1:9" ht="14.25">
      <c r="A240" s="1819"/>
      <c r="B240" s="1894"/>
      <c r="C240" s="1878"/>
      <c r="D240" s="1878"/>
      <c r="E240" s="1877"/>
      <c r="F240" s="1876"/>
      <c r="G240" s="1877"/>
      <c r="H240" s="1895"/>
      <c r="I240" s="1896"/>
    </row>
    <row r="241" spans="1:9" ht="14.25">
      <c r="A241" s="1819"/>
      <c r="B241" s="1894"/>
      <c r="C241" s="1878"/>
      <c r="D241" s="1878"/>
      <c r="E241" s="1877"/>
      <c r="F241" s="1876"/>
      <c r="G241" s="1877"/>
      <c r="H241" s="1895"/>
      <c r="I241" s="1896"/>
    </row>
    <row r="242" spans="1:9" ht="14.25">
      <c r="A242" s="1819"/>
      <c r="B242" s="1894"/>
      <c r="C242" s="1878"/>
      <c r="D242" s="1878"/>
      <c r="E242" s="1877"/>
      <c r="F242" s="1876"/>
      <c r="G242" s="1877"/>
      <c r="H242" s="1895"/>
      <c r="I242" s="1896"/>
    </row>
    <row r="243" spans="1:9" ht="14.25">
      <c r="A243" s="1819"/>
      <c r="B243" s="1894"/>
      <c r="C243" s="1878"/>
      <c r="D243" s="1878"/>
      <c r="E243" s="1877"/>
      <c r="F243" s="1876"/>
      <c r="G243" s="1877"/>
      <c r="H243" s="1895"/>
      <c r="I243" s="1896"/>
    </row>
    <row r="244" spans="1:9" ht="14.25">
      <c r="A244" s="1819"/>
      <c r="B244" s="1894"/>
      <c r="C244" s="1878"/>
      <c r="D244" s="1878"/>
      <c r="E244" s="1877"/>
      <c r="F244" s="1876"/>
      <c r="G244" s="1877"/>
      <c r="H244" s="1895"/>
      <c r="I244" s="1896"/>
    </row>
    <row r="245" spans="1:9" ht="14.25">
      <c r="A245" s="1819"/>
      <c r="B245" s="1894"/>
      <c r="C245" s="1878"/>
      <c r="D245" s="1878"/>
      <c r="E245" s="1877"/>
      <c r="F245" s="1876"/>
      <c r="G245" s="1877"/>
      <c r="H245" s="1895"/>
      <c r="I245" s="1896"/>
    </row>
    <row r="246" spans="1:9" ht="14.25">
      <c r="A246" s="1819"/>
      <c r="B246" s="1894"/>
      <c r="C246" s="1878"/>
      <c r="D246" s="1878"/>
      <c r="E246" s="1877"/>
      <c r="F246" s="1876"/>
      <c r="G246" s="1877"/>
      <c r="H246" s="1895"/>
      <c r="I246" s="1896"/>
    </row>
    <row r="247" spans="1:9" ht="14.25">
      <c r="A247" s="1819"/>
      <c r="B247" s="1894"/>
      <c r="C247" s="1878"/>
      <c r="D247" s="1878"/>
      <c r="E247" s="1877"/>
      <c r="F247" s="1876"/>
      <c r="G247" s="1877"/>
      <c r="H247" s="1895"/>
      <c r="I247" s="1896"/>
    </row>
    <row r="248" spans="1:9" ht="14.25">
      <c r="A248" s="1819"/>
      <c r="B248" s="1894"/>
      <c r="C248" s="1878"/>
      <c r="D248" s="1878"/>
      <c r="E248" s="1877"/>
      <c r="F248" s="1876"/>
      <c r="G248" s="1877"/>
      <c r="H248" s="1895"/>
      <c r="I248" s="1896"/>
    </row>
    <row r="249" spans="1:9" ht="14.25">
      <c r="A249" s="1819"/>
      <c r="B249" s="1894"/>
      <c r="C249" s="1878"/>
      <c r="D249" s="1878"/>
      <c r="E249" s="1877"/>
      <c r="F249" s="1876"/>
      <c r="G249" s="1877"/>
      <c r="H249" s="1895"/>
      <c r="I249" s="1896"/>
    </row>
    <row r="250" spans="1:9" ht="14.25">
      <c r="A250" s="1819"/>
      <c r="B250" s="1894"/>
      <c r="C250" s="1878"/>
      <c r="D250" s="1878"/>
      <c r="E250" s="1877"/>
      <c r="F250" s="1876"/>
      <c r="G250" s="1877"/>
      <c r="H250" s="1895"/>
      <c r="I250" s="1896"/>
    </row>
    <row r="251" spans="1:9" ht="14.25">
      <c r="A251" s="1819"/>
      <c r="B251" s="1894"/>
      <c r="C251" s="1878"/>
      <c r="D251" s="1878"/>
      <c r="E251" s="1877"/>
      <c r="F251" s="1876"/>
      <c r="G251" s="1877"/>
      <c r="H251" s="1895"/>
      <c r="I251" s="1896"/>
    </row>
    <row r="252" spans="1:9" ht="14.25">
      <c r="A252" s="1819"/>
      <c r="B252" s="1894"/>
      <c r="C252" s="1878"/>
      <c r="D252" s="1878"/>
      <c r="E252" s="1877"/>
      <c r="F252" s="1876"/>
      <c r="G252" s="1877"/>
      <c r="H252" s="1895"/>
      <c r="I252" s="1896"/>
    </row>
    <row r="253" spans="1:9" ht="14.25">
      <c r="A253" s="1819"/>
      <c r="B253" s="1894"/>
      <c r="C253" s="1878"/>
      <c r="D253" s="1878"/>
      <c r="E253" s="1877"/>
      <c r="F253" s="1876"/>
      <c r="G253" s="1877"/>
      <c r="H253" s="1895"/>
      <c r="I253" s="1896"/>
    </row>
    <row r="254" spans="1:9" ht="14.25">
      <c r="A254" s="1819"/>
      <c r="B254" s="1894"/>
      <c r="C254" s="1878"/>
      <c r="D254" s="1878"/>
      <c r="E254" s="1877"/>
      <c r="F254" s="1876"/>
      <c r="G254" s="1877"/>
      <c r="H254" s="1895"/>
      <c r="I254" s="1896"/>
    </row>
    <row r="255" spans="1:9" ht="14.25">
      <c r="A255" s="1819"/>
      <c r="B255" s="1894"/>
      <c r="C255" s="1878"/>
      <c r="D255" s="1878"/>
      <c r="E255" s="1877"/>
      <c r="F255" s="1876"/>
      <c r="G255" s="1877"/>
      <c r="H255" s="1895"/>
      <c r="I255" s="1896"/>
    </row>
    <row r="256" spans="1:9" ht="14.25">
      <c r="A256" s="1819"/>
      <c r="B256" s="1894"/>
      <c r="C256" s="1878"/>
      <c r="D256" s="1878"/>
      <c r="E256" s="1877"/>
      <c r="F256" s="1876"/>
      <c r="G256" s="1877"/>
      <c r="H256" s="1895"/>
      <c r="I256" s="1896"/>
    </row>
    <row r="257" spans="1:9" ht="14.25">
      <c r="A257" s="1819"/>
      <c r="B257" s="1894"/>
      <c r="C257" s="1878"/>
      <c r="D257" s="1878"/>
      <c r="E257" s="1877"/>
      <c r="F257" s="1876"/>
      <c r="G257" s="1877"/>
      <c r="H257" s="1895"/>
      <c r="I257" s="1896"/>
    </row>
    <row r="258" spans="1:9" ht="14.25">
      <c r="A258" s="1819"/>
      <c r="B258" s="1894"/>
      <c r="C258" s="1878"/>
      <c r="D258" s="1878"/>
      <c r="E258" s="1877"/>
      <c r="F258" s="1876"/>
      <c r="G258" s="1877"/>
      <c r="H258" s="1895"/>
      <c r="I258" s="1896"/>
    </row>
    <row r="259" spans="1:9" ht="14.25">
      <c r="A259" s="1819"/>
      <c r="B259" s="1894"/>
      <c r="C259" s="1878"/>
      <c r="D259" s="1878"/>
      <c r="E259" s="1877"/>
      <c r="F259" s="1876"/>
      <c r="G259" s="1877"/>
      <c r="H259" s="1895"/>
      <c r="I259" s="1896"/>
    </row>
    <row r="260" spans="1:9" ht="14.25">
      <c r="A260" s="1819"/>
      <c r="B260" s="1894"/>
      <c r="C260" s="1878"/>
      <c r="D260" s="1878"/>
      <c r="E260" s="1877"/>
      <c r="F260" s="1876"/>
      <c r="G260" s="1877"/>
      <c r="H260" s="1895"/>
      <c r="I260" s="1896"/>
    </row>
    <row r="261" spans="1:9" ht="14.25">
      <c r="A261" s="1819"/>
      <c r="B261" s="1894"/>
      <c r="C261" s="1878"/>
      <c r="D261" s="1878"/>
      <c r="E261" s="1877"/>
      <c r="F261" s="1876"/>
      <c r="G261" s="1877"/>
      <c r="H261" s="1895"/>
      <c r="I261" s="1896"/>
    </row>
    <row r="262" spans="1:9" ht="14.25">
      <c r="A262" s="1819"/>
      <c r="B262" s="1894"/>
      <c r="C262" s="1878"/>
      <c r="D262" s="1878"/>
      <c r="E262" s="1877"/>
      <c r="F262" s="1876"/>
      <c r="G262" s="1877"/>
      <c r="H262" s="1895"/>
      <c r="I262" s="1896"/>
    </row>
    <row r="263" spans="1:9" ht="14.25">
      <c r="A263" s="1819"/>
      <c r="B263" s="1894"/>
      <c r="C263" s="1878"/>
      <c r="D263" s="1878"/>
      <c r="E263" s="1877"/>
      <c r="F263" s="1876"/>
      <c r="G263" s="1877"/>
      <c r="H263" s="1895"/>
      <c r="I263" s="1896"/>
    </row>
    <row r="264" spans="1:9" ht="14.25">
      <c r="A264" s="1819"/>
      <c r="B264" s="1894"/>
      <c r="C264" s="1878"/>
      <c r="D264" s="1878"/>
      <c r="E264" s="1877"/>
      <c r="F264" s="1876"/>
      <c r="G264" s="1877"/>
      <c r="H264" s="1895"/>
      <c r="I264" s="1896"/>
    </row>
    <row r="265" spans="1:9" ht="14.25">
      <c r="A265" s="1819"/>
      <c r="B265" s="1894"/>
      <c r="C265" s="1878"/>
      <c r="D265" s="1878"/>
      <c r="E265" s="1877"/>
      <c r="F265" s="1876"/>
      <c r="G265" s="1877"/>
      <c r="H265" s="1895"/>
      <c r="I265" s="1896"/>
    </row>
    <row r="266" spans="1:9" ht="14.25">
      <c r="A266" s="1819"/>
      <c r="B266" s="1894"/>
      <c r="C266" s="1878"/>
      <c r="D266" s="1878"/>
      <c r="E266" s="1877"/>
      <c r="F266" s="1876"/>
      <c r="G266" s="1877"/>
      <c r="H266" s="1895"/>
      <c r="I266" s="1896"/>
    </row>
    <row r="267" spans="1:9" ht="14.25">
      <c r="A267" s="1819"/>
      <c r="B267" s="1894"/>
      <c r="C267" s="1878"/>
      <c r="D267" s="1878"/>
      <c r="E267" s="1877"/>
      <c r="F267" s="1876"/>
      <c r="G267" s="1877"/>
      <c r="H267" s="1895"/>
      <c r="I267" s="1896"/>
    </row>
    <row r="268" spans="1:9" ht="14.25">
      <c r="A268" s="1819"/>
      <c r="B268" s="1894"/>
      <c r="C268" s="1878"/>
      <c r="D268" s="1878"/>
      <c r="E268" s="1877"/>
      <c r="F268" s="1876"/>
      <c r="G268" s="1877"/>
      <c r="H268" s="1895"/>
      <c r="I268" s="1896"/>
    </row>
    <row r="269" spans="1:9" ht="14.25">
      <c r="A269" s="1819"/>
      <c r="B269" s="1894"/>
      <c r="C269" s="1878"/>
      <c r="D269" s="1878"/>
      <c r="E269" s="1877"/>
      <c r="F269" s="1876"/>
      <c r="G269" s="1877"/>
      <c r="H269" s="1895"/>
      <c r="I269" s="1896"/>
    </row>
    <row r="270" spans="1:9" ht="14.25">
      <c r="A270" s="1819"/>
      <c r="B270" s="1894"/>
      <c r="C270" s="1878"/>
      <c r="D270" s="1878"/>
      <c r="E270" s="1877"/>
      <c r="F270" s="1876"/>
      <c r="G270" s="1877"/>
      <c r="H270" s="1895"/>
      <c r="I270" s="1896"/>
    </row>
    <row r="271" spans="1:9" ht="14.25">
      <c r="A271" s="1819"/>
      <c r="B271" s="1894"/>
      <c r="C271" s="1878"/>
      <c r="D271" s="1878"/>
      <c r="E271" s="1877"/>
      <c r="F271" s="1876"/>
      <c r="G271" s="1877"/>
      <c r="H271" s="1895"/>
      <c r="I271" s="1896"/>
    </row>
    <row r="272" spans="1:9" ht="14.25">
      <c r="A272" s="1819"/>
      <c r="B272" s="1894"/>
      <c r="C272" s="1878"/>
      <c r="D272" s="1878"/>
      <c r="E272" s="1877"/>
      <c r="F272" s="1876"/>
      <c r="G272" s="1877"/>
      <c r="H272" s="1895"/>
      <c r="I272" s="1896"/>
    </row>
    <row r="273" spans="1:9" ht="14.25">
      <c r="A273" s="1819"/>
      <c r="B273" s="1894"/>
      <c r="C273" s="1878"/>
      <c r="D273" s="1878"/>
      <c r="E273" s="1877"/>
      <c r="F273" s="1876"/>
      <c r="G273" s="1877"/>
      <c r="H273" s="1895"/>
      <c r="I273" s="1896"/>
    </row>
    <row r="274" spans="1:9" ht="14.25">
      <c r="A274" s="1819"/>
      <c r="B274" s="1894"/>
      <c r="C274" s="1878"/>
      <c r="D274" s="1878"/>
      <c r="E274" s="1877"/>
      <c r="F274" s="1876"/>
      <c r="G274" s="1877"/>
      <c r="H274" s="1895"/>
      <c r="I274" s="1896"/>
    </row>
    <row r="275" spans="1:9" ht="14.25">
      <c r="A275" s="1819"/>
      <c r="B275" s="1894"/>
      <c r="C275" s="1878"/>
      <c r="D275" s="1878"/>
      <c r="E275" s="1877"/>
      <c r="F275" s="1876"/>
      <c r="G275" s="1877"/>
      <c r="H275" s="1895"/>
      <c r="I275" s="1896"/>
    </row>
    <row r="276" spans="1:9" ht="14.25">
      <c r="A276" s="1819"/>
      <c r="B276" s="1894"/>
      <c r="C276" s="1878"/>
      <c r="D276" s="1878"/>
      <c r="E276" s="1877"/>
      <c r="F276" s="1876"/>
      <c r="G276" s="1877"/>
      <c r="H276" s="1895"/>
      <c r="I276" s="1896"/>
    </row>
    <row r="277" spans="1:9" ht="14.25">
      <c r="A277" s="1819"/>
      <c r="B277" s="1894"/>
      <c r="C277" s="1878"/>
      <c r="D277" s="1878"/>
      <c r="E277" s="1877"/>
      <c r="F277" s="1876"/>
      <c r="G277" s="1877"/>
      <c r="H277" s="1895"/>
      <c r="I277" s="1896"/>
    </row>
    <row r="278" spans="1:9" ht="14.25">
      <c r="A278" s="1819"/>
      <c r="B278" s="1894"/>
      <c r="C278" s="1878"/>
      <c r="D278" s="1878"/>
      <c r="E278" s="1877"/>
      <c r="F278" s="1876"/>
      <c r="G278" s="1877"/>
      <c r="H278" s="1895"/>
      <c r="I278" s="1896"/>
    </row>
    <row r="279" spans="1:9" ht="14.25">
      <c r="A279" s="1819"/>
      <c r="B279" s="1894"/>
      <c r="C279" s="1878"/>
      <c r="D279" s="1878"/>
      <c r="E279" s="1877"/>
      <c r="F279" s="1876"/>
      <c r="G279" s="1877"/>
      <c r="H279" s="1895"/>
      <c r="I279" s="1896"/>
    </row>
    <row r="280" spans="1:9" ht="14.25">
      <c r="A280" s="1819"/>
      <c r="B280" s="1894"/>
      <c r="C280" s="1878"/>
      <c r="D280" s="1878"/>
      <c r="E280" s="1877"/>
      <c r="F280" s="1876"/>
      <c r="G280" s="1877"/>
      <c r="H280" s="1895"/>
      <c r="I280" s="1896"/>
    </row>
    <row r="281" spans="1:9" ht="14.25">
      <c r="A281" s="1819"/>
      <c r="B281" s="1894"/>
      <c r="C281" s="1878"/>
      <c r="D281" s="1878"/>
      <c r="E281" s="1877"/>
      <c r="F281" s="1876"/>
      <c r="G281" s="1877"/>
      <c r="H281" s="1895"/>
      <c r="I281" s="1896"/>
    </row>
    <row r="282" spans="1:9" ht="14.25">
      <c r="A282" s="1819"/>
      <c r="B282" s="1894"/>
      <c r="C282" s="1878"/>
      <c r="D282" s="1878"/>
      <c r="E282" s="1877"/>
      <c r="F282" s="1876"/>
      <c r="G282" s="1877"/>
      <c r="H282" s="1895"/>
      <c r="I282" s="1896"/>
    </row>
    <row r="283" spans="1:9" ht="14.25">
      <c r="A283" s="1819"/>
      <c r="B283" s="1894"/>
      <c r="C283" s="1878"/>
      <c r="D283" s="1878"/>
      <c r="E283" s="1877"/>
      <c r="F283" s="1876"/>
      <c r="G283" s="1877"/>
      <c r="H283" s="1895"/>
      <c r="I283" s="1896"/>
    </row>
    <row r="284" spans="1:9" ht="14.25">
      <c r="A284" s="1819"/>
      <c r="B284" s="1894"/>
      <c r="C284" s="1878"/>
      <c r="D284" s="1878"/>
      <c r="E284" s="1877"/>
      <c r="F284" s="1876"/>
      <c r="G284" s="1877"/>
      <c r="H284" s="1895"/>
      <c r="I284" s="1896"/>
    </row>
    <row r="285" spans="1:9" ht="14.25">
      <c r="A285" s="1819"/>
      <c r="B285" s="1894"/>
      <c r="C285" s="1878"/>
      <c r="D285" s="1878"/>
      <c r="E285" s="1877"/>
      <c r="F285" s="1876"/>
      <c r="G285" s="1877"/>
      <c r="H285" s="1895"/>
      <c r="I285" s="1896"/>
    </row>
    <row r="286" spans="1:9" ht="14.25">
      <c r="A286" s="1819"/>
      <c r="B286" s="1894"/>
      <c r="C286" s="1878"/>
      <c r="D286" s="1878"/>
      <c r="E286" s="1877"/>
      <c r="F286" s="1876"/>
      <c r="G286" s="1877"/>
      <c r="H286" s="1895"/>
      <c r="I286" s="1896"/>
    </row>
    <row r="287" spans="1:9" ht="14.25">
      <c r="A287" s="1819"/>
      <c r="B287" s="1894"/>
      <c r="C287" s="1878"/>
      <c r="D287" s="1878"/>
      <c r="E287" s="1877"/>
      <c r="F287" s="1876"/>
      <c r="G287" s="1877"/>
      <c r="H287" s="1895"/>
      <c r="I287" s="1896"/>
    </row>
    <row r="288" spans="1:9" ht="14.25">
      <c r="A288" s="1819"/>
      <c r="B288" s="1894"/>
      <c r="C288" s="1878"/>
      <c r="D288" s="1878"/>
      <c r="E288" s="1877"/>
      <c r="F288" s="1876"/>
      <c r="G288" s="1877"/>
      <c r="H288" s="1895"/>
      <c r="I288" s="1896"/>
    </row>
    <row r="289" spans="1:9" ht="14.25">
      <c r="A289" s="1819"/>
      <c r="B289" s="1894"/>
      <c r="C289" s="1878"/>
      <c r="D289" s="1878"/>
      <c r="E289" s="1877"/>
      <c r="F289" s="1876"/>
      <c r="G289" s="1877"/>
      <c r="H289" s="1895"/>
      <c r="I289" s="1896"/>
    </row>
    <row r="290" spans="1:9" ht="14.25">
      <c r="A290" s="1819"/>
      <c r="B290" s="1894"/>
      <c r="C290" s="1878"/>
      <c r="D290" s="1878"/>
      <c r="E290" s="1877"/>
      <c r="F290" s="1876"/>
      <c r="G290" s="1877"/>
      <c r="H290" s="1895"/>
      <c r="I290" s="1896"/>
    </row>
    <row r="291" spans="1:9" ht="14.25">
      <c r="A291" s="1819"/>
      <c r="B291" s="1894"/>
      <c r="C291" s="1878"/>
      <c r="D291" s="1878"/>
      <c r="E291" s="1877"/>
      <c r="F291" s="1876"/>
      <c r="G291" s="1877"/>
      <c r="H291" s="1895"/>
      <c r="I291" s="1896"/>
    </row>
    <row r="292" spans="1:9" ht="14.25">
      <c r="A292" s="1819"/>
      <c r="B292" s="1894"/>
      <c r="C292" s="1878"/>
      <c r="D292" s="1878"/>
      <c r="E292" s="1877"/>
      <c r="F292" s="1876"/>
      <c r="G292" s="1877"/>
      <c r="H292" s="1895"/>
      <c r="I292" s="1896"/>
    </row>
    <row r="293" spans="1:9" ht="14.25">
      <c r="A293" s="1819"/>
      <c r="B293" s="1894"/>
      <c r="C293" s="1878"/>
      <c r="D293" s="1878"/>
      <c r="E293" s="1877"/>
      <c r="F293" s="1876"/>
      <c r="G293" s="1877"/>
      <c r="H293" s="1895"/>
      <c r="I293" s="1896"/>
    </row>
    <row r="294" spans="1:9" ht="14.25">
      <c r="A294" s="1819"/>
      <c r="B294" s="1894"/>
      <c r="C294" s="1878"/>
      <c r="D294" s="1878"/>
      <c r="E294" s="1877"/>
      <c r="F294" s="1876"/>
      <c r="G294" s="1877"/>
      <c r="H294" s="1895"/>
      <c r="I294" s="1896"/>
    </row>
    <row r="295" spans="1:9" ht="14.25">
      <c r="A295" s="1819"/>
      <c r="B295" s="1894"/>
      <c r="C295" s="1878"/>
      <c r="D295" s="1878"/>
      <c r="E295" s="1877"/>
      <c r="F295" s="1876"/>
      <c r="G295" s="1877"/>
      <c r="H295" s="1895"/>
      <c r="I295" s="1896"/>
    </row>
    <row r="296" spans="1:9" ht="14.25">
      <c r="A296" s="1819"/>
      <c r="B296" s="1894"/>
      <c r="C296" s="1878"/>
      <c r="D296" s="1878"/>
      <c r="E296" s="1877"/>
      <c r="F296" s="1876"/>
      <c r="G296" s="1877"/>
      <c r="H296" s="1895"/>
      <c r="I296" s="1896"/>
    </row>
    <row r="297" spans="1:9" ht="14.25">
      <c r="A297" s="1819"/>
      <c r="B297" s="1894"/>
      <c r="C297" s="1878"/>
      <c r="D297" s="1878"/>
      <c r="E297" s="1877"/>
      <c r="F297" s="1876"/>
      <c r="G297" s="1877"/>
      <c r="H297" s="1895"/>
      <c r="I297" s="1896"/>
    </row>
    <row r="298" spans="1:9" ht="14.25">
      <c r="A298" s="1819"/>
      <c r="B298" s="1894"/>
      <c r="C298" s="1878"/>
      <c r="D298" s="1878"/>
      <c r="E298" s="1877"/>
      <c r="F298" s="1876"/>
      <c r="G298" s="1877"/>
      <c r="H298" s="1895"/>
      <c r="I298" s="1896"/>
    </row>
    <row r="299" spans="1:9" ht="14.25">
      <c r="A299" s="1819"/>
      <c r="B299" s="1894"/>
      <c r="C299" s="1878"/>
      <c r="D299" s="1878"/>
      <c r="E299" s="1877"/>
      <c r="F299" s="1876"/>
      <c r="G299" s="1877"/>
      <c r="H299" s="1895"/>
      <c r="I299" s="1896"/>
    </row>
    <row r="300" spans="1:9" ht="14.25">
      <c r="A300" s="1819"/>
      <c r="B300" s="1894"/>
      <c r="C300" s="1878"/>
      <c r="D300" s="1878"/>
      <c r="E300" s="1877"/>
      <c r="F300" s="1876"/>
      <c r="G300" s="1877"/>
      <c r="H300" s="1895"/>
      <c r="I300" s="1896"/>
    </row>
    <row r="301" spans="1:9" ht="14.25">
      <c r="A301" s="1819"/>
      <c r="B301" s="1894"/>
      <c r="C301" s="1878"/>
      <c r="D301" s="1878"/>
      <c r="E301" s="1877"/>
      <c r="F301" s="1876"/>
      <c r="G301" s="1877"/>
      <c r="H301" s="1895"/>
      <c r="I301" s="1896"/>
    </row>
    <row r="302" spans="1:9" ht="14.25">
      <c r="A302" s="1819"/>
      <c r="B302" s="1894"/>
      <c r="C302" s="1878"/>
      <c r="D302" s="1878"/>
      <c r="E302" s="1877"/>
      <c r="F302" s="1876"/>
      <c r="G302" s="1877"/>
      <c r="H302" s="1895"/>
      <c r="I302" s="1896"/>
    </row>
    <row r="303" spans="1:9" ht="14.25">
      <c r="A303" s="1819"/>
      <c r="B303" s="1894"/>
      <c r="C303" s="1878"/>
      <c r="D303" s="1878"/>
      <c r="E303" s="1877"/>
      <c r="F303" s="1876"/>
      <c r="G303" s="1877"/>
      <c r="H303" s="1895"/>
      <c r="I303" s="1896"/>
    </row>
    <row r="304" spans="1:9" ht="14.25">
      <c r="A304" s="1819"/>
      <c r="B304" s="1894"/>
      <c r="C304" s="1878"/>
      <c r="D304" s="1878"/>
      <c r="E304" s="1877"/>
      <c r="F304" s="1876"/>
      <c r="G304" s="1877"/>
      <c r="H304" s="1895"/>
      <c r="I304" s="1896"/>
    </row>
    <row r="305" spans="1:9" ht="14.25">
      <c r="A305" s="1819"/>
      <c r="B305" s="1894"/>
      <c r="C305" s="1878"/>
      <c r="D305" s="1878"/>
      <c r="E305" s="1877"/>
      <c r="F305" s="1876"/>
      <c r="G305" s="1877"/>
      <c r="H305" s="1895"/>
      <c r="I305" s="1896"/>
    </row>
    <row r="306" spans="1:9" ht="14.25">
      <c r="A306" s="1819"/>
      <c r="B306" s="1894"/>
      <c r="C306" s="1878"/>
      <c r="D306" s="1878"/>
      <c r="E306" s="1877"/>
      <c r="F306" s="1876"/>
      <c r="G306" s="1877"/>
      <c r="H306" s="1895"/>
      <c r="I306" s="1896"/>
    </row>
    <row r="307" spans="1:9" ht="14.25">
      <c r="A307" s="1819"/>
      <c r="B307" s="1894"/>
      <c r="C307" s="1878"/>
      <c r="D307" s="1878"/>
      <c r="E307" s="1877"/>
      <c r="F307" s="1876"/>
      <c r="G307" s="1877"/>
      <c r="H307" s="1895"/>
      <c r="I307" s="1896"/>
    </row>
    <row r="308" spans="1:9" ht="14.25">
      <c r="A308" s="1819"/>
      <c r="B308" s="1894"/>
      <c r="C308" s="1878"/>
      <c r="D308" s="1878"/>
      <c r="E308" s="1877"/>
      <c r="F308" s="1876"/>
      <c r="G308" s="1877"/>
      <c r="H308" s="1895"/>
      <c r="I308" s="1896"/>
    </row>
    <row r="309" spans="1:9" ht="14.25">
      <c r="A309" s="1819"/>
      <c r="B309" s="1894"/>
      <c r="C309" s="1878"/>
      <c r="D309" s="1878"/>
      <c r="E309" s="1877"/>
      <c r="F309" s="1876"/>
      <c r="G309" s="1877"/>
      <c r="H309" s="1895"/>
      <c r="I309" s="1896"/>
    </row>
    <row r="310" spans="1:9" ht="14.25">
      <c r="A310" s="1819"/>
      <c r="B310" s="1894"/>
      <c r="C310" s="1878"/>
      <c r="D310" s="1878"/>
      <c r="E310" s="1877"/>
      <c r="F310" s="1876"/>
      <c r="G310" s="1877"/>
      <c r="H310" s="1895"/>
      <c r="I310" s="1896"/>
    </row>
    <row r="311" spans="1:9" ht="14.25">
      <c r="A311" s="1819"/>
      <c r="B311" s="1894"/>
      <c r="C311" s="1878"/>
      <c r="D311" s="1878"/>
      <c r="E311" s="1877"/>
      <c r="F311" s="1876"/>
      <c r="G311" s="1877"/>
      <c r="H311" s="1895"/>
      <c r="I311" s="1896"/>
    </row>
    <row r="312" spans="1:9" ht="14.25">
      <c r="A312" s="1819"/>
      <c r="B312" s="1894"/>
      <c r="C312" s="1878"/>
      <c r="D312" s="1878"/>
      <c r="E312" s="1877"/>
      <c r="F312" s="1876"/>
      <c r="G312" s="1877"/>
      <c r="H312" s="1895"/>
      <c r="I312" s="1896"/>
    </row>
    <row r="313" spans="1:9" ht="14.25">
      <c r="A313" s="1819"/>
      <c r="B313" s="1894"/>
      <c r="C313" s="1878"/>
      <c r="D313" s="1878"/>
      <c r="E313" s="1877"/>
      <c r="F313" s="1876"/>
      <c r="G313" s="1877"/>
      <c r="H313" s="1895"/>
      <c r="I313" s="1896"/>
    </row>
    <row r="314" spans="1:9" ht="14.25">
      <c r="A314" s="1819"/>
      <c r="B314" s="1894"/>
      <c r="C314" s="1878"/>
      <c r="D314" s="1878"/>
      <c r="E314" s="1877"/>
      <c r="F314" s="1876"/>
      <c r="G314" s="1877"/>
      <c r="H314" s="1895"/>
      <c r="I314" s="1896"/>
    </row>
    <row r="315" spans="1:9" ht="14.25">
      <c r="A315" s="1819"/>
      <c r="B315" s="1894"/>
      <c r="C315" s="1878"/>
      <c r="D315" s="1878"/>
      <c r="E315" s="1877"/>
      <c r="F315" s="1876"/>
      <c r="G315" s="1877"/>
      <c r="H315" s="1895"/>
      <c r="I315" s="1896"/>
    </row>
    <row r="316" spans="1:9" ht="14.25">
      <c r="A316" s="1819"/>
      <c r="B316" s="1894"/>
      <c r="C316" s="1878"/>
      <c r="D316" s="1878"/>
      <c r="E316" s="1877"/>
      <c r="F316" s="1876"/>
      <c r="G316" s="1877"/>
      <c r="H316" s="1895"/>
      <c r="I316" s="1896"/>
    </row>
    <row r="317" spans="1:9" ht="14.25">
      <c r="A317" s="1819"/>
      <c r="B317" s="1894"/>
      <c r="C317" s="1878"/>
      <c r="D317" s="1878"/>
      <c r="E317" s="1877"/>
      <c r="F317" s="1876"/>
      <c r="G317" s="1877"/>
      <c r="H317" s="1895"/>
      <c r="I317" s="1896"/>
    </row>
    <row r="318" spans="1:9" ht="14.25">
      <c r="A318" s="1819"/>
      <c r="B318" s="1894"/>
      <c r="C318" s="1878"/>
      <c r="D318" s="1878"/>
      <c r="E318" s="1877"/>
      <c r="F318" s="1876"/>
      <c r="G318" s="1877"/>
      <c r="H318" s="1895"/>
      <c r="I318" s="1896"/>
    </row>
    <row r="319" spans="1:9" ht="14.25">
      <c r="A319" s="1819"/>
      <c r="B319" s="1894"/>
      <c r="C319" s="1878"/>
      <c r="D319" s="1878"/>
      <c r="E319" s="1877"/>
      <c r="F319" s="1876"/>
      <c r="G319" s="1877"/>
      <c r="H319" s="1895"/>
      <c r="I319" s="1896"/>
    </row>
    <row r="320" spans="1:9" ht="14.25">
      <c r="A320" s="1819"/>
      <c r="B320" s="1894"/>
      <c r="C320" s="1878"/>
      <c r="D320" s="1878"/>
      <c r="E320" s="1877"/>
      <c r="F320" s="1876"/>
      <c r="G320" s="1877"/>
      <c r="H320" s="1895"/>
      <c r="I320" s="1896"/>
    </row>
    <row r="321" spans="1:9" ht="14.25">
      <c r="A321" s="1819"/>
      <c r="B321" s="1894"/>
      <c r="C321" s="1878"/>
      <c r="D321" s="1878"/>
      <c r="E321" s="1877"/>
      <c r="F321" s="1876"/>
      <c r="G321" s="1877"/>
      <c r="H321" s="1895"/>
      <c r="I321" s="1896"/>
    </row>
    <row r="322" spans="1:9" ht="14.25">
      <c r="A322" s="1819"/>
      <c r="B322" s="1894"/>
      <c r="C322" s="1878"/>
      <c r="D322" s="1878"/>
      <c r="E322" s="1877"/>
      <c r="F322" s="1876"/>
      <c r="G322" s="1877"/>
      <c r="H322" s="1895"/>
      <c r="I322" s="1896"/>
    </row>
    <row r="323" spans="1:9" ht="14.25">
      <c r="A323" s="1819"/>
      <c r="B323" s="1894"/>
      <c r="C323" s="1878"/>
      <c r="D323" s="1878"/>
      <c r="E323" s="1877"/>
      <c r="F323" s="1876"/>
      <c r="G323" s="1877"/>
      <c r="H323" s="1895"/>
      <c r="I323" s="1896"/>
    </row>
    <row r="324" spans="1:9" ht="14.25">
      <c r="A324" s="1819"/>
      <c r="B324" s="1894"/>
      <c r="C324" s="1878"/>
      <c r="D324" s="1878"/>
      <c r="E324" s="1877"/>
      <c r="F324" s="1876"/>
      <c r="G324" s="1877"/>
      <c r="H324" s="1895"/>
      <c r="I324" s="1896"/>
    </row>
    <row r="325" spans="1:9" ht="14.25">
      <c r="A325" s="1819"/>
      <c r="B325" s="1894"/>
      <c r="C325" s="1878"/>
      <c r="D325" s="1878"/>
      <c r="E325" s="1877"/>
      <c r="F325" s="1876"/>
      <c r="G325" s="1877"/>
      <c r="H325" s="1895"/>
      <c r="I325" s="1896"/>
    </row>
    <row r="326" spans="1:9" ht="14.25">
      <c r="A326" s="1819"/>
      <c r="B326" s="1894"/>
      <c r="C326" s="1878"/>
      <c r="D326" s="1878"/>
      <c r="E326" s="1877"/>
      <c r="F326" s="1876"/>
      <c r="G326" s="1877"/>
      <c r="H326" s="1895"/>
      <c r="I326" s="1896"/>
    </row>
    <row r="327" spans="1:9" ht="14.25">
      <c r="A327" s="1819"/>
      <c r="B327" s="1894"/>
      <c r="C327" s="1878"/>
      <c r="D327" s="1878"/>
      <c r="E327" s="1877"/>
      <c r="F327" s="1876"/>
      <c r="G327" s="1877"/>
      <c r="H327" s="1895"/>
      <c r="I327" s="1896"/>
    </row>
    <row r="328" spans="1:9" ht="14.25">
      <c r="A328" s="1819"/>
      <c r="B328" s="1894"/>
      <c r="C328" s="1878"/>
      <c r="D328" s="1878"/>
      <c r="E328" s="1877"/>
      <c r="F328" s="1876"/>
      <c r="G328" s="1877"/>
      <c r="H328" s="1895"/>
      <c r="I328" s="1896"/>
    </row>
    <row r="329" spans="1:9" ht="14.25">
      <c r="A329" s="1819"/>
      <c r="B329" s="1894"/>
      <c r="C329" s="1878"/>
      <c r="D329" s="1878"/>
      <c r="E329" s="1877"/>
      <c r="F329" s="1876"/>
      <c r="G329" s="1877"/>
      <c r="H329" s="1895"/>
      <c r="I329" s="1896"/>
    </row>
    <row r="330" spans="1:9" ht="14.25">
      <c r="A330" s="1819"/>
      <c r="B330" s="1894"/>
      <c r="C330" s="1878"/>
      <c r="D330" s="1878"/>
      <c r="E330" s="1877"/>
      <c r="F330" s="1876"/>
      <c r="G330" s="1877"/>
      <c r="H330" s="1895"/>
      <c r="I330" s="1896"/>
    </row>
    <row r="331" spans="1:9" ht="14.25">
      <c r="A331" s="1819"/>
      <c r="B331" s="1894"/>
      <c r="C331" s="1878"/>
      <c r="D331" s="1878"/>
      <c r="E331" s="1877"/>
      <c r="F331" s="1876"/>
      <c r="G331" s="1877"/>
      <c r="H331" s="1895"/>
      <c r="I331" s="1896"/>
    </row>
    <row r="332" spans="1:9" ht="14.25">
      <c r="A332" s="1819"/>
      <c r="B332" s="1894"/>
      <c r="C332" s="1878"/>
      <c r="D332" s="1878"/>
      <c r="E332" s="1877"/>
      <c r="F332" s="1876"/>
      <c r="G332" s="1877"/>
      <c r="H332" s="1895"/>
      <c r="I332" s="1896"/>
    </row>
    <row r="333" spans="1:9" ht="14.25">
      <c r="A333" s="1819"/>
      <c r="B333" s="1894"/>
      <c r="C333" s="1878"/>
      <c r="D333" s="1878"/>
      <c r="E333" s="1877"/>
      <c r="F333" s="1876"/>
      <c r="G333" s="1877"/>
      <c r="H333" s="1895"/>
      <c r="I333" s="1896"/>
    </row>
    <row r="334" spans="1:9" ht="14.25">
      <c r="A334" s="1819"/>
      <c r="B334" s="1894"/>
      <c r="C334" s="1878"/>
      <c r="D334" s="1878"/>
      <c r="E334" s="1877"/>
      <c r="F334" s="1876"/>
      <c r="G334" s="1877"/>
      <c r="H334" s="1895"/>
      <c r="I334" s="1896"/>
    </row>
    <row r="335" spans="1:9" ht="14.25">
      <c r="A335" s="1819"/>
      <c r="B335" s="1894"/>
      <c r="C335" s="1878"/>
      <c r="D335" s="1878"/>
      <c r="E335" s="1877"/>
      <c r="F335" s="1876"/>
      <c r="G335" s="1877"/>
      <c r="H335" s="1895"/>
      <c r="I335" s="1896"/>
    </row>
    <row r="336" spans="1:9" ht="14.25">
      <c r="A336" s="1819"/>
      <c r="B336" s="1894"/>
      <c r="C336" s="1878"/>
      <c r="D336" s="1878"/>
      <c r="E336" s="1877"/>
      <c r="F336" s="1876"/>
      <c r="G336" s="1877"/>
      <c r="H336" s="1895"/>
      <c r="I336" s="1896"/>
    </row>
    <row r="337" spans="1:9" ht="14.25">
      <c r="A337" s="1819"/>
      <c r="B337" s="1894"/>
      <c r="C337" s="1878"/>
      <c r="D337" s="1878"/>
      <c r="E337" s="1877"/>
      <c r="F337" s="1876"/>
      <c r="G337" s="1877"/>
      <c r="H337" s="1895"/>
      <c r="I337" s="1896"/>
    </row>
    <row r="338" spans="1:9" ht="14.25">
      <c r="A338" s="1819"/>
      <c r="B338" s="1894"/>
      <c r="C338" s="1878"/>
      <c r="D338" s="1878"/>
      <c r="E338" s="1877"/>
      <c r="F338" s="1876"/>
      <c r="G338" s="1877"/>
      <c r="H338" s="1895"/>
      <c r="I338" s="1896"/>
    </row>
    <row r="339" spans="1:9" ht="14.25">
      <c r="A339" s="1819"/>
      <c r="B339" s="1894"/>
      <c r="C339" s="1878"/>
      <c r="D339" s="1878"/>
      <c r="E339" s="1877"/>
      <c r="F339" s="1876"/>
      <c r="G339" s="1877"/>
      <c r="H339" s="1895"/>
      <c r="I339" s="1896"/>
    </row>
    <row r="340" spans="1:9" ht="14.25">
      <c r="A340" s="1819"/>
      <c r="B340" s="1894"/>
      <c r="C340" s="1878"/>
      <c r="D340" s="1878"/>
      <c r="E340" s="1877"/>
      <c r="F340" s="1876"/>
      <c r="G340" s="1877"/>
      <c r="H340" s="1895"/>
      <c r="I340" s="1896"/>
    </row>
    <row r="341" spans="1:9" ht="14.25">
      <c r="A341" s="1819"/>
      <c r="B341" s="1894"/>
      <c r="C341" s="1878"/>
      <c r="D341" s="1878"/>
      <c r="E341" s="1877"/>
      <c r="F341" s="1876"/>
      <c r="G341" s="1877"/>
      <c r="H341" s="1895"/>
      <c r="I341" s="1896"/>
    </row>
    <row r="342" spans="1:9" ht="14.25">
      <c r="A342" s="1819"/>
      <c r="B342" s="1894"/>
      <c r="C342" s="1878"/>
      <c r="D342" s="1878"/>
      <c r="E342" s="1877"/>
      <c r="F342" s="1876"/>
      <c r="G342" s="1877"/>
      <c r="H342" s="1895"/>
      <c r="I342" s="1896"/>
    </row>
    <row r="343" spans="1:9" ht="14.25">
      <c r="A343" s="1819"/>
      <c r="B343" s="1894"/>
      <c r="C343" s="1878"/>
      <c r="D343" s="1878"/>
      <c r="E343" s="1877"/>
      <c r="F343" s="1876"/>
      <c r="G343" s="1877"/>
      <c r="H343" s="1895"/>
      <c r="I343" s="1896"/>
    </row>
    <row r="344" spans="1:9" ht="14.25">
      <c r="A344" s="1819"/>
      <c r="B344" s="1894"/>
      <c r="C344" s="1878"/>
      <c r="D344" s="1878"/>
      <c r="E344" s="1877"/>
      <c r="F344" s="1876"/>
      <c r="G344" s="1877"/>
      <c r="H344" s="1895"/>
      <c r="I344" s="1896"/>
    </row>
    <row r="345" spans="1:9" ht="14.25">
      <c r="A345" s="1819"/>
      <c r="B345" s="1894"/>
      <c r="C345" s="1878"/>
      <c r="D345" s="1878"/>
      <c r="E345" s="1877"/>
      <c r="F345" s="1876"/>
      <c r="G345" s="1877"/>
      <c r="H345" s="1895"/>
      <c r="I345" s="1896"/>
    </row>
    <row r="346" spans="1:9" ht="14.25">
      <c r="A346" s="1819"/>
      <c r="B346" s="1894"/>
      <c r="C346" s="1878"/>
      <c r="D346" s="1878"/>
      <c r="E346" s="1877"/>
      <c r="F346" s="1876"/>
      <c r="G346" s="1877"/>
      <c r="H346" s="1895"/>
      <c r="I346" s="1896"/>
    </row>
    <row r="347" spans="1:9" ht="14.25">
      <c r="A347" s="1819"/>
      <c r="B347" s="1894"/>
      <c r="C347" s="1878"/>
      <c r="D347" s="1878"/>
      <c r="E347" s="1877"/>
      <c r="F347" s="1876"/>
      <c r="G347" s="1877"/>
      <c r="H347" s="1895"/>
      <c r="I347" s="1896"/>
    </row>
    <row r="348" spans="1:9" ht="14.25">
      <c r="A348" s="1819"/>
      <c r="B348" s="1894"/>
      <c r="C348" s="1878"/>
      <c r="D348" s="1878"/>
      <c r="E348" s="1877"/>
      <c r="F348" s="1876"/>
      <c r="G348" s="1877"/>
      <c r="H348" s="1895"/>
      <c r="I348" s="1896"/>
    </row>
    <row r="349" spans="1:9" ht="14.25">
      <c r="A349" s="1819"/>
      <c r="B349" s="1894"/>
      <c r="C349" s="1878"/>
      <c r="D349" s="1878"/>
      <c r="E349" s="1877"/>
      <c r="F349" s="1876"/>
      <c r="G349" s="1877"/>
      <c r="H349" s="1895"/>
      <c r="I349" s="1896"/>
    </row>
    <row r="350" spans="1:9" ht="14.25">
      <c r="A350" s="1819"/>
      <c r="B350" s="1894"/>
      <c r="C350" s="1878"/>
      <c r="D350" s="1878"/>
      <c r="E350" s="1877"/>
      <c r="F350" s="1876"/>
      <c r="G350" s="1877"/>
      <c r="H350" s="1895"/>
      <c r="I350" s="1896"/>
    </row>
    <row r="351" spans="1:9" ht="14.25">
      <c r="A351" s="1819"/>
      <c r="B351" s="1894"/>
      <c r="C351" s="1878"/>
      <c r="D351" s="1878"/>
      <c r="E351" s="1877"/>
      <c r="F351" s="1876"/>
      <c r="G351" s="1877"/>
      <c r="H351" s="1895"/>
      <c r="I351" s="1896"/>
    </row>
    <row r="352" spans="1:9" ht="14.25">
      <c r="A352" s="1819"/>
      <c r="B352" s="1894"/>
      <c r="C352" s="1878"/>
      <c r="D352" s="1878"/>
      <c r="E352" s="1877"/>
      <c r="F352" s="1876"/>
      <c r="G352" s="1877"/>
      <c r="H352" s="1895"/>
      <c r="I352" s="1896"/>
    </row>
    <row r="353" spans="1:9" ht="14.25">
      <c r="A353" s="1819"/>
      <c r="B353" s="1894"/>
      <c r="C353" s="1878"/>
      <c r="D353" s="1878"/>
      <c r="E353" s="1877"/>
      <c r="F353" s="1876"/>
      <c r="G353" s="1877"/>
      <c r="H353" s="1895"/>
      <c r="I353" s="1896"/>
    </row>
    <row r="354" spans="1:9" ht="14.25">
      <c r="A354" s="1819"/>
      <c r="B354" s="1894"/>
      <c r="C354" s="1878"/>
      <c r="D354" s="1878"/>
      <c r="E354" s="1877"/>
      <c r="F354" s="1876"/>
      <c r="G354" s="1877"/>
      <c r="H354" s="1895"/>
      <c r="I354" s="1896"/>
    </row>
    <row r="355" spans="1:9" ht="14.25">
      <c r="A355" s="1819"/>
      <c r="B355" s="1894"/>
      <c r="C355" s="1878"/>
      <c r="D355" s="1878"/>
      <c r="E355" s="1877"/>
      <c r="F355" s="1876"/>
      <c r="G355" s="1877"/>
      <c r="H355" s="1895"/>
      <c r="I355" s="1896"/>
    </row>
    <row r="356" spans="1:9" ht="14.25">
      <c r="A356" s="1819"/>
      <c r="B356" s="1894"/>
      <c r="C356" s="1878"/>
      <c r="D356" s="1878"/>
      <c r="E356" s="1877"/>
      <c r="F356" s="1876"/>
      <c r="G356" s="1877"/>
      <c r="H356" s="1895"/>
      <c r="I356" s="1896"/>
    </row>
    <row r="357" spans="1:9" ht="14.25">
      <c r="A357" s="1819"/>
      <c r="B357" s="1894"/>
      <c r="C357" s="1878"/>
      <c r="D357" s="1878"/>
      <c r="E357" s="1877"/>
      <c r="F357" s="1876"/>
      <c r="G357" s="1877"/>
      <c r="H357" s="1895"/>
      <c r="I357" s="1896"/>
    </row>
    <row r="358" spans="1:9" ht="14.25">
      <c r="A358" s="1819"/>
      <c r="B358" s="1894"/>
      <c r="C358" s="1878"/>
      <c r="D358" s="1878"/>
      <c r="E358" s="1877"/>
      <c r="F358" s="1876"/>
      <c r="G358" s="1877"/>
      <c r="H358" s="1895"/>
      <c r="I358" s="1896"/>
    </row>
    <row r="359" spans="1:9" ht="14.25">
      <c r="A359" s="1819"/>
      <c r="B359" s="1894"/>
      <c r="C359" s="1878"/>
      <c r="D359" s="1878"/>
      <c r="E359" s="1877"/>
      <c r="F359" s="1876"/>
      <c r="G359" s="1877"/>
      <c r="H359" s="1895"/>
      <c r="I359" s="1896"/>
    </row>
    <row r="360" spans="1:9" ht="14.25">
      <c r="A360" s="1819"/>
      <c r="B360" s="1894"/>
      <c r="C360" s="1878"/>
      <c r="D360" s="1878"/>
      <c r="E360" s="1877"/>
      <c r="F360" s="1876"/>
      <c r="G360" s="1877"/>
      <c r="H360" s="1895"/>
      <c r="I360" s="1896"/>
    </row>
    <row r="361" spans="1:9" ht="14.25">
      <c r="A361" s="1819"/>
      <c r="B361" s="1894"/>
      <c r="C361" s="1878"/>
      <c r="D361" s="1878"/>
      <c r="E361" s="1877"/>
      <c r="F361" s="1876"/>
      <c r="G361" s="1877"/>
      <c r="H361" s="1895"/>
      <c r="I361" s="1896"/>
    </row>
    <row r="362" spans="1:9" ht="14.25">
      <c r="A362" s="1819"/>
      <c r="B362" s="1894"/>
      <c r="C362" s="1878"/>
      <c r="D362" s="1878"/>
      <c r="E362" s="1877"/>
      <c r="F362" s="1876"/>
      <c r="G362" s="1877"/>
      <c r="H362" s="1895"/>
      <c r="I362" s="1896"/>
    </row>
    <row r="363" spans="1:9" ht="14.25">
      <c r="A363" s="1819"/>
      <c r="B363" s="1894"/>
      <c r="C363" s="1878"/>
      <c r="D363" s="1878"/>
      <c r="E363" s="1877"/>
      <c r="F363" s="1876"/>
      <c r="G363" s="1877"/>
      <c r="H363" s="1895"/>
      <c r="I363" s="1896"/>
    </row>
    <row r="364" spans="1:9" ht="14.25">
      <c r="A364" s="1819"/>
      <c r="B364" s="1894"/>
      <c r="C364" s="1878"/>
      <c r="D364" s="1878"/>
      <c r="E364" s="1877"/>
      <c r="F364" s="1876"/>
      <c r="G364" s="1877"/>
      <c r="H364" s="1895"/>
      <c r="I364" s="1896"/>
    </row>
    <row r="365" spans="1:9" ht="14.25">
      <c r="A365" s="1819"/>
      <c r="B365" s="1894"/>
      <c r="C365" s="1878"/>
      <c r="D365" s="1878"/>
      <c r="E365" s="1877"/>
      <c r="F365" s="1876"/>
      <c r="G365" s="1877"/>
      <c r="H365" s="1895"/>
      <c r="I365" s="1896"/>
    </row>
    <row r="366" spans="1:9" ht="14.25">
      <c r="A366" s="1819"/>
      <c r="B366" s="1894"/>
      <c r="C366" s="1878"/>
      <c r="D366" s="1878"/>
      <c r="E366" s="1877"/>
      <c r="F366" s="1876"/>
      <c r="G366" s="1877"/>
      <c r="H366" s="1895"/>
      <c r="I366" s="1896"/>
    </row>
    <row r="367" spans="1:9" ht="14.25">
      <c r="A367" s="1819"/>
      <c r="B367" s="1894"/>
      <c r="C367" s="1878"/>
      <c r="D367" s="1878"/>
      <c r="E367" s="1877"/>
      <c r="F367" s="1876"/>
      <c r="G367" s="1877"/>
      <c r="H367" s="1895"/>
      <c r="I367" s="1896"/>
    </row>
    <row r="368" spans="1:9" ht="14.25">
      <c r="A368" s="1819"/>
      <c r="B368" s="1894"/>
      <c r="C368" s="1878"/>
      <c r="D368" s="1878"/>
      <c r="E368" s="1877"/>
      <c r="F368" s="1876"/>
      <c r="G368" s="1877"/>
      <c r="H368" s="1895"/>
      <c r="I368" s="1896"/>
    </row>
    <row r="369" spans="1:9" ht="14.25">
      <c r="A369" s="1819"/>
      <c r="B369" s="1894"/>
      <c r="C369" s="1878"/>
      <c r="D369" s="1878"/>
      <c r="E369" s="1877"/>
      <c r="F369" s="1876"/>
      <c r="G369" s="1877"/>
      <c r="H369" s="1895"/>
      <c r="I369" s="1896"/>
    </row>
    <row r="370" spans="1:9" ht="14.25">
      <c r="A370" s="1819"/>
      <c r="B370" s="1894"/>
      <c r="C370" s="1878"/>
      <c r="D370" s="1878"/>
      <c r="E370" s="1877"/>
      <c r="F370" s="1876"/>
      <c r="G370" s="1877"/>
      <c r="H370" s="1895"/>
      <c r="I370" s="1896"/>
    </row>
    <row r="371" spans="1:9" ht="14.25">
      <c r="A371" s="1819"/>
      <c r="B371" s="1894"/>
      <c r="C371" s="1878"/>
      <c r="D371" s="1878"/>
      <c r="E371" s="1877"/>
      <c r="F371" s="1876"/>
      <c r="G371" s="1877"/>
      <c r="H371" s="1895"/>
      <c r="I371" s="1896"/>
    </row>
    <row r="372" spans="1:9" ht="14.25">
      <c r="A372" s="1819"/>
      <c r="B372" s="1894"/>
      <c r="C372" s="1878"/>
      <c r="D372" s="1878"/>
      <c r="E372" s="1877"/>
      <c r="F372" s="1876"/>
      <c r="G372" s="1877"/>
      <c r="H372" s="1895"/>
      <c r="I372" s="1896"/>
    </row>
    <row r="373" spans="1:9" ht="14.25">
      <c r="A373" s="1819"/>
      <c r="B373" s="1894"/>
      <c r="C373" s="1878"/>
      <c r="D373" s="1878"/>
      <c r="E373" s="1877"/>
      <c r="F373" s="1876"/>
      <c r="G373" s="1877"/>
      <c r="H373" s="1895"/>
      <c r="I373" s="1896"/>
    </row>
    <row r="374" spans="1:9" ht="14.25">
      <c r="A374" s="1819"/>
      <c r="B374" s="1894"/>
      <c r="C374" s="1878"/>
      <c r="D374" s="1878"/>
      <c r="E374" s="1877"/>
      <c r="F374" s="1876"/>
      <c r="G374" s="1877"/>
      <c r="H374" s="1895"/>
      <c r="I374" s="1896"/>
    </row>
    <row r="375" spans="1:9" ht="14.25">
      <c r="A375" s="1819"/>
      <c r="B375" s="1894"/>
      <c r="C375" s="1878"/>
      <c r="D375" s="1878"/>
      <c r="E375" s="1877"/>
      <c r="F375" s="1876"/>
      <c r="G375" s="1877"/>
      <c r="H375" s="1895"/>
      <c r="I375" s="1896"/>
    </row>
    <row r="376" spans="1:9" ht="14.25">
      <c r="A376" s="1819"/>
      <c r="B376" s="1894"/>
      <c r="C376" s="1878"/>
      <c r="D376" s="1878"/>
      <c r="E376" s="1877"/>
      <c r="F376" s="1876"/>
      <c r="G376" s="1877"/>
      <c r="H376" s="1895"/>
      <c r="I376" s="1896"/>
    </row>
    <row r="377" spans="1:9" ht="14.25">
      <c r="A377" s="1819"/>
      <c r="B377" s="1894"/>
      <c r="C377" s="1878"/>
      <c r="D377" s="1878"/>
      <c r="E377" s="1877"/>
      <c r="F377" s="1876"/>
      <c r="G377" s="1877"/>
      <c r="H377" s="1895"/>
      <c r="I377" s="1896"/>
    </row>
    <row r="378" spans="1:9" ht="14.25">
      <c r="A378" s="1819"/>
      <c r="B378" s="1894"/>
      <c r="C378" s="1878"/>
      <c r="D378" s="1878"/>
      <c r="E378" s="1877"/>
      <c r="F378" s="1876"/>
      <c r="G378" s="1877"/>
      <c r="H378" s="1895"/>
      <c r="I378" s="1896"/>
    </row>
    <row r="379" spans="1:9" ht="14.25">
      <c r="A379" s="1819"/>
      <c r="B379" s="1894"/>
      <c r="C379" s="1878"/>
      <c r="D379" s="1878"/>
      <c r="E379" s="1877"/>
      <c r="F379" s="1876"/>
      <c r="G379" s="1877"/>
      <c r="H379" s="1895"/>
      <c r="I379" s="1896"/>
    </row>
    <row r="380" spans="1:9" ht="14.25">
      <c r="A380" s="1819"/>
      <c r="B380" s="1894"/>
      <c r="C380" s="1878"/>
      <c r="D380" s="1878"/>
      <c r="E380" s="1877"/>
      <c r="F380" s="1876"/>
      <c r="G380" s="1877"/>
      <c r="H380" s="1895"/>
      <c r="I380" s="1896"/>
    </row>
    <row r="381" spans="1:9" ht="14.25">
      <c r="A381" s="1819"/>
      <c r="B381" s="1894"/>
      <c r="C381" s="1878"/>
      <c r="D381" s="1878"/>
      <c r="E381" s="1877"/>
      <c r="F381" s="1876"/>
      <c r="G381" s="1877"/>
      <c r="H381" s="1895"/>
      <c r="I381" s="1896"/>
    </row>
    <row r="382" spans="1:9" ht="14.25">
      <c r="A382" s="1819"/>
      <c r="B382" s="1894"/>
      <c r="C382" s="1878"/>
      <c r="D382" s="1878"/>
      <c r="E382" s="1877"/>
      <c r="F382" s="1876"/>
      <c r="G382" s="1877"/>
      <c r="H382" s="1895"/>
      <c r="I382" s="1896"/>
    </row>
    <row r="383" spans="1:9" ht="14.25">
      <c r="A383" s="1819"/>
      <c r="B383" s="1894"/>
      <c r="C383" s="1878"/>
      <c r="D383" s="1878"/>
      <c r="E383" s="1877"/>
      <c r="F383" s="1876"/>
      <c r="G383" s="1877"/>
      <c r="H383" s="1895"/>
      <c r="I383" s="1896"/>
    </row>
    <row r="384" spans="1:9" ht="14.25">
      <c r="A384" s="1819"/>
      <c r="B384" s="1894"/>
      <c r="C384" s="1878"/>
      <c r="D384" s="1878"/>
      <c r="E384" s="1877"/>
      <c r="F384" s="1876"/>
      <c r="G384" s="1877"/>
      <c r="H384" s="1895"/>
      <c r="I384" s="1896"/>
    </row>
    <row r="385" spans="1:9" ht="14.25">
      <c r="A385" s="1819"/>
      <c r="B385" s="1894"/>
      <c r="C385" s="1878"/>
      <c r="D385" s="1878"/>
      <c r="E385" s="1877"/>
      <c r="F385" s="1876"/>
      <c r="G385" s="1877"/>
      <c r="H385" s="1895"/>
      <c r="I385" s="1896"/>
    </row>
    <row r="386" spans="1:9" ht="14.25">
      <c r="A386" s="1819"/>
      <c r="B386" s="1894"/>
      <c r="C386" s="1878"/>
      <c r="D386" s="1878"/>
      <c r="E386" s="1877"/>
      <c r="F386" s="1876"/>
      <c r="G386" s="1877"/>
      <c r="H386" s="1895"/>
      <c r="I386" s="1896"/>
    </row>
    <row r="387" spans="1:9" ht="14.25">
      <c r="A387" s="1819"/>
      <c r="B387" s="1894"/>
      <c r="C387" s="1878"/>
      <c r="D387" s="1878"/>
      <c r="E387" s="1877"/>
      <c r="F387" s="1876"/>
      <c r="G387" s="1877"/>
      <c r="H387" s="1895"/>
      <c r="I387" s="1896"/>
    </row>
    <row r="388" spans="1:9" ht="14.25">
      <c r="A388" s="1819"/>
      <c r="B388" s="1894"/>
      <c r="C388" s="1878"/>
      <c r="D388" s="1878"/>
      <c r="E388" s="1877"/>
      <c r="F388" s="1876"/>
      <c r="G388" s="1877"/>
      <c r="H388" s="1895"/>
      <c r="I388" s="1896"/>
    </row>
    <row r="389" spans="1:9" ht="14.25">
      <c r="A389" s="1819"/>
      <c r="B389" s="1894"/>
      <c r="C389" s="1878"/>
      <c r="D389" s="1878"/>
      <c r="E389" s="1877"/>
      <c r="F389" s="1876"/>
      <c r="G389" s="1877"/>
      <c r="H389" s="1895"/>
      <c r="I389" s="1896"/>
    </row>
    <row r="390" spans="1:9" ht="14.25">
      <c r="A390" s="1819"/>
      <c r="B390" s="1894"/>
      <c r="C390" s="1878"/>
      <c r="D390" s="1878"/>
      <c r="E390" s="1877"/>
      <c r="F390" s="1876"/>
      <c r="G390" s="1877"/>
      <c r="H390" s="1895"/>
      <c r="I390" s="1896"/>
    </row>
    <row r="391" spans="1:9" ht="14.25">
      <c r="A391" s="1819"/>
      <c r="B391" s="1894"/>
      <c r="C391" s="1878"/>
      <c r="D391" s="1878"/>
      <c r="E391" s="1877"/>
      <c r="F391" s="1876"/>
      <c r="G391" s="1877"/>
      <c r="H391" s="1895"/>
      <c r="I391" s="1896"/>
    </row>
    <row r="392" spans="1:9" ht="14.25">
      <c r="A392" s="1819"/>
      <c r="B392" s="1894"/>
      <c r="C392" s="1878"/>
      <c r="D392" s="1878"/>
      <c r="E392" s="1877"/>
      <c r="F392" s="1876"/>
      <c r="G392" s="1877"/>
      <c r="H392" s="1895"/>
      <c r="I392" s="1896"/>
    </row>
    <row r="393" spans="1:9" ht="14.25">
      <c r="A393" s="1819"/>
      <c r="B393" s="1894"/>
      <c r="C393" s="1878"/>
      <c r="D393" s="1878"/>
      <c r="E393" s="1877"/>
      <c r="F393" s="1876"/>
      <c r="G393" s="1877"/>
      <c r="H393" s="1895"/>
      <c r="I393" s="1896"/>
    </row>
    <row r="394" spans="1:9" ht="14.25">
      <c r="A394" s="1819"/>
      <c r="B394" s="1894"/>
      <c r="C394" s="1878"/>
      <c r="D394" s="1878"/>
      <c r="E394" s="1877"/>
      <c r="F394" s="1876"/>
      <c r="G394" s="1877"/>
      <c r="H394" s="1895"/>
      <c r="I394" s="1896"/>
    </row>
    <row r="395" spans="1:9" ht="14.25">
      <c r="A395" s="1819"/>
      <c r="B395" s="1894"/>
      <c r="C395" s="1878"/>
      <c r="D395" s="1878"/>
      <c r="E395" s="1877"/>
      <c r="F395" s="1876"/>
      <c r="G395" s="1877"/>
      <c r="H395" s="1895"/>
      <c r="I395" s="1896"/>
    </row>
    <row r="396" spans="1:9" ht="14.25">
      <c r="A396" s="1819"/>
      <c r="B396" s="1894"/>
      <c r="C396" s="1878"/>
      <c r="D396" s="1878"/>
      <c r="E396" s="1877"/>
      <c r="F396" s="1876"/>
      <c r="G396" s="1877"/>
      <c r="H396" s="1895"/>
      <c r="I396" s="1896"/>
    </row>
    <row r="397" spans="1:9" ht="14.25">
      <c r="A397" s="1819"/>
      <c r="B397" s="1894"/>
      <c r="C397" s="1878"/>
      <c r="D397" s="1878"/>
      <c r="E397" s="1877"/>
      <c r="F397" s="1876"/>
      <c r="G397" s="1877"/>
      <c r="H397" s="1895"/>
      <c r="I397" s="1896"/>
    </row>
    <row r="398" spans="1:9" ht="14.25">
      <c r="A398" s="1819"/>
      <c r="B398" s="1894"/>
      <c r="C398" s="1878"/>
      <c r="D398" s="1878"/>
      <c r="E398" s="1877"/>
      <c r="F398" s="1876"/>
      <c r="G398" s="1877"/>
      <c r="H398" s="1895"/>
      <c r="I398" s="1896"/>
    </row>
    <row r="399" spans="1:9" ht="14.25">
      <c r="A399" s="1819"/>
      <c r="B399" s="1894"/>
      <c r="C399" s="1878"/>
      <c r="D399" s="1878"/>
      <c r="E399" s="1877"/>
      <c r="F399" s="1876"/>
      <c r="G399" s="1877"/>
      <c r="H399" s="1895"/>
      <c r="I399" s="1896"/>
    </row>
    <row r="400" spans="1:9" ht="14.25">
      <c r="A400" s="1819"/>
      <c r="B400" s="1894"/>
      <c r="C400" s="1878"/>
      <c r="D400" s="1878"/>
      <c r="E400" s="1877"/>
      <c r="F400" s="1876"/>
      <c r="G400" s="1877"/>
      <c r="H400" s="1895"/>
      <c r="I400" s="1896"/>
    </row>
    <row r="401" spans="1:9" ht="14.25">
      <c r="A401" s="1819"/>
      <c r="B401" s="1894"/>
      <c r="C401" s="1878"/>
      <c r="D401" s="1878"/>
      <c r="E401" s="1877"/>
      <c r="F401" s="1876"/>
      <c r="G401" s="1877"/>
      <c r="H401" s="1895"/>
      <c r="I401" s="1896"/>
    </row>
    <row r="402" spans="1:9" ht="14.25">
      <c r="A402" s="1819"/>
      <c r="B402" s="1894"/>
      <c r="C402" s="1878"/>
      <c r="D402" s="1878"/>
      <c r="E402" s="1877"/>
      <c r="F402" s="1876"/>
      <c r="G402" s="1877"/>
      <c r="H402" s="1895"/>
      <c r="I402" s="1896"/>
    </row>
    <row r="403" spans="1:9" ht="14.25">
      <c r="A403" s="1819"/>
      <c r="B403" s="1894"/>
      <c r="C403" s="1878"/>
      <c r="D403" s="1878"/>
      <c r="E403" s="1877"/>
      <c r="F403" s="1876"/>
      <c r="G403" s="1877"/>
      <c r="H403" s="1895"/>
      <c r="I403" s="1896"/>
    </row>
    <row r="404" spans="1:9" ht="14.25">
      <c r="A404" s="1819"/>
      <c r="B404" s="1894"/>
      <c r="C404" s="1878"/>
      <c r="D404" s="1878"/>
      <c r="E404" s="1877"/>
      <c r="F404" s="1876"/>
      <c r="G404" s="1877"/>
      <c r="H404" s="1895"/>
      <c r="I404" s="1896"/>
    </row>
    <row r="405" spans="1:9" ht="14.25">
      <c r="A405" s="1819"/>
      <c r="B405" s="1894"/>
      <c r="C405" s="1878"/>
      <c r="D405" s="1878"/>
      <c r="E405" s="1877"/>
      <c r="F405" s="1876"/>
      <c r="G405" s="1877"/>
      <c r="H405" s="1895"/>
      <c r="I405" s="1896"/>
    </row>
    <row r="406" spans="1:9" ht="14.25">
      <c r="A406" s="1819"/>
      <c r="B406" s="1894"/>
      <c r="C406" s="1878"/>
      <c r="D406" s="1878"/>
      <c r="E406" s="1877"/>
      <c r="F406" s="1876"/>
      <c r="G406" s="1877"/>
      <c r="H406" s="1895"/>
      <c r="I406" s="1896"/>
    </row>
    <row r="407" spans="1:9" ht="14.25">
      <c r="A407" s="1819"/>
      <c r="B407" s="1894"/>
      <c r="C407" s="1878"/>
      <c r="D407" s="1878"/>
      <c r="E407" s="1877"/>
      <c r="F407" s="1876"/>
      <c r="G407" s="1877"/>
      <c r="H407" s="1895"/>
      <c r="I407" s="1896"/>
    </row>
    <row r="408" spans="1:9" ht="14.25">
      <c r="A408" s="1819"/>
      <c r="B408" s="1894"/>
      <c r="C408" s="1878"/>
      <c r="D408" s="1878"/>
      <c r="E408" s="1877"/>
      <c r="F408" s="1876"/>
      <c r="G408" s="1877"/>
      <c r="H408" s="1895"/>
      <c r="I408" s="1896"/>
    </row>
    <row r="409" spans="1:9" ht="14.25">
      <c r="A409" s="1819"/>
      <c r="B409" s="1894"/>
      <c r="C409" s="1878"/>
      <c r="D409" s="1878"/>
      <c r="E409" s="1877"/>
      <c r="F409" s="1876"/>
      <c r="G409" s="1877"/>
      <c r="H409" s="1895"/>
      <c r="I409" s="1896"/>
    </row>
    <row r="410" spans="1:9" ht="14.25">
      <c r="A410" s="1819"/>
      <c r="B410" s="1894"/>
      <c r="C410" s="1878"/>
      <c r="D410" s="1878"/>
      <c r="E410" s="1877"/>
      <c r="F410" s="1876"/>
      <c r="G410" s="1877"/>
      <c r="H410" s="1895"/>
      <c r="I410" s="1896"/>
    </row>
    <row r="411" spans="1:9" ht="14.25">
      <c r="A411" s="1819"/>
      <c r="B411" s="1894"/>
      <c r="C411" s="1878"/>
      <c r="D411" s="1878"/>
      <c r="E411" s="1877"/>
      <c r="F411" s="1876"/>
      <c r="G411" s="1877"/>
      <c r="H411" s="1895"/>
      <c r="I411" s="1896"/>
    </row>
    <row r="412" spans="1:9" ht="14.25">
      <c r="A412" s="1819"/>
      <c r="B412" s="1894"/>
      <c r="C412" s="1878"/>
      <c r="D412" s="1878"/>
      <c r="E412" s="1877"/>
      <c r="F412" s="1876"/>
      <c r="G412" s="1877"/>
      <c r="H412" s="1895"/>
      <c r="I412" s="1896"/>
    </row>
    <row r="413" spans="1:9" ht="14.25">
      <c r="A413" s="1819"/>
      <c r="B413" s="1894"/>
      <c r="C413" s="1878"/>
      <c r="D413" s="1878"/>
      <c r="E413" s="1877"/>
      <c r="F413" s="1876"/>
      <c r="G413" s="1877"/>
      <c r="H413" s="1895"/>
      <c r="I413" s="1896"/>
    </row>
    <row r="414" spans="1:9" ht="14.25">
      <c r="A414" s="1819"/>
      <c r="B414" s="1894"/>
      <c r="C414" s="1878"/>
      <c r="D414" s="1878"/>
      <c r="E414" s="1877"/>
      <c r="F414" s="1876"/>
      <c r="G414" s="1877"/>
      <c r="H414" s="1895"/>
      <c r="I414" s="1896"/>
    </row>
    <row r="415" spans="1:9" ht="14.25">
      <c r="A415" s="1819"/>
      <c r="B415" s="1894"/>
      <c r="C415" s="1878"/>
      <c r="D415" s="1878"/>
      <c r="E415" s="1877"/>
      <c r="F415" s="1876"/>
      <c r="G415" s="1877"/>
      <c r="H415" s="1895"/>
      <c r="I415" s="1896"/>
    </row>
    <row r="416" spans="1:9" ht="14.25">
      <c r="A416" s="1819"/>
      <c r="B416" s="1894"/>
      <c r="C416" s="1878"/>
      <c r="D416" s="1878"/>
      <c r="E416" s="1877"/>
      <c r="F416" s="1876"/>
      <c r="G416" s="1877"/>
      <c r="H416" s="1895"/>
      <c r="I416" s="1896"/>
    </row>
    <row r="417" spans="1:9" ht="14.25">
      <c r="A417" s="1819"/>
      <c r="B417" s="1894"/>
      <c r="C417" s="1878"/>
      <c r="D417" s="1878"/>
      <c r="E417" s="1877"/>
      <c r="F417" s="1876"/>
      <c r="G417" s="1877"/>
      <c r="H417" s="1895"/>
      <c r="I417" s="1896"/>
    </row>
    <row r="418" spans="1:9" ht="14.25">
      <c r="A418" s="1819"/>
      <c r="B418" s="1894"/>
      <c r="C418" s="1878"/>
      <c r="D418" s="1878"/>
      <c r="E418" s="1877"/>
      <c r="F418" s="1876"/>
      <c r="G418" s="1877"/>
      <c r="H418" s="1895"/>
      <c r="I418" s="1896"/>
    </row>
    <row r="419" spans="1:9" ht="14.25">
      <c r="A419" s="1819"/>
      <c r="B419" s="1894"/>
      <c r="C419" s="1878"/>
      <c r="D419" s="1878"/>
      <c r="E419" s="1877"/>
      <c r="F419" s="1876"/>
      <c r="G419" s="1877"/>
      <c r="H419" s="1895"/>
      <c r="I419" s="1896"/>
    </row>
    <row r="420" spans="1:9" ht="14.25">
      <c r="A420" s="1819"/>
      <c r="B420" s="1894"/>
      <c r="C420" s="1878"/>
      <c r="D420" s="1878"/>
      <c r="E420" s="1877"/>
      <c r="F420" s="1876"/>
      <c r="G420" s="1877"/>
      <c r="H420" s="1895"/>
      <c r="I420" s="1896"/>
    </row>
    <row r="421" spans="1:9" ht="14.25">
      <c r="A421" s="1819"/>
      <c r="B421" s="1894"/>
      <c r="C421" s="1878"/>
      <c r="D421" s="1878"/>
      <c r="E421" s="1877"/>
      <c r="F421" s="1876"/>
      <c r="G421" s="1877"/>
      <c r="H421" s="1895"/>
      <c r="I421" s="1896"/>
    </row>
    <row r="422" spans="1:9" ht="14.25">
      <c r="A422" s="1819"/>
      <c r="B422" s="1894"/>
      <c r="C422" s="1878"/>
      <c r="D422" s="1878"/>
      <c r="E422" s="1877"/>
      <c r="F422" s="1876"/>
      <c r="G422" s="1877"/>
      <c r="H422" s="1895"/>
      <c r="I422" s="1896"/>
    </row>
    <row r="423" spans="1:9" ht="14.25">
      <c r="A423" s="1819"/>
      <c r="B423" s="1894"/>
      <c r="C423" s="1878"/>
      <c r="D423" s="1878"/>
      <c r="E423" s="1877"/>
      <c r="F423" s="1876"/>
      <c r="G423" s="1877"/>
      <c r="H423" s="1895"/>
      <c r="I423" s="1896"/>
    </row>
    <row r="424" spans="1:9" ht="14.25">
      <c r="A424" s="1819"/>
      <c r="B424" s="1894"/>
      <c r="C424" s="1878"/>
      <c r="D424" s="1878"/>
      <c r="E424" s="1877"/>
      <c r="F424" s="1876"/>
      <c r="G424" s="1877"/>
      <c r="H424" s="1895"/>
      <c r="I424" s="1896"/>
    </row>
    <row r="425" spans="1:9" ht="14.25">
      <c r="A425" s="1819"/>
      <c r="B425" s="1894"/>
      <c r="C425" s="1878"/>
      <c r="D425" s="1878"/>
      <c r="E425" s="1877"/>
      <c r="F425" s="1876"/>
      <c r="G425" s="1877"/>
      <c r="H425" s="1895"/>
      <c r="I425" s="1896"/>
    </row>
    <row r="426" spans="1:9" ht="14.25">
      <c r="A426" s="1819"/>
      <c r="B426" s="1894"/>
      <c r="C426" s="1878"/>
      <c r="D426" s="1878"/>
      <c r="E426" s="1877"/>
      <c r="F426" s="1876"/>
      <c r="G426" s="1877"/>
      <c r="H426" s="1895"/>
      <c r="I426" s="1896"/>
    </row>
    <row r="427" spans="1:9" ht="14.25">
      <c r="A427" s="1819"/>
      <c r="B427" s="1894"/>
      <c r="C427" s="1878"/>
      <c r="D427" s="1878"/>
      <c r="E427" s="1877"/>
      <c r="F427" s="1876"/>
      <c r="G427" s="1877"/>
      <c r="H427" s="1895"/>
      <c r="I427" s="1896"/>
    </row>
    <row r="428" spans="1:9" ht="14.25">
      <c r="A428" s="1819"/>
      <c r="B428" s="1894"/>
      <c r="C428" s="1878"/>
      <c r="D428" s="1878"/>
      <c r="E428" s="1877"/>
      <c r="F428" s="1876"/>
      <c r="G428" s="1877"/>
      <c r="H428" s="1895"/>
      <c r="I428" s="1896"/>
    </row>
    <row r="429" spans="1:9" ht="14.25">
      <c r="A429" s="1819"/>
      <c r="B429" s="1894"/>
      <c r="C429" s="1878"/>
      <c r="D429" s="1878"/>
      <c r="E429" s="1877"/>
      <c r="F429" s="1876"/>
      <c r="G429" s="1877"/>
      <c r="H429" s="1895"/>
      <c r="I429" s="1896"/>
    </row>
    <row r="430" spans="1:9" ht="14.25">
      <c r="A430" s="1819"/>
      <c r="B430" s="1894"/>
      <c r="C430" s="1878"/>
      <c r="D430" s="1878"/>
      <c r="E430" s="1877"/>
      <c r="F430" s="1876"/>
      <c r="G430" s="1877"/>
      <c r="H430" s="1895"/>
      <c r="I430" s="1896"/>
    </row>
    <row r="431" spans="1:9" ht="14.25">
      <c r="A431" s="1819"/>
      <c r="B431" s="1894"/>
      <c r="C431" s="1878"/>
      <c r="D431" s="1878"/>
      <c r="E431" s="1877"/>
      <c r="F431" s="1876"/>
      <c r="G431" s="1877"/>
      <c r="H431" s="1895"/>
      <c r="I431" s="1896"/>
    </row>
    <row r="432" spans="1:9" ht="14.25">
      <c r="A432" s="1819"/>
      <c r="B432" s="1894"/>
      <c r="C432" s="1878"/>
      <c r="D432" s="1878"/>
      <c r="E432" s="1877"/>
      <c r="F432" s="1876"/>
      <c r="G432" s="1877"/>
      <c r="H432" s="1895"/>
      <c r="I432" s="1896"/>
    </row>
    <row r="433" spans="1:9" ht="14.25">
      <c r="A433" s="1819"/>
      <c r="B433" s="1894"/>
      <c r="C433" s="1878"/>
      <c r="D433" s="1878"/>
      <c r="E433" s="1877"/>
      <c r="F433" s="1876"/>
      <c r="G433" s="1877"/>
      <c r="H433" s="1895"/>
      <c r="I433" s="1896"/>
    </row>
    <row r="434" spans="1:9" ht="14.25">
      <c r="A434" s="1819"/>
      <c r="B434" s="1894"/>
      <c r="C434" s="1878"/>
      <c r="D434" s="1878"/>
      <c r="E434" s="1877"/>
      <c r="F434" s="1876"/>
      <c r="G434" s="1877"/>
      <c r="H434" s="1895"/>
      <c r="I434" s="1896"/>
    </row>
    <row r="435" spans="1:9" ht="14.25">
      <c r="B435" s="1894"/>
      <c r="C435" s="1878"/>
      <c r="D435" s="1878"/>
      <c r="E435" s="1877"/>
      <c r="F435" s="1876"/>
      <c r="G435" s="1877"/>
      <c r="H435" s="1895"/>
      <c r="I435" s="1896"/>
    </row>
    <row r="436" spans="1:9" ht="14.25">
      <c r="B436" s="1894"/>
      <c r="C436" s="1878"/>
      <c r="D436" s="1878"/>
      <c r="E436" s="1877"/>
      <c r="F436" s="1876"/>
      <c r="G436" s="1877"/>
      <c r="H436" s="1895"/>
      <c r="I436" s="1896"/>
    </row>
    <row r="442" spans="1:9">
      <c r="A442" s="1819"/>
    </row>
    <row r="444" spans="1:9" ht="14.25">
      <c r="B444" s="1894"/>
      <c r="C444" s="1915"/>
      <c r="D444" s="1876"/>
      <c r="E444" s="1877"/>
      <c r="F444" s="1876"/>
      <c r="G444" s="1877"/>
      <c r="H444" s="1916"/>
      <c r="I444" s="1917"/>
    </row>
  </sheetData>
  <mergeCells count="3">
    <mergeCell ref="A1:I1"/>
    <mergeCell ref="A2:I2"/>
    <mergeCell ref="B51:E51"/>
  </mergeCells>
  <pageMargins left="0.75" right="0.75" top="0.62" bottom="0.42" header="0.33" footer="0.35"/>
  <pageSetup paperSize="9" scale="90" orientation="portrait" horizontalDpi="180" verticalDpi="180" r:id="rId1"/>
  <headerFooter alignWithMargins="0">
    <oddFooter>&amp;LEstimated by&amp;CChecked by&amp;RApproved by</oddFooter>
  </headerFooter>
  <colBreaks count="1" manualBreakCount="1">
    <brk id="9"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98"/>
  <sheetViews>
    <sheetView workbookViewId="0"/>
  </sheetViews>
  <sheetFormatPr defaultColWidth="8.85546875" defaultRowHeight="12.75"/>
  <cols>
    <col min="1" max="1" width="3.42578125" style="536" customWidth="1"/>
    <col min="2" max="2" width="30.28515625" style="536" customWidth="1"/>
    <col min="3" max="3" width="3.5703125" style="536" customWidth="1"/>
    <col min="4" max="4" width="5.7109375" style="536" customWidth="1"/>
    <col min="5" max="5" width="7" style="536" customWidth="1"/>
    <col min="6" max="6" width="5.5703125" style="536" customWidth="1"/>
    <col min="7" max="7" width="7.28515625" style="536" customWidth="1"/>
    <col min="8" max="8" width="4.140625" style="536" customWidth="1"/>
    <col min="9" max="9" width="9.7109375" style="536" customWidth="1"/>
    <col min="10" max="10" width="11.42578125" style="805" customWidth="1"/>
    <col min="11" max="16384" width="8.85546875" style="536"/>
  </cols>
  <sheetData>
    <row r="1" spans="1:10" ht="23.25">
      <c r="A1" s="755" t="s">
        <v>1452</v>
      </c>
      <c r="B1" s="755"/>
      <c r="C1" s="755"/>
      <c r="D1" s="755"/>
      <c r="E1" s="755"/>
      <c r="F1" s="755"/>
      <c r="G1" s="755"/>
      <c r="H1" s="755"/>
      <c r="I1" s="755"/>
      <c r="J1" s="755"/>
    </row>
    <row r="2" spans="1:10" ht="23.25">
      <c r="A2" s="756">
        <f>'Entry for Rates'!F4</f>
        <v>0</v>
      </c>
      <c r="B2" s="755"/>
      <c r="C2" s="755"/>
      <c r="D2" s="755"/>
      <c r="E2" s="755"/>
      <c r="F2" s="755"/>
      <c r="G2" s="755"/>
      <c r="H2" s="755"/>
      <c r="I2" s="755"/>
      <c r="J2" s="755"/>
    </row>
    <row r="3" spans="1:10" ht="18.75">
      <c r="A3" s="757" t="s">
        <v>1453</v>
      </c>
      <c r="B3" s="757"/>
      <c r="C3" s="757"/>
      <c r="D3" s="757"/>
      <c r="E3" s="757"/>
      <c r="F3" s="757"/>
      <c r="G3" s="757"/>
      <c r="H3" s="757"/>
      <c r="I3" s="757"/>
      <c r="J3" s="757"/>
    </row>
    <row r="4" spans="1:10" ht="15.75">
      <c r="A4" s="758"/>
      <c r="B4" s="759"/>
      <c r="C4" s="759" t="s">
        <v>1454</v>
      </c>
      <c r="D4" s="760">
        <v>24</v>
      </c>
      <c r="E4" s="761" t="s">
        <v>965</v>
      </c>
      <c r="F4" s="758"/>
      <c r="G4" s="758"/>
      <c r="H4" s="758"/>
      <c r="I4" s="758"/>
      <c r="J4" s="758"/>
    </row>
    <row r="5" spans="1:10">
      <c r="A5" s="762" t="s">
        <v>961</v>
      </c>
      <c r="B5" s="763" t="s">
        <v>1423</v>
      </c>
      <c r="C5" s="763" t="s">
        <v>1087</v>
      </c>
      <c r="D5" s="763" t="s">
        <v>22</v>
      </c>
      <c r="E5" s="763" t="s">
        <v>23</v>
      </c>
      <c r="F5" s="763" t="s">
        <v>24</v>
      </c>
      <c r="G5" s="763" t="s">
        <v>964</v>
      </c>
      <c r="H5" s="763" t="s">
        <v>1035</v>
      </c>
      <c r="I5" s="764" t="s">
        <v>97</v>
      </c>
      <c r="J5" s="765" t="s">
        <v>52</v>
      </c>
    </row>
    <row r="6" spans="1:10">
      <c r="A6" s="766">
        <v>1</v>
      </c>
      <c r="B6" s="767" t="s">
        <v>1455</v>
      </c>
      <c r="C6" s="768"/>
      <c r="D6" s="769"/>
      <c r="E6" s="769"/>
      <c r="F6" s="769"/>
      <c r="G6" s="769"/>
      <c r="H6" s="769"/>
      <c r="I6" s="770"/>
      <c r="J6" s="771"/>
    </row>
    <row r="7" spans="1:10">
      <c r="A7" s="772"/>
      <c r="B7" s="773"/>
      <c r="C7" s="774">
        <f>D$4/1.5+1</f>
        <v>17</v>
      </c>
      <c r="D7" s="775">
        <v>0.35</v>
      </c>
      <c r="E7" s="775">
        <v>0.35</v>
      </c>
      <c r="F7" s="775">
        <v>0.6</v>
      </c>
      <c r="G7" s="775">
        <f>ROUND(C7*D7*E7*F7,2)</f>
        <v>1.25</v>
      </c>
      <c r="H7" s="776" t="s">
        <v>29</v>
      </c>
      <c r="I7" s="777">
        <f>+Rates!F9</f>
        <v>1480.63</v>
      </c>
      <c r="J7" s="778">
        <f>+ROUND(G7*I7,2)</f>
        <v>1850.79</v>
      </c>
    </row>
    <row r="8" spans="1:10">
      <c r="A8" s="772">
        <v>2</v>
      </c>
      <c r="B8" s="773" t="s">
        <v>31</v>
      </c>
      <c r="C8" s="774">
        <f>D$4/1.5+1</f>
        <v>17</v>
      </c>
      <c r="D8" s="775">
        <v>0.35</v>
      </c>
      <c r="E8" s="775">
        <v>0.35</v>
      </c>
      <c r="F8" s="775">
        <v>0.6</v>
      </c>
      <c r="G8" s="775">
        <f>ROUND(C8*D8*E8*F8,2)</f>
        <v>1.25</v>
      </c>
      <c r="H8" s="776" t="s">
        <v>29</v>
      </c>
      <c r="I8" s="777">
        <f>+Rates!F32</f>
        <v>16022.87</v>
      </c>
      <c r="J8" s="778">
        <f>+ROUND(G8*I8,2)</f>
        <v>20028.59</v>
      </c>
    </row>
    <row r="9" spans="1:10" ht="24">
      <c r="A9" s="779">
        <v>3</v>
      </c>
      <c r="B9" s="780" t="s">
        <v>1456</v>
      </c>
      <c r="C9" s="774">
        <f>D$4/1.5+1</f>
        <v>17</v>
      </c>
      <c r="D9" s="775">
        <v>2.1</v>
      </c>
      <c r="E9" s="781">
        <v>3.5</v>
      </c>
      <c r="F9" s="782"/>
      <c r="G9" s="775">
        <f>+ROUND(C9*D9*E9,2)</f>
        <v>124.95</v>
      </c>
      <c r="H9" s="783" t="s">
        <v>1034</v>
      </c>
      <c r="I9" s="777">
        <f>+ROUND(MR!I16*1.15,2)</f>
        <v>106.95</v>
      </c>
      <c r="J9" s="778">
        <f>+ROUND(G9*I9,2)</f>
        <v>13363.4</v>
      </c>
    </row>
    <row r="10" spans="1:10">
      <c r="A10" s="772">
        <v>4</v>
      </c>
      <c r="B10" s="773" t="s">
        <v>356</v>
      </c>
      <c r="C10" s="774"/>
      <c r="D10" s="775"/>
      <c r="E10" s="784"/>
      <c r="F10" s="775"/>
      <c r="G10" s="775"/>
      <c r="H10" s="783"/>
      <c r="I10" s="777"/>
      <c r="J10" s="778"/>
    </row>
    <row r="11" spans="1:10">
      <c r="A11" s="772"/>
      <c r="B11" s="785" t="s">
        <v>1457</v>
      </c>
      <c r="C11" s="774">
        <v>7</v>
      </c>
      <c r="D11" s="775">
        <f>D4</f>
        <v>24</v>
      </c>
      <c r="E11" s="784"/>
      <c r="F11" s="775"/>
      <c r="G11" s="775">
        <f>+ROUND(C11*D11,2)</f>
        <v>168</v>
      </c>
      <c r="H11" s="783"/>
      <c r="I11" s="777"/>
      <c r="J11" s="778"/>
    </row>
    <row r="12" spans="1:10">
      <c r="A12" s="772"/>
      <c r="B12" s="785" t="s">
        <v>1458</v>
      </c>
      <c r="C12" s="774">
        <f>2*D4/1.5</f>
        <v>32</v>
      </c>
      <c r="D12" s="775">
        <f>(1.5^2+1.03^2)^0.5</f>
        <v>1.8195878654244757</v>
      </c>
      <c r="E12" s="786"/>
      <c r="F12" s="787"/>
      <c r="G12" s="775">
        <f>+ROUND(C12*D12,2)</f>
        <v>58.23</v>
      </c>
      <c r="H12" s="783"/>
      <c r="I12" s="788"/>
      <c r="J12" s="778"/>
    </row>
    <row r="13" spans="1:10">
      <c r="A13" s="772"/>
      <c r="B13" s="787" t="s">
        <v>1108</v>
      </c>
      <c r="C13" s="774"/>
      <c r="D13" s="787"/>
      <c r="E13" s="785"/>
      <c r="F13" s="787"/>
      <c r="G13" s="775">
        <f>SUM(G10:G12)</f>
        <v>226.23</v>
      </c>
      <c r="H13" s="783" t="s">
        <v>965</v>
      </c>
      <c r="I13" s="777">
        <f>+Rates!F44</f>
        <v>99.291000000000011</v>
      </c>
      <c r="J13" s="778">
        <f>+ROUND(G13*I13,2)</f>
        <v>22462.6</v>
      </c>
    </row>
    <row r="14" spans="1:10">
      <c r="A14" s="772"/>
      <c r="B14" s="787"/>
      <c r="C14" s="774"/>
      <c r="D14" s="787"/>
      <c r="E14" s="786"/>
      <c r="F14" s="787"/>
      <c r="G14" s="775"/>
      <c r="H14" s="783"/>
      <c r="I14" s="788"/>
      <c r="J14" s="778"/>
    </row>
    <row r="15" spans="1:10">
      <c r="A15" s="772">
        <v>5</v>
      </c>
      <c r="B15" s="773" t="s">
        <v>1459</v>
      </c>
      <c r="C15" s="774">
        <f>D$4/1.5+1</f>
        <v>17</v>
      </c>
      <c r="D15" s="775">
        <v>1.5</v>
      </c>
      <c r="E15" s="775">
        <v>0.16</v>
      </c>
      <c r="F15" s="775"/>
      <c r="G15" s="775">
        <f>+ROUND(C15*D15*E15,2)</f>
        <v>4.08</v>
      </c>
      <c r="H15" s="776" t="s">
        <v>47</v>
      </c>
      <c r="I15" s="777">
        <f>+Rates!F70</f>
        <v>400.29</v>
      </c>
      <c r="J15" s="778">
        <f>+ROUND(G15*I15,2)</f>
        <v>1633.18</v>
      </c>
    </row>
    <row r="16" spans="1:10">
      <c r="A16" s="789"/>
      <c r="B16" s="790"/>
      <c r="C16" s="791"/>
      <c r="D16" s="792"/>
      <c r="E16" s="792"/>
      <c r="F16" s="792"/>
      <c r="G16" s="792"/>
      <c r="H16" s="793"/>
      <c r="I16" s="788"/>
      <c r="J16" s="778"/>
    </row>
    <row r="17" spans="1:10">
      <c r="A17" s="794"/>
      <c r="B17" s="795" t="s">
        <v>1460</v>
      </c>
      <c r="C17" s="795"/>
      <c r="D17" s="795"/>
      <c r="E17" s="795"/>
      <c r="F17" s="795"/>
      <c r="G17" s="795"/>
      <c r="H17" s="795"/>
      <c r="I17" s="796" t="s">
        <v>107</v>
      </c>
      <c r="J17" s="797">
        <f>SUM(J7:J16)</f>
        <v>59338.559999999998</v>
      </c>
    </row>
    <row r="18" spans="1:10">
      <c r="A18" s="798"/>
      <c r="B18" s="799" t="s">
        <v>1461</v>
      </c>
      <c r="C18" s="799"/>
      <c r="D18" s="799"/>
      <c r="E18" s="799"/>
      <c r="F18" s="799"/>
      <c r="G18" s="799"/>
      <c r="H18" s="799"/>
      <c r="I18" s="800" t="s">
        <v>107</v>
      </c>
      <c r="J18" s="801">
        <f>ROUND(J17/D4,2)</f>
        <v>2472.44</v>
      </c>
    </row>
    <row r="21" spans="1:10">
      <c r="A21" s="802"/>
      <c r="B21" s="802"/>
      <c r="C21" s="803"/>
      <c r="D21" s="804"/>
      <c r="E21" s="804"/>
      <c r="F21" s="804"/>
      <c r="G21" s="804"/>
      <c r="H21" s="804"/>
    </row>
    <row r="22" spans="1:10" ht="20.25">
      <c r="A22" s="3007" t="s">
        <v>1462</v>
      </c>
      <c r="B22" s="3007"/>
      <c r="C22" s="3007"/>
      <c r="D22" s="3007"/>
      <c r="E22" s="3007"/>
      <c r="F22" s="3007"/>
      <c r="G22" s="3007"/>
      <c r="H22" s="3007"/>
      <c r="I22" s="3007"/>
      <c r="J22" s="3007"/>
    </row>
    <row r="23" spans="1:10" ht="15.75">
      <c r="A23" s="3008" t="s">
        <v>1463</v>
      </c>
      <c r="B23" s="3008"/>
      <c r="C23" s="3008"/>
      <c r="D23" s="3008"/>
      <c r="E23" s="3008"/>
      <c r="F23" s="3008"/>
      <c r="G23" s="3008"/>
      <c r="H23" s="3008"/>
      <c r="I23" s="3008"/>
      <c r="J23" s="3008"/>
    </row>
    <row r="24" spans="1:10">
      <c r="A24" s="806" t="s">
        <v>961</v>
      </c>
      <c r="B24" s="807" t="s">
        <v>1423</v>
      </c>
      <c r="C24" s="807" t="s">
        <v>1087</v>
      </c>
      <c r="D24" s="807" t="s">
        <v>22</v>
      </c>
      <c r="E24" s="807" t="s">
        <v>23</v>
      </c>
      <c r="F24" s="807" t="s">
        <v>24</v>
      </c>
      <c r="G24" s="807" t="s">
        <v>964</v>
      </c>
      <c r="H24" s="763" t="s">
        <v>1035</v>
      </c>
      <c r="I24" s="764" t="s">
        <v>1464</v>
      </c>
      <c r="J24" s="808" t="s">
        <v>52</v>
      </c>
    </row>
    <row r="25" spans="1:10">
      <c r="A25" s="766"/>
      <c r="B25" s="769"/>
      <c r="C25" s="768"/>
      <c r="D25" s="809"/>
      <c r="E25" s="809"/>
      <c r="F25" s="809"/>
      <c r="G25" s="809"/>
      <c r="H25" s="809"/>
      <c r="I25" s="770"/>
      <c r="J25" s="771"/>
    </row>
    <row r="26" spans="1:10">
      <c r="A26" s="772">
        <v>1</v>
      </c>
      <c r="B26" s="773" t="s">
        <v>40</v>
      </c>
      <c r="C26" s="774"/>
      <c r="D26" s="775"/>
      <c r="E26" s="775"/>
      <c r="F26" s="775"/>
      <c r="G26" s="775"/>
      <c r="H26" s="775"/>
      <c r="I26" s="788"/>
      <c r="J26" s="778"/>
    </row>
    <row r="27" spans="1:10">
      <c r="A27" s="772"/>
      <c r="B27" s="773"/>
      <c r="C27" s="810">
        <v>2</v>
      </c>
      <c r="D27" s="775">
        <v>0.45</v>
      </c>
      <c r="E27" s="775">
        <v>0.45</v>
      </c>
      <c r="F27" s="775">
        <v>0.6</v>
      </c>
      <c r="G27" s="775">
        <f>C27*D27*E27*F27</f>
        <v>0.24299999999999999</v>
      </c>
      <c r="H27" s="776" t="s">
        <v>29</v>
      </c>
      <c r="I27" s="777">
        <f>+Rates!F9</f>
        <v>1480.63</v>
      </c>
      <c r="J27" s="778">
        <f t="shared" ref="J27:J33" si="0">+ROUND(G27*I27,2)</f>
        <v>359.79</v>
      </c>
    </row>
    <row r="28" spans="1:10">
      <c r="A28" s="772">
        <v>2</v>
      </c>
      <c r="B28" s="787" t="s">
        <v>1465</v>
      </c>
      <c r="C28" s="810">
        <v>2</v>
      </c>
      <c r="D28" s="775">
        <v>0.45</v>
      </c>
      <c r="E28" s="775">
        <v>0.45</v>
      </c>
      <c r="F28" s="775">
        <v>0.15</v>
      </c>
      <c r="G28" s="775">
        <f>C28*D28*E28*F28</f>
        <v>6.0749999999999998E-2</v>
      </c>
      <c r="H28" s="776" t="s">
        <v>29</v>
      </c>
      <c r="I28" s="777">
        <f>+Rates!F19</f>
        <v>5523.35</v>
      </c>
      <c r="J28" s="778">
        <f t="shared" si="0"/>
        <v>335.54</v>
      </c>
    </row>
    <row r="29" spans="1:10">
      <c r="A29" s="772">
        <v>3</v>
      </c>
      <c r="B29" s="773" t="s">
        <v>1466</v>
      </c>
      <c r="C29" s="774" t="s">
        <v>1467</v>
      </c>
      <c r="D29" s="775"/>
      <c r="E29" s="775"/>
      <c r="F29" s="775"/>
      <c r="G29" s="775"/>
      <c r="H29" s="776"/>
      <c r="I29" s="788"/>
      <c r="J29" s="778"/>
    </row>
    <row r="30" spans="1:10">
      <c r="A30" s="772"/>
      <c r="B30" s="785" t="s">
        <v>42</v>
      </c>
      <c r="C30" s="810">
        <v>2</v>
      </c>
      <c r="D30" s="775">
        <v>0.45</v>
      </c>
      <c r="E30" s="775">
        <v>0.45</v>
      </c>
      <c r="F30" s="775">
        <v>0.45</v>
      </c>
      <c r="G30" s="775">
        <f>C30*D30*E30*F30</f>
        <v>0.18225000000000002</v>
      </c>
      <c r="H30" s="776"/>
      <c r="I30" s="811"/>
      <c r="J30" s="778"/>
    </row>
    <row r="31" spans="1:10">
      <c r="A31" s="772"/>
      <c r="B31" s="785" t="s">
        <v>43</v>
      </c>
      <c r="C31" s="810">
        <v>2</v>
      </c>
      <c r="D31" s="775">
        <v>0.45</v>
      </c>
      <c r="E31" s="775">
        <v>0.45</v>
      </c>
      <c r="F31" s="775">
        <v>1.6</v>
      </c>
      <c r="G31" s="775">
        <f>C31*D31*E31*F31</f>
        <v>0.64800000000000013</v>
      </c>
      <c r="H31" s="776"/>
      <c r="I31" s="788"/>
      <c r="J31" s="778"/>
    </row>
    <row r="32" spans="1:10">
      <c r="A32" s="772"/>
      <c r="B32" s="785" t="s">
        <v>1468</v>
      </c>
      <c r="C32" s="810">
        <v>3</v>
      </c>
      <c r="D32" s="775">
        <v>0.45</v>
      </c>
      <c r="E32" s="775">
        <v>0.45</v>
      </c>
      <c r="F32" s="775">
        <v>0.2</v>
      </c>
      <c r="G32" s="775">
        <f>-ROUND(C32*D32*E32*F32,2)</f>
        <v>-0.12</v>
      </c>
      <c r="H32" s="776"/>
      <c r="I32" s="788"/>
      <c r="J32" s="778"/>
    </row>
    <row r="33" spans="1:10">
      <c r="A33" s="772"/>
      <c r="B33" s="785" t="s">
        <v>1108</v>
      </c>
      <c r="C33" s="810"/>
      <c r="D33" s="775"/>
      <c r="E33" s="775"/>
      <c r="F33" s="775"/>
      <c r="G33" s="775">
        <f>SUM(G30:G32)</f>
        <v>0.71025000000000016</v>
      </c>
      <c r="H33" s="776" t="s">
        <v>29</v>
      </c>
      <c r="I33" s="777">
        <f>+Rates!F25</f>
        <v>14917.39</v>
      </c>
      <c r="J33" s="778">
        <f t="shared" si="0"/>
        <v>10595.08</v>
      </c>
    </row>
    <row r="34" spans="1:10">
      <c r="A34" s="772">
        <v>4</v>
      </c>
      <c r="B34" s="773" t="s">
        <v>1469</v>
      </c>
      <c r="C34" s="810">
        <v>3</v>
      </c>
      <c r="D34" s="775">
        <v>0.45</v>
      </c>
      <c r="E34" s="775">
        <v>0.45</v>
      </c>
      <c r="F34" s="775">
        <v>0.2</v>
      </c>
      <c r="G34" s="812">
        <f>C34*D34*E34*F34</f>
        <v>0.12150000000000001</v>
      </c>
      <c r="H34" s="776"/>
      <c r="I34" s="777"/>
      <c r="J34" s="778"/>
    </row>
    <row r="35" spans="1:10">
      <c r="A35" s="772"/>
      <c r="B35" s="785" t="s">
        <v>1470</v>
      </c>
      <c r="C35" s="810">
        <v>2</v>
      </c>
      <c r="D35" s="775">
        <v>0.45</v>
      </c>
      <c r="E35" s="775">
        <v>0.45</v>
      </c>
      <c r="F35" s="775">
        <v>0.1</v>
      </c>
      <c r="G35" s="812">
        <f>C35*D35*E35*F35</f>
        <v>4.0500000000000008E-2</v>
      </c>
      <c r="H35" s="776"/>
      <c r="I35" s="788"/>
      <c r="J35" s="778"/>
    </row>
    <row r="36" spans="1:10">
      <c r="A36" s="772"/>
      <c r="B36" s="785" t="s">
        <v>1108</v>
      </c>
      <c r="C36" s="810"/>
      <c r="D36" s="775"/>
      <c r="E36" s="775"/>
      <c r="F36" s="775"/>
      <c r="G36" s="812">
        <f>SUM(G34:G35)</f>
        <v>0.16200000000000003</v>
      </c>
      <c r="H36" s="776" t="s">
        <v>29</v>
      </c>
      <c r="I36" s="777">
        <f>+Rates!F32</f>
        <v>16022.87</v>
      </c>
      <c r="J36" s="778">
        <f>+ROUND(G36*I36,2)</f>
        <v>2595.6999999999998</v>
      </c>
    </row>
    <row r="37" spans="1:10">
      <c r="A37" s="772">
        <v>5</v>
      </c>
      <c r="B37" s="773" t="s">
        <v>1471</v>
      </c>
      <c r="C37" s="810">
        <v>8</v>
      </c>
      <c r="D37" s="775">
        <v>0.45</v>
      </c>
      <c r="E37" s="813" t="s">
        <v>44</v>
      </c>
      <c r="F37" s="775">
        <v>1.6</v>
      </c>
      <c r="G37" s="775">
        <f>C37*D37*F37</f>
        <v>5.7600000000000007</v>
      </c>
      <c r="H37" s="783"/>
      <c r="I37" s="788"/>
      <c r="J37" s="778"/>
    </row>
    <row r="38" spans="1:10">
      <c r="A38" s="772"/>
      <c r="B38" s="785" t="s">
        <v>1472</v>
      </c>
      <c r="C38" s="810">
        <v>2</v>
      </c>
      <c r="D38" s="775">
        <v>0.45</v>
      </c>
      <c r="E38" s="775">
        <v>0.45</v>
      </c>
      <c r="F38" s="776" t="s">
        <v>44</v>
      </c>
      <c r="G38" s="775">
        <f>C38*D38*E38</f>
        <v>0.40500000000000003</v>
      </c>
      <c r="H38" s="776"/>
      <c r="I38" s="777"/>
      <c r="J38" s="778"/>
    </row>
    <row r="39" spans="1:10">
      <c r="A39" s="772"/>
      <c r="B39" s="785" t="s">
        <v>1108</v>
      </c>
      <c r="C39" s="774"/>
      <c r="D39" s="775"/>
      <c r="E39" s="775"/>
      <c r="F39" s="775"/>
      <c r="G39" s="775">
        <f>SUM(G37:G38)</f>
        <v>6.1650000000000009</v>
      </c>
      <c r="H39" s="776" t="s">
        <v>47</v>
      </c>
      <c r="I39" s="777">
        <f>+Rates!F60</f>
        <v>503.61</v>
      </c>
      <c r="J39" s="778">
        <f>+ROUND(G39*I39,2)</f>
        <v>3104.76</v>
      </c>
    </row>
    <row r="40" spans="1:10" ht="30" customHeight="1">
      <c r="A40" s="814">
        <v>6</v>
      </c>
      <c r="B40" s="3009" t="s">
        <v>1473</v>
      </c>
      <c r="C40" s="3010"/>
      <c r="D40" s="3010"/>
      <c r="E40" s="3010"/>
      <c r="F40" s="3011"/>
      <c r="G40" s="775">
        <v>1</v>
      </c>
      <c r="H40" s="776" t="s">
        <v>973</v>
      </c>
      <c r="I40" s="777">
        <f>+ROUND(MR!$I$40*1.15,2)</f>
        <v>1725</v>
      </c>
      <c r="J40" s="778">
        <f>+ROUND(G40*I40,2)</f>
        <v>1725</v>
      </c>
    </row>
    <row r="41" spans="1:10">
      <c r="A41" s="772">
        <v>7</v>
      </c>
      <c r="B41" s="815" t="s">
        <v>1474</v>
      </c>
      <c r="C41" s="810">
        <v>1</v>
      </c>
      <c r="D41" s="775">
        <v>0.95</v>
      </c>
      <c r="E41" s="776" t="s">
        <v>44</v>
      </c>
      <c r="F41" s="775">
        <v>1.5</v>
      </c>
      <c r="G41" s="775">
        <f>C41*D41*F41</f>
        <v>1.4249999999999998</v>
      </c>
      <c r="H41" s="776" t="s">
        <v>47</v>
      </c>
      <c r="I41" s="777">
        <f>+Rates!F70</f>
        <v>400.29</v>
      </c>
      <c r="J41" s="778">
        <f>+ROUND(G41*I41,2)</f>
        <v>570.41</v>
      </c>
    </row>
    <row r="42" spans="1:10">
      <c r="A42" s="816"/>
      <c r="B42" s="817" t="s">
        <v>1475</v>
      </c>
      <c r="C42" s="818"/>
      <c r="D42" s="819"/>
      <c r="E42" s="819"/>
      <c r="F42" s="819"/>
      <c r="G42" s="819"/>
      <c r="H42" s="819"/>
      <c r="I42" s="817" t="s">
        <v>107</v>
      </c>
      <c r="J42" s="820">
        <f>SUM(J25:J41)</f>
        <v>19286.280000000002</v>
      </c>
    </row>
    <row r="43" spans="1:10">
      <c r="A43" s="802"/>
      <c r="B43" s="802"/>
      <c r="C43" s="804"/>
      <c r="D43" s="804"/>
      <c r="E43" s="804"/>
      <c r="F43" s="804"/>
      <c r="G43" s="804"/>
      <c r="H43" s="804"/>
    </row>
    <row r="44" spans="1:10">
      <c r="A44" s="821"/>
      <c r="B44" s="821"/>
      <c r="C44" s="821"/>
      <c r="D44" s="821"/>
      <c r="E44" s="821"/>
      <c r="F44" s="821"/>
      <c r="G44" s="821"/>
      <c r="H44" s="821"/>
    </row>
    <row r="45" spans="1:10" ht="20.25">
      <c r="A45" s="3007" t="s">
        <v>1476</v>
      </c>
      <c r="B45" s="3007"/>
      <c r="C45" s="3007"/>
      <c r="D45" s="3007"/>
      <c r="E45" s="3007"/>
      <c r="F45" s="3007"/>
      <c r="G45" s="3007"/>
      <c r="H45" s="3007"/>
      <c r="I45" s="3007"/>
      <c r="J45" s="3007"/>
    </row>
    <row r="46" spans="1:10" ht="20.25">
      <c r="A46" s="756">
        <f>'Entry for Rates'!F4</f>
        <v>0</v>
      </c>
      <c r="B46" s="822"/>
      <c r="C46" s="822"/>
      <c r="D46" s="822"/>
      <c r="E46" s="822"/>
      <c r="F46" s="822"/>
      <c r="G46" s="822"/>
      <c r="H46" s="822"/>
      <c r="I46" s="822"/>
      <c r="J46" s="822"/>
    </row>
    <row r="47" spans="1:10" ht="15.75">
      <c r="A47" s="746"/>
      <c r="B47" s="759"/>
      <c r="C47" s="759" t="s">
        <v>1454</v>
      </c>
      <c r="D47" s="760">
        <v>24</v>
      </c>
      <c r="E47" s="761" t="s">
        <v>965</v>
      </c>
      <c r="F47" s="745"/>
      <c r="G47" s="745"/>
      <c r="H47" s="745"/>
    </row>
    <row r="48" spans="1:10">
      <c r="A48" s="806" t="s">
        <v>961</v>
      </c>
      <c r="B48" s="807" t="s">
        <v>1423</v>
      </c>
      <c r="C48" s="807" t="s">
        <v>1087</v>
      </c>
      <c r="D48" s="807" t="s">
        <v>22</v>
      </c>
      <c r="E48" s="807" t="s">
        <v>23</v>
      </c>
      <c r="F48" s="807" t="s">
        <v>24</v>
      </c>
      <c r="G48" s="807" t="s">
        <v>964</v>
      </c>
      <c r="H48" s="763" t="s">
        <v>1035</v>
      </c>
      <c r="I48" s="764" t="s">
        <v>1464</v>
      </c>
      <c r="J48" s="808" t="s">
        <v>52</v>
      </c>
    </row>
    <row r="49" spans="1:10">
      <c r="A49" s="823"/>
      <c r="B49" s="824"/>
      <c r="C49" s="825"/>
      <c r="D49" s="826"/>
      <c r="E49" s="826"/>
      <c r="F49" s="826"/>
      <c r="G49" s="826"/>
      <c r="H49" s="826"/>
      <c r="I49" s="770"/>
      <c r="J49" s="827"/>
    </row>
    <row r="50" spans="1:10">
      <c r="A50" s="828">
        <v>1</v>
      </c>
      <c r="B50" s="829" t="s">
        <v>1477</v>
      </c>
      <c r="C50" s="830"/>
      <c r="D50" s="831"/>
      <c r="E50" s="831"/>
      <c r="F50" s="831"/>
      <c r="G50" s="831"/>
      <c r="H50" s="831"/>
      <c r="I50" s="788"/>
      <c r="J50" s="832"/>
    </row>
    <row r="51" spans="1:10">
      <c r="A51" s="828"/>
      <c r="B51" s="829"/>
      <c r="C51" s="830">
        <f>D47/2</f>
        <v>12</v>
      </c>
      <c r="D51" s="833">
        <v>0.3</v>
      </c>
      <c r="E51" s="833">
        <v>0.3</v>
      </c>
      <c r="F51" s="833">
        <v>0.6</v>
      </c>
      <c r="G51" s="833">
        <f>C51*D51*E51*F51</f>
        <v>0.64799999999999991</v>
      </c>
      <c r="H51" s="834" t="s">
        <v>29</v>
      </c>
      <c r="I51" s="777">
        <f>+Rates!F9</f>
        <v>1480.63</v>
      </c>
      <c r="J51" s="832">
        <f>+ROUND(G51*I51,2)</f>
        <v>959.45</v>
      </c>
    </row>
    <row r="52" spans="1:10">
      <c r="A52" s="828"/>
      <c r="B52" s="831"/>
      <c r="C52" s="830"/>
      <c r="D52" s="833"/>
      <c r="E52" s="833"/>
      <c r="F52" s="833"/>
      <c r="G52" s="833"/>
      <c r="H52" s="833"/>
      <c r="I52" s="788"/>
      <c r="J52" s="832"/>
    </row>
    <row r="53" spans="1:10">
      <c r="A53" s="828">
        <v>2</v>
      </c>
      <c r="B53" s="831" t="s">
        <v>1478</v>
      </c>
      <c r="C53" s="830">
        <f>D47/2</f>
        <v>12</v>
      </c>
      <c r="D53" s="833">
        <v>0.3</v>
      </c>
      <c r="E53" s="833">
        <v>0.3</v>
      </c>
      <c r="F53" s="833">
        <v>0.1</v>
      </c>
      <c r="G53" s="833">
        <f>C53*D53*E53*F53</f>
        <v>0.10799999999999998</v>
      </c>
      <c r="H53" s="834" t="s">
        <v>29</v>
      </c>
      <c r="I53" s="777">
        <f>+Rates!F19</f>
        <v>5523.35</v>
      </c>
      <c r="J53" s="832">
        <f>+ROUND(G53*I53,2)</f>
        <v>596.52</v>
      </c>
    </row>
    <row r="54" spans="1:10">
      <c r="A54" s="828"/>
      <c r="B54" s="831"/>
      <c r="C54" s="830"/>
      <c r="D54" s="833"/>
      <c r="E54" s="833"/>
      <c r="F54" s="833"/>
      <c r="G54" s="833"/>
      <c r="H54" s="833"/>
      <c r="I54" s="788"/>
      <c r="J54" s="832"/>
    </row>
    <row r="55" spans="1:10">
      <c r="A55" s="828"/>
      <c r="B55" s="831"/>
      <c r="C55" s="830"/>
      <c r="D55" s="833"/>
      <c r="E55" s="833"/>
      <c r="F55" s="833"/>
      <c r="G55" s="833"/>
      <c r="H55" s="833"/>
      <c r="I55" s="788"/>
      <c r="J55" s="832"/>
    </row>
    <row r="56" spans="1:10">
      <c r="A56" s="828">
        <v>2</v>
      </c>
      <c r="B56" s="829" t="s">
        <v>1479</v>
      </c>
      <c r="C56" s="830">
        <f>D47/2</f>
        <v>12</v>
      </c>
      <c r="D56" s="833">
        <v>0.2</v>
      </c>
      <c r="E56" s="833">
        <v>0.2</v>
      </c>
      <c r="F56" s="833">
        <v>0.5</v>
      </c>
      <c r="G56" s="833">
        <f>C56*D56*E56*F56</f>
        <v>0.24000000000000005</v>
      </c>
      <c r="H56" s="834"/>
      <c r="I56" s="788"/>
      <c r="J56" s="832"/>
    </row>
    <row r="57" spans="1:10">
      <c r="A57" s="828"/>
      <c r="B57" s="835" t="s">
        <v>1480</v>
      </c>
      <c r="C57" s="830">
        <f>D47/2</f>
        <v>12</v>
      </c>
      <c r="D57" s="833">
        <v>0.1</v>
      </c>
      <c r="E57" s="833">
        <v>0.1</v>
      </c>
      <c r="F57" s="833">
        <v>0.5</v>
      </c>
      <c r="G57" s="833">
        <f>-C57*D57*E57*F57</f>
        <v>-6.0000000000000012E-2</v>
      </c>
      <c r="H57" s="834"/>
      <c r="I57" s="788"/>
      <c r="J57" s="832"/>
    </row>
    <row r="58" spans="1:10">
      <c r="A58" s="828"/>
      <c r="B58" s="835" t="s">
        <v>1481</v>
      </c>
      <c r="C58" s="830"/>
      <c r="D58" s="831"/>
      <c r="E58" s="831"/>
      <c r="F58" s="831"/>
      <c r="G58" s="831">
        <f>SUM(G56:G57)</f>
        <v>0.18000000000000005</v>
      </c>
      <c r="H58" s="834" t="s">
        <v>29</v>
      </c>
      <c r="I58" s="777">
        <f>+Rates!F31</f>
        <v>14810.58</v>
      </c>
      <c r="J58" s="832">
        <f>+ROUND(G58*I58,2)</f>
        <v>2665.9</v>
      </c>
    </row>
    <row r="59" spans="1:10">
      <c r="A59" s="828">
        <v>3</v>
      </c>
      <c r="B59" s="829" t="s">
        <v>1482</v>
      </c>
      <c r="C59" s="830"/>
      <c r="D59" s="833"/>
      <c r="E59" s="833"/>
      <c r="F59" s="833"/>
      <c r="G59" s="833"/>
      <c r="H59" s="831"/>
      <c r="I59" s="788"/>
      <c r="J59" s="832"/>
    </row>
    <row r="60" spans="1:10">
      <c r="A60" s="828"/>
      <c r="B60" s="836" t="s">
        <v>1483</v>
      </c>
      <c r="C60" s="830">
        <v>5</v>
      </c>
      <c r="D60" s="833">
        <f>D47</f>
        <v>24</v>
      </c>
      <c r="E60" s="833"/>
      <c r="F60" s="833"/>
      <c r="G60" s="833">
        <f>C60*D60</f>
        <v>120</v>
      </c>
      <c r="H60" s="834"/>
      <c r="I60" s="788"/>
      <c r="J60" s="832"/>
    </row>
    <row r="61" spans="1:10">
      <c r="A61" s="828"/>
      <c r="B61" s="837" t="s">
        <v>1484</v>
      </c>
      <c r="C61" s="830">
        <f>D47/2*2</f>
        <v>24</v>
      </c>
      <c r="D61" s="833">
        <v>2.4</v>
      </c>
      <c r="E61" s="833"/>
      <c r="F61" s="833"/>
      <c r="G61" s="833">
        <f>C61*D61</f>
        <v>57.599999999999994</v>
      </c>
      <c r="H61" s="834"/>
      <c r="I61" s="788"/>
      <c r="J61" s="832"/>
    </row>
    <row r="62" spans="1:10">
      <c r="A62" s="828"/>
      <c r="B62" s="835" t="s">
        <v>1108</v>
      </c>
      <c r="C62" s="830"/>
      <c r="D62" s="831"/>
      <c r="E62" s="831"/>
      <c r="F62" s="831"/>
      <c r="G62" s="833">
        <f>SUM(G60:G61)</f>
        <v>177.6</v>
      </c>
      <c r="H62" s="838" t="s">
        <v>965</v>
      </c>
      <c r="I62" s="777">
        <f>+Rates!F44</f>
        <v>99.291000000000011</v>
      </c>
      <c r="J62" s="832">
        <f>+ROUND(G62*I62,2)</f>
        <v>17634.080000000002</v>
      </c>
    </row>
    <row r="63" spans="1:10">
      <c r="A63" s="828"/>
      <c r="B63" s="831"/>
      <c r="C63" s="830"/>
      <c r="D63" s="831"/>
      <c r="E63" s="831"/>
      <c r="F63" s="831"/>
      <c r="G63" s="831"/>
      <c r="H63" s="831"/>
      <c r="I63" s="788"/>
      <c r="J63" s="832"/>
    </row>
    <row r="64" spans="1:10">
      <c r="A64" s="828">
        <v>4</v>
      </c>
      <c r="B64" s="829" t="s">
        <v>1485</v>
      </c>
      <c r="C64" s="830">
        <f>D47/2</f>
        <v>12</v>
      </c>
      <c r="D64" s="833">
        <v>2.1</v>
      </c>
      <c r="E64" s="833">
        <v>0.1</v>
      </c>
      <c r="F64" s="833">
        <v>0.1</v>
      </c>
      <c r="G64" s="839">
        <f>C64*D64*E64*F64</f>
        <v>0.25200000000000006</v>
      </c>
      <c r="H64" s="834" t="s">
        <v>29</v>
      </c>
      <c r="I64" s="777">
        <f>+Rates!F32</f>
        <v>16022.87</v>
      </c>
      <c r="J64" s="778">
        <f>+ROUND(G64*I64,2)</f>
        <v>4037.76</v>
      </c>
    </row>
    <row r="65" spans="1:11">
      <c r="A65" s="828">
        <v>5</v>
      </c>
      <c r="B65" s="836" t="s">
        <v>1486</v>
      </c>
      <c r="C65" s="840"/>
      <c r="D65" s="840"/>
      <c r="E65" s="840"/>
      <c r="F65" s="840"/>
      <c r="G65" s="840"/>
      <c r="H65" s="841"/>
      <c r="I65" s="788"/>
      <c r="J65" s="778"/>
    </row>
    <row r="66" spans="1:11">
      <c r="A66" s="828"/>
      <c r="B66" s="829" t="s">
        <v>1487</v>
      </c>
      <c r="C66" s="830">
        <f>D47/2*4</f>
        <v>48</v>
      </c>
      <c r="D66" s="833">
        <v>2.2000000000000002</v>
      </c>
      <c r="E66" s="839">
        <v>0.61599999999999999</v>
      </c>
      <c r="F66" s="834" t="s">
        <v>1067</v>
      </c>
      <c r="G66" s="833">
        <f>C66*D66*E66</f>
        <v>65.049599999999998</v>
      </c>
      <c r="H66" s="841"/>
      <c r="I66" s="788"/>
      <c r="J66" s="778"/>
    </row>
    <row r="67" spans="1:11">
      <c r="A67" s="828"/>
      <c r="B67" s="836" t="s">
        <v>1488</v>
      </c>
      <c r="C67" s="830">
        <f>D47/2*11</f>
        <v>132</v>
      </c>
      <c r="D67" s="833">
        <v>0.24</v>
      </c>
      <c r="E67" s="833">
        <v>0.22</v>
      </c>
      <c r="F67" s="834" t="s">
        <v>1067</v>
      </c>
      <c r="G67" s="833">
        <f>C67*D67*E67</f>
        <v>6.9695999999999998</v>
      </c>
      <c r="H67" s="841"/>
      <c r="I67" s="788"/>
      <c r="J67" s="778"/>
    </row>
    <row r="68" spans="1:11">
      <c r="A68" s="842" t="s">
        <v>1489</v>
      </c>
      <c r="B68" s="836" t="s">
        <v>1490</v>
      </c>
      <c r="C68" s="840"/>
      <c r="D68" s="840"/>
      <c r="E68" s="840"/>
      <c r="F68" s="840"/>
      <c r="G68" s="840"/>
      <c r="H68" s="840"/>
      <c r="I68" s="840"/>
      <c r="J68" s="843"/>
      <c r="K68" s="844"/>
    </row>
    <row r="69" spans="1:11">
      <c r="A69" s="828"/>
      <c r="B69" s="829"/>
      <c r="C69" s="830">
        <f>5*D47/2</f>
        <v>60</v>
      </c>
      <c r="D69" s="833">
        <v>0.2</v>
      </c>
      <c r="E69" s="839">
        <v>0.22</v>
      </c>
      <c r="F69" s="834" t="s">
        <v>1067</v>
      </c>
      <c r="G69" s="833">
        <f>C69*D69*E69</f>
        <v>2.64</v>
      </c>
      <c r="H69" s="841"/>
      <c r="I69" s="788"/>
      <c r="J69" s="778"/>
    </row>
    <row r="70" spans="1:11">
      <c r="A70" s="828"/>
      <c r="B70" s="829"/>
      <c r="C70" s="830"/>
      <c r="D70" s="831"/>
      <c r="E70" s="831"/>
      <c r="F70" s="831"/>
      <c r="G70" s="833">
        <f>SUM(G66:G69)</f>
        <v>74.659199999999998</v>
      </c>
      <c r="H70" s="841" t="s">
        <v>1034</v>
      </c>
      <c r="I70" s="777">
        <f>+Rates!F39</f>
        <v>125.35</v>
      </c>
      <c r="J70" s="778">
        <f>+ROUND(G70*I70,2)</f>
        <v>9358.5300000000007</v>
      </c>
    </row>
    <row r="71" spans="1:11">
      <c r="A71" s="828"/>
      <c r="B71" s="845"/>
      <c r="C71" s="830"/>
      <c r="D71" s="833"/>
      <c r="E71" s="833"/>
      <c r="F71" s="833"/>
      <c r="G71" s="833"/>
      <c r="H71" s="833"/>
      <c r="I71" s="788"/>
      <c r="J71" s="778"/>
    </row>
    <row r="72" spans="1:11">
      <c r="A72" s="828">
        <v>6</v>
      </c>
      <c r="B72" s="829" t="s">
        <v>1491</v>
      </c>
      <c r="C72" s="830">
        <f>D47/2</f>
        <v>12</v>
      </c>
      <c r="D72" s="833">
        <v>0.3</v>
      </c>
      <c r="E72" s="833"/>
      <c r="F72" s="833">
        <v>2.2999999999999998</v>
      </c>
      <c r="G72" s="833">
        <f>C72*D72*F72</f>
        <v>8.2799999999999994</v>
      </c>
      <c r="H72" s="834" t="s">
        <v>47</v>
      </c>
      <c r="I72" s="777">
        <f>+Rates!F40</f>
        <v>1322.68</v>
      </c>
      <c r="J72" s="778">
        <f>+ROUND(G72*I72,2)</f>
        <v>10951.79</v>
      </c>
    </row>
    <row r="73" spans="1:11">
      <c r="A73" s="828"/>
      <c r="B73" s="831"/>
      <c r="C73" s="846"/>
      <c r="D73" s="847"/>
      <c r="E73" s="847"/>
      <c r="F73" s="847"/>
      <c r="G73" s="847"/>
      <c r="H73" s="847"/>
      <c r="I73" s="848"/>
      <c r="J73" s="849"/>
    </row>
    <row r="74" spans="1:11">
      <c r="A74" s="850"/>
      <c r="B74" s="851" t="s">
        <v>1460</v>
      </c>
      <c r="C74" s="852"/>
      <c r="D74" s="852"/>
      <c r="E74" s="852"/>
      <c r="F74" s="852"/>
      <c r="G74" s="852"/>
      <c r="H74" s="852"/>
      <c r="I74" s="853" t="s">
        <v>107</v>
      </c>
      <c r="J74" s="854">
        <f>+SUM(J51:J72)</f>
        <v>46204.03</v>
      </c>
    </row>
    <row r="75" spans="1:11">
      <c r="A75" s="855"/>
      <c r="B75" s="856" t="s">
        <v>1461</v>
      </c>
      <c r="C75" s="857"/>
      <c r="D75" s="857"/>
      <c r="E75" s="857"/>
      <c r="F75" s="857"/>
      <c r="G75" s="857"/>
      <c r="H75" s="857"/>
      <c r="I75" s="858" t="s">
        <v>107</v>
      </c>
      <c r="J75" s="859">
        <f>ROUND(J74/D47,2)</f>
        <v>1925.17</v>
      </c>
    </row>
    <row r="76" spans="1:11">
      <c r="A76" s="746"/>
      <c r="B76" s="753"/>
      <c r="C76" s="860"/>
      <c r="D76" s="860"/>
      <c r="E76" s="860"/>
      <c r="F76" s="860"/>
      <c r="G76" s="860"/>
      <c r="H76" s="860"/>
      <c r="I76" s="861"/>
      <c r="J76" s="862"/>
    </row>
    <row r="77" spans="1:11">
      <c r="A77" s="746"/>
      <c r="B77" s="746"/>
      <c r="C77" s="860"/>
      <c r="D77" s="860"/>
      <c r="E77" s="860"/>
      <c r="F77" s="860"/>
      <c r="G77" s="860"/>
      <c r="H77" s="860"/>
      <c r="I77" s="655"/>
      <c r="J77" s="862"/>
    </row>
    <row r="78" spans="1:11" ht="20.25">
      <c r="A78" s="3007" t="s">
        <v>1462</v>
      </c>
      <c r="B78" s="3007"/>
      <c r="C78" s="3007"/>
      <c r="D78" s="3007"/>
      <c r="E78" s="3007"/>
      <c r="F78" s="3007"/>
      <c r="G78" s="3007"/>
      <c r="H78" s="3007"/>
      <c r="I78" s="3007"/>
      <c r="J78" s="3007"/>
    </row>
    <row r="79" spans="1:11" ht="16.5">
      <c r="A79" s="3006" t="s">
        <v>1492</v>
      </c>
      <c r="B79" s="3006"/>
      <c r="C79" s="3006"/>
      <c r="D79" s="3006"/>
      <c r="E79" s="3006"/>
      <c r="F79" s="3006"/>
      <c r="G79" s="3006"/>
      <c r="H79" s="3006"/>
      <c r="I79" s="3006"/>
      <c r="J79" s="3006"/>
    </row>
    <row r="80" spans="1:11">
      <c r="A80" s="806" t="s">
        <v>961</v>
      </c>
      <c r="B80" s="807" t="s">
        <v>1423</v>
      </c>
      <c r="C80" s="807" t="s">
        <v>1087</v>
      </c>
      <c r="D80" s="807" t="s">
        <v>22</v>
      </c>
      <c r="E80" s="807" t="s">
        <v>23</v>
      </c>
      <c r="F80" s="807" t="s">
        <v>24</v>
      </c>
      <c r="G80" s="807" t="s">
        <v>964</v>
      </c>
      <c r="H80" s="763" t="s">
        <v>1035</v>
      </c>
      <c r="I80" s="764" t="s">
        <v>1464</v>
      </c>
      <c r="J80" s="765" t="s">
        <v>52</v>
      </c>
    </row>
    <row r="81" spans="1:10">
      <c r="A81" s="828"/>
      <c r="B81" s="831"/>
      <c r="C81" s="830"/>
      <c r="D81" s="831"/>
      <c r="E81" s="831"/>
      <c r="F81" s="831"/>
      <c r="G81" s="831"/>
      <c r="H81" s="831"/>
      <c r="I81" s="770"/>
      <c r="J81" s="771"/>
    </row>
    <row r="82" spans="1:10">
      <c r="A82" s="828">
        <v>1</v>
      </c>
      <c r="B82" s="829" t="s">
        <v>1493</v>
      </c>
      <c r="C82" s="830"/>
      <c r="D82" s="833"/>
      <c r="E82" s="833"/>
      <c r="F82" s="833"/>
      <c r="G82" s="833"/>
      <c r="H82" s="833"/>
      <c r="I82" s="788"/>
      <c r="J82" s="778"/>
    </row>
    <row r="83" spans="1:10">
      <c r="A83" s="828"/>
      <c r="B83" s="829"/>
      <c r="C83" s="830">
        <v>2</v>
      </c>
      <c r="D83" s="833">
        <v>0.1</v>
      </c>
      <c r="E83" s="833">
        <v>0.1</v>
      </c>
      <c r="F83" s="833">
        <v>0.6</v>
      </c>
      <c r="G83" s="833">
        <f>C83*D83*E83*F83</f>
        <v>1.2000000000000002E-2</v>
      </c>
      <c r="H83" s="834" t="s">
        <v>29</v>
      </c>
      <c r="I83" s="777">
        <f>+Rates!F9</f>
        <v>1480.63</v>
      </c>
      <c r="J83" s="778">
        <f>+ROUND(G83*I83,2)</f>
        <v>17.77</v>
      </c>
    </row>
    <row r="84" spans="1:10">
      <c r="A84" s="828"/>
      <c r="B84" s="831"/>
      <c r="C84" s="830"/>
      <c r="D84" s="833"/>
      <c r="E84" s="833"/>
      <c r="F84" s="833"/>
      <c r="G84" s="833"/>
      <c r="H84" s="831"/>
      <c r="I84" s="788"/>
      <c r="J84" s="778"/>
    </row>
    <row r="85" spans="1:10">
      <c r="A85" s="828">
        <v>2</v>
      </c>
      <c r="B85" s="829" t="s">
        <v>1494</v>
      </c>
      <c r="C85" s="830">
        <v>2</v>
      </c>
      <c r="D85" s="833">
        <v>0.1</v>
      </c>
      <c r="E85" s="833">
        <v>0.1</v>
      </c>
      <c r="F85" s="833">
        <v>0.1</v>
      </c>
      <c r="G85" s="839">
        <f>C85*D85*E85*F85</f>
        <v>2.0000000000000005E-3</v>
      </c>
      <c r="H85" s="834" t="s">
        <v>29</v>
      </c>
      <c r="I85" s="777">
        <f>+Rates!F19</f>
        <v>5523.35</v>
      </c>
      <c r="J85" s="778">
        <f>+ROUND(G85*I85,2)</f>
        <v>11.05</v>
      </c>
    </row>
    <row r="86" spans="1:10">
      <c r="A86" s="828">
        <v>3</v>
      </c>
      <c r="B86" s="829" t="s">
        <v>1495</v>
      </c>
      <c r="C86" s="830"/>
      <c r="D86" s="833"/>
      <c r="E86" s="833"/>
      <c r="F86" s="833"/>
      <c r="G86" s="833"/>
      <c r="H86" s="833"/>
      <c r="I86" s="788"/>
      <c r="J86" s="778"/>
    </row>
    <row r="87" spans="1:10">
      <c r="A87" s="828"/>
      <c r="B87" s="829" t="s">
        <v>1496</v>
      </c>
      <c r="C87" s="830">
        <v>2</v>
      </c>
      <c r="D87" s="833">
        <v>1.9</v>
      </c>
      <c r="E87" s="833">
        <v>0.1</v>
      </c>
      <c r="F87" s="833">
        <v>0.1</v>
      </c>
      <c r="G87" s="839">
        <f>C87*D87*E87*F87</f>
        <v>3.8000000000000006E-2</v>
      </c>
      <c r="H87" s="834"/>
      <c r="I87" s="863"/>
      <c r="J87" s="778"/>
    </row>
    <row r="88" spans="1:10">
      <c r="A88" s="828"/>
      <c r="B88" s="831"/>
      <c r="C88" s="830"/>
      <c r="D88" s="833"/>
      <c r="E88" s="833"/>
      <c r="F88" s="833"/>
      <c r="G88" s="833"/>
      <c r="H88" s="833"/>
      <c r="I88" s="788"/>
      <c r="J88" s="778"/>
    </row>
    <row r="89" spans="1:10">
      <c r="A89" s="828"/>
      <c r="B89" s="829" t="s">
        <v>1497</v>
      </c>
      <c r="C89" s="830">
        <v>2</v>
      </c>
      <c r="D89" s="833">
        <v>1.3</v>
      </c>
      <c r="E89" s="839">
        <v>7.4999999999999997E-2</v>
      </c>
      <c r="F89" s="839">
        <v>0.02</v>
      </c>
      <c r="G89" s="839">
        <f>C89*D89*E89*F89</f>
        <v>3.9000000000000003E-3</v>
      </c>
      <c r="H89" s="831"/>
      <c r="I89" s="788"/>
      <c r="J89" s="778"/>
    </row>
    <row r="90" spans="1:10">
      <c r="A90" s="828"/>
      <c r="B90" s="829" t="s">
        <v>1498</v>
      </c>
      <c r="C90" s="830">
        <v>2</v>
      </c>
      <c r="D90" s="833">
        <v>1</v>
      </c>
      <c r="E90" s="839">
        <v>7.4999999999999997E-2</v>
      </c>
      <c r="F90" s="839">
        <v>0.02</v>
      </c>
      <c r="G90" s="839">
        <f>C90*D90*E90*F90</f>
        <v>3.0000000000000001E-3</v>
      </c>
      <c r="H90" s="833"/>
      <c r="I90" s="788"/>
      <c r="J90" s="778"/>
    </row>
    <row r="91" spans="1:10">
      <c r="A91" s="828"/>
      <c r="B91" s="829" t="s">
        <v>1499</v>
      </c>
      <c r="C91" s="830">
        <v>1</v>
      </c>
      <c r="D91" s="833">
        <v>1.64</v>
      </c>
      <c r="E91" s="839">
        <v>7.4999999999999997E-2</v>
      </c>
      <c r="F91" s="839">
        <v>0.02</v>
      </c>
      <c r="G91" s="839">
        <f>C91*D91*E91*F91</f>
        <v>2.4599999999999999E-3</v>
      </c>
      <c r="H91" s="833"/>
      <c r="I91" s="811"/>
      <c r="J91" s="778"/>
    </row>
    <row r="92" spans="1:10">
      <c r="A92" s="828"/>
      <c r="B92" s="864" t="s">
        <v>1108</v>
      </c>
      <c r="C92" s="830"/>
      <c r="D92" s="833"/>
      <c r="E92" s="833"/>
      <c r="F92" s="833"/>
      <c r="G92" s="839">
        <f>SUM(G87:G91)</f>
        <v>4.7360000000000006E-2</v>
      </c>
      <c r="H92" s="834" t="s">
        <v>29</v>
      </c>
      <c r="I92" s="863">
        <f>+Rates!F46</f>
        <v>330697.90000000002</v>
      </c>
      <c r="J92" s="778">
        <f>+ROUND(G92*I92,2)</f>
        <v>15661.85</v>
      </c>
    </row>
    <row r="93" spans="1:10">
      <c r="A93" s="828"/>
      <c r="B93" s="833"/>
      <c r="C93" s="830"/>
      <c r="D93" s="833"/>
      <c r="E93" s="833"/>
      <c r="F93" s="833"/>
      <c r="G93" s="833"/>
      <c r="H93" s="833"/>
      <c r="I93" s="788"/>
      <c r="J93" s="778"/>
    </row>
    <row r="94" spans="1:10">
      <c r="A94" s="828">
        <v>4</v>
      </c>
      <c r="B94" s="829" t="s">
        <v>1500</v>
      </c>
      <c r="C94" s="830">
        <v>4</v>
      </c>
      <c r="D94" s="833"/>
      <c r="E94" s="833"/>
      <c r="F94" s="833"/>
      <c r="G94" s="833">
        <f>C94</f>
        <v>4</v>
      </c>
      <c r="H94" s="834" t="s">
        <v>965</v>
      </c>
      <c r="I94" s="777">
        <f>+Rates!F44</f>
        <v>99.291000000000011</v>
      </c>
      <c r="J94" s="778">
        <f>+ROUND(G94*I94,2)</f>
        <v>397.16</v>
      </c>
    </row>
    <row r="95" spans="1:10">
      <c r="A95" s="828"/>
      <c r="B95" s="845"/>
      <c r="C95" s="830"/>
      <c r="D95" s="833"/>
      <c r="E95" s="833"/>
      <c r="F95" s="833"/>
      <c r="G95" s="833"/>
      <c r="H95" s="833"/>
      <c r="I95" s="788"/>
      <c r="J95" s="778"/>
    </row>
    <row r="96" spans="1:10">
      <c r="A96" s="828">
        <v>5</v>
      </c>
      <c r="B96" s="865" t="s">
        <v>1501</v>
      </c>
      <c r="C96" s="830">
        <v>10</v>
      </c>
      <c r="D96" s="866"/>
      <c r="E96" s="866"/>
      <c r="F96" s="866"/>
      <c r="G96" s="866">
        <f>C96</f>
        <v>10</v>
      </c>
      <c r="H96" s="867" t="s">
        <v>949</v>
      </c>
      <c r="I96" s="777">
        <f>+ROUND(MR!I37*1.15,2)</f>
        <v>16.79</v>
      </c>
      <c r="J96" s="778">
        <f>+ROUND(G96*I96,2)</f>
        <v>167.9</v>
      </c>
    </row>
    <row r="97" spans="1:10">
      <c r="A97" s="868">
        <v>6</v>
      </c>
      <c r="B97" s="869" t="s">
        <v>241</v>
      </c>
      <c r="C97" s="870"/>
      <c r="D97" s="869"/>
      <c r="E97" s="869"/>
      <c r="F97" s="869"/>
      <c r="G97" s="869">
        <v>1</v>
      </c>
      <c r="H97" s="869" t="s">
        <v>973</v>
      </c>
      <c r="I97" s="871">
        <f>+ROUND(MR!I33*1.15,2)</f>
        <v>318.55</v>
      </c>
      <c r="J97" s="872">
        <f>+ROUND(G97*I97,2)</f>
        <v>318.55</v>
      </c>
    </row>
    <row r="98" spans="1:10">
      <c r="A98" s="873"/>
      <c r="B98" s="817" t="s">
        <v>1475</v>
      </c>
      <c r="C98" s="874"/>
      <c r="D98" s="874"/>
      <c r="E98" s="874"/>
      <c r="F98" s="874"/>
      <c r="G98" s="874"/>
      <c r="H98" s="875"/>
      <c r="I98" s="876" t="s">
        <v>107</v>
      </c>
      <c r="J98" s="877">
        <f>SUM(J81:J97)</f>
        <v>16574.28</v>
      </c>
    </row>
  </sheetData>
  <mergeCells count="6">
    <mergeCell ref="A79:J79"/>
    <mergeCell ref="A22:J22"/>
    <mergeCell ref="A23:J23"/>
    <mergeCell ref="B40:F40"/>
    <mergeCell ref="A45:J45"/>
    <mergeCell ref="A78:J78"/>
  </mergeCells>
  <printOptions horizontalCentered="1" gridLines="1" gridLinesSet="0"/>
  <pageMargins left="0.7" right="0.7" top="0.75" bottom="0.75" header="0.3" footer="0.3"/>
  <pageSetup paperSize="9" orientation="portrait" horizontalDpi="4294967293" verticalDpi="300" r:id="rId1"/>
  <headerFooter alignWithMargins="0">
    <oddFooter>&amp;LEstimated by&amp;CChecked by&amp;RApproved by</oddFooter>
  </headerFooter>
  <rowBreaks count="1" manualBreakCount="1">
    <brk id="42" max="16383"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103"/>
  <sheetViews>
    <sheetView workbookViewId="0">
      <selection sqref="A1:J1"/>
    </sheetView>
  </sheetViews>
  <sheetFormatPr defaultRowHeight="12.75"/>
  <cols>
    <col min="1" max="1" width="3.7109375" style="878" customWidth="1"/>
    <col min="2" max="2" width="33.42578125" style="878" customWidth="1"/>
    <col min="3" max="3" width="4.42578125" style="878" customWidth="1"/>
    <col min="4" max="4" width="6.5703125" style="878" customWidth="1"/>
    <col min="5" max="5" width="6.140625" style="878" customWidth="1"/>
    <col min="6" max="6" width="6.42578125" style="878" customWidth="1"/>
    <col min="7" max="7" width="7" style="878" customWidth="1"/>
    <col min="8" max="8" width="4.42578125" style="878" customWidth="1"/>
    <col min="9" max="9" width="9.7109375" style="878" bestFit="1" customWidth="1"/>
    <col min="10" max="10" width="10.42578125" style="878" customWidth="1"/>
    <col min="11" max="256" width="8.85546875" style="878"/>
    <col min="257" max="257" width="3.7109375" style="878" customWidth="1"/>
    <col min="258" max="258" width="33.42578125" style="878" customWidth="1"/>
    <col min="259" max="259" width="4.42578125" style="878" customWidth="1"/>
    <col min="260" max="260" width="6.5703125" style="878" customWidth="1"/>
    <col min="261" max="261" width="6.140625" style="878" customWidth="1"/>
    <col min="262" max="262" width="6.42578125" style="878" customWidth="1"/>
    <col min="263" max="263" width="7" style="878" customWidth="1"/>
    <col min="264" max="264" width="4.42578125" style="878" customWidth="1"/>
    <col min="265" max="512" width="8.85546875" style="878"/>
    <col min="513" max="513" width="3.7109375" style="878" customWidth="1"/>
    <col min="514" max="514" width="33.42578125" style="878" customWidth="1"/>
    <col min="515" max="515" width="4.42578125" style="878" customWidth="1"/>
    <col min="516" max="516" width="6.5703125" style="878" customWidth="1"/>
    <col min="517" max="517" width="6.140625" style="878" customWidth="1"/>
    <col min="518" max="518" width="6.42578125" style="878" customWidth="1"/>
    <col min="519" max="519" width="7" style="878" customWidth="1"/>
    <col min="520" max="520" width="4.42578125" style="878" customWidth="1"/>
    <col min="521" max="768" width="8.85546875" style="878"/>
    <col min="769" max="769" width="3.7109375" style="878" customWidth="1"/>
    <col min="770" max="770" width="33.42578125" style="878" customWidth="1"/>
    <col min="771" max="771" width="4.42578125" style="878" customWidth="1"/>
    <col min="772" max="772" width="6.5703125" style="878" customWidth="1"/>
    <col min="773" max="773" width="6.140625" style="878" customWidth="1"/>
    <col min="774" max="774" width="6.42578125" style="878" customWidth="1"/>
    <col min="775" max="775" width="7" style="878" customWidth="1"/>
    <col min="776" max="776" width="4.42578125" style="878" customWidth="1"/>
    <col min="777" max="1024" width="8.85546875" style="878"/>
    <col min="1025" max="1025" width="3.7109375" style="878" customWidth="1"/>
    <col min="1026" max="1026" width="33.42578125" style="878" customWidth="1"/>
    <col min="1027" max="1027" width="4.42578125" style="878" customWidth="1"/>
    <col min="1028" max="1028" width="6.5703125" style="878" customWidth="1"/>
    <col min="1029" max="1029" width="6.140625" style="878" customWidth="1"/>
    <col min="1030" max="1030" width="6.42578125" style="878" customWidth="1"/>
    <col min="1031" max="1031" width="7" style="878" customWidth="1"/>
    <col min="1032" max="1032" width="4.42578125" style="878" customWidth="1"/>
    <col min="1033" max="1280" width="8.85546875" style="878"/>
    <col min="1281" max="1281" width="3.7109375" style="878" customWidth="1"/>
    <col min="1282" max="1282" width="33.42578125" style="878" customWidth="1"/>
    <col min="1283" max="1283" width="4.42578125" style="878" customWidth="1"/>
    <col min="1284" max="1284" width="6.5703125" style="878" customWidth="1"/>
    <col min="1285" max="1285" width="6.140625" style="878" customWidth="1"/>
    <col min="1286" max="1286" width="6.42578125" style="878" customWidth="1"/>
    <col min="1287" max="1287" width="7" style="878" customWidth="1"/>
    <col min="1288" max="1288" width="4.42578125" style="878" customWidth="1"/>
    <col min="1289" max="1536" width="8.85546875" style="878"/>
    <col min="1537" max="1537" width="3.7109375" style="878" customWidth="1"/>
    <col min="1538" max="1538" width="33.42578125" style="878" customWidth="1"/>
    <col min="1539" max="1539" width="4.42578125" style="878" customWidth="1"/>
    <col min="1540" max="1540" width="6.5703125" style="878" customWidth="1"/>
    <col min="1541" max="1541" width="6.140625" style="878" customWidth="1"/>
    <col min="1542" max="1542" width="6.42578125" style="878" customWidth="1"/>
    <col min="1543" max="1543" width="7" style="878" customWidth="1"/>
    <col min="1544" max="1544" width="4.42578125" style="878" customWidth="1"/>
    <col min="1545" max="1792" width="8.85546875" style="878"/>
    <col min="1793" max="1793" width="3.7109375" style="878" customWidth="1"/>
    <col min="1794" max="1794" width="33.42578125" style="878" customWidth="1"/>
    <col min="1795" max="1795" width="4.42578125" style="878" customWidth="1"/>
    <col min="1796" max="1796" width="6.5703125" style="878" customWidth="1"/>
    <col min="1797" max="1797" width="6.140625" style="878" customWidth="1"/>
    <col min="1798" max="1798" width="6.42578125" style="878" customWidth="1"/>
    <col min="1799" max="1799" width="7" style="878" customWidth="1"/>
    <col min="1800" max="1800" width="4.42578125" style="878" customWidth="1"/>
    <col min="1801" max="2048" width="8.85546875" style="878"/>
    <col min="2049" max="2049" width="3.7109375" style="878" customWidth="1"/>
    <col min="2050" max="2050" width="33.42578125" style="878" customWidth="1"/>
    <col min="2051" max="2051" width="4.42578125" style="878" customWidth="1"/>
    <col min="2052" max="2052" width="6.5703125" style="878" customWidth="1"/>
    <col min="2053" max="2053" width="6.140625" style="878" customWidth="1"/>
    <col min="2054" max="2054" width="6.42578125" style="878" customWidth="1"/>
    <col min="2055" max="2055" width="7" style="878" customWidth="1"/>
    <col min="2056" max="2056" width="4.42578125" style="878" customWidth="1"/>
    <col min="2057" max="2304" width="8.85546875" style="878"/>
    <col min="2305" max="2305" width="3.7109375" style="878" customWidth="1"/>
    <col min="2306" max="2306" width="33.42578125" style="878" customWidth="1"/>
    <col min="2307" max="2307" width="4.42578125" style="878" customWidth="1"/>
    <col min="2308" max="2308" width="6.5703125" style="878" customWidth="1"/>
    <col min="2309" max="2309" width="6.140625" style="878" customWidth="1"/>
    <col min="2310" max="2310" width="6.42578125" style="878" customWidth="1"/>
    <col min="2311" max="2311" width="7" style="878" customWidth="1"/>
    <col min="2312" max="2312" width="4.42578125" style="878" customWidth="1"/>
    <col min="2313" max="2560" width="8.85546875" style="878"/>
    <col min="2561" max="2561" width="3.7109375" style="878" customWidth="1"/>
    <col min="2562" max="2562" width="33.42578125" style="878" customWidth="1"/>
    <col min="2563" max="2563" width="4.42578125" style="878" customWidth="1"/>
    <col min="2564" max="2564" width="6.5703125" style="878" customWidth="1"/>
    <col min="2565" max="2565" width="6.140625" style="878" customWidth="1"/>
    <col min="2566" max="2566" width="6.42578125" style="878" customWidth="1"/>
    <col min="2567" max="2567" width="7" style="878" customWidth="1"/>
    <col min="2568" max="2568" width="4.42578125" style="878" customWidth="1"/>
    <col min="2569" max="2816" width="8.85546875" style="878"/>
    <col min="2817" max="2817" width="3.7109375" style="878" customWidth="1"/>
    <col min="2818" max="2818" width="33.42578125" style="878" customWidth="1"/>
    <col min="2819" max="2819" width="4.42578125" style="878" customWidth="1"/>
    <col min="2820" max="2820" width="6.5703125" style="878" customWidth="1"/>
    <col min="2821" max="2821" width="6.140625" style="878" customWidth="1"/>
    <col min="2822" max="2822" width="6.42578125" style="878" customWidth="1"/>
    <col min="2823" max="2823" width="7" style="878" customWidth="1"/>
    <col min="2824" max="2824" width="4.42578125" style="878" customWidth="1"/>
    <col min="2825" max="3072" width="8.85546875" style="878"/>
    <col min="3073" max="3073" width="3.7109375" style="878" customWidth="1"/>
    <col min="3074" max="3074" width="33.42578125" style="878" customWidth="1"/>
    <col min="3075" max="3075" width="4.42578125" style="878" customWidth="1"/>
    <col min="3076" max="3076" width="6.5703125" style="878" customWidth="1"/>
    <col min="3077" max="3077" width="6.140625" style="878" customWidth="1"/>
    <col min="3078" max="3078" width="6.42578125" style="878" customWidth="1"/>
    <col min="3079" max="3079" width="7" style="878" customWidth="1"/>
    <col min="3080" max="3080" width="4.42578125" style="878" customWidth="1"/>
    <col min="3081" max="3328" width="8.85546875" style="878"/>
    <col min="3329" max="3329" width="3.7109375" style="878" customWidth="1"/>
    <col min="3330" max="3330" width="33.42578125" style="878" customWidth="1"/>
    <col min="3331" max="3331" width="4.42578125" style="878" customWidth="1"/>
    <col min="3332" max="3332" width="6.5703125" style="878" customWidth="1"/>
    <col min="3333" max="3333" width="6.140625" style="878" customWidth="1"/>
    <col min="3334" max="3334" width="6.42578125" style="878" customWidth="1"/>
    <col min="3335" max="3335" width="7" style="878" customWidth="1"/>
    <col min="3336" max="3336" width="4.42578125" style="878" customWidth="1"/>
    <col min="3337" max="3584" width="8.85546875" style="878"/>
    <col min="3585" max="3585" width="3.7109375" style="878" customWidth="1"/>
    <col min="3586" max="3586" width="33.42578125" style="878" customWidth="1"/>
    <col min="3587" max="3587" width="4.42578125" style="878" customWidth="1"/>
    <col min="3588" max="3588" width="6.5703125" style="878" customWidth="1"/>
    <col min="3589" max="3589" width="6.140625" style="878" customWidth="1"/>
    <col min="3590" max="3590" width="6.42578125" style="878" customWidth="1"/>
    <col min="3591" max="3591" width="7" style="878" customWidth="1"/>
    <col min="3592" max="3592" width="4.42578125" style="878" customWidth="1"/>
    <col min="3593" max="3840" width="8.85546875" style="878"/>
    <col min="3841" max="3841" width="3.7109375" style="878" customWidth="1"/>
    <col min="3842" max="3842" width="33.42578125" style="878" customWidth="1"/>
    <col min="3843" max="3843" width="4.42578125" style="878" customWidth="1"/>
    <col min="3844" max="3844" width="6.5703125" style="878" customWidth="1"/>
    <col min="3845" max="3845" width="6.140625" style="878" customWidth="1"/>
    <col min="3846" max="3846" width="6.42578125" style="878" customWidth="1"/>
    <col min="3847" max="3847" width="7" style="878" customWidth="1"/>
    <col min="3848" max="3848" width="4.42578125" style="878" customWidth="1"/>
    <col min="3849" max="4096" width="8.85546875" style="878"/>
    <col min="4097" max="4097" width="3.7109375" style="878" customWidth="1"/>
    <col min="4098" max="4098" width="33.42578125" style="878" customWidth="1"/>
    <col min="4099" max="4099" width="4.42578125" style="878" customWidth="1"/>
    <col min="4100" max="4100" width="6.5703125" style="878" customWidth="1"/>
    <col min="4101" max="4101" width="6.140625" style="878" customWidth="1"/>
    <col min="4102" max="4102" width="6.42578125" style="878" customWidth="1"/>
    <col min="4103" max="4103" width="7" style="878" customWidth="1"/>
    <col min="4104" max="4104" width="4.42578125" style="878" customWidth="1"/>
    <col min="4105" max="4352" width="8.85546875" style="878"/>
    <col min="4353" max="4353" width="3.7109375" style="878" customWidth="1"/>
    <col min="4354" max="4354" width="33.42578125" style="878" customWidth="1"/>
    <col min="4355" max="4355" width="4.42578125" style="878" customWidth="1"/>
    <col min="4356" max="4356" width="6.5703125" style="878" customWidth="1"/>
    <col min="4357" max="4357" width="6.140625" style="878" customWidth="1"/>
    <col min="4358" max="4358" width="6.42578125" style="878" customWidth="1"/>
    <col min="4359" max="4359" width="7" style="878" customWidth="1"/>
    <col min="4360" max="4360" width="4.42578125" style="878" customWidth="1"/>
    <col min="4361" max="4608" width="8.85546875" style="878"/>
    <col min="4609" max="4609" width="3.7109375" style="878" customWidth="1"/>
    <col min="4610" max="4610" width="33.42578125" style="878" customWidth="1"/>
    <col min="4611" max="4611" width="4.42578125" style="878" customWidth="1"/>
    <col min="4612" max="4612" width="6.5703125" style="878" customWidth="1"/>
    <col min="4613" max="4613" width="6.140625" style="878" customWidth="1"/>
    <col min="4614" max="4614" width="6.42578125" style="878" customWidth="1"/>
    <col min="4615" max="4615" width="7" style="878" customWidth="1"/>
    <col min="4616" max="4616" width="4.42578125" style="878" customWidth="1"/>
    <col min="4617" max="4864" width="8.85546875" style="878"/>
    <col min="4865" max="4865" width="3.7109375" style="878" customWidth="1"/>
    <col min="4866" max="4866" width="33.42578125" style="878" customWidth="1"/>
    <col min="4867" max="4867" width="4.42578125" style="878" customWidth="1"/>
    <col min="4868" max="4868" width="6.5703125" style="878" customWidth="1"/>
    <col min="4869" max="4869" width="6.140625" style="878" customWidth="1"/>
    <col min="4870" max="4870" width="6.42578125" style="878" customWidth="1"/>
    <col min="4871" max="4871" width="7" style="878" customWidth="1"/>
    <col min="4872" max="4872" width="4.42578125" style="878" customWidth="1"/>
    <col min="4873" max="5120" width="8.85546875" style="878"/>
    <col min="5121" max="5121" width="3.7109375" style="878" customWidth="1"/>
    <col min="5122" max="5122" width="33.42578125" style="878" customWidth="1"/>
    <col min="5123" max="5123" width="4.42578125" style="878" customWidth="1"/>
    <col min="5124" max="5124" width="6.5703125" style="878" customWidth="1"/>
    <col min="5125" max="5125" width="6.140625" style="878" customWidth="1"/>
    <col min="5126" max="5126" width="6.42578125" style="878" customWidth="1"/>
    <col min="5127" max="5127" width="7" style="878" customWidth="1"/>
    <col min="5128" max="5128" width="4.42578125" style="878" customWidth="1"/>
    <col min="5129" max="5376" width="8.85546875" style="878"/>
    <col min="5377" max="5377" width="3.7109375" style="878" customWidth="1"/>
    <col min="5378" max="5378" width="33.42578125" style="878" customWidth="1"/>
    <col min="5379" max="5379" width="4.42578125" style="878" customWidth="1"/>
    <col min="5380" max="5380" width="6.5703125" style="878" customWidth="1"/>
    <col min="5381" max="5381" width="6.140625" style="878" customWidth="1"/>
    <col min="5382" max="5382" width="6.42578125" style="878" customWidth="1"/>
    <col min="5383" max="5383" width="7" style="878" customWidth="1"/>
    <col min="5384" max="5384" width="4.42578125" style="878" customWidth="1"/>
    <col min="5385" max="5632" width="8.85546875" style="878"/>
    <col min="5633" max="5633" width="3.7109375" style="878" customWidth="1"/>
    <col min="5634" max="5634" width="33.42578125" style="878" customWidth="1"/>
    <col min="5635" max="5635" width="4.42578125" style="878" customWidth="1"/>
    <col min="5636" max="5636" width="6.5703125" style="878" customWidth="1"/>
    <col min="5637" max="5637" width="6.140625" style="878" customWidth="1"/>
    <col min="5638" max="5638" width="6.42578125" style="878" customWidth="1"/>
    <col min="5639" max="5639" width="7" style="878" customWidth="1"/>
    <col min="5640" max="5640" width="4.42578125" style="878" customWidth="1"/>
    <col min="5641" max="5888" width="8.85546875" style="878"/>
    <col min="5889" max="5889" width="3.7109375" style="878" customWidth="1"/>
    <col min="5890" max="5890" width="33.42578125" style="878" customWidth="1"/>
    <col min="5891" max="5891" width="4.42578125" style="878" customWidth="1"/>
    <col min="5892" max="5892" width="6.5703125" style="878" customWidth="1"/>
    <col min="5893" max="5893" width="6.140625" style="878" customWidth="1"/>
    <col min="5894" max="5894" width="6.42578125" style="878" customWidth="1"/>
    <col min="5895" max="5895" width="7" style="878" customWidth="1"/>
    <col min="5896" max="5896" width="4.42578125" style="878" customWidth="1"/>
    <col min="5897" max="6144" width="8.85546875" style="878"/>
    <col min="6145" max="6145" width="3.7109375" style="878" customWidth="1"/>
    <col min="6146" max="6146" width="33.42578125" style="878" customWidth="1"/>
    <col min="6147" max="6147" width="4.42578125" style="878" customWidth="1"/>
    <col min="6148" max="6148" width="6.5703125" style="878" customWidth="1"/>
    <col min="6149" max="6149" width="6.140625" style="878" customWidth="1"/>
    <col min="6150" max="6150" width="6.42578125" style="878" customWidth="1"/>
    <col min="6151" max="6151" width="7" style="878" customWidth="1"/>
    <col min="6152" max="6152" width="4.42578125" style="878" customWidth="1"/>
    <col min="6153" max="6400" width="8.85546875" style="878"/>
    <col min="6401" max="6401" width="3.7109375" style="878" customWidth="1"/>
    <col min="6402" max="6402" width="33.42578125" style="878" customWidth="1"/>
    <col min="6403" max="6403" width="4.42578125" style="878" customWidth="1"/>
    <col min="6404" max="6404" width="6.5703125" style="878" customWidth="1"/>
    <col min="6405" max="6405" width="6.140625" style="878" customWidth="1"/>
    <col min="6406" max="6406" width="6.42578125" style="878" customWidth="1"/>
    <col min="6407" max="6407" width="7" style="878" customWidth="1"/>
    <col min="6408" max="6408" width="4.42578125" style="878" customWidth="1"/>
    <col min="6409" max="6656" width="8.85546875" style="878"/>
    <col min="6657" max="6657" width="3.7109375" style="878" customWidth="1"/>
    <col min="6658" max="6658" width="33.42578125" style="878" customWidth="1"/>
    <col min="6659" max="6659" width="4.42578125" style="878" customWidth="1"/>
    <col min="6660" max="6660" width="6.5703125" style="878" customWidth="1"/>
    <col min="6661" max="6661" width="6.140625" style="878" customWidth="1"/>
    <col min="6662" max="6662" width="6.42578125" style="878" customWidth="1"/>
    <col min="6663" max="6663" width="7" style="878" customWidth="1"/>
    <col min="6664" max="6664" width="4.42578125" style="878" customWidth="1"/>
    <col min="6665" max="6912" width="8.85546875" style="878"/>
    <col min="6913" max="6913" width="3.7109375" style="878" customWidth="1"/>
    <col min="6914" max="6914" width="33.42578125" style="878" customWidth="1"/>
    <col min="6915" max="6915" width="4.42578125" style="878" customWidth="1"/>
    <col min="6916" max="6916" width="6.5703125" style="878" customWidth="1"/>
    <col min="6917" max="6917" width="6.140625" style="878" customWidth="1"/>
    <col min="6918" max="6918" width="6.42578125" style="878" customWidth="1"/>
    <col min="6919" max="6919" width="7" style="878" customWidth="1"/>
    <col min="6920" max="6920" width="4.42578125" style="878" customWidth="1"/>
    <col min="6921" max="7168" width="8.85546875" style="878"/>
    <col min="7169" max="7169" width="3.7109375" style="878" customWidth="1"/>
    <col min="7170" max="7170" width="33.42578125" style="878" customWidth="1"/>
    <col min="7171" max="7171" width="4.42578125" style="878" customWidth="1"/>
    <col min="7172" max="7172" width="6.5703125" style="878" customWidth="1"/>
    <col min="7173" max="7173" width="6.140625" style="878" customWidth="1"/>
    <col min="7174" max="7174" width="6.42578125" style="878" customWidth="1"/>
    <col min="7175" max="7175" width="7" style="878" customWidth="1"/>
    <col min="7176" max="7176" width="4.42578125" style="878" customWidth="1"/>
    <col min="7177" max="7424" width="8.85546875" style="878"/>
    <col min="7425" max="7425" width="3.7109375" style="878" customWidth="1"/>
    <col min="7426" max="7426" width="33.42578125" style="878" customWidth="1"/>
    <col min="7427" max="7427" width="4.42578125" style="878" customWidth="1"/>
    <col min="7428" max="7428" width="6.5703125" style="878" customWidth="1"/>
    <col min="7429" max="7429" width="6.140625" style="878" customWidth="1"/>
    <col min="7430" max="7430" width="6.42578125" style="878" customWidth="1"/>
    <col min="7431" max="7431" width="7" style="878" customWidth="1"/>
    <col min="7432" max="7432" width="4.42578125" style="878" customWidth="1"/>
    <col min="7433" max="7680" width="8.85546875" style="878"/>
    <col min="7681" max="7681" width="3.7109375" style="878" customWidth="1"/>
    <col min="7682" max="7682" width="33.42578125" style="878" customWidth="1"/>
    <col min="7683" max="7683" width="4.42578125" style="878" customWidth="1"/>
    <col min="7684" max="7684" width="6.5703125" style="878" customWidth="1"/>
    <col min="7685" max="7685" width="6.140625" style="878" customWidth="1"/>
    <col min="7686" max="7686" width="6.42578125" style="878" customWidth="1"/>
    <col min="7687" max="7687" width="7" style="878" customWidth="1"/>
    <col min="7688" max="7688" width="4.42578125" style="878" customWidth="1"/>
    <col min="7689" max="7936" width="8.85546875" style="878"/>
    <col min="7937" max="7937" width="3.7109375" style="878" customWidth="1"/>
    <col min="7938" max="7938" width="33.42578125" style="878" customWidth="1"/>
    <col min="7939" max="7939" width="4.42578125" style="878" customWidth="1"/>
    <col min="7940" max="7940" width="6.5703125" style="878" customWidth="1"/>
    <col min="7941" max="7941" width="6.140625" style="878" customWidth="1"/>
    <col min="7942" max="7942" width="6.42578125" style="878" customWidth="1"/>
    <col min="7943" max="7943" width="7" style="878" customWidth="1"/>
    <col min="7944" max="7944" width="4.42578125" style="878" customWidth="1"/>
    <col min="7945" max="8192" width="8.85546875" style="878"/>
    <col min="8193" max="8193" width="3.7109375" style="878" customWidth="1"/>
    <col min="8194" max="8194" width="33.42578125" style="878" customWidth="1"/>
    <col min="8195" max="8195" width="4.42578125" style="878" customWidth="1"/>
    <col min="8196" max="8196" width="6.5703125" style="878" customWidth="1"/>
    <col min="8197" max="8197" width="6.140625" style="878" customWidth="1"/>
    <col min="8198" max="8198" width="6.42578125" style="878" customWidth="1"/>
    <col min="8199" max="8199" width="7" style="878" customWidth="1"/>
    <col min="8200" max="8200" width="4.42578125" style="878" customWidth="1"/>
    <col min="8201" max="8448" width="8.85546875" style="878"/>
    <col min="8449" max="8449" width="3.7109375" style="878" customWidth="1"/>
    <col min="8450" max="8450" width="33.42578125" style="878" customWidth="1"/>
    <col min="8451" max="8451" width="4.42578125" style="878" customWidth="1"/>
    <col min="8452" max="8452" width="6.5703125" style="878" customWidth="1"/>
    <col min="8453" max="8453" width="6.140625" style="878" customWidth="1"/>
    <col min="8454" max="8454" width="6.42578125" style="878" customWidth="1"/>
    <col min="8455" max="8455" width="7" style="878" customWidth="1"/>
    <col min="8456" max="8456" width="4.42578125" style="878" customWidth="1"/>
    <col min="8457" max="8704" width="8.85546875" style="878"/>
    <col min="8705" max="8705" width="3.7109375" style="878" customWidth="1"/>
    <col min="8706" max="8706" width="33.42578125" style="878" customWidth="1"/>
    <col min="8707" max="8707" width="4.42578125" style="878" customWidth="1"/>
    <col min="8708" max="8708" width="6.5703125" style="878" customWidth="1"/>
    <col min="8709" max="8709" width="6.140625" style="878" customWidth="1"/>
    <col min="8710" max="8710" width="6.42578125" style="878" customWidth="1"/>
    <col min="8711" max="8711" width="7" style="878" customWidth="1"/>
    <col min="8712" max="8712" width="4.42578125" style="878" customWidth="1"/>
    <col min="8713" max="8960" width="8.85546875" style="878"/>
    <col min="8961" max="8961" width="3.7109375" style="878" customWidth="1"/>
    <col min="8962" max="8962" width="33.42578125" style="878" customWidth="1"/>
    <col min="8963" max="8963" width="4.42578125" style="878" customWidth="1"/>
    <col min="8964" max="8964" width="6.5703125" style="878" customWidth="1"/>
    <col min="8965" max="8965" width="6.140625" style="878" customWidth="1"/>
    <col min="8966" max="8966" width="6.42578125" style="878" customWidth="1"/>
    <col min="8967" max="8967" width="7" style="878" customWidth="1"/>
    <col min="8968" max="8968" width="4.42578125" style="878" customWidth="1"/>
    <col min="8969" max="9216" width="8.85546875" style="878"/>
    <col min="9217" max="9217" width="3.7109375" style="878" customWidth="1"/>
    <col min="9218" max="9218" width="33.42578125" style="878" customWidth="1"/>
    <col min="9219" max="9219" width="4.42578125" style="878" customWidth="1"/>
    <col min="9220" max="9220" width="6.5703125" style="878" customWidth="1"/>
    <col min="9221" max="9221" width="6.140625" style="878" customWidth="1"/>
    <col min="9222" max="9222" width="6.42578125" style="878" customWidth="1"/>
    <col min="9223" max="9223" width="7" style="878" customWidth="1"/>
    <col min="9224" max="9224" width="4.42578125" style="878" customWidth="1"/>
    <col min="9225" max="9472" width="8.85546875" style="878"/>
    <col min="9473" max="9473" width="3.7109375" style="878" customWidth="1"/>
    <col min="9474" max="9474" width="33.42578125" style="878" customWidth="1"/>
    <col min="9475" max="9475" width="4.42578125" style="878" customWidth="1"/>
    <col min="9476" max="9476" width="6.5703125" style="878" customWidth="1"/>
    <col min="9477" max="9477" width="6.140625" style="878" customWidth="1"/>
    <col min="9478" max="9478" width="6.42578125" style="878" customWidth="1"/>
    <col min="9479" max="9479" width="7" style="878" customWidth="1"/>
    <col min="9480" max="9480" width="4.42578125" style="878" customWidth="1"/>
    <col min="9481" max="9728" width="8.85546875" style="878"/>
    <col min="9729" max="9729" width="3.7109375" style="878" customWidth="1"/>
    <col min="9730" max="9730" width="33.42578125" style="878" customWidth="1"/>
    <col min="9731" max="9731" width="4.42578125" style="878" customWidth="1"/>
    <col min="9732" max="9732" width="6.5703125" style="878" customWidth="1"/>
    <col min="9733" max="9733" width="6.140625" style="878" customWidth="1"/>
    <col min="9734" max="9734" width="6.42578125" style="878" customWidth="1"/>
    <col min="9735" max="9735" width="7" style="878" customWidth="1"/>
    <col min="9736" max="9736" width="4.42578125" style="878" customWidth="1"/>
    <col min="9737" max="9984" width="8.85546875" style="878"/>
    <col min="9985" max="9985" width="3.7109375" style="878" customWidth="1"/>
    <col min="9986" max="9986" width="33.42578125" style="878" customWidth="1"/>
    <col min="9987" max="9987" width="4.42578125" style="878" customWidth="1"/>
    <col min="9988" max="9988" width="6.5703125" style="878" customWidth="1"/>
    <col min="9989" max="9989" width="6.140625" style="878" customWidth="1"/>
    <col min="9990" max="9990" width="6.42578125" style="878" customWidth="1"/>
    <col min="9991" max="9991" width="7" style="878" customWidth="1"/>
    <col min="9992" max="9992" width="4.42578125" style="878" customWidth="1"/>
    <col min="9993" max="10240" width="8.85546875" style="878"/>
    <col min="10241" max="10241" width="3.7109375" style="878" customWidth="1"/>
    <col min="10242" max="10242" width="33.42578125" style="878" customWidth="1"/>
    <col min="10243" max="10243" width="4.42578125" style="878" customWidth="1"/>
    <col min="10244" max="10244" width="6.5703125" style="878" customWidth="1"/>
    <col min="10245" max="10245" width="6.140625" style="878" customWidth="1"/>
    <col min="10246" max="10246" width="6.42578125" style="878" customWidth="1"/>
    <col min="10247" max="10247" width="7" style="878" customWidth="1"/>
    <col min="10248" max="10248" width="4.42578125" style="878" customWidth="1"/>
    <col min="10249" max="10496" width="8.85546875" style="878"/>
    <col min="10497" max="10497" width="3.7109375" style="878" customWidth="1"/>
    <col min="10498" max="10498" width="33.42578125" style="878" customWidth="1"/>
    <col min="10499" max="10499" width="4.42578125" style="878" customWidth="1"/>
    <col min="10500" max="10500" width="6.5703125" style="878" customWidth="1"/>
    <col min="10501" max="10501" width="6.140625" style="878" customWidth="1"/>
    <col min="10502" max="10502" width="6.42578125" style="878" customWidth="1"/>
    <col min="10503" max="10503" width="7" style="878" customWidth="1"/>
    <col min="10504" max="10504" width="4.42578125" style="878" customWidth="1"/>
    <col min="10505" max="10752" width="8.85546875" style="878"/>
    <col min="10753" max="10753" width="3.7109375" style="878" customWidth="1"/>
    <col min="10754" max="10754" width="33.42578125" style="878" customWidth="1"/>
    <col min="10755" max="10755" width="4.42578125" style="878" customWidth="1"/>
    <col min="10756" max="10756" width="6.5703125" style="878" customWidth="1"/>
    <col min="10757" max="10757" width="6.140625" style="878" customWidth="1"/>
    <col min="10758" max="10758" width="6.42578125" style="878" customWidth="1"/>
    <col min="10759" max="10759" width="7" style="878" customWidth="1"/>
    <col min="10760" max="10760" width="4.42578125" style="878" customWidth="1"/>
    <col min="10761" max="11008" width="8.85546875" style="878"/>
    <col min="11009" max="11009" width="3.7109375" style="878" customWidth="1"/>
    <col min="11010" max="11010" width="33.42578125" style="878" customWidth="1"/>
    <col min="11011" max="11011" width="4.42578125" style="878" customWidth="1"/>
    <col min="11012" max="11012" width="6.5703125" style="878" customWidth="1"/>
    <col min="11013" max="11013" width="6.140625" style="878" customWidth="1"/>
    <col min="11014" max="11014" width="6.42578125" style="878" customWidth="1"/>
    <col min="11015" max="11015" width="7" style="878" customWidth="1"/>
    <col min="11016" max="11016" width="4.42578125" style="878" customWidth="1"/>
    <col min="11017" max="11264" width="8.85546875" style="878"/>
    <col min="11265" max="11265" width="3.7109375" style="878" customWidth="1"/>
    <col min="11266" max="11266" width="33.42578125" style="878" customWidth="1"/>
    <col min="11267" max="11267" width="4.42578125" style="878" customWidth="1"/>
    <col min="11268" max="11268" width="6.5703125" style="878" customWidth="1"/>
    <col min="11269" max="11269" width="6.140625" style="878" customWidth="1"/>
    <col min="11270" max="11270" width="6.42578125" style="878" customWidth="1"/>
    <col min="11271" max="11271" width="7" style="878" customWidth="1"/>
    <col min="11272" max="11272" width="4.42578125" style="878" customWidth="1"/>
    <col min="11273" max="11520" width="8.85546875" style="878"/>
    <col min="11521" max="11521" width="3.7109375" style="878" customWidth="1"/>
    <col min="11522" max="11522" width="33.42578125" style="878" customWidth="1"/>
    <col min="11523" max="11523" width="4.42578125" style="878" customWidth="1"/>
    <col min="11524" max="11524" width="6.5703125" style="878" customWidth="1"/>
    <col min="11525" max="11525" width="6.140625" style="878" customWidth="1"/>
    <col min="11526" max="11526" width="6.42578125" style="878" customWidth="1"/>
    <col min="11527" max="11527" width="7" style="878" customWidth="1"/>
    <col min="11528" max="11528" width="4.42578125" style="878" customWidth="1"/>
    <col min="11529" max="11776" width="8.85546875" style="878"/>
    <col min="11777" max="11777" width="3.7109375" style="878" customWidth="1"/>
    <col min="11778" max="11778" width="33.42578125" style="878" customWidth="1"/>
    <col min="11779" max="11779" width="4.42578125" style="878" customWidth="1"/>
    <col min="11780" max="11780" width="6.5703125" style="878" customWidth="1"/>
    <col min="11781" max="11781" width="6.140625" style="878" customWidth="1"/>
    <col min="11782" max="11782" width="6.42578125" style="878" customWidth="1"/>
    <col min="11783" max="11783" width="7" style="878" customWidth="1"/>
    <col min="11784" max="11784" width="4.42578125" style="878" customWidth="1"/>
    <col min="11785" max="12032" width="8.85546875" style="878"/>
    <col min="12033" max="12033" width="3.7109375" style="878" customWidth="1"/>
    <col min="12034" max="12034" width="33.42578125" style="878" customWidth="1"/>
    <col min="12035" max="12035" width="4.42578125" style="878" customWidth="1"/>
    <col min="12036" max="12036" width="6.5703125" style="878" customWidth="1"/>
    <col min="12037" max="12037" width="6.140625" style="878" customWidth="1"/>
    <col min="12038" max="12038" width="6.42578125" style="878" customWidth="1"/>
    <col min="12039" max="12039" width="7" style="878" customWidth="1"/>
    <col min="12040" max="12040" width="4.42578125" style="878" customWidth="1"/>
    <col min="12041" max="12288" width="8.85546875" style="878"/>
    <col min="12289" max="12289" width="3.7109375" style="878" customWidth="1"/>
    <col min="12290" max="12290" width="33.42578125" style="878" customWidth="1"/>
    <col min="12291" max="12291" width="4.42578125" style="878" customWidth="1"/>
    <col min="12292" max="12292" width="6.5703125" style="878" customWidth="1"/>
    <col min="12293" max="12293" width="6.140625" style="878" customWidth="1"/>
    <col min="12294" max="12294" width="6.42578125" style="878" customWidth="1"/>
    <col min="12295" max="12295" width="7" style="878" customWidth="1"/>
    <col min="12296" max="12296" width="4.42578125" style="878" customWidth="1"/>
    <col min="12297" max="12544" width="8.85546875" style="878"/>
    <col min="12545" max="12545" width="3.7109375" style="878" customWidth="1"/>
    <col min="12546" max="12546" width="33.42578125" style="878" customWidth="1"/>
    <col min="12547" max="12547" width="4.42578125" style="878" customWidth="1"/>
    <col min="12548" max="12548" width="6.5703125" style="878" customWidth="1"/>
    <col min="12549" max="12549" width="6.140625" style="878" customWidth="1"/>
    <col min="12550" max="12550" width="6.42578125" style="878" customWidth="1"/>
    <col min="12551" max="12551" width="7" style="878" customWidth="1"/>
    <col min="12552" max="12552" width="4.42578125" style="878" customWidth="1"/>
    <col min="12553" max="12800" width="8.85546875" style="878"/>
    <col min="12801" max="12801" width="3.7109375" style="878" customWidth="1"/>
    <col min="12802" max="12802" width="33.42578125" style="878" customWidth="1"/>
    <col min="12803" max="12803" width="4.42578125" style="878" customWidth="1"/>
    <col min="12804" max="12804" width="6.5703125" style="878" customWidth="1"/>
    <col min="12805" max="12805" width="6.140625" style="878" customWidth="1"/>
    <col min="12806" max="12806" width="6.42578125" style="878" customWidth="1"/>
    <col min="12807" max="12807" width="7" style="878" customWidth="1"/>
    <col min="12808" max="12808" width="4.42578125" style="878" customWidth="1"/>
    <col min="12809" max="13056" width="8.85546875" style="878"/>
    <col min="13057" max="13057" width="3.7109375" style="878" customWidth="1"/>
    <col min="13058" max="13058" width="33.42578125" style="878" customWidth="1"/>
    <col min="13059" max="13059" width="4.42578125" style="878" customWidth="1"/>
    <col min="13060" max="13060" width="6.5703125" style="878" customWidth="1"/>
    <col min="13061" max="13061" width="6.140625" style="878" customWidth="1"/>
    <col min="13062" max="13062" width="6.42578125" style="878" customWidth="1"/>
    <col min="13063" max="13063" width="7" style="878" customWidth="1"/>
    <col min="13064" max="13064" width="4.42578125" style="878" customWidth="1"/>
    <col min="13065" max="13312" width="8.85546875" style="878"/>
    <col min="13313" max="13313" width="3.7109375" style="878" customWidth="1"/>
    <col min="13314" max="13314" width="33.42578125" style="878" customWidth="1"/>
    <col min="13315" max="13315" width="4.42578125" style="878" customWidth="1"/>
    <col min="13316" max="13316" width="6.5703125" style="878" customWidth="1"/>
    <col min="13317" max="13317" width="6.140625" style="878" customWidth="1"/>
    <col min="13318" max="13318" width="6.42578125" style="878" customWidth="1"/>
    <col min="13319" max="13319" width="7" style="878" customWidth="1"/>
    <col min="13320" max="13320" width="4.42578125" style="878" customWidth="1"/>
    <col min="13321" max="13568" width="8.85546875" style="878"/>
    <col min="13569" max="13569" width="3.7109375" style="878" customWidth="1"/>
    <col min="13570" max="13570" width="33.42578125" style="878" customWidth="1"/>
    <col min="13571" max="13571" width="4.42578125" style="878" customWidth="1"/>
    <col min="13572" max="13572" width="6.5703125" style="878" customWidth="1"/>
    <col min="13573" max="13573" width="6.140625" style="878" customWidth="1"/>
    <col min="13574" max="13574" width="6.42578125" style="878" customWidth="1"/>
    <col min="13575" max="13575" width="7" style="878" customWidth="1"/>
    <col min="13576" max="13576" width="4.42578125" style="878" customWidth="1"/>
    <col min="13577" max="13824" width="8.85546875" style="878"/>
    <col min="13825" max="13825" width="3.7109375" style="878" customWidth="1"/>
    <col min="13826" max="13826" width="33.42578125" style="878" customWidth="1"/>
    <col min="13827" max="13827" width="4.42578125" style="878" customWidth="1"/>
    <col min="13828" max="13828" width="6.5703125" style="878" customWidth="1"/>
    <col min="13829" max="13829" width="6.140625" style="878" customWidth="1"/>
    <col min="13830" max="13830" width="6.42578125" style="878" customWidth="1"/>
    <col min="13831" max="13831" width="7" style="878" customWidth="1"/>
    <col min="13832" max="13832" width="4.42578125" style="878" customWidth="1"/>
    <col min="13833" max="14080" width="8.85546875" style="878"/>
    <col min="14081" max="14081" width="3.7109375" style="878" customWidth="1"/>
    <col min="14082" max="14082" width="33.42578125" style="878" customWidth="1"/>
    <col min="14083" max="14083" width="4.42578125" style="878" customWidth="1"/>
    <col min="14084" max="14084" width="6.5703125" style="878" customWidth="1"/>
    <col min="14085" max="14085" width="6.140625" style="878" customWidth="1"/>
    <col min="14086" max="14086" width="6.42578125" style="878" customWidth="1"/>
    <col min="14087" max="14087" width="7" style="878" customWidth="1"/>
    <col min="14088" max="14088" width="4.42578125" style="878" customWidth="1"/>
    <col min="14089" max="14336" width="8.85546875" style="878"/>
    <col min="14337" max="14337" width="3.7109375" style="878" customWidth="1"/>
    <col min="14338" max="14338" width="33.42578125" style="878" customWidth="1"/>
    <col min="14339" max="14339" width="4.42578125" style="878" customWidth="1"/>
    <col min="14340" max="14340" width="6.5703125" style="878" customWidth="1"/>
    <col min="14341" max="14341" width="6.140625" style="878" customWidth="1"/>
    <col min="14342" max="14342" width="6.42578125" style="878" customWidth="1"/>
    <col min="14343" max="14343" width="7" style="878" customWidth="1"/>
    <col min="14344" max="14344" width="4.42578125" style="878" customWidth="1"/>
    <col min="14345" max="14592" width="8.85546875" style="878"/>
    <col min="14593" max="14593" width="3.7109375" style="878" customWidth="1"/>
    <col min="14594" max="14594" width="33.42578125" style="878" customWidth="1"/>
    <col min="14595" max="14595" width="4.42578125" style="878" customWidth="1"/>
    <col min="14596" max="14596" width="6.5703125" style="878" customWidth="1"/>
    <col min="14597" max="14597" width="6.140625" style="878" customWidth="1"/>
    <col min="14598" max="14598" width="6.42578125" style="878" customWidth="1"/>
    <col min="14599" max="14599" width="7" style="878" customWidth="1"/>
    <col min="14600" max="14600" width="4.42578125" style="878" customWidth="1"/>
    <col min="14601" max="14848" width="8.85546875" style="878"/>
    <col min="14849" max="14849" width="3.7109375" style="878" customWidth="1"/>
    <col min="14850" max="14850" width="33.42578125" style="878" customWidth="1"/>
    <col min="14851" max="14851" width="4.42578125" style="878" customWidth="1"/>
    <col min="14852" max="14852" width="6.5703125" style="878" customWidth="1"/>
    <col min="14853" max="14853" width="6.140625" style="878" customWidth="1"/>
    <col min="14854" max="14854" width="6.42578125" style="878" customWidth="1"/>
    <col min="14855" max="14855" width="7" style="878" customWidth="1"/>
    <col min="14856" max="14856" width="4.42578125" style="878" customWidth="1"/>
    <col min="14857" max="15104" width="8.85546875" style="878"/>
    <col min="15105" max="15105" width="3.7109375" style="878" customWidth="1"/>
    <col min="15106" max="15106" width="33.42578125" style="878" customWidth="1"/>
    <col min="15107" max="15107" width="4.42578125" style="878" customWidth="1"/>
    <col min="15108" max="15108" width="6.5703125" style="878" customWidth="1"/>
    <col min="15109" max="15109" width="6.140625" style="878" customWidth="1"/>
    <col min="15110" max="15110" width="6.42578125" style="878" customWidth="1"/>
    <col min="15111" max="15111" width="7" style="878" customWidth="1"/>
    <col min="15112" max="15112" width="4.42578125" style="878" customWidth="1"/>
    <col min="15113" max="15360" width="8.85546875" style="878"/>
    <col min="15361" max="15361" width="3.7109375" style="878" customWidth="1"/>
    <col min="15362" max="15362" width="33.42578125" style="878" customWidth="1"/>
    <col min="15363" max="15363" width="4.42578125" style="878" customWidth="1"/>
    <col min="15364" max="15364" width="6.5703125" style="878" customWidth="1"/>
    <col min="15365" max="15365" width="6.140625" style="878" customWidth="1"/>
    <col min="15366" max="15366" width="6.42578125" style="878" customWidth="1"/>
    <col min="15367" max="15367" width="7" style="878" customWidth="1"/>
    <col min="15368" max="15368" width="4.42578125" style="878" customWidth="1"/>
    <col min="15369" max="15616" width="8.85546875" style="878"/>
    <col min="15617" max="15617" width="3.7109375" style="878" customWidth="1"/>
    <col min="15618" max="15618" width="33.42578125" style="878" customWidth="1"/>
    <col min="15619" max="15619" width="4.42578125" style="878" customWidth="1"/>
    <col min="15620" max="15620" width="6.5703125" style="878" customWidth="1"/>
    <col min="15621" max="15621" width="6.140625" style="878" customWidth="1"/>
    <col min="15622" max="15622" width="6.42578125" style="878" customWidth="1"/>
    <col min="15623" max="15623" width="7" style="878" customWidth="1"/>
    <col min="15624" max="15624" width="4.42578125" style="878" customWidth="1"/>
    <col min="15625" max="15872" width="8.85546875" style="878"/>
    <col min="15873" max="15873" width="3.7109375" style="878" customWidth="1"/>
    <col min="15874" max="15874" width="33.42578125" style="878" customWidth="1"/>
    <col min="15875" max="15875" width="4.42578125" style="878" customWidth="1"/>
    <col min="15876" max="15876" width="6.5703125" style="878" customWidth="1"/>
    <col min="15877" max="15877" width="6.140625" style="878" customWidth="1"/>
    <col min="15878" max="15878" width="6.42578125" style="878" customWidth="1"/>
    <col min="15879" max="15879" width="7" style="878" customWidth="1"/>
    <col min="15880" max="15880" width="4.42578125" style="878" customWidth="1"/>
    <col min="15881" max="16128" width="8.85546875" style="878"/>
    <col min="16129" max="16129" width="3.7109375" style="878" customWidth="1"/>
    <col min="16130" max="16130" width="33.42578125" style="878" customWidth="1"/>
    <col min="16131" max="16131" width="4.42578125" style="878" customWidth="1"/>
    <col min="16132" max="16132" width="6.5703125" style="878" customWidth="1"/>
    <col min="16133" max="16133" width="6.140625" style="878" customWidth="1"/>
    <col min="16134" max="16134" width="6.42578125" style="878" customWidth="1"/>
    <col min="16135" max="16135" width="7" style="878" customWidth="1"/>
    <col min="16136" max="16136" width="4.42578125" style="878" customWidth="1"/>
    <col min="16137" max="16384" width="8.85546875" style="878"/>
  </cols>
  <sheetData>
    <row r="1" spans="1:12" ht="26.25" customHeight="1">
      <c r="A1" s="3013" t="s">
        <v>1324</v>
      </c>
      <c r="B1" s="3013"/>
      <c r="C1" s="3013"/>
      <c r="D1" s="3013"/>
      <c r="E1" s="3013"/>
      <c r="F1" s="3013"/>
      <c r="G1" s="3013"/>
      <c r="H1" s="3013"/>
      <c r="I1" s="3013"/>
      <c r="J1" s="3013"/>
    </row>
    <row r="2" spans="1:12" ht="15.75">
      <c r="A2" s="3014">
        <f>'Entry for Rates'!F4</f>
        <v>0</v>
      </c>
      <c r="B2" s="3015"/>
      <c r="C2" s="3015"/>
      <c r="D2" s="3015"/>
      <c r="E2" s="3015"/>
      <c r="F2" s="3015"/>
      <c r="G2" s="3015"/>
      <c r="H2" s="3015"/>
    </row>
    <row r="3" spans="1:12">
      <c r="A3" s="879"/>
      <c r="B3" s="880" t="s">
        <v>1502</v>
      </c>
      <c r="C3" s="881">
        <v>2</v>
      </c>
      <c r="D3" s="882" t="s">
        <v>1503</v>
      </c>
      <c r="E3" s="881">
        <v>1</v>
      </c>
      <c r="G3" s="880" t="s">
        <v>1504</v>
      </c>
      <c r="H3" s="881">
        <v>2.5</v>
      </c>
    </row>
    <row r="4" spans="1:12">
      <c r="A4" s="883"/>
      <c r="B4" s="884"/>
      <c r="C4" s="884"/>
      <c r="D4" s="885"/>
      <c r="E4" s="885"/>
      <c r="F4" s="884"/>
      <c r="G4" s="884"/>
      <c r="H4" s="884"/>
    </row>
    <row r="5" spans="1:12">
      <c r="A5" s="886" t="s">
        <v>961</v>
      </c>
      <c r="B5" s="887" t="s">
        <v>1423</v>
      </c>
      <c r="C5" s="887" t="s">
        <v>1087</v>
      </c>
      <c r="D5" s="887" t="s">
        <v>22</v>
      </c>
      <c r="E5" s="887" t="s">
        <v>23</v>
      </c>
      <c r="F5" s="887" t="s">
        <v>24</v>
      </c>
      <c r="G5" s="887" t="s">
        <v>964</v>
      </c>
      <c r="H5" s="888" t="s">
        <v>1035</v>
      </c>
      <c r="I5" s="889" t="s">
        <v>97</v>
      </c>
      <c r="J5" s="890" t="s">
        <v>52</v>
      </c>
    </row>
    <row r="6" spans="1:12">
      <c r="A6" s="891"/>
      <c r="B6" s="892"/>
      <c r="C6" s="892"/>
      <c r="D6" s="892"/>
      <c r="E6" s="892"/>
      <c r="F6" s="892"/>
      <c r="G6" s="892"/>
      <c r="H6" s="892"/>
      <c r="I6" s="893"/>
      <c r="J6" s="894"/>
    </row>
    <row r="7" spans="1:12">
      <c r="A7" s="895">
        <v>1</v>
      </c>
      <c r="B7" s="896" t="s">
        <v>129</v>
      </c>
      <c r="C7" s="897"/>
      <c r="D7" s="897">
        <v>3</v>
      </c>
      <c r="E7" s="897">
        <v>2</v>
      </c>
      <c r="F7" s="897"/>
      <c r="G7" s="897">
        <f>D7*E7</f>
        <v>6</v>
      </c>
      <c r="H7" s="898" t="s">
        <v>47</v>
      </c>
      <c r="I7" s="899">
        <f>Rates!$F$7</f>
        <v>149.5</v>
      </c>
      <c r="J7" s="750">
        <f>ROUND(G7*I7,2)</f>
        <v>897</v>
      </c>
    </row>
    <row r="8" spans="1:12">
      <c r="A8" s="900">
        <v>2</v>
      </c>
      <c r="B8" s="896" t="s">
        <v>1505</v>
      </c>
      <c r="C8" s="901"/>
      <c r="D8" s="902"/>
      <c r="E8" s="902"/>
      <c r="F8" s="898"/>
      <c r="G8" s="902"/>
      <c r="H8" s="898"/>
      <c r="I8" s="899"/>
      <c r="J8" s="750"/>
    </row>
    <row r="9" spans="1:12">
      <c r="A9" s="900"/>
      <c r="B9" s="896"/>
      <c r="C9" s="901">
        <v>1</v>
      </c>
      <c r="D9" s="902">
        <f>C3+0.45*2</f>
        <v>2.9</v>
      </c>
      <c r="E9" s="902">
        <f>E3+0.45*2</f>
        <v>1.9</v>
      </c>
      <c r="F9" s="902">
        <f>H3</f>
        <v>2.5</v>
      </c>
      <c r="G9" s="902">
        <f>C9*D9*E9*F9</f>
        <v>13.774999999999999</v>
      </c>
      <c r="H9" s="898" t="s">
        <v>29</v>
      </c>
      <c r="I9" s="899">
        <f>Rates!$F$9</f>
        <v>1480.63</v>
      </c>
      <c r="J9" s="750">
        <f>ROUND(G9*I9,2)</f>
        <v>20395.68</v>
      </c>
    </row>
    <row r="10" spans="1:12">
      <c r="A10" s="900"/>
      <c r="B10" s="896"/>
      <c r="C10" s="901"/>
      <c r="D10" s="902"/>
      <c r="E10" s="902"/>
      <c r="F10" s="902"/>
      <c r="G10" s="902"/>
      <c r="H10" s="898"/>
      <c r="I10" s="899"/>
      <c r="J10" s="750"/>
    </row>
    <row r="11" spans="1:12">
      <c r="A11" s="900">
        <v>3</v>
      </c>
      <c r="B11" s="896" t="s">
        <v>1478</v>
      </c>
      <c r="C11" s="901">
        <v>1</v>
      </c>
      <c r="D11" s="902">
        <f>C3+0.45*2</f>
        <v>2.9</v>
      </c>
      <c r="E11" s="902">
        <f>E3+0.45*2</f>
        <v>1.9</v>
      </c>
      <c r="F11" s="902">
        <v>0.15</v>
      </c>
      <c r="G11" s="902">
        <f>C11*D11*E11*F11</f>
        <v>0.8264999999999999</v>
      </c>
      <c r="H11" s="898" t="s">
        <v>29</v>
      </c>
      <c r="I11" s="899">
        <f>Rates!$F$19</f>
        <v>5523.35</v>
      </c>
      <c r="J11" s="750">
        <f>ROUND(G11*I11,2)</f>
        <v>4565.05</v>
      </c>
    </row>
    <row r="12" spans="1:12">
      <c r="A12" s="900">
        <v>4</v>
      </c>
      <c r="B12" s="896" t="s">
        <v>1506</v>
      </c>
      <c r="C12" s="901"/>
      <c r="D12" s="902"/>
      <c r="E12" s="902"/>
      <c r="F12" s="902"/>
      <c r="G12" s="902"/>
      <c r="H12" s="903"/>
      <c r="I12" s="748"/>
      <c r="J12" s="750"/>
    </row>
    <row r="13" spans="1:12">
      <c r="A13" s="900"/>
      <c r="B13" s="903" t="s">
        <v>1507</v>
      </c>
      <c r="C13" s="901">
        <v>1</v>
      </c>
      <c r="D13" s="902">
        <f>C3+0.45*2</f>
        <v>2.9</v>
      </c>
      <c r="E13" s="902">
        <f>E3+0.45*2</f>
        <v>1.9</v>
      </c>
      <c r="F13" s="902">
        <v>0.1</v>
      </c>
      <c r="G13" s="904">
        <f>C13*D13*E13*F13</f>
        <v>0.55100000000000005</v>
      </c>
      <c r="H13" s="902"/>
      <c r="I13" s="748"/>
      <c r="J13" s="750"/>
    </row>
    <row r="14" spans="1:12">
      <c r="A14" s="900"/>
      <c r="B14" s="905" t="s">
        <v>1508</v>
      </c>
      <c r="C14" s="901">
        <v>5</v>
      </c>
      <c r="D14" s="902">
        <v>0.45</v>
      </c>
      <c r="E14" s="902">
        <v>0.2</v>
      </c>
      <c r="F14" s="902">
        <v>0.2</v>
      </c>
      <c r="G14" s="904">
        <f>C14*D14*E14*F14</f>
        <v>9.0000000000000011E-2</v>
      </c>
      <c r="H14" s="903"/>
      <c r="I14" s="748"/>
      <c r="J14" s="750"/>
    </row>
    <row r="15" spans="1:12">
      <c r="A15" s="900"/>
      <c r="B15" s="905" t="s">
        <v>1509</v>
      </c>
      <c r="C15" s="901">
        <v>1</v>
      </c>
      <c r="D15" s="902">
        <f>E3</f>
        <v>1</v>
      </c>
      <c r="E15" s="902">
        <f>E22</f>
        <v>0.35</v>
      </c>
      <c r="F15" s="902">
        <v>0.1</v>
      </c>
      <c r="G15" s="904">
        <f>C15*D15*E15*F15</f>
        <v>3.4999999999999996E-2</v>
      </c>
      <c r="H15" s="903"/>
      <c r="I15" s="748"/>
      <c r="J15" s="750"/>
      <c r="L15" s="750"/>
    </row>
    <row r="16" spans="1:12">
      <c r="A16" s="900"/>
      <c r="B16" s="905" t="s">
        <v>1510</v>
      </c>
      <c r="C16" s="901">
        <v>1</v>
      </c>
      <c r="D16" s="902">
        <f>C3+0.45*2</f>
        <v>2.9</v>
      </c>
      <c r="E16" s="902">
        <f>E3+0.45*2</f>
        <v>1.9</v>
      </c>
      <c r="F16" s="902">
        <v>0.1</v>
      </c>
      <c r="G16" s="904">
        <f>C16*D16*E16*F16</f>
        <v>0.55100000000000005</v>
      </c>
      <c r="H16" s="903"/>
      <c r="I16" s="748"/>
      <c r="J16" s="750"/>
    </row>
    <row r="17" spans="1:13">
      <c r="A17" s="900"/>
      <c r="B17" s="905" t="s">
        <v>1511</v>
      </c>
      <c r="C17" s="901"/>
      <c r="D17" s="902"/>
      <c r="E17" s="902"/>
      <c r="F17" s="902"/>
      <c r="G17" s="902"/>
      <c r="H17" s="903"/>
      <c r="I17" s="748"/>
      <c r="J17" s="750"/>
    </row>
    <row r="18" spans="1:13">
      <c r="A18" s="900"/>
      <c r="B18" s="905" t="s">
        <v>1512</v>
      </c>
      <c r="C18" s="901">
        <v>2</v>
      </c>
      <c r="D18" s="906">
        <v>0.6</v>
      </c>
      <c r="E18" s="902">
        <v>0.6</v>
      </c>
      <c r="F18" s="902">
        <v>0.05</v>
      </c>
      <c r="G18" s="904">
        <f>-C18*D18*E18*F18</f>
        <v>-3.5999999999999997E-2</v>
      </c>
      <c r="H18" s="903"/>
      <c r="J18" s="750"/>
    </row>
    <row r="19" spans="1:13">
      <c r="A19" s="900"/>
      <c r="B19" s="905" t="s">
        <v>1108</v>
      </c>
      <c r="C19" s="901"/>
      <c r="D19" s="902"/>
      <c r="E19" s="902"/>
      <c r="F19" s="902"/>
      <c r="G19" s="904">
        <f>SUM(G12:G18)</f>
        <v>1.1910000000000001</v>
      </c>
      <c r="H19" s="898" t="s">
        <v>29</v>
      </c>
      <c r="I19" s="899">
        <f>Rates!$F$32</f>
        <v>16022.87</v>
      </c>
      <c r="J19" s="750">
        <f>ROUND(G19*I19,2)</f>
        <v>19083.240000000002</v>
      </c>
    </row>
    <row r="20" spans="1:13">
      <c r="A20" s="900">
        <v>5</v>
      </c>
      <c r="B20" s="896" t="s">
        <v>1513</v>
      </c>
      <c r="C20" s="901"/>
      <c r="D20" s="902"/>
      <c r="E20" s="902"/>
      <c r="F20" s="902"/>
      <c r="G20" s="902"/>
      <c r="H20" s="902"/>
      <c r="I20" s="748"/>
      <c r="J20" s="750"/>
    </row>
    <row r="21" spans="1:13">
      <c r="A21" s="900"/>
      <c r="B21" s="905" t="s">
        <v>1514</v>
      </c>
      <c r="C21" s="901">
        <v>1</v>
      </c>
      <c r="D21" s="902">
        <f>(C3+0.9+E3)*2</f>
        <v>7.8</v>
      </c>
      <c r="E21" s="902">
        <v>0.45</v>
      </c>
      <c r="F21" s="902">
        <f>H3</f>
        <v>2.5</v>
      </c>
      <c r="G21" s="902">
        <f>C21*D21*E21*F21</f>
        <v>8.7749999999999986</v>
      </c>
      <c r="H21" s="902"/>
      <c r="I21" s="748"/>
      <c r="J21" s="750"/>
    </row>
    <row r="22" spans="1:13">
      <c r="A22" s="900"/>
      <c r="B22" s="905" t="s">
        <v>1515</v>
      </c>
      <c r="C22" s="901">
        <v>1</v>
      </c>
      <c r="D22" s="902">
        <f>+E3</f>
        <v>1</v>
      </c>
      <c r="E22" s="902">
        <v>0.35</v>
      </c>
      <c r="F22" s="902">
        <v>0.6</v>
      </c>
      <c r="G22" s="902">
        <f>C22*D22*E22*F22</f>
        <v>0.21</v>
      </c>
      <c r="H22" s="902"/>
      <c r="I22" s="748"/>
      <c r="J22" s="750"/>
      <c r="M22" s="750"/>
    </row>
    <row r="23" spans="1:13">
      <c r="A23" s="900"/>
      <c r="B23" s="905" t="s">
        <v>1516</v>
      </c>
      <c r="C23" s="901">
        <f>C14</f>
        <v>5</v>
      </c>
      <c r="D23" s="902">
        <f>D14</f>
        <v>0.45</v>
      </c>
      <c r="E23" s="902">
        <f>E14</f>
        <v>0.2</v>
      </c>
      <c r="F23" s="902">
        <f>F14</f>
        <v>0.2</v>
      </c>
      <c r="G23" s="902">
        <f>-C23*D23*E23*F23</f>
        <v>-9.0000000000000011E-2</v>
      </c>
      <c r="H23" s="902"/>
      <c r="J23" s="750"/>
    </row>
    <row r="24" spans="1:13">
      <c r="A24" s="900"/>
      <c r="B24" s="905" t="s">
        <v>1108</v>
      </c>
      <c r="C24" s="901"/>
      <c r="D24" s="902"/>
      <c r="E24" s="902"/>
      <c r="F24" s="902"/>
      <c r="G24" s="902">
        <f>SUM(G20:G23)</f>
        <v>8.8949999999999996</v>
      </c>
      <c r="H24" s="898" t="s">
        <v>29</v>
      </c>
      <c r="I24" s="899">
        <f>Rates!$F$24</f>
        <v>15619.64</v>
      </c>
      <c r="J24" s="750">
        <f>ROUND(G24*I24,2)</f>
        <v>138936.70000000001</v>
      </c>
    </row>
    <row r="25" spans="1:13">
      <c r="A25" s="900">
        <v>6</v>
      </c>
      <c r="B25" s="896" t="s">
        <v>1517</v>
      </c>
      <c r="C25" s="901"/>
      <c r="D25" s="902"/>
      <c r="E25" s="902"/>
      <c r="F25" s="902"/>
      <c r="G25" s="902"/>
      <c r="H25" s="902"/>
      <c r="I25" s="748"/>
      <c r="J25" s="750"/>
    </row>
    <row r="26" spans="1:13">
      <c r="A26" s="900"/>
      <c r="B26" s="903" t="s">
        <v>1518</v>
      </c>
      <c r="C26" s="901">
        <v>1</v>
      </c>
      <c r="D26" s="902">
        <f>C3-E22</f>
        <v>1.65</v>
      </c>
      <c r="E26" s="898">
        <f>E3</f>
        <v>1</v>
      </c>
      <c r="F26" s="902"/>
      <c r="G26" s="902">
        <f>D26*E26</f>
        <v>1.65</v>
      </c>
      <c r="H26" s="902"/>
      <c r="I26" s="748"/>
      <c r="J26" s="750"/>
    </row>
    <row r="27" spans="1:13">
      <c r="A27" s="900"/>
      <c r="B27" s="905" t="s">
        <v>1519</v>
      </c>
      <c r="C27" s="901">
        <v>1</v>
      </c>
      <c r="D27" s="902">
        <f>2*(D9+E9)</f>
        <v>9.6</v>
      </c>
      <c r="E27" s="898" t="s">
        <v>44</v>
      </c>
      <c r="F27" s="902">
        <f>+F16</f>
        <v>0.1</v>
      </c>
      <c r="G27" s="902">
        <f>ROUND(+C27*D27*F27,2)</f>
        <v>0.96</v>
      </c>
      <c r="H27" s="902"/>
      <c r="J27" s="750"/>
    </row>
    <row r="28" spans="1:13">
      <c r="A28" s="900"/>
      <c r="B28" s="905" t="s">
        <v>1520</v>
      </c>
      <c r="C28" s="901"/>
      <c r="D28" s="902"/>
      <c r="E28" s="902"/>
      <c r="F28" s="898"/>
      <c r="G28" s="902">
        <f>SUM(G26:G27)</f>
        <v>2.61</v>
      </c>
      <c r="H28" s="898" t="s">
        <v>47</v>
      </c>
      <c r="I28" s="899">
        <f>Rates!$F$40</f>
        <v>1322.68</v>
      </c>
      <c r="J28" s="750">
        <f>ROUND(G28*I28,2)</f>
        <v>3452.19</v>
      </c>
    </row>
    <row r="29" spans="1:13">
      <c r="A29" s="900"/>
      <c r="B29" s="905"/>
      <c r="C29" s="901"/>
      <c r="D29" s="902"/>
      <c r="E29" s="902"/>
      <c r="F29" s="898"/>
      <c r="G29" s="902"/>
      <c r="H29" s="898"/>
      <c r="I29" s="748"/>
      <c r="J29" s="750"/>
    </row>
    <row r="30" spans="1:13">
      <c r="A30" s="900">
        <v>7</v>
      </c>
      <c r="B30" s="896" t="s">
        <v>1521</v>
      </c>
      <c r="C30" s="901"/>
      <c r="D30" s="902"/>
      <c r="E30" s="907"/>
      <c r="F30" s="902"/>
      <c r="G30" s="902"/>
      <c r="H30" s="902"/>
      <c r="I30" s="899"/>
      <c r="J30" s="750"/>
    </row>
    <row r="31" spans="1:13">
      <c r="A31" s="900"/>
      <c r="B31" s="905" t="s">
        <v>1522</v>
      </c>
      <c r="C31" s="901">
        <f>ROUND((D9-0.6*2)/0.15+1,0)</f>
        <v>12</v>
      </c>
      <c r="D31" s="902">
        <f>E9</f>
        <v>1.9</v>
      </c>
      <c r="E31" s="3016">
        <v>0.39500000000000002</v>
      </c>
      <c r="F31" s="3016"/>
      <c r="G31" s="902">
        <f>C31*D31*E31</f>
        <v>9.0059999999999985</v>
      </c>
      <c r="H31" s="902"/>
      <c r="I31" s="748"/>
      <c r="J31" s="750"/>
    </row>
    <row r="32" spans="1:13">
      <c r="A32" s="900"/>
      <c r="B32" s="903"/>
      <c r="C32" s="901">
        <f>ROUND(E9/0.15+1,0)</f>
        <v>14</v>
      </c>
      <c r="D32" s="902">
        <f>D9-0.6*2</f>
        <v>1.7</v>
      </c>
      <c r="E32" s="3016">
        <v>0.39500000000000002</v>
      </c>
      <c r="F32" s="3016"/>
      <c r="G32" s="902">
        <f>C32*D32*E32</f>
        <v>9.4010000000000016</v>
      </c>
      <c r="H32" s="902"/>
      <c r="I32" s="748"/>
      <c r="J32" s="750"/>
    </row>
    <row r="33" spans="1:10">
      <c r="A33" s="900"/>
      <c r="B33" s="905" t="s">
        <v>1523</v>
      </c>
      <c r="C33" s="901"/>
      <c r="D33" s="902"/>
      <c r="E33" s="902"/>
      <c r="F33" s="908"/>
      <c r="G33" s="902">
        <f>SUM(G31:G32)</f>
        <v>18.407</v>
      </c>
      <c r="H33" s="898" t="s">
        <v>1034</v>
      </c>
      <c r="I33" s="899">
        <f>Rates!$F$39</f>
        <v>125.35</v>
      </c>
      <c r="J33" s="750">
        <f>ROUND(G33*I33,2)</f>
        <v>2307.3200000000002</v>
      </c>
    </row>
    <row r="34" spans="1:10">
      <c r="A34" s="900"/>
      <c r="B34" s="903"/>
      <c r="C34" s="901"/>
      <c r="D34" s="902"/>
      <c r="E34" s="902"/>
      <c r="F34" s="908"/>
      <c r="G34" s="902"/>
      <c r="H34" s="902"/>
      <c r="I34" s="748"/>
      <c r="J34" s="750"/>
    </row>
    <row r="35" spans="1:10">
      <c r="A35" s="900">
        <v>8</v>
      </c>
      <c r="B35" s="896" t="s">
        <v>1524</v>
      </c>
      <c r="C35" s="901"/>
      <c r="D35" s="902"/>
      <c r="E35" s="902"/>
      <c r="F35" s="902"/>
      <c r="G35" s="902"/>
      <c r="H35" s="902"/>
      <c r="I35" s="748"/>
      <c r="J35" s="750"/>
    </row>
    <row r="36" spans="1:10">
      <c r="A36" s="900"/>
      <c r="B36" s="905" t="s">
        <v>1525</v>
      </c>
      <c r="C36" s="901">
        <v>1</v>
      </c>
      <c r="D36" s="902">
        <f>C3-E22</f>
        <v>1.65</v>
      </c>
      <c r="E36" s="898">
        <f>E3</f>
        <v>1</v>
      </c>
      <c r="F36" s="902"/>
      <c r="G36" s="902">
        <f>ROUND(+C36*D36*E36,2)</f>
        <v>1.65</v>
      </c>
      <c r="H36" s="902"/>
      <c r="I36" s="748"/>
      <c r="J36" s="750"/>
    </row>
    <row r="37" spans="1:10">
      <c r="A37" s="900"/>
      <c r="B37" s="905" t="s">
        <v>1526</v>
      </c>
      <c r="C37" s="901">
        <v>2</v>
      </c>
      <c r="D37" s="902">
        <f>D36</f>
        <v>1.65</v>
      </c>
      <c r="E37" s="898" t="s">
        <v>44</v>
      </c>
      <c r="F37" s="902">
        <f>H3</f>
        <v>2.5</v>
      </c>
      <c r="G37" s="902">
        <f>ROUND(+C37*D37*F37,2)</f>
        <v>8.25</v>
      </c>
      <c r="H37" s="902"/>
      <c r="I37" s="899"/>
      <c r="J37" s="750"/>
    </row>
    <row r="38" spans="1:10">
      <c r="A38" s="900"/>
      <c r="B38" s="905"/>
      <c r="C38" s="901">
        <v>2</v>
      </c>
      <c r="D38" s="902">
        <f>E36</f>
        <v>1</v>
      </c>
      <c r="E38" s="898" t="s">
        <v>1527</v>
      </c>
      <c r="F38" s="902">
        <f>H3</f>
        <v>2.5</v>
      </c>
      <c r="G38" s="902">
        <f>ROUND(+C38*D38*F38,2)</f>
        <v>5</v>
      </c>
      <c r="H38" s="902"/>
      <c r="I38" s="748"/>
      <c r="J38" s="750"/>
    </row>
    <row r="39" spans="1:10">
      <c r="A39" s="900"/>
      <c r="B39" s="905" t="s">
        <v>1528</v>
      </c>
      <c r="C39" s="901">
        <v>2</v>
      </c>
      <c r="D39" s="902">
        <f>D38</f>
        <v>1</v>
      </c>
      <c r="E39" s="898"/>
      <c r="F39" s="902">
        <f>F22+0.1</f>
        <v>0.7</v>
      </c>
      <c r="G39" s="902">
        <f>ROUND(+C39*D39*F39,2)</f>
        <v>1.4</v>
      </c>
      <c r="H39" s="902"/>
      <c r="I39" s="748"/>
      <c r="J39" s="750"/>
    </row>
    <row r="40" spans="1:10">
      <c r="A40" s="900"/>
      <c r="B40" s="905" t="s">
        <v>1509</v>
      </c>
      <c r="C40" s="901">
        <v>1</v>
      </c>
      <c r="D40" s="902">
        <f>D39</f>
        <v>1</v>
      </c>
      <c r="E40" s="898">
        <f>E22</f>
        <v>0.35</v>
      </c>
      <c r="F40" s="902"/>
      <c r="G40" s="902">
        <f>ROUND(+C40*D40*E40,2)</f>
        <v>0.35</v>
      </c>
      <c r="H40" s="902"/>
      <c r="I40" s="748"/>
      <c r="J40" s="750"/>
    </row>
    <row r="41" spans="1:10">
      <c r="A41" s="900"/>
      <c r="B41" s="903" t="s">
        <v>1529</v>
      </c>
      <c r="C41" s="901">
        <v>1</v>
      </c>
      <c r="D41" s="902">
        <f>+(D13+E13)*2</f>
        <v>9.6</v>
      </c>
      <c r="E41" s="898" t="s">
        <v>44</v>
      </c>
      <c r="F41" s="902">
        <v>0.3</v>
      </c>
      <c r="G41" s="902">
        <f>ROUND(+C41*D41*F41,2)</f>
        <v>2.88</v>
      </c>
      <c r="H41" s="902"/>
      <c r="J41" s="750"/>
    </row>
    <row r="42" spans="1:10">
      <c r="A42" s="900"/>
      <c r="B42" s="905" t="s">
        <v>1108</v>
      </c>
      <c r="C42" s="901"/>
      <c r="D42" s="902"/>
      <c r="E42" s="902"/>
      <c r="F42" s="902"/>
      <c r="G42" s="902">
        <f>SUM(G35:G41)</f>
        <v>19.53</v>
      </c>
      <c r="H42" s="898" t="s">
        <v>47</v>
      </c>
      <c r="I42" s="899">
        <f>Rates!$F$60</f>
        <v>503.61</v>
      </c>
      <c r="J42" s="750">
        <f>ROUND(G42*I42,2)</f>
        <v>9835.5</v>
      </c>
    </row>
    <row r="43" spans="1:10">
      <c r="A43" s="900">
        <v>9</v>
      </c>
      <c r="B43" s="903" t="s">
        <v>1530</v>
      </c>
      <c r="C43" s="901"/>
      <c r="D43" s="902"/>
      <c r="E43" s="902"/>
      <c r="F43" s="902"/>
      <c r="G43" s="902"/>
      <c r="H43" s="898"/>
      <c r="I43" s="748"/>
      <c r="J43" s="750"/>
    </row>
    <row r="44" spans="1:10">
      <c r="A44" s="900"/>
      <c r="B44" s="905"/>
      <c r="C44" s="901" t="s">
        <v>1531</v>
      </c>
      <c r="D44" s="902"/>
      <c r="E44" s="902"/>
      <c r="F44" s="902"/>
      <c r="G44" s="902">
        <f>+G42</f>
        <v>19.53</v>
      </c>
      <c r="H44" s="898"/>
      <c r="I44" s="748"/>
      <c r="J44" s="750"/>
    </row>
    <row r="45" spans="1:10">
      <c r="A45" s="900"/>
      <c r="B45" s="905" t="s">
        <v>1532</v>
      </c>
      <c r="C45" s="901"/>
      <c r="D45" s="902"/>
      <c r="E45" s="902"/>
      <c r="F45" s="902"/>
      <c r="G45" s="902">
        <f>-G41</f>
        <v>-2.88</v>
      </c>
      <c r="H45" s="898"/>
      <c r="J45" s="750"/>
    </row>
    <row r="46" spans="1:10">
      <c r="A46" s="900"/>
      <c r="B46" s="905" t="s">
        <v>1108</v>
      </c>
      <c r="C46" s="901"/>
      <c r="D46" s="902"/>
      <c r="E46" s="902"/>
      <c r="F46" s="902"/>
      <c r="G46" s="902">
        <f>SUM(G44:G45)</f>
        <v>16.650000000000002</v>
      </c>
      <c r="H46" s="898" t="s">
        <v>47</v>
      </c>
      <c r="I46" s="899">
        <f>Rates!$F$67</f>
        <v>346.26</v>
      </c>
      <c r="J46" s="750">
        <f>ROUND(G46*I46,2)</f>
        <v>5765.23</v>
      </c>
    </row>
    <row r="47" spans="1:10" ht="25.5">
      <c r="A47" s="909">
        <v>10</v>
      </c>
      <c r="B47" s="910" t="s">
        <v>1533</v>
      </c>
      <c r="C47" s="901">
        <v>2</v>
      </c>
      <c r="D47" s="901"/>
      <c r="E47" s="901"/>
      <c r="F47" s="901"/>
      <c r="G47" s="901">
        <f>C47</f>
        <v>2</v>
      </c>
      <c r="H47" s="898" t="s">
        <v>1038</v>
      </c>
      <c r="I47" s="899">
        <f>MR!$I$41*1.15</f>
        <v>2112.2624999999998</v>
      </c>
      <c r="J47" s="750">
        <f>ROUND(G47*I47,2)</f>
        <v>4224.53</v>
      </c>
    </row>
    <row r="48" spans="1:10">
      <c r="A48" s="900"/>
      <c r="B48" s="896"/>
      <c r="C48" s="901"/>
      <c r="D48" s="901"/>
      <c r="E48" s="901"/>
      <c r="F48" s="901"/>
      <c r="G48" s="901"/>
      <c r="H48" s="898"/>
      <c r="J48" s="750"/>
    </row>
    <row r="49" spans="1:10">
      <c r="A49" s="911">
        <v>11</v>
      </c>
      <c r="B49" s="912" t="s">
        <v>1534</v>
      </c>
      <c r="C49" s="913"/>
      <c r="D49" s="913"/>
      <c r="E49" s="913"/>
      <c r="F49" s="913"/>
      <c r="G49" s="913">
        <v>1</v>
      </c>
      <c r="H49" s="914" t="s">
        <v>1154</v>
      </c>
      <c r="I49" s="915">
        <v>500</v>
      </c>
      <c r="J49" s="916">
        <f>ROUND(G49*I49,2)</f>
        <v>500</v>
      </c>
    </row>
    <row r="50" spans="1:10" s="536" customFormat="1">
      <c r="A50" s="917"/>
      <c r="B50" s="753" t="s">
        <v>1403</v>
      </c>
      <c r="C50" s="918"/>
      <c r="D50" s="918"/>
      <c r="E50" s="918"/>
      <c r="F50" s="918"/>
      <c r="G50" s="918"/>
      <c r="H50" s="919"/>
      <c r="I50" s="920"/>
      <c r="J50" s="921">
        <f>SUM(J6:J49)</f>
        <v>209962.44000000003</v>
      </c>
    </row>
    <row r="51" spans="1:10" s="536" customFormat="1">
      <c r="A51" s="922"/>
      <c r="B51" s="861" t="s">
        <v>1535</v>
      </c>
      <c r="C51" s="923"/>
      <c r="D51" s="923"/>
      <c r="E51" s="923"/>
      <c r="F51" s="923"/>
      <c r="G51" s="923"/>
      <c r="H51" s="924"/>
      <c r="I51" s="925">
        <f>'Entry for Rates'!$F$114</f>
        <v>13</v>
      </c>
      <c r="J51" s="921">
        <f>I51*J50/100</f>
        <v>27295.117200000001</v>
      </c>
    </row>
    <row r="52" spans="1:10" s="536" customFormat="1" ht="16.5" customHeight="1">
      <c r="A52" s="855"/>
      <c r="B52" s="926" t="s">
        <v>1037</v>
      </c>
      <c r="C52" s="927"/>
      <c r="D52" s="928"/>
      <c r="E52" s="928"/>
      <c r="F52" s="928"/>
      <c r="G52" s="928"/>
      <c r="H52" s="928"/>
      <c r="I52" s="929"/>
      <c r="J52" s="930">
        <f>+J51+J50</f>
        <v>237257.55720000004</v>
      </c>
    </row>
    <row r="55" spans="1:10" ht="23.25">
      <c r="A55" s="2968" t="s">
        <v>1536</v>
      </c>
      <c r="B55" s="2968"/>
      <c r="C55" s="2968"/>
      <c r="D55" s="2968"/>
      <c r="E55" s="2968"/>
      <c r="F55" s="2968"/>
      <c r="G55" s="2968"/>
      <c r="H55" s="2968"/>
      <c r="I55" s="2968"/>
      <c r="J55" s="2968"/>
    </row>
    <row r="56" spans="1:10" ht="15.75">
      <c r="A56" s="3017"/>
      <c r="B56" s="3017"/>
      <c r="C56" s="3017"/>
      <c r="D56" s="3017"/>
      <c r="E56" s="3017"/>
      <c r="F56" s="3017"/>
      <c r="G56" s="3017"/>
      <c r="H56" s="3017"/>
    </row>
    <row r="57" spans="1:10">
      <c r="A57" s="746"/>
      <c r="B57" s="746" t="s">
        <v>1537</v>
      </c>
      <c r="C57" s="931">
        <v>2</v>
      </c>
      <c r="D57" s="932" t="s">
        <v>1503</v>
      </c>
      <c r="E57" s="931">
        <v>0.8</v>
      </c>
      <c r="F57" s="746" t="s">
        <v>1538</v>
      </c>
      <c r="G57" s="746"/>
      <c r="H57" s="931">
        <v>1</v>
      </c>
    </row>
    <row r="58" spans="1:10">
      <c r="A58" s="745"/>
      <c r="B58" s="746"/>
      <c r="C58" s="746"/>
      <c r="D58" s="933"/>
      <c r="E58" s="933"/>
      <c r="F58" s="746"/>
      <c r="G58" s="746"/>
      <c r="H58" s="746"/>
    </row>
    <row r="59" spans="1:10">
      <c r="A59" s="934" t="s">
        <v>961</v>
      </c>
      <c r="B59" s="935" t="s">
        <v>1423</v>
      </c>
      <c r="C59" s="935" t="s">
        <v>1087</v>
      </c>
      <c r="D59" s="935" t="s">
        <v>22</v>
      </c>
      <c r="E59" s="935" t="s">
        <v>23</v>
      </c>
      <c r="F59" s="935" t="s">
        <v>24</v>
      </c>
      <c r="G59" s="935" t="s">
        <v>964</v>
      </c>
      <c r="H59" s="936" t="s">
        <v>1035</v>
      </c>
      <c r="I59" s="889" t="s">
        <v>97</v>
      </c>
      <c r="J59" s="890" t="s">
        <v>52</v>
      </c>
    </row>
    <row r="60" spans="1:10">
      <c r="A60" s="937"/>
      <c r="B60" s="938"/>
      <c r="C60" s="938"/>
      <c r="D60" s="938"/>
      <c r="E60" s="938"/>
      <c r="F60" s="938"/>
      <c r="G60" s="938"/>
      <c r="H60" s="938"/>
      <c r="I60" s="939"/>
      <c r="J60" s="940"/>
    </row>
    <row r="61" spans="1:10">
      <c r="A61" s="941">
        <v>1</v>
      </c>
      <c r="B61" s="942" t="s">
        <v>129</v>
      </c>
      <c r="C61" s="943"/>
      <c r="D61" s="943">
        <v>3</v>
      </c>
      <c r="E61" s="943">
        <v>2</v>
      </c>
      <c r="F61" s="943"/>
      <c r="G61" s="943">
        <f>D61*E61</f>
        <v>6</v>
      </c>
      <c r="H61" s="944" t="s">
        <v>47</v>
      </c>
      <c r="I61" s="945">
        <f>Rates!F7</f>
        <v>149.5</v>
      </c>
      <c r="J61" s="946">
        <f>ROUND(G61*I61,2)</f>
        <v>897</v>
      </c>
    </row>
    <row r="62" spans="1:10">
      <c r="A62" s="947">
        <v>2</v>
      </c>
      <c r="B62" s="942" t="s">
        <v>1505</v>
      </c>
      <c r="C62" s="948"/>
      <c r="D62" s="949"/>
      <c r="E62" s="949"/>
      <c r="F62" s="944"/>
      <c r="G62" s="949"/>
      <c r="H62" s="944"/>
      <c r="I62" s="945"/>
      <c r="J62" s="946"/>
    </row>
    <row r="63" spans="1:10">
      <c r="A63" s="947"/>
      <c r="B63" s="942"/>
      <c r="C63" s="948">
        <v>1</v>
      </c>
      <c r="D63" s="949">
        <f>C57+0.45*2</f>
        <v>2.9</v>
      </c>
      <c r="E63" s="949">
        <f>E57+0.45*2</f>
        <v>1.7000000000000002</v>
      </c>
      <c r="F63" s="949">
        <f>H57</f>
        <v>1</v>
      </c>
      <c r="G63" s="949">
        <f>C63*D63*E63*F63</f>
        <v>4.9300000000000006</v>
      </c>
      <c r="H63" s="944" t="s">
        <v>29</v>
      </c>
      <c r="I63" s="945">
        <f>Rates!F9</f>
        <v>1480.63</v>
      </c>
      <c r="J63" s="946">
        <f>ROUND(G63*I63,2)</f>
        <v>7299.51</v>
      </c>
    </row>
    <row r="64" spans="1:10">
      <c r="A64" s="947">
        <v>3</v>
      </c>
      <c r="B64" s="942" t="s">
        <v>1478</v>
      </c>
      <c r="C64" s="948">
        <v>1</v>
      </c>
      <c r="D64" s="949">
        <f>C57+0.45*2</f>
        <v>2.9</v>
      </c>
      <c r="E64" s="949">
        <f>E57+0.45*2</f>
        <v>1.7000000000000002</v>
      </c>
      <c r="F64" s="949">
        <v>0.15</v>
      </c>
      <c r="G64" s="949">
        <f>C64*D64*E64*F64</f>
        <v>0.73950000000000005</v>
      </c>
      <c r="H64" s="944" t="s">
        <v>29</v>
      </c>
      <c r="I64" s="945">
        <f>Rates!F19</f>
        <v>5523.35</v>
      </c>
      <c r="J64" s="946">
        <f>ROUND(G64*I64,2)</f>
        <v>4084.52</v>
      </c>
    </row>
    <row r="65" spans="1:10">
      <c r="A65" s="947">
        <v>4</v>
      </c>
      <c r="B65" s="942" t="s">
        <v>1506</v>
      </c>
      <c r="C65" s="948"/>
      <c r="D65" s="949"/>
      <c r="E65" s="949"/>
      <c r="F65" s="949"/>
      <c r="G65" s="949"/>
      <c r="H65" s="950"/>
      <c r="I65" s="945"/>
      <c r="J65" s="946"/>
    </row>
    <row r="66" spans="1:10">
      <c r="A66" s="947"/>
      <c r="B66" s="950" t="s">
        <v>1507</v>
      </c>
      <c r="C66" s="948">
        <v>1</v>
      </c>
      <c r="D66" s="949">
        <f>C57+0.45*2</f>
        <v>2.9</v>
      </c>
      <c r="E66" s="949">
        <f>E57+0.45*2</f>
        <v>1.7000000000000002</v>
      </c>
      <c r="F66" s="949">
        <v>0.1</v>
      </c>
      <c r="G66" s="951">
        <f>C66*D66*E66*F66</f>
        <v>0.4930000000000001</v>
      </c>
      <c r="H66" s="949"/>
      <c r="I66" s="952"/>
      <c r="J66" s="946"/>
    </row>
    <row r="67" spans="1:10">
      <c r="A67" s="947"/>
      <c r="B67" s="953" t="s">
        <v>1508</v>
      </c>
      <c r="C67" s="948">
        <v>6</v>
      </c>
      <c r="D67" s="949">
        <v>0.45</v>
      </c>
      <c r="E67" s="949">
        <v>0.2</v>
      </c>
      <c r="F67" s="949">
        <v>0.2</v>
      </c>
      <c r="G67" s="951">
        <f>C67*D67*E67*F67</f>
        <v>0.10800000000000001</v>
      </c>
      <c r="H67" s="950"/>
      <c r="I67" s="952"/>
      <c r="J67" s="946"/>
    </row>
    <row r="68" spans="1:10">
      <c r="A68" s="947"/>
      <c r="B68" s="953" t="s">
        <v>1510</v>
      </c>
      <c r="C68" s="948">
        <v>1</v>
      </c>
      <c r="D68" s="949">
        <f>C57+0.45*2</f>
        <v>2.9</v>
      </c>
      <c r="E68" s="949">
        <f>E57+0.45*2</f>
        <v>1.7000000000000002</v>
      </c>
      <c r="F68" s="949">
        <v>0.08</v>
      </c>
      <c r="G68" s="951">
        <f>C68*D68*E68*F68</f>
        <v>0.39440000000000008</v>
      </c>
      <c r="H68" s="950"/>
      <c r="I68" s="952"/>
      <c r="J68" s="946"/>
    </row>
    <row r="69" spans="1:10">
      <c r="A69" s="947"/>
      <c r="B69" s="953" t="s">
        <v>1511</v>
      </c>
      <c r="C69" s="948"/>
      <c r="D69" s="949"/>
      <c r="E69" s="949"/>
      <c r="F69" s="949"/>
      <c r="G69" s="949"/>
      <c r="H69" s="950"/>
      <c r="I69" s="952"/>
      <c r="J69" s="946"/>
    </row>
    <row r="70" spans="1:10">
      <c r="A70" s="947"/>
      <c r="B70" s="953" t="s">
        <v>1512</v>
      </c>
      <c r="C70" s="948">
        <v>2</v>
      </c>
      <c r="D70" s="954">
        <v>0.6</v>
      </c>
      <c r="E70" s="949">
        <v>0.6</v>
      </c>
      <c r="F70" s="949">
        <v>0.05</v>
      </c>
      <c r="G70" s="951">
        <f>-2*PI()*D70*E70*F70</f>
        <v>-0.11309733552923257</v>
      </c>
      <c r="H70" s="950"/>
      <c r="I70" s="952"/>
      <c r="J70" s="946"/>
    </row>
    <row r="71" spans="1:10">
      <c r="A71" s="947"/>
      <c r="B71" s="953" t="s">
        <v>1108</v>
      </c>
      <c r="C71" s="948"/>
      <c r="D71" s="949"/>
      <c r="E71" s="949"/>
      <c r="F71" s="949"/>
      <c r="G71" s="951">
        <f>SUM(G65:G70)</f>
        <v>0.88230266447076766</v>
      </c>
      <c r="H71" s="944" t="s">
        <v>29</v>
      </c>
      <c r="I71" s="952">
        <f>Rates!F32</f>
        <v>16022.87</v>
      </c>
      <c r="J71" s="946">
        <f>ROUND(G71*I71,2)</f>
        <v>14137.02</v>
      </c>
    </row>
    <row r="72" spans="1:10">
      <c r="A72" s="947">
        <v>5</v>
      </c>
      <c r="B72" s="942" t="s">
        <v>1513</v>
      </c>
      <c r="C72" s="948"/>
      <c r="D72" s="949"/>
      <c r="E72" s="949"/>
      <c r="F72" s="949"/>
      <c r="G72" s="949"/>
      <c r="H72" s="949"/>
      <c r="I72" s="955"/>
      <c r="J72" s="946"/>
    </row>
    <row r="73" spans="1:10">
      <c r="A73" s="947"/>
      <c r="B73" s="953" t="s">
        <v>1514</v>
      </c>
      <c r="C73" s="948">
        <v>1</v>
      </c>
      <c r="D73" s="949">
        <f>(C57+0.9+E57)*2</f>
        <v>7.4</v>
      </c>
      <c r="E73" s="949">
        <v>0.45</v>
      </c>
      <c r="F73" s="949">
        <f>H57</f>
        <v>1</v>
      </c>
      <c r="G73" s="949">
        <f>C73*D73*E73*F73</f>
        <v>3.33</v>
      </c>
      <c r="H73" s="949"/>
      <c r="I73" s="945"/>
      <c r="J73" s="946"/>
    </row>
    <row r="74" spans="1:10">
      <c r="A74" s="947"/>
      <c r="B74" s="953" t="s">
        <v>779</v>
      </c>
      <c r="C74" s="948">
        <v>1</v>
      </c>
      <c r="D74" s="949">
        <f>+E57</f>
        <v>0.8</v>
      </c>
      <c r="E74" s="949">
        <v>0.35</v>
      </c>
      <c r="F74" s="949">
        <f>+H57</f>
        <v>1</v>
      </c>
      <c r="G74" s="949">
        <f>C74*D74*E74*F74</f>
        <v>0.27999999999999997</v>
      </c>
      <c r="H74" s="949"/>
      <c r="I74" s="952"/>
      <c r="J74" s="946"/>
    </row>
    <row r="75" spans="1:10">
      <c r="A75" s="947"/>
      <c r="B75" s="953" t="s">
        <v>1108</v>
      </c>
      <c r="C75" s="948"/>
      <c r="D75" s="949"/>
      <c r="E75" s="949"/>
      <c r="F75" s="949"/>
      <c r="G75" s="949">
        <f>SUM(G72:G74)</f>
        <v>3.61</v>
      </c>
      <c r="H75" s="944" t="s">
        <v>29</v>
      </c>
      <c r="I75" s="952">
        <f>Rates!F24</f>
        <v>15619.64</v>
      </c>
      <c r="J75" s="946">
        <f>ROUND(G75*I75,2)</f>
        <v>56386.9</v>
      </c>
    </row>
    <row r="76" spans="1:10">
      <c r="A76" s="947">
        <v>6</v>
      </c>
      <c r="B76" s="942" t="s">
        <v>1517</v>
      </c>
      <c r="C76" s="948"/>
      <c r="D76" s="949"/>
      <c r="E76" s="949"/>
      <c r="F76" s="949"/>
      <c r="G76" s="949"/>
      <c r="H76" s="949"/>
      <c r="I76" s="952"/>
      <c r="J76" s="946"/>
    </row>
    <row r="77" spans="1:10">
      <c r="A77" s="947"/>
      <c r="B77" s="950" t="s">
        <v>1518</v>
      </c>
      <c r="C77" s="948">
        <v>1</v>
      </c>
      <c r="D77" s="949">
        <f>C57-E74</f>
        <v>1.65</v>
      </c>
      <c r="E77" s="944">
        <f>E57</f>
        <v>0.8</v>
      </c>
      <c r="F77" s="949"/>
      <c r="G77" s="949">
        <f>D77*E77</f>
        <v>1.32</v>
      </c>
      <c r="H77" s="949"/>
      <c r="I77" s="955"/>
      <c r="J77" s="946"/>
    </row>
    <row r="78" spans="1:10">
      <c r="A78" s="947"/>
      <c r="B78" s="953" t="s">
        <v>1519</v>
      </c>
      <c r="C78" s="948">
        <v>1</v>
      </c>
      <c r="D78" s="949">
        <f>2*(D63+E63)</f>
        <v>9.1999999999999993</v>
      </c>
      <c r="E78" s="944" t="s">
        <v>44</v>
      </c>
      <c r="F78" s="949">
        <f>+F68</f>
        <v>0.08</v>
      </c>
      <c r="G78" s="949">
        <f>ROUND(+C78*D78*F78,2)</f>
        <v>0.74</v>
      </c>
      <c r="H78" s="949"/>
      <c r="I78" s="945"/>
      <c r="J78" s="946"/>
    </row>
    <row r="79" spans="1:10">
      <c r="A79" s="947"/>
      <c r="B79" s="953" t="s">
        <v>1520</v>
      </c>
      <c r="C79" s="948"/>
      <c r="D79" s="949"/>
      <c r="E79" s="949"/>
      <c r="F79" s="944"/>
      <c r="G79" s="949">
        <f>SUM(G77:G78)</f>
        <v>2.06</v>
      </c>
      <c r="H79" s="944" t="s">
        <v>47</v>
      </c>
      <c r="I79" s="952">
        <f>Rates!F40</f>
        <v>1322.68</v>
      </c>
      <c r="J79" s="946">
        <f>ROUND(G79*I79,2)</f>
        <v>2724.72</v>
      </c>
    </row>
    <row r="80" spans="1:10">
      <c r="A80" s="947"/>
      <c r="B80" s="953"/>
      <c r="C80" s="948"/>
      <c r="D80" s="949"/>
      <c r="E80" s="949"/>
      <c r="F80" s="944"/>
      <c r="G80" s="949"/>
      <c r="H80" s="944"/>
      <c r="I80" s="952"/>
      <c r="J80" s="946"/>
    </row>
    <row r="81" spans="1:10">
      <c r="A81" s="947">
        <v>7</v>
      </c>
      <c r="B81" s="942" t="s">
        <v>1521</v>
      </c>
      <c r="C81" s="948"/>
      <c r="D81" s="949"/>
      <c r="E81" s="956"/>
      <c r="F81" s="949"/>
      <c r="G81" s="949"/>
      <c r="H81" s="949"/>
      <c r="I81" s="955"/>
      <c r="J81" s="946"/>
    </row>
    <row r="82" spans="1:10">
      <c r="A82" s="947"/>
      <c r="B82" s="953" t="s">
        <v>1539</v>
      </c>
      <c r="C82" s="948">
        <f>ROUND(D63/0.175+1,0)</f>
        <v>18</v>
      </c>
      <c r="D82" s="949">
        <f>E63</f>
        <v>1.7000000000000002</v>
      </c>
      <c r="E82" s="3012">
        <v>0.39500000000000002</v>
      </c>
      <c r="F82" s="3012"/>
      <c r="G82" s="949">
        <f>C82*D82*E82</f>
        <v>12.087000000000002</v>
      </c>
      <c r="H82" s="949"/>
      <c r="I82" s="945"/>
      <c r="J82" s="946"/>
    </row>
    <row r="83" spans="1:10">
      <c r="A83" s="947"/>
      <c r="B83" s="950"/>
      <c r="C83" s="948">
        <f>ROUND(E63/0.15+1,0)</f>
        <v>12</v>
      </c>
      <c r="D83" s="949">
        <f>D63</f>
        <v>2.9</v>
      </c>
      <c r="E83" s="3012">
        <v>0.39500000000000002</v>
      </c>
      <c r="F83" s="3012"/>
      <c r="G83" s="949">
        <f>C83*D83*E83</f>
        <v>13.745999999999999</v>
      </c>
      <c r="H83" s="949"/>
      <c r="I83" s="952"/>
      <c r="J83" s="946"/>
    </row>
    <row r="84" spans="1:10">
      <c r="A84" s="947"/>
      <c r="B84" s="953" t="s">
        <v>1540</v>
      </c>
      <c r="C84" s="948">
        <v>16</v>
      </c>
      <c r="D84" s="949">
        <v>0.6</v>
      </c>
      <c r="E84" s="3012">
        <v>0.39500000000000002</v>
      </c>
      <c r="F84" s="3012"/>
      <c r="G84" s="949">
        <f>-C84*D84*E84</f>
        <v>-3.7919999999999998</v>
      </c>
      <c r="H84" s="949"/>
      <c r="I84" s="945"/>
      <c r="J84" s="946"/>
    </row>
    <row r="85" spans="1:10">
      <c r="A85" s="947"/>
      <c r="B85" s="953" t="s">
        <v>1541</v>
      </c>
      <c r="C85" s="948"/>
      <c r="D85" s="949"/>
      <c r="E85" s="949"/>
      <c r="F85" s="957"/>
      <c r="G85" s="949">
        <f>SUM(G82:G84)</f>
        <v>22.040999999999997</v>
      </c>
      <c r="H85" s="944" t="s">
        <v>1034</v>
      </c>
      <c r="I85" s="952">
        <f>Rates!F39</f>
        <v>125.35</v>
      </c>
      <c r="J85" s="946">
        <f>ROUND(G85*I85,2)</f>
        <v>2762.84</v>
      </c>
    </row>
    <row r="86" spans="1:10">
      <c r="A86" s="947"/>
      <c r="B86" s="950"/>
      <c r="C86" s="948"/>
      <c r="D86" s="949"/>
      <c r="E86" s="949"/>
      <c r="F86" s="957"/>
      <c r="G86" s="949"/>
      <c r="H86" s="949"/>
      <c r="I86" s="952"/>
      <c r="J86" s="946"/>
    </row>
    <row r="87" spans="1:10">
      <c r="A87" s="947">
        <v>8</v>
      </c>
      <c r="B87" s="942" t="s">
        <v>1524</v>
      </c>
      <c r="C87" s="948"/>
      <c r="D87" s="949"/>
      <c r="E87" s="949"/>
      <c r="F87" s="949"/>
      <c r="G87" s="949"/>
      <c r="H87" s="949"/>
      <c r="I87" s="945"/>
      <c r="J87" s="946"/>
    </row>
    <row r="88" spans="1:10">
      <c r="A88" s="947"/>
      <c r="B88" s="953" t="s">
        <v>1525</v>
      </c>
      <c r="C88" s="948">
        <v>1</v>
      </c>
      <c r="D88" s="949">
        <f>C57-E74</f>
        <v>1.65</v>
      </c>
      <c r="E88" s="944">
        <f>E57</f>
        <v>0.8</v>
      </c>
      <c r="F88" s="949"/>
      <c r="G88" s="949">
        <f>ROUND(+C88*D88*E88,2)</f>
        <v>1.32</v>
      </c>
      <c r="H88" s="949"/>
      <c r="I88" s="952"/>
      <c r="J88" s="946"/>
    </row>
    <row r="89" spans="1:10">
      <c r="A89" s="947"/>
      <c r="B89" s="953" t="s">
        <v>1526</v>
      </c>
      <c r="C89" s="948">
        <v>2</v>
      </c>
      <c r="D89" s="949">
        <f>D88</f>
        <v>1.65</v>
      </c>
      <c r="E89" s="944" t="s">
        <v>44</v>
      </c>
      <c r="F89" s="949">
        <f>H57</f>
        <v>1</v>
      </c>
      <c r="G89" s="949">
        <f>ROUND(+C89*D89*F89,2)</f>
        <v>3.3</v>
      </c>
      <c r="H89" s="949"/>
      <c r="I89" s="952"/>
      <c r="J89" s="946"/>
    </row>
    <row r="90" spans="1:10">
      <c r="A90" s="947"/>
      <c r="B90" s="953"/>
      <c r="C90" s="948">
        <v>2</v>
      </c>
      <c r="D90" s="949">
        <f>E88</f>
        <v>0.8</v>
      </c>
      <c r="E90" s="944" t="s">
        <v>1527</v>
      </c>
      <c r="F90" s="949">
        <f>H57</f>
        <v>1</v>
      </c>
      <c r="G90" s="949">
        <f>ROUND(+C90*D90*F90,2)</f>
        <v>1.6</v>
      </c>
      <c r="H90" s="949"/>
      <c r="I90" s="952"/>
      <c r="J90" s="946"/>
    </row>
    <row r="91" spans="1:10">
      <c r="A91" s="947"/>
      <c r="B91" s="953" t="s">
        <v>1542</v>
      </c>
      <c r="C91" s="948">
        <v>2</v>
      </c>
      <c r="D91" s="949">
        <f>D90</f>
        <v>0.8</v>
      </c>
      <c r="E91" s="944"/>
      <c r="F91" s="949">
        <f>+H57</f>
        <v>1</v>
      </c>
      <c r="G91" s="949">
        <f>ROUND(+C91*D91*F91,2)</f>
        <v>1.6</v>
      </c>
      <c r="H91" s="949"/>
      <c r="I91" s="945"/>
      <c r="J91" s="946"/>
    </row>
    <row r="92" spans="1:10">
      <c r="A92" s="947"/>
      <c r="B92" s="950" t="s">
        <v>1543</v>
      </c>
      <c r="C92" s="948">
        <v>1</v>
      </c>
      <c r="D92" s="949">
        <f>+(D66+E66)*2</f>
        <v>9.1999999999999993</v>
      </c>
      <c r="E92" s="944" t="s">
        <v>44</v>
      </c>
      <c r="F92" s="949">
        <v>0.3</v>
      </c>
      <c r="G92" s="949">
        <f>ROUND(+C92*D92*F92,2)</f>
        <v>2.76</v>
      </c>
      <c r="H92" s="949"/>
      <c r="I92" s="952"/>
      <c r="J92" s="946"/>
    </row>
    <row r="93" spans="1:10">
      <c r="A93" s="947"/>
      <c r="B93" s="953" t="s">
        <v>1108</v>
      </c>
      <c r="C93" s="948"/>
      <c r="D93" s="949"/>
      <c r="E93" s="949"/>
      <c r="F93" s="949"/>
      <c r="G93" s="949">
        <f>SUM(G87:G92)</f>
        <v>10.58</v>
      </c>
      <c r="H93" s="944" t="s">
        <v>47</v>
      </c>
      <c r="I93" s="952">
        <f>Rates!F60</f>
        <v>503.61</v>
      </c>
      <c r="J93" s="946">
        <f>ROUND(G93*I93,2)</f>
        <v>5328.19</v>
      </c>
    </row>
    <row r="94" spans="1:10">
      <c r="A94" s="947">
        <v>9</v>
      </c>
      <c r="B94" s="950" t="s">
        <v>1530</v>
      </c>
      <c r="C94" s="948"/>
      <c r="D94" s="949"/>
      <c r="E94" s="949"/>
      <c r="F94" s="949"/>
      <c r="G94" s="949"/>
      <c r="H94" s="944"/>
      <c r="I94" s="952"/>
      <c r="J94" s="946"/>
    </row>
    <row r="95" spans="1:10">
      <c r="A95" s="947"/>
      <c r="B95" s="953"/>
      <c r="C95" s="948" t="s">
        <v>1531</v>
      </c>
      <c r="D95" s="949"/>
      <c r="E95" s="949"/>
      <c r="F95" s="949"/>
      <c r="G95" s="949">
        <f>+G93</f>
        <v>10.58</v>
      </c>
      <c r="H95" s="944"/>
      <c r="I95" s="955"/>
      <c r="J95" s="946"/>
    </row>
    <row r="96" spans="1:10">
      <c r="A96" s="947"/>
      <c r="B96" s="953" t="s">
        <v>1532</v>
      </c>
      <c r="C96" s="948"/>
      <c r="D96" s="949"/>
      <c r="E96" s="949"/>
      <c r="F96" s="949"/>
      <c r="G96" s="949">
        <f>-G92</f>
        <v>-2.76</v>
      </c>
      <c r="H96" s="944"/>
      <c r="I96" s="945"/>
      <c r="J96" s="946"/>
    </row>
    <row r="97" spans="1:10">
      <c r="A97" s="947"/>
      <c r="B97" s="953" t="s">
        <v>1108</v>
      </c>
      <c r="C97" s="948"/>
      <c r="D97" s="949"/>
      <c r="E97" s="949"/>
      <c r="F97" s="949"/>
      <c r="G97" s="949">
        <f>SUM(G95:G96)</f>
        <v>7.82</v>
      </c>
      <c r="H97" s="944" t="s">
        <v>47</v>
      </c>
      <c r="I97" s="952">
        <f>Rates!F67</f>
        <v>346.26</v>
      </c>
      <c r="J97" s="946">
        <f>ROUND(G97*I97,2)</f>
        <v>2707.75</v>
      </c>
    </row>
    <row r="98" spans="1:10" ht="25.5">
      <c r="A98" s="958">
        <v>10</v>
      </c>
      <c r="B98" s="959" t="s">
        <v>1533</v>
      </c>
      <c r="C98" s="948">
        <v>2</v>
      </c>
      <c r="D98" s="948"/>
      <c r="E98" s="948"/>
      <c r="F98" s="948"/>
      <c r="G98" s="948">
        <f>C98</f>
        <v>2</v>
      </c>
      <c r="H98" s="944" t="s">
        <v>1038</v>
      </c>
      <c r="I98" s="952">
        <f>Rates!F93</f>
        <v>2479.6125000000002</v>
      </c>
      <c r="J98" s="946">
        <f>ROUND(G98*I98,2)</f>
        <v>4959.2299999999996</v>
      </c>
    </row>
    <row r="99" spans="1:10">
      <c r="A99" s="947"/>
      <c r="B99" s="942"/>
      <c r="C99" s="948"/>
      <c r="D99" s="948"/>
      <c r="E99" s="948"/>
      <c r="F99" s="948"/>
      <c r="G99" s="948"/>
      <c r="H99" s="944"/>
      <c r="I99" s="955"/>
      <c r="J99" s="946"/>
    </row>
    <row r="100" spans="1:10">
      <c r="A100" s="960">
        <v>11</v>
      </c>
      <c r="B100" s="961" t="s">
        <v>1534</v>
      </c>
      <c r="C100" s="962"/>
      <c r="D100" s="962"/>
      <c r="E100" s="962"/>
      <c r="F100" s="962"/>
      <c r="G100" s="962">
        <v>1</v>
      </c>
      <c r="H100" s="963" t="s">
        <v>1154</v>
      </c>
      <c r="I100" s="964">
        <f>Rates!F103</f>
        <v>800</v>
      </c>
      <c r="J100" s="965">
        <f>ROUND(G100*I100,2)</f>
        <v>800</v>
      </c>
    </row>
    <row r="101" spans="1:10">
      <c r="A101" s="966"/>
      <c r="B101" s="967" t="s">
        <v>1403</v>
      </c>
      <c r="C101" s="968"/>
      <c r="D101" s="968"/>
      <c r="E101" s="968"/>
      <c r="F101" s="968"/>
      <c r="G101" s="968"/>
      <c r="H101" s="969"/>
      <c r="I101" s="970"/>
      <c r="J101" s="971">
        <f>SUM(J61:J100)</f>
        <v>102087.68000000001</v>
      </c>
    </row>
    <row r="102" spans="1:10">
      <c r="A102" s="947"/>
      <c r="B102" s="953" t="s">
        <v>1535</v>
      </c>
      <c r="C102" s="948"/>
      <c r="D102" s="948"/>
      <c r="E102" s="948"/>
      <c r="F102" s="948"/>
      <c r="G102" s="948"/>
      <c r="H102" s="944"/>
      <c r="I102" s="972">
        <v>13</v>
      </c>
      <c r="J102" s="946">
        <f>I102*J101/100</f>
        <v>13271.3984</v>
      </c>
    </row>
    <row r="103" spans="1:10">
      <c r="A103" s="973"/>
      <c r="B103" s="974" t="s">
        <v>1037</v>
      </c>
      <c r="C103" s="975"/>
      <c r="D103" s="976"/>
      <c r="E103" s="976"/>
      <c r="F103" s="976"/>
      <c r="G103" s="976"/>
      <c r="H103" s="976"/>
      <c r="I103" s="977"/>
      <c r="J103" s="978">
        <f>+J102+J101</f>
        <v>115359.07840000001</v>
      </c>
    </row>
  </sheetData>
  <mergeCells count="9">
    <mergeCell ref="E82:F82"/>
    <mergeCell ref="E83:F83"/>
    <mergeCell ref="E84:F84"/>
    <mergeCell ref="A1:J1"/>
    <mergeCell ref="A2:H2"/>
    <mergeCell ref="E31:F31"/>
    <mergeCell ref="E32:F32"/>
    <mergeCell ref="A55:J55"/>
    <mergeCell ref="A56:H56"/>
  </mergeCells>
  <pageMargins left="0.7" right="0.5" top="0.75" bottom="0.75" header="0.3" footer="0.3"/>
  <pageSetup paperSize="9" scale="98" orientation="portrait" horizontalDpi="180" verticalDpi="180" r:id="rId1"/>
  <headerFooter alignWithMargins="0">
    <oddFooter>&amp;LEstimated by&amp;CChecked by&amp;RApproved by</oddFooter>
  </headerFooter>
  <rowBreaks count="1" manualBreakCount="1">
    <brk id="52" max="9" man="1"/>
  </rowBreaks>
  <colBreaks count="1" manualBreakCount="1">
    <brk id="10" max="1048575" man="1"/>
  </col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25"/>
  <sheetViews>
    <sheetView workbookViewId="0"/>
  </sheetViews>
  <sheetFormatPr defaultRowHeight="12.75"/>
  <cols>
    <col min="1" max="1" width="3.42578125" style="878" customWidth="1"/>
    <col min="2" max="2" width="30.28515625" style="878" customWidth="1"/>
    <col min="3" max="3" width="9.5703125" style="878" customWidth="1"/>
    <col min="4" max="4" width="7.7109375" style="878" customWidth="1"/>
    <col min="5" max="5" width="5.42578125" style="878" customWidth="1"/>
    <col min="6" max="6" width="5.5703125" style="878" customWidth="1"/>
    <col min="7" max="7" width="7.42578125" style="878" customWidth="1"/>
    <col min="8" max="8" width="4.140625" style="878" customWidth="1"/>
    <col min="9" max="9" width="9.140625" style="878" customWidth="1"/>
    <col min="10" max="10" width="14" style="980" customWidth="1"/>
    <col min="11" max="11" width="11" style="878" customWidth="1"/>
    <col min="12" max="256" width="8.85546875" style="878"/>
    <col min="257" max="257" width="3.42578125" style="878" customWidth="1"/>
    <col min="258" max="258" width="30.28515625" style="878" customWidth="1"/>
    <col min="259" max="259" width="9.5703125" style="878" customWidth="1"/>
    <col min="260" max="260" width="7.7109375" style="878" customWidth="1"/>
    <col min="261" max="261" width="5.42578125" style="878" customWidth="1"/>
    <col min="262" max="262" width="5.5703125" style="878" customWidth="1"/>
    <col min="263" max="263" width="6.7109375" style="878" customWidth="1"/>
    <col min="264" max="264" width="4.140625" style="878" customWidth="1"/>
    <col min="265" max="265" width="6.7109375" style="878" customWidth="1"/>
    <col min="266" max="266" width="14" style="878" customWidth="1"/>
    <col min="267" max="267" width="11" style="878" customWidth="1"/>
    <col min="268" max="512" width="8.85546875" style="878"/>
    <col min="513" max="513" width="3.42578125" style="878" customWidth="1"/>
    <col min="514" max="514" width="30.28515625" style="878" customWidth="1"/>
    <col min="515" max="515" width="9.5703125" style="878" customWidth="1"/>
    <col min="516" max="516" width="7.7109375" style="878" customWidth="1"/>
    <col min="517" max="517" width="5.42578125" style="878" customWidth="1"/>
    <col min="518" max="518" width="5.5703125" style="878" customWidth="1"/>
    <col min="519" max="519" width="6.7109375" style="878" customWidth="1"/>
    <col min="520" max="520" width="4.140625" style="878" customWidth="1"/>
    <col min="521" max="521" width="6.7109375" style="878" customWidth="1"/>
    <col min="522" max="522" width="14" style="878" customWidth="1"/>
    <col min="523" max="523" width="11" style="878" customWidth="1"/>
    <col min="524" max="768" width="8.85546875" style="878"/>
    <col min="769" max="769" width="3.42578125" style="878" customWidth="1"/>
    <col min="770" max="770" width="30.28515625" style="878" customWidth="1"/>
    <col min="771" max="771" width="9.5703125" style="878" customWidth="1"/>
    <col min="772" max="772" width="7.7109375" style="878" customWidth="1"/>
    <col min="773" max="773" width="5.42578125" style="878" customWidth="1"/>
    <col min="774" max="774" width="5.5703125" style="878" customWidth="1"/>
    <col min="775" max="775" width="6.7109375" style="878" customWidth="1"/>
    <col min="776" max="776" width="4.140625" style="878" customWidth="1"/>
    <col min="777" max="777" width="6.7109375" style="878" customWidth="1"/>
    <col min="778" max="778" width="14" style="878" customWidth="1"/>
    <col min="779" max="779" width="11" style="878" customWidth="1"/>
    <col min="780" max="1024" width="8.85546875" style="878"/>
    <col min="1025" max="1025" width="3.42578125" style="878" customWidth="1"/>
    <col min="1026" max="1026" width="30.28515625" style="878" customWidth="1"/>
    <col min="1027" max="1027" width="9.5703125" style="878" customWidth="1"/>
    <col min="1028" max="1028" width="7.7109375" style="878" customWidth="1"/>
    <col min="1029" max="1029" width="5.42578125" style="878" customWidth="1"/>
    <col min="1030" max="1030" width="5.5703125" style="878" customWidth="1"/>
    <col min="1031" max="1031" width="6.7109375" style="878" customWidth="1"/>
    <col min="1032" max="1032" width="4.140625" style="878" customWidth="1"/>
    <col min="1033" max="1033" width="6.7109375" style="878" customWidth="1"/>
    <col min="1034" max="1034" width="14" style="878" customWidth="1"/>
    <col min="1035" max="1035" width="11" style="878" customWidth="1"/>
    <col min="1036" max="1280" width="8.85546875" style="878"/>
    <col min="1281" max="1281" width="3.42578125" style="878" customWidth="1"/>
    <col min="1282" max="1282" width="30.28515625" style="878" customWidth="1"/>
    <col min="1283" max="1283" width="9.5703125" style="878" customWidth="1"/>
    <col min="1284" max="1284" width="7.7109375" style="878" customWidth="1"/>
    <col min="1285" max="1285" width="5.42578125" style="878" customWidth="1"/>
    <col min="1286" max="1286" width="5.5703125" style="878" customWidth="1"/>
    <col min="1287" max="1287" width="6.7109375" style="878" customWidth="1"/>
    <col min="1288" max="1288" width="4.140625" style="878" customWidth="1"/>
    <col min="1289" max="1289" width="6.7109375" style="878" customWidth="1"/>
    <col min="1290" max="1290" width="14" style="878" customWidth="1"/>
    <col min="1291" max="1291" width="11" style="878" customWidth="1"/>
    <col min="1292" max="1536" width="8.85546875" style="878"/>
    <col min="1537" max="1537" width="3.42578125" style="878" customWidth="1"/>
    <col min="1538" max="1538" width="30.28515625" style="878" customWidth="1"/>
    <col min="1539" max="1539" width="9.5703125" style="878" customWidth="1"/>
    <col min="1540" max="1540" width="7.7109375" style="878" customWidth="1"/>
    <col min="1541" max="1541" width="5.42578125" style="878" customWidth="1"/>
    <col min="1542" max="1542" width="5.5703125" style="878" customWidth="1"/>
    <col min="1543" max="1543" width="6.7109375" style="878" customWidth="1"/>
    <col min="1544" max="1544" width="4.140625" style="878" customWidth="1"/>
    <col min="1545" max="1545" width="6.7109375" style="878" customWidth="1"/>
    <col min="1546" max="1546" width="14" style="878" customWidth="1"/>
    <col min="1547" max="1547" width="11" style="878" customWidth="1"/>
    <col min="1548" max="1792" width="8.85546875" style="878"/>
    <col min="1793" max="1793" width="3.42578125" style="878" customWidth="1"/>
    <col min="1794" max="1794" width="30.28515625" style="878" customWidth="1"/>
    <col min="1795" max="1795" width="9.5703125" style="878" customWidth="1"/>
    <col min="1796" max="1796" width="7.7109375" style="878" customWidth="1"/>
    <col min="1797" max="1797" width="5.42578125" style="878" customWidth="1"/>
    <col min="1798" max="1798" width="5.5703125" style="878" customWidth="1"/>
    <col min="1799" max="1799" width="6.7109375" style="878" customWidth="1"/>
    <col min="1800" max="1800" width="4.140625" style="878" customWidth="1"/>
    <col min="1801" max="1801" width="6.7109375" style="878" customWidth="1"/>
    <col min="1802" max="1802" width="14" style="878" customWidth="1"/>
    <col min="1803" max="1803" width="11" style="878" customWidth="1"/>
    <col min="1804" max="2048" width="8.85546875" style="878"/>
    <col min="2049" max="2049" width="3.42578125" style="878" customWidth="1"/>
    <col min="2050" max="2050" width="30.28515625" style="878" customWidth="1"/>
    <col min="2051" max="2051" width="9.5703125" style="878" customWidth="1"/>
    <col min="2052" max="2052" width="7.7109375" style="878" customWidth="1"/>
    <col min="2053" max="2053" width="5.42578125" style="878" customWidth="1"/>
    <col min="2054" max="2054" width="5.5703125" style="878" customWidth="1"/>
    <col min="2055" max="2055" width="6.7109375" style="878" customWidth="1"/>
    <col min="2056" max="2056" width="4.140625" style="878" customWidth="1"/>
    <col min="2057" max="2057" width="6.7109375" style="878" customWidth="1"/>
    <col min="2058" max="2058" width="14" style="878" customWidth="1"/>
    <col min="2059" max="2059" width="11" style="878" customWidth="1"/>
    <col min="2060" max="2304" width="8.85546875" style="878"/>
    <col min="2305" max="2305" width="3.42578125" style="878" customWidth="1"/>
    <col min="2306" max="2306" width="30.28515625" style="878" customWidth="1"/>
    <col min="2307" max="2307" width="9.5703125" style="878" customWidth="1"/>
    <col min="2308" max="2308" width="7.7109375" style="878" customWidth="1"/>
    <col min="2309" max="2309" width="5.42578125" style="878" customWidth="1"/>
    <col min="2310" max="2310" width="5.5703125" style="878" customWidth="1"/>
    <col min="2311" max="2311" width="6.7109375" style="878" customWidth="1"/>
    <col min="2312" max="2312" width="4.140625" style="878" customWidth="1"/>
    <col min="2313" max="2313" width="6.7109375" style="878" customWidth="1"/>
    <col min="2314" max="2314" width="14" style="878" customWidth="1"/>
    <col min="2315" max="2315" width="11" style="878" customWidth="1"/>
    <col min="2316" max="2560" width="8.85546875" style="878"/>
    <col min="2561" max="2561" width="3.42578125" style="878" customWidth="1"/>
    <col min="2562" max="2562" width="30.28515625" style="878" customWidth="1"/>
    <col min="2563" max="2563" width="9.5703125" style="878" customWidth="1"/>
    <col min="2564" max="2564" width="7.7109375" style="878" customWidth="1"/>
    <col min="2565" max="2565" width="5.42578125" style="878" customWidth="1"/>
    <col min="2566" max="2566" width="5.5703125" style="878" customWidth="1"/>
    <col min="2567" max="2567" width="6.7109375" style="878" customWidth="1"/>
    <col min="2568" max="2568" width="4.140625" style="878" customWidth="1"/>
    <col min="2569" max="2569" width="6.7109375" style="878" customWidth="1"/>
    <col min="2570" max="2570" width="14" style="878" customWidth="1"/>
    <col min="2571" max="2571" width="11" style="878" customWidth="1"/>
    <col min="2572" max="2816" width="8.85546875" style="878"/>
    <col min="2817" max="2817" width="3.42578125" style="878" customWidth="1"/>
    <col min="2818" max="2818" width="30.28515625" style="878" customWidth="1"/>
    <col min="2819" max="2819" width="9.5703125" style="878" customWidth="1"/>
    <col min="2820" max="2820" width="7.7109375" style="878" customWidth="1"/>
    <col min="2821" max="2821" width="5.42578125" style="878" customWidth="1"/>
    <col min="2822" max="2822" width="5.5703125" style="878" customWidth="1"/>
    <col min="2823" max="2823" width="6.7109375" style="878" customWidth="1"/>
    <col min="2824" max="2824" width="4.140625" style="878" customWidth="1"/>
    <col min="2825" max="2825" width="6.7109375" style="878" customWidth="1"/>
    <col min="2826" max="2826" width="14" style="878" customWidth="1"/>
    <col min="2827" max="2827" width="11" style="878" customWidth="1"/>
    <col min="2828" max="3072" width="8.85546875" style="878"/>
    <col min="3073" max="3073" width="3.42578125" style="878" customWidth="1"/>
    <col min="3074" max="3074" width="30.28515625" style="878" customWidth="1"/>
    <col min="3075" max="3075" width="9.5703125" style="878" customWidth="1"/>
    <col min="3076" max="3076" width="7.7109375" style="878" customWidth="1"/>
    <col min="3077" max="3077" width="5.42578125" style="878" customWidth="1"/>
    <col min="3078" max="3078" width="5.5703125" style="878" customWidth="1"/>
    <col min="3079" max="3079" width="6.7109375" style="878" customWidth="1"/>
    <col min="3080" max="3080" width="4.140625" style="878" customWidth="1"/>
    <col min="3081" max="3081" width="6.7109375" style="878" customWidth="1"/>
    <col min="3082" max="3082" width="14" style="878" customWidth="1"/>
    <col min="3083" max="3083" width="11" style="878" customWidth="1"/>
    <col min="3084" max="3328" width="8.85546875" style="878"/>
    <col min="3329" max="3329" width="3.42578125" style="878" customWidth="1"/>
    <col min="3330" max="3330" width="30.28515625" style="878" customWidth="1"/>
    <col min="3331" max="3331" width="9.5703125" style="878" customWidth="1"/>
    <col min="3332" max="3332" width="7.7109375" style="878" customWidth="1"/>
    <col min="3333" max="3333" width="5.42578125" style="878" customWidth="1"/>
    <col min="3334" max="3334" width="5.5703125" style="878" customWidth="1"/>
    <col min="3335" max="3335" width="6.7109375" style="878" customWidth="1"/>
    <col min="3336" max="3336" width="4.140625" style="878" customWidth="1"/>
    <col min="3337" max="3337" width="6.7109375" style="878" customWidth="1"/>
    <col min="3338" max="3338" width="14" style="878" customWidth="1"/>
    <col min="3339" max="3339" width="11" style="878" customWidth="1"/>
    <col min="3340" max="3584" width="8.85546875" style="878"/>
    <col min="3585" max="3585" width="3.42578125" style="878" customWidth="1"/>
    <col min="3586" max="3586" width="30.28515625" style="878" customWidth="1"/>
    <col min="3587" max="3587" width="9.5703125" style="878" customWidth="1"/>
    <col min="3588" max="3588" width="7.7109375" style="878" customWidth="1"/>
    <col min="3589" max="3589" width="5.42578125" style="878" customWidth="1"/>
    <col min="3590" max="3590" width="5.5703125" style="878" customWidth="1"/>
    <col min="3591" max="3591" width="6.7109375" style="878" customWidth="1"/>
    <col min="3592" max="3592" width="4.140625" style="878" customWidth="1"/>
    <col min="3593" max="3593" width="6.7109375" style="878" customWidth="1"/>
    <col min="3594" max="3594" width="14" style="878" customWidth="1"/>
    <col min="3595" max="3595" width="11" style="878" customWidth="1"/>
    <col min="3596" max="3840" width="8.85546875" style="878"/>
    <col min="3841" max="3841" width="3.42578125" style="878" customWidth="1"/>
    <col min="3842" max="3842" width="30.28515625" style="878" customWidth="1"/>
    <col min="3843" max="3843" width="9.5703125" style="878" customWidth="1"/>
    <col min="3844" max="3844" width="7.7109375" style="878" customWidth="1"/>
    <col min="3845" max="3845" width="5.42578125" style="878" customWidth="1"/>
    <col min="3846" max="3846" width="5.5703125" style="878" customWidth="1"/>
    <col min="3847" max="3847" width="6.7109375" style="878" customWidth="1"/>
    <col min="3848" max="3848" width="4.140625" style="878" customWidth="1"/>
    <col min="3849" max="3849" width="6.7109375" style="878" customWidth="1"/>
    <col min="3850" max="3850" width="14" style="878" customWidth="1"/>
    <col min="3851" max="3851" width="11" style="878" customWidth="1"/>
    <col min="3852" max="4096" width="8.85546875" style="878"/>
    <col min="4097" max="4097" width="3.42578125" style="878" customWidth="1"/>
    <col min="4098" max="4098" width="30.28515625" style="878" customWidth="1"/>
    <col min="4099" max="4099" width="9.5703125" style="878" customWidth="1"/>
    <col min="4100" max="4100" width="7.7109375" style="878" customWidth="1"/>
    <col min="4101" max="4101" width="5.42578125" style="878" customWidth="1"/>
    <col min="4102" max="4102" width="5.5703125" style="878" customWidth="1"/>
    <col min="4103" max="4103" width="6.7109375" style="878" customWidth="1"/>
    <col min="4104" max="4104" width="4.140625" style="878" customWidth="1"/>
    <col min="4105" max="4105" width="6.7109375" style="878" customWidth="1"/>
    <col min="4106" max="4106" width="14" style="878" customWidth="1"/>
    <col min="4107" max="4107" width="11" style="878" customWidth="1"/>
    <col min="4108" max="4352" width="8.85546875" style="878"/>
    <col min="4353" max="4353" width="3.42578125" style="878" customWidth="1"/>
    <col min="4354" max="4354" width="30.28515625" style="878" customWidth="1"/>
    <col min="4355" max="4355" width="9.5703125" style="878" customWidth="1"/>
    <col min="4356" max="4356" width="7.7109375" style="878" customWidth="1"/>
    <col min="4357" max="4357" width="5.42578125" style="878" customWidth="1"/>
    <col min="4358" max="4358" width="5.5703125" style="878" customWidth="1"/>
    <col min="4359" max="4359" width="6.7109375" style="878" customWidth="1"/>
    <col min="4360" max="4360" width="4.140625" style="878" customWidth="1"/>
    <col min="4361" max="4361" width="6.7109375" style="878" customWidth="1"/>
    <col min="4362" max="4362" width="14" style="878" customWidth="1"/>
    <col min="4363" max="4363" width="11" style="878" customWidth="1"/>
    <col min="4364" max="4608" width="8.85546875" style="878"/>
    <col min="4609" max="4609" width="3.42578125" style="878" customWidth="1"/>
    <col min="4610" max="4610" width="30.28515625" style="878" customWidth="1"/>
    <col min="4611" max="4611" width="9.5703125" style="878" customWidth="1"/>
    <col min="4612" max="4612" width="7.7109375" style="878" customWidth="1"/>
    <col min="4613" max="4613" width="5.42578125" style="878" customWidth="1"/>
    <col min="4614" max="4614" width="5.5703125" style="878" customWidth="1"/>
    <col min="4615" max="4615" width="6.7109375" style="878" customWidth="1"/>
    <col min="4616" max="4616" width="4.140625" style="878" customWidth="1"/>
    <col min="4617" max="4617" width="6.7109375" style="878" customWidth="1"/>
    <col min="4618" max="4618" width="14" style="878" customWidth="1"/>
    <col min="4619" max="4619" width="11" style="878" customWidth="1"/>
    <col min="4620" max="4864" width="8.85546875" style="878"/>
    <col min="4865" max="4865" width="3.42578125" style="878" customWidth="1"/>
    <col min="4866" max="4866" width="30.28515625" style="878" customWidth="1"/>
    <col min="4867" max="4867" width="9.5703125" style="878" customWidth="1"/>
    <col min="4868" max="4868" width="7.7109375" style="878" customWidth="1"/>
    <col min="4869" max="4869" width="5.42578125" style="878" customWidth="1"/>
    <col min="4870" max="4870" width="5.5703125" style="878" customWidth="1"/>
    <col min="4871" max="4871" width="6.7109375" style="878" customWidth="1"/>
    <col min="4872" max="4872" width="4.140625" style="878" customWidth="1"/>
    <col min="4873" max="4873" width="6.7109375" style="878" customWidth="1"/>
    <col min="4874" max="4874" width="14" style="878" customWidth="1"/>
    <col min="4875" max="4875" width="11" style="878" customWidth="1"/>
    <col min="4876" max="5120" width="8.85546875" style="878"/>
    <col min="5121" max="5121" width="3.42578125" style="878" customWidth="1"/>
    <col min="5122" max="5122" width="30.28515625" style="878" customWidth="1"/>
    <col min="5123" max="5123" width="9.5703125" style="878" customWidth="1"/>
    <col min="5124" max="5124" width="7.7109375" style="878" customWidth="1"/>
    <col min="5125" max="5125" width="5.42578125" style="878" customWidth="1"/>
    <col min="5126" max="5126" width="5.5703125" style="878" customWidth="1"/>
    <col min="5127" max="5127" width="6.7109375" style="878" customWidth="1"/>
    <col min="5128" max="5128" width="4.140625" style="878" customWidth="1"/>
    <col min="5129" max="5129" width="6.7109375" style="878" customWidth="1"/>
    <col min="5130" max="5130" width="14" style="878" customWidth="1"/>
    <col min="5131" max="5131" width="11" style="878" customWidth="1"/>
    <col min="5132" max="5376" width="8.85546875" style="878"/>
    <col min="5377" max="5377" width="3.42578125" style="878" customWidth="1"/>
    <col min="5378" max="5378" width="30.28515625" style="878" customWidth="1"/>
    <col min="5379" max="5379" width="9.5703125" style="878" customWidth="1"/>
    <col min="5380" max="5380" width="7.7109375" style="878" customWidth="1"/>
    <col min="5381" max="5381" width="5.42578125" style="878" customWidth="1"/>
    <col min="5382" max="5382" width="5.5703125" style="878" customWidth="1"/>
    <col min="5383" max="5383" width="6.7109375" style="878" customWidth="1"/>
    <col min="5384" max="5384" width="4.140625" style="878" customWidth="1"/>
    <col min="5385" max="5385" width="6.7109375" style="878" customWidth="1"/>
    <col min="5386" max="5386" width="14" style="878" customWidth="1"/>
    <col min="5387" max="5387" width="11" style="878" customWidth="1"/>
    <col min="5388" max="5632" width="8.85546875" style="878"/>
    <col min="5633" max="5633" width="3.42578125" style="878" customWidth="1"/>
    <col min="5634" max="5634" width="30.28515625" style="878" customWidth="1"/>
    <col min="5635" max="5635" width="9.5703125" style="878" customWidth="1"/>
    <col min="5636" max="5636" width="7.7109375" style="878" customWidth="1"/>
    <col min="5637" max="5637" width="5.42578125" style="878" customWidth="1"/>
    <col min="5638" max="5638" width="5.5703125" style="878" customWidth="1"/>
    <col min="5639" max="5639" width="6.7109375" style="878" customWidth="1"/>
    <col min="5640" max="5640" width="4.140625" style="878" customWidth="1"/>
    <col min="5641" max="5641" width="6.7109375" style="878" customWidth="1"/>
    <col min="5642" max="5642" width="14" style="878" customWidth="1"/>
    <col min="5643" max="5643" width="11" style="878" customWidth="1"/>
    <col min="5644" max="5888" width="8.85546875" style="878"/>
    <col min="5889" max="5889" width="3.42578125" style="878" customWidth="1"/>
    <col min="5890" max="5890" width="30.28515625" style="878" customWidth="1"/>
    <col min="5891" max="5891" width="9.5703125" style="878" customWidth="1"/>
    <col min="5892" max="5892" width="7.7109375" style="878" customWidth="1"/>
    <col min="5893" max="5893" width="5.42578125" style="878" customWidth="1"/>
    <col min="5894" max="5894" width="5.5703125" style="878" customWidth="1"/>
    <col min="5895" max="5895" width="6.7109375" style="878" customWidth="1"/>
    <col min="5896" max="5896" width="4.140625" style="878" customWidth="1"/>
    <col min="5897" max="5897" width="6.7109375" style="878" customWidth="1"/>
    <col min="5898" max="5898" width="14" style="878" customWidth="1"/>
    <col min="5899" max="5899" width="11" style="878" customWidth="1"/>
    <col min="5900" max="6144" width="8.85546875" style="878"/>
    <col min="6145" max="6145" width="3.42578125" style="878" customWidth="1"/>
    <col min="6146" max="6146" width="30.28515625" style="878" customWidth="1"/>
    <col min="6147" max="6147" width="9.5703125" style="878" customWidth="1"/>
    <col min="6148" max="6148" width="7.7109375" style="878" customWidth="1"/>
    <col min="6149" max="6149" width="5.42578125" style="878" customWidth="1"/>
    <col min="6150" max="6150" width="5.5703125" style="878" customWidth="1"/>
    <col min="6151" max="6151" width="6.7109375" style="878" customWidth="1"/>
    <col min="6152" max="6152" width="4.140625" style="878" customWidth="1"/>
    <col min="6153" max="6153" width="6.7109375" style="878" customWidth="1"/>
    <col min="6154" max="6154" width="14" style="878" customWidth="1"/>
    <col min="6155" max="6155" width="11" style="878" customWidth="1"/>
    <col min="6156" max="6400" width="8.85546875" style="878"/>
    <col min="6401" max="6401" width="3.42578125" style="878" customWidth="1"/>
    <col min="6402" max="6402" width="30.28515625" style="878" customWidth="1"/>
    <col min="6403" max="6403" width="9.5703125" style="878" customWidth="1"/>
    <col min="6404" max="6404" width="7.7109375" style="878" customWidth="1"/>
    <col min="6405" max="6405" width="5.42578125" style="878" customWidth="1"/>
    <col min="6406" max="6406" width="5.5703125" style="878" customWidth="1"/>
    <col min="6407" max="6407" width="6.7109375" style="878" customWidth="1"/>
    <col min="6408" max="6408" width="4.140625" style="878" customWidth="1"/>
    <col min="6409" max="6409" width="6.7109375" style="878" customWidth="1"/>
    <col min="6410" max="6410" width="14" style="878" customWidth="1"/>
    <col min="6411" max="6411" width="11" style="878" customWidth="1"/>
    <col min="6412" max="6656" width="8.85546875" style="878"/>
    <col min="6657" max="6657" width="3.42578125" style="878" customWidth="1"/>
    <col min="6658" max="6658" width="30.28515625" style="878" customWidth="1"/>
    <col min="6659" max="6659" width="9.5703125" style="878" customWidth="1"/>
    <col min="6660" max="6660" width="7.7109375" style="878" customWidth="1"/>
    <col min="6661" max="6661" width="5.42578125" style="878" customWidth="1"/>
    <col min="6662" max="6662" width="5.5703125" style="878" customWidth="1"/>
    <col min="6663" max="6663" width="6.7109375" style="878" customWidth="1"/>
    <col min="6664" max="6664" width="4.140625" style="878" customWidth="1"/>
    <col min="6665" max="6665" width="6.7109375" style="878" customWidth="1"/>
    <col min="6666" max="6666" width="14" style="878" customWidth="1"/>
    <col min="6667" max="6667" width="11" style="878" customWidth="1"/>
    <col min="6668" max="6912" width="8.85546875" style="878"/>
    <col min="6913" max="6913" width="3.42578125" style="878" customWidth="1"/>
    <col min="6914" max="6914" width="30.28515625" style="878" customWidth="1"/>
    <col min="6915" max="6915" width="9.5703125" style="878" customWidth="1"/>
    <col min="6916" max="6916" width="7.7109375" style="878" customWidth="1"/>
    <col min="6917" max="6917" width="5.42578125" style="878" customWidth="1"/>
    <col min="6918" max="6918" width="5.5703125" style="878" customWidth="1"/>
    <col min="6919" max="6919" width="6.7109375" style="878" customWidth="1"/>
    <col min="6920" max="6920" width="4.140625" style="878" customWidth="1"/>
    <col min="6921" max="6921" width="6.7109375" style="878" customWidth="1"/>
    <col min="6922" max="6922" width="14" style="878" customWidth="1"/>
    <col min="6923" max="6923" width="11" style="878" customWidth="1"/>
    <col min="6924" max="7168" width="8.85546875" style="878"/>
    <col min="7169" max="7169" width="3.42578125" style="878" customWidth="1"/>
    <col min="7170" max="7170" width="30.28515625" style="878" customWidth="1"/>
    <col min="7171" max="7171" width="9.5703125" style="878" customWidth="1"/>
    <col min="7172" max="7172" width="7.7109375" style="878" customWidth="1"/>
    <col min="7173" max="7173" width="5.42578125" style="878" customWidth="1"/>
    <col min="7174" max="7174" width="5.5703125" style="878" customWidth="1"/>
    <col min="7175" max="7175" width="6.7109375" style="878" customWidth="1"/>
    <col min="7176" max="7176" width="4.140625" style="878" customWidth="1"/>
    <col min="7177" max="7177" width="6.7109375" style="878" customWidth="1"/>
    <col min="7178" max="7178" width="14" style="878" customWidth="1"/>
    <col min="7179" max="7179" width="11" style="878" customWidth="1"/>
    <col min="7180" max="7424" width="8.85546875" style="878"/>
    <col min="7425" max="7425" width="3.42578125" style="878" customWidth="1"/>
    <col min="7426" max="7426" width="30.28515625" style="878" customWidth="1"/>
    <col min="7427" max="7427" width="9.5703125" style="878" customWidth="1"/>
    <col min="7428" max="7428" width="7.7109375" style="878" customWidth="1"/>
    <col min="7429" max="7429" width="5.42578125" style="878" customWidth="1"/>
    <col min="7430" max="7430" width="5.5703125" style="878" customWidth="1"/>
    <col min="7431" max="7431" width="6.7109375" style="878" customWidth="1"/>
    <col min="7432" max="7432" width="4.140625" style="878" customWidth="1"/>
    <col min="7433" max="7433" width="6.7109375" style="878" customWidth="1"/>
    <col min="7434" max="7434" width="14" style="878" customWidth="1"/>
    <col min="7435" max="7435" width="11" style="878" customWidth="1"/>
    <col min="7436" max="7680" width="8.85546875" style="878"/>
    <col min="7681" max="7681" width="3.42578125" style="878" customWidth="1"/>
    <col min="7682" max="7682" width="30.28515625" style="878" customWidth="1"/>
    <col min="7683" max="7683" width="9.5703125" style="878" customWidth="1"/>
    <col min="7684" max="7684" width="7.7109375" style="878" customWidth="1"/>
    <col min="7685" max="7685" width="5.42578125" style="878" customWidth="1"/>
    <col min="7686" max="7686" width="5.5703125" style="878" customWidth="1"/>
    <col min="7687" max="7687" width="6.7109375" style="878" customWidth="1"/>
    <col min="7688" max="7688" width="4.140625" style="878" customWidth="1"/>
    <col min="7689" max="7689" width="6.7109375" style="878" customWidth="1"/>
    <col min="7690" max="7690" width="14" style="878" customWidth="1"/>
    <col min="7691" max="7691" width="11" style="878" customWidth="1"/>
    <col min="7692" max="7936" width="8.85546875" style="878"/>
    <col min="7937" max="7937" width="3.42578125" style="878" customWidth="1"/>
    <col min="7938" max="7938" width="30.28515625" style="878" customWidth="1"/>
    <col min="7939" max="7939" width="9.5703125" style="878" customWidth="1"/>
    <col min="7940" max="7940" width="7.7109375" style="878" customWidth="1"/>
    <col min="7941" max="7941" width="5.42578125" style="878" customWidth="1"/>
    <col min="7942" max="7942" width="5.5703125" style="878" customWidth="1"/>
    <col min="7943" max="7943" width="6.7109375" style="878" customWidth="1"/>
    <col min="7944" max="7944" width="4.140625" style="878" customWidth="1"/>
    <col min="7945" max="7945" width="6.7109375" style="878" customWidth="1"/>
    <col min="7946" max="7946" width="14" style="878" customWidth="1"/>
    <col min="7947" max="7947" width="11" style="878" customWidth="1"/>
    <col min="7948" max="8192" width="8.85546875" style="878"/>
    <col min="8193" max="8193" width="3.42578125" style="878" customWidth="1"/>
    <col min="8194" max="8194" width="30.28515625" style="878" customWidth="1"/>
    <col min="8195" max="8195" width="9.5703125" style="878" customWidth="1"/>
    <col min="8196" max="8196" width="7.7109375" style="878" customWidth="1"/>
    <col min="8197" max="8197" width="5.42578125" style="878" customWidth="1"/>
    <col min="8198" max="8198" width="5.5703125" style="878" customWidth="1"/>
    <col min="8199" max="8199" width="6.7109375" style="878" customWidth="1"/>
    <col min="8200" max="8200" width="4.140625" style="878" customWidth="1"/>
    <col min="8201" max="8201" width="6.7109375" style="878" customWidth="1"/>
    <col min="8202" max="8202" width="14" style="878" customWidth="1"/>
    <col min="8203" max="8203" width="11" style="878" customWidth="1"/>
    <col min="8204" max="8448" width="8.85546875" style="878"/>
    <col min="8449" max="8449" width="3.42578125" style="878" customWidth="1"/>
    <col min="8450" max="8450" width="30.28515625" style="878" customWidth="1"/>
    <col min="8451" max="8451" width="9.5703125" style="878" customWidth="1"/>
    <col min="8452" max="8452" width="7.7109375" style="878" customWidth="1"/>
    <col min="8453" max="8453" width="5.42578125" style="878" customWidth="1"/>
    <col min="8454" max="8454" width="5.5703125" style="878" customWidth="1"/>
    <col min="8455" max="8455" width="6.7109375" style="878" customWidth="1"/>
    <col min="8456" max="8456" width="4.140625" style="878" customWidth="1"/>
    <col min="8457" max="8457" width="6.7109375" style="878" customWidth="1"/>
    <col min="8458" max="8458" width="14" style="878" customWidth="1"/>
    <col min="8459" max="8459" width="11" style="878" customWidth="1"/>
    <col min="8460" max="8704" width="8.85546875" style="878"/>
    <col min="8705" max="8705" width="3.42578125" style="878" customWidth="1"/>
    <col min="8706" max="8706" width="30.28515625" style="878" customWidth="1"/>
    <col min="8707" max="8707" width="9.5703125" style="878" customWidth="1"/>
    <col min="8708" max="8708" width="7.7109375" style="878" customWidth="1"/>
    <col min="8709" max="8709" width="5.42578125" style="878" customWidth="1"/>
    <col min="8710" max="8710" width="5.5703125" style="878" customWidth="1"/>
    <col min="8711" max="8711" width="6.7109375" style="878" customWidth="1"/>
    <col min="8712" max="8712" width="4.140625" style="878" customWidth="1"/>
    <col min="8713" max="8713" width="6.7109375" style="878" customWidth="1"/>
    <col min="8714" max="8714" width="14" style="878" customWidth="1"/>
    <col min="8715" max="8715" width="11" style="878" customWidth="1"/>
    <col min="8716" max="8960" width="8.85546875" style="878"/>
    <col min="8961" max="8961" width="3.42578125" style="878" customWidth="1"/>
    <col min="8962" max="8962" width="30.28515625" style="878" customWidth="1"/>
    <col min="8963" max="8963" width="9.5703125" style="878" customWidth="1"/>
    <col min="8964" max="8964" width="7.7109375" style="878" customWidth="1"/>
    <col min="8965" max="8965" width="5.42578125" style="878" customWidth="1"/>
    <col min="8966" max="8966" width="5.5703125" style="878" customWidth="1"/>
    <col min="8967" max="8967" width="6.7109375" style="878" customWidth="1"/>
    <col min="8968" max="8968" width="4.140625" style="878" customWidth="1"/>
    <col min="8969" max="8969" width="6.7109375" style="878" customWidth="1"/>
    <col min="8970" max="8970" width="14" style="878" customWidth="1"/>
    <col min="8971" max="8971" width="11" style="878" customWidth="1"/>
    <col min="8972" max="9216" width="8.85546875" style="878"/>
    <col min="9217" max="9217" width="3.42578125" style="878" customWidth="1"/>
    <col min="9218" max="9218" width="30.28515625" style="878" customWidth="1"/>
    <col min="9219" max="9219" width="9.5703125" style="878" customWidth="1"/>
    <col min="9220" max="9220" width="7.7109375" style="878" customWidth="1"/>
    <col min="9221" max="9221" width="5.42578125" style="878" customWidth="1"/>
    <col min="9222" max="9222" width="5.5703125" style="878" customWidth="1"/>
    <col min="9223" max="9223" width="6.7109375" style="878" customWidth="1"/>
    <col min="9224" max="9224" width="4.140625" style="878" customWidth="1"/>
    <col min="9225" max="9225" width="6.7109375" style="878" customWidth="1"/>
    <col min="9226" max="9226" width="14" style="878" customWidth="1"/>
    <col min="9227" max="9227" width="11" style="878" customWidth="1"/>
    <col min="9228" max="9472" width="8.85546875" style="878"/>
    <col min="9473" max="9473" width="3.42578125" style="878" customWidth="1"/>
    <col min="9474" max="9474" width="30.28515625" style="878" customWidth="1"/>
    <col min="9475" max="9475" width="9.5703125" style="878" customWidth="1"/>
    <col min="9476" max="9476" width="7.7109375" style="878" customWidth="1"/>
    <col min="9477" max="9477" width="5.42578125" style="878" customWidth="1"/>
    <col min="9478" max="9478" width="5.5703125" style="878" customWidth="1"/>
    <col min="9479" max="9479" width="6.7109375" style="878" customWidth="1"/>
    <col min="9480" max="9480" width="4.140625" style="878" customWidth="1"/>
    <col min="9481" max="9481" width="6.7109375" style="878" customWidth="1"/>
    <col min="9482" max="9482" width="14" style="878" customWidth="1"/>
    <col min="9483" max="9483" width="11" style="878" customWidth="1"/>
    <col min="9484" max="9728" width="8.85546875" style="878"/>
    <col min="9729" max="9729" width="3.42578125" style="878" customWidth="1"/>
    <col min="9730" max="9730" width="30.28515625" style="878" customWidth="1"/>
    <col min="9731" max="9731" width="9.5703125" style="878" customWidth="1"/>
    <col min="9732" max="9732" width="7.7109375" style="878" customWidth="1"/>
    <col min="9733" max="9733" width="5.42578125" style="878" customWidth="1"/>
    <col min="9734" max="9734" width="5.5703125" style="878" customWidth="1"/>
    <col min="9735" max="9735" width="6.7109375" style="878" customWidth="1"/>
    <col min="9736" max="9736" width="4.140625" style="878" customWidth="1"/>
    <col min="9737" max="9737" width="6.7109375" style="878" customWidth="1"/>
    <col min="9738" max="9738" width="14" style="878" customWidth="1"/>
    <col min="9739" max="9739" width="11" style="878" customWidth="1"/>
    <col min="9740" max="9984" width="8.85546875" style="878"/>
    <col min="9985" max="9985" width="3.42578125" style="878" customWidth="1"/>
    <col min="9986" max="9986" width="30.28515625" style="878" customWidth="1"/>
    <col min="9987" max="9987" width="9.5703125" style="878" customWidth="1"/>
    <col min="9988" max="9988" width="7.7109375" style="878" customWidth="1"/>
    <col min="9989" max="9989" width="5.42578125" style="878" customWidth="1"/>
    <col min="9990" max="9990" width="5.5703125" style="878" customWidth="1"/>
    <col min="9991" max="9991" width="6.7109375" style="878" customWidth="1"/>
    <col min="9992" max="9992" width="4.140625" style="878" customWidth="1"/>
    <col min="9993" max="9993" width="6.7109375" style="878" customWidth="1"/>
    <col min="9994" max="9994" width="14" style="878" customWidth="1"/>
    <col min="9995" max="9995" width="11" style="878" customWidth="1"/>
    <col min="9996" max="10240" width="8.85546875" style="878"/>
    <col min="10241" max="10241" width="3.42578125" style="878" customWidth="1"/>
    <col min="10242" max="10242" width="30.28515625" style="878" customWidth="1"/>
    <col min="10243" max="10243" width="9.5703125" style="878" customWidth="1"/>
    <col min="10244" max="10244" width="7.7109375" style="878" customWidth="1"/>
    <col min="10245" max="10245" width="5.42578125" style="878" customWidth="1"/>
    <col min="10246" max="10246" width="5.5703125" style="878" customWidth="1"/>
    <col min="10247" max="10247" width="6.7109375" style="878" customWidth="1"/>
    <col min="10248" max="10248" width="4.140625" style="878" customWidth="1"/>
    <col min="10249" max="10249" width="6.7109375" style="878" customWidth="1"/>
    <col min="10250" max="10250" width="14" style="878" customWidth="1"/>
    <col min="10251" max="10251" width="11" style="878" customWidth="1"/>
    <col min="10252" max="10496" width="8.85546875" style="878"/>
    <col min="10497" max="10497" width="3.42578125" style="878" customWidth="1"/>
    <col min="10498" max="10498" width="30.28515625" style="878" customWidth="1"/>
    <col min="10499" max="10499" width="9.5703125" style="878" customWidth="1"/>
    <col min="10500" max="10500" width="7.7109375" style="878" customWidth="1"/>
    <col min="10501" max="10501" width="5.42578125" style="878" customWidth="1"/>
    <col min="10502" max="10502" width="5.5703125" style="878" customWidth="1"/>
    <col min="10503" max="10503" width="6.7109375" style="878" customWidth="1"/>
    <col min="10504" max="10504" width="4.140625" style="878" customWidth="1"/>
    <col min="10505" max="10505" width="6.7109375" style="878" customWidth="1"/>
    <col min="10506" max="10506" width="14" style="878" customWidth="1"/>
    <col min="10507" max="10507" width="11" style="878" customWidth="1"/>
    <col min="10508" max="10752" width="8.85546875" style="878"/>
    <col min="10753" max="10753" width="3.42578125" style="878" customWidth="1"/>
    <col min="10754" max="10754" width="30.28515625" style="878" customWidth="1"/>
    <col min="10755" max="10755" width="9.5703125" style="878" customWidth="1"/>
    <col min="10756" max="10756" width="7.7109375" style="878" customWidth="1"/>
    <col min="10757" max="10757" width="5.42578125" style="878" customWidth="1"/>
    <col min="10758" max="10758" width="5.5703125" style="878" customWidth="1"/>
    <col min="10759" max="10759" width="6.7109375" style="878" customWidth="1"/>
    <col min="10760" max="10760" width="4.140625" style="878" customWidth="1"/>
    <col min="10761" max="10761" width="6.7109375" style="878" customWidth="1"/>
    <col min="10762" max="10762" width="14" style="878" customWidth="1"/>
    <col min="10763" max="10763" width="11" style="878" customWidth="1"/>
    <col min="10764" max="11008" width="8.85546875" style="878"/>
    <col min="11009" max="11009" width="3.42578125" style="878" customWidth="1"/>
    <col min="11010" max="11010" width="30.28515625" style="878" customWidth="1"/>
    <col min="11011" max="11011" width="9.5703125" style="878" customWidth="1"/>
    <col min="11012" max="11012" width="7.7109375" style="878" customWidth="1"/>
    <col min="11013" max="11013" width="5.42578125" style="878" customWidth="1"/>
    <col min="11014" max="11014" width="5.5703125" style="878" customWidth="1"/>
    <col min="11015" max="11015" width="6.7109375" style="878" customWidth="1"/>
    <col min="11016" max="11016" width="4.140625" style="878" customWidth="1"/>
    <col min="11017" max="11017" width="6.7109375" style="878" customWidth="1"/>
    <col min="11018" max="11018" width="14" style="878" customWidth="1"/>
    <col min="11019" max="11019" width="11" style="878" customWidth="1"/>
    <col min="11020" max="11264" width="8.85546875" style="878"/>
    <col min="11265" max="11265" width="3.42578125" style="878" customWidth="1"/>
    <col min="11266" max="11266" width="30.28515625" style="878" customWidth="1"/>
    <col min="11267" max="11267" width="9.5703125" style="878" customWidth="1"/>
    <col min="11268" max="11268" width="7.7109375" style="878" customWidth="1"/>
    <col min="11269" max="11269" width="5.42578125" style="878" customWidth="1"/>
    <col min="11270" max="11270" width="5.5703125" style="878" customWidth="1"/>
    <col min="11271" max="11271" width="6.7109375" style="878" customWidth="1"/>
    <col min="11272" max="11272" width="4.140625" style="878" customWidth="1"/>
    <col min="11273" max="11273" width="6.7109375" style="878" customWidth="1"/>
    <col min="11274" max="11274" width="14" style="878" customWidth="1"/>
    <col min="11275" max="11275" width="11" style="878" customWidth="1"/>
    <col min="11276" max="11520" width="8.85546875" style="878"/>
    <col min="11521" max="11521" width="3.42578125" style="878" customWidth="1"/>
    <col min="11522" max="11522" width="30.28515625" style="878" customWidth="1"/>
    <col min="11523" max="11523" width="9.5703125" style="878" customWidth="1"/>
    <col min="11524" max="11524" width="7.7109375" style="878" customWidth="1"/>
    <col min="11525" max="11525" width="5.42578125" style="878" customWidth="1"/>
    <col min="11526" max="11526" width="5.5703125" style="878" customWidth="1"/>
    <col min="11527" max="11527" width="6.7109375" style="878" customWidth="1"/>
    <col min="11528" max="11528" width="4.140625" style="878" customWidth="1"/>
    <col min="11529" max="11529" width="6.7109375" style="878" customWidth="1"/>
    <col min="11530" max="11530" width="14" style="878" customWidth="1"/>
    <col min="11531" max="11531" width="11" style="878" customWidth="1"/>
    <col min="11532" max="11776" width="8.85546875" style="878"/>
    <col min="11777" max="11777" width="3.42578125" style="878" customWidth="1"/>
    <col min="11778" max="11778" width="30.28515625" style="878" customWidth="1"/>
    <col min="11779" max="11779" width="9.5703125" style="878" customWidth="1"/>
    <col min="11780" max="11780" width="7.7109375" style="878" customWidth="1"/>
    <col min="11781" max="11781" width="5.42578125" style="878" customWidth="1"/>
    <col min="11782" max="11782" width="5.5703125" style="878" customWidth="1"/>
    <col min="11783" max="11783" width="6.7109375" style="878" customWidth="1"/>
    <col min="11784" max="11784" width="4.140625" style="878" customWidth="1"/>
    <col min="11785" max="11785" width="6.7109375" style="878" customWidth="1"/>
    <col min="11786" max="11786" width="14" style="878" customWidth="1"/>
    <col min="11787" max="11787" width="11" style="878" customWidth="1"/>
    <col min="11788" max="12032" width="8.85546875" style="878"/>
    <col min="12033" max="12033" width="3.42578125" style="878" customWidth="1"/>
    <col min="12034" max="12034" width="30.28515625" style="878" customWidth="1"/>
    <col min="12035" max="12035" width="9.5703125" style="878" customWidth="1"/>
    <col min="12036" max="12036" width="7.7109375" style="878" customWidth="1"/>
    <col min="12037" max="12037" width="5.42578125" style="878" customWidth="1"/>
    <col min="12038" max="12038" width="5.5703125" style="878" customWidth="1"/>
    <col min="12039" max="12039" width="6.7109375" style="878" customWidth="1"/>
    <col min="12040" max="12040" width="4.140625" style="878" customWidth="1"/>
    <col min="12041" max="12041" width="6.7109375" style="878" customWidth="1"/>
    <col min="12042" max="12042" width="14" style="878" customWidth="1"/>
    <col min="12043" max="12043" width="11" style="878" customWidth="1"/>
    <col min="12044" max="12288" width="8.85546875" style="878"/>
    <col min="12289" max="12289" width="3.42578125" style="878" customWidth="1"/>
    <col min="12290" max="12290" width="30.28515625" style="878" customWidth="1"/>
    <col min="12291" max="12291" width="9.5703125" style="878" customWidth="1"/>
    <col min="12292" max="12292" width="7.7109375" style="878" customWidth="1"/>
    <col min="12293" max="12293" width="5.42578125" style="878" customWidth="1"/>
    <col min="12294" max="12294" width="5.5703125" style="878" customWidth="1"/>
    <col min="12295" max="12295" width="6.7109375" style="878" customWidth="1"/>
    <col min="12296" max="12296" width="4.140625" style="878" customWidth="1"/>
    <col min="12297" max="12297" width="6.7109375" style="878" customWidth="1"/>
    <col min="12298" max="12298" width="14" style="878" customWidth="1"/>
    <col min="12299" max="12299" width="11" style="878" customWidth="1"/>
    <col min="12300" max="12544" width="8.85546875" style="878"/>
    <col min="12545" max="12545" width="3.42578125" style="878" customWidth="1"/>
    <col min="12546" max="12546" width="30.28515625" style="878" customWidth="1"/>
    <col min="12547" max="12547" width="9.5703125" style="878" customWidth="1"/>
    <col min="12548" max="12548" width="7.7109375" style="878" customWidth="1"/>
    <col min="12549" max="12549" width="5.42578125" style="878" customWidth="1"/>
    <col min="12550" max="12550" width="5.5703125" style="878" customWidth="1"/>
    <col min="12551" max="12551" width="6.7109375" style="878" customWidth="1"/>
    <col min="12552" max="12552" width="4.140625" style="878" customWidth="1"/>
    <col min="12553" max="12553" width="6.7109375" style="878" customWidth="1"/>
    <col min="12554" max="12554" width="14" style="878" customWidth="1"/>
    <col min="12555" max="12555" width="11" style="878" customWidth="1"/>
    <col min="12556" max="12800" width="8.85546875" style="878"/>
    <col min="12801" max="12801" width="3.42578125" style="878" customWidth="1"/>
    <col min="12802" max="12802" width="30.28515625" style="878" customWidth="1"/>
    <col min="12803" max="12803" width="9.5703125" style="878" customWidth="1"/>
    <col min="12804" max="12804" width="7.7109375" style="878" customWidth="1"/>
    <col min="12805" max="12805" width="5.42578125" style="878" customWidth="1"/>
    <col min="12806" max="12806" width="5.5703125" style="878" customWidth="1"/>
    <col min="12807" max="12807" width="6.7109375" style="878" customWidth="1"/>
    <col min="12808" max="12808" width="4.140625" style="878" customWidth="1"/>
    <col min="12809" max="12809" width="6.7109375" style="878" customWidth="1"/>
    <col min="12810" max="12810" width="14" style="878" customWidth="1"/>
    <col min="12811" max="12811" width="11" style="878" customWidth="1"/>
    <col min="12812" max="13056" width="8.85546875" style="878"/>
    <col min="13057" max="13057" width="3.42578125" style="878" customWidth="1"/>
    <col min="13058" max="13058" width="30.28515625" style="878" customWidth="1"/>
    <col min="13059" max="13059" width="9.5703125" style="878" customWidth="1"/>
    <col min="13060" max="13060" width="7.7109375" style="878" customWidth="1"/>
    <col min="13061" max="13061" width="5.42578125" style="878" customWidth="1"/>
    <col min="13062" max="13062" width="5.5703125" style="878" customWidth="1"/>
    <col min="13063" max="13063" width="6.7109375" style="878" customWidth="1"/>
    <col min="13064" max="13064" width="4.140625" style="878" customWidth="1"/>
    <col min="13065" max="13065" width="6.7109375" style="878" customWidth="1"/>
    <col min="13066" max="13066" width="14" style="878" customWidth="1"/>
    <col min="13067" max="13067" width="11" style="878" customWidth="1"/>
    <col min="13068" max="13312" width="8.85546875" style="878"/>
    <col min="13313" max="13313" width="3.42578125" style="878" customWidth="1"/>
    <col min="13314" max="13314" width="30.28515625" style="878" customWidth="1"/>
    <col min="13315" max="13315" width="9.5703125" style="878" customWidth="1"/>
    <col min="13316" max="13316" width="7.7109375" style="878" customWidth="1"/>
    <col min="13317" max="13317" width="5.42578125" style="878" customWidth="1"/>
    <col min="13318" max="13318" width="5.5703125" style="878" customWidth="1"/>
    <col min="13319" max="13319" width="6.7109375" style="878" customWidth="1"/>
    <col min="13320" max="13320" width="4.140625" style="878" customWidth="1"/>
    <col min="13321" max="13321" width="6.7109375" style="878" customWidth="1"/>
    <col min="13322" max="13322" width="14" style="878" customWidth="1"/>
    <col min="13323" max="13323" width="11" style="878" customWidth="1"/>
    <col min="13324" max="13568" width="8.85546875" style="878"/>
    <col min="13569" max="13569" width="3.42578125" style="878" customWidth="1"/>
    <col min="13570" max="13570" width="30.28515625" style="878" customWidth="1"/>
    <col min="13571" max="13571" width="9.5703125" style="878" customWidth="1"/>
    <col min="13572" max="13572" width="7.7109375" style="878" customWidth="1"/>
    <col min="13573" max="13573" width="5.42578125" style="878" customWidth="1"/>
    <col min="13574" max="13574" width="5.5703125" style="878" customWidth="1"/>
    <col min="13575" max="13575" width="6.7109375" style="878" customWidth="1"/>
    <col min="13576" max="13576" width="4.140625" style="878" customWidth="1"/>
    <col min="13577" max="13577" width="6.7109375" style="878" customWidth="1"/>
    <col min="13578" max="13578" width="14" style="878" customWidth="1"/>
    <col min="13579" max="13579" width="11" style="878" customWidth="1"/>
    <col min="13580" max="13824" width="8.85546875" style="878"/>
    <col min="13825" max="13825" width="3.42578125" style="878" customWidth="1"/>
    <col min="13826" max="13826" width="30.28515625" style="878" customWidth="1"/>
    <col min="13827" max="13827" width="9.5703125" style="878" customWidth="1"/>
    <col min="13828" max="13828" width="7.7109375" style="878" customWidth="1"/>
    <col min="13829" max="13829" width="5.42578125" style="878" customWidth="1"/>
    <col min="13830" max="13830" width="5.5703125" style="878" customWidth="1"/>
    <col min="13831" max="13831" width="6.7109375" style="878" customWidth="1"/>
    <col min="13832" max="13832" width="4.140625" style="878" customWidth="1"/>
    <col min="13833" max="13833" width="6.7109375" style="878" customWidth="1"/>
    <col min="13834" max="13834" width="14" style="878" customWidth="1"/>
    <col min="13835" max="13835" width="11" style="878" customWidth="1"/>
    <col min="13836" max="14080" width="8.85546875" style="878"/>
    <col min="14081" max="14081" width="3.42578125" style="878" customWidth="1"/>
    <col min="14082" max="14082" width="30.28515625" style="878" customWidth="1"/>
    <col min="14083" max="14083" width="9.5703125" style="878" customWidth="1"/>
    <col min="14084" max="14084" width="7.7109375" style="878" customWidth="1"/>
    <col min="14085" max="14085" width="5.42578125" style="878" customWidth="1"/>
    <col min="14086" max="14086" width="5.5703125" style="878" customWidth="1"/>
    <col min="14087" max="14087" width="6.7109375" style="878" customWidth="1"/>
    <col min="14088" max="14088" width="4.140625" style="878" customWidth="1"/>
    <col min="14089" max="14089" width="6.7109375" style="878" customWidth="1"/>
    <col min="14090" max="14090" width="14" style="878" customWidth="1"/>
    <col min="14091" max="14091" width="11" style="878" customWidth="1"/>
    <col min="14092" max="14336" width="8.85546875" style="878"/>
    <col min="14337" max="14337" width="3.42578125" style="878" customWidth="1"/>
    <col min="14338" max="14338" width="30.28515625" style="878" customWidth="1"/>
    <col min="14339" max="14339" width="9.5703125" style="878" customWidth="1"/>
    <col min="14340" max="14340" width="7.7109375" style="878" customWidth="1"/>
    <col min="14341" max="14341" width="5.42578125" style="878" customWidth="1"/>
    <col min="14342" max="14342" width="5.5703125" style="878" customWidth="1"/>
    <col min="14343" max="14343" width="6.7109375" style="878" customWidth="1"/>
    <col min="14344" max="14344" width="4.140625" style="878" customWidth="1"/>
    <col min="14345" max="14345" width="6.7109375" style="878" customWidth="1"/>
    <col min="14346" max="14346" width="14" style="878" customWidth="1"/>
    <col min="14347" max="14347" width="11" style="878" customWidth="1"/>
    <col min="14348" max="14592" width="8.85546875" style="878"/>
    <col min="14593" max="14593" width="3.42578125" style="878" customWidth="1"/>
    <col min="14594" max="14594" width="30.28515625" style="878" customWidth="1"/>
    <col min="14595" max="14595" width="9.5703125" style="878" customWidth="1"/>
    <col min="14596" max="14596" width="7.7109375" style="878" customWidth="1"/>
    <col min="14597" max="14597" width="5.42578125" style="878" customWidth="1"/>
    <col min="14598" max="14598" width="5.5703125" style="878" customWidth="1"/>
    <col min="14599" max="14599" width="6.7109375" style="878" customWidth="1"/>
    <col min="14600" max="14600" width="4.140625" style="878" customWidth="1"/>
    <col min="14601" max="14601" width="6.7109375" style="878" customWidth="1"/>
    <col min="14602" max="14602" width="14" style="878" customWidth="1"/>
    <col min="14603" max="14603" width="11" style="878" customWidth="1"/>
    <col min="14604" max="14848" width="8.85546875" style="878"/>
    <col min="14849" max="14849" width="3.42578125" style="878" customWidth="1"/>
    <col min="14850" max="14850" width="30.28515625" style="878" customWidth="1"/>
    <col min="14851" max="14851" width="9.5703125" style="878" customWidth="1"/>
    <col min="14852" max="14852" width="7.7109375" style="878" customWidth="1"/>
    <col min="14853" max="14853" width="5.42578125" style="878" customWidth="1"/>
    <col min="14854" max="14854" width="5.5703125" style="878" customWidth="1"/>
    <col min="14855" max="14855" width="6.7109375" style="878" customWidth="1"/>
    <col min="14856" max="14856" width="4.140625" style="878" customWidth="1"/>
    <col min="14857" max="14857" width="6.7109375" style="878" customWidth="1"/>
    <col min="14858" max="14858" width="14" style="878" customWidth="1"/>
    <col min="14859" max="14859" width="11" style="878" customWidth="1"/>
    <col min="14860" max="15104" width="8.85546875" style="878"/>
    <col min="15105" max="15105" width="3.42578125" style="878" customWidth="1"/>
    <col min="15106" max="15106" width="30.28515625" style="878" customWidth="1"/>
    <col min="15107" max="15107" width="9.5703125" style="878" customWidth="1"/>
    <col min="15108" max="15108" width="7.7109375" style="878" customWidth="1"/>
    <col min="15109" max="15109" width="5.42578125" style="878" customWidth="1"/>
    <col min="15110" max="15110" width="5.5703125" style="878" customWidth="1"/>
    <col min="15111" max="15111" width="6.7109375" style="878" customWidth="1"/>
    <col min="15112" max="15112" width="4.140625" style="878" customWidth="1"/>
    <col min="15113" max="15113" width="6.7109375" style="878" customWidth="1"/>
    <col min="15114" max="15114" width="14" style="878" customWidth="1"/>
    <col min="15115" max="15115" width="11" style="878" customWidth="1"/>
    <col min="15116" max="15360" width="8.85546875" style="878"/>
    <col min="15361" max="15361" width="3.42578125" style="878" customWidth="1"/>
    <col min="15362" max="15362" width="30.28515625" style="878" customWidth="1"/>
    <col min="15363" max="15363" width="9.5703125" style="878" customWidth="1"/>
    <col min="15364" max="15364" width="7.7109375" style="878" customWidth="1"/>
    <col min="15365" max="15365" width="5.42578125" style="878" customWidth="1"/>
    <col min="15366" max="15366" width="5.5703125" style="878" customWidth="1"/>
    <col min="15367" max="15367" width="6.7109375" style="878" customWidth="1"/>
    <col min="15368" max="15368" width="4.140625" style="878" customWidth="1"/>
    <col min="15369" max="15369" width="6.7109375" style="878" customWidth="1"/>
    <col min="15370" max="15370" width="14" style="878" customWidth="1"/>
    <col min="15371" max="15371" width="11" style="878" customWidth="1"/>
    <col min="15372" max="15616" width="8.85546875" style="878"/>
    <col min="15617" max="15617" width="3.42578125" style="878" customWidth="1"/>
    <col min="15618" max="15618" width="30.28515625" style="878" customWidth="1"/>
    <col min="15619" max="15619" width="9.5703125" style="878" customWidth="1"/>
    <col min="15620" max="15620" width="7.7109375" style="878" customWidth="1"/>
    <col min="15621" max="15621" width="5.42578125" style="878" customWidth="1"/>
    <col min="15622" max="15622" width="5.5703125" style="878" customWidth="1"/>
    <col min="15623" max="15623" width="6.7109375" style="878" customWidth="1"/>
    <col min="15624" max="15624" width="4.140625" style="878" customWidth="1"/>
    <col min="15625" max="15625" width="6.7109375" style="878" customWidth="1"/>
    <col min="15626" max="15626" width="14" style="878" customWidth="1"/>
    <col min="15627" max="15627" width="11" style="878" customWidth="1"/>
    <col min="15628" max="15872" width="8.85546875" style="878"/>
    <col min="15873" max="15873" width="3.42578125" style="878" customWidth="1"/>
    <col min="15874" max="15874" width="30.28515625" style="878" customWidth="1"/>
    <col min="15875" max="15875" width="9.5703125" style="878" customWidth="1"/>
    <col min="15876" max="15876" width="7.7109375" style="878" customWidth="1"/>
    <col min="15877" max="15877" width="5.42578125" style="878" customWidth="1"/>
    <col min="15878" max="15878" width="5.5703125" style="878" customWidth="1"/>
    <col min="15879" max="15879" width="6.7109375" style="878" customWidth="1"/>
    <col min="15880" max="15880" width="4.140625" style="878" customWidth="1"/>
    <col min="15881" max="15881" width="6.7109375" style="878" customWidth="1"/>
    <col min="15882" max="15882" width="14" style="878" customWidth="1"/>
    <col min="15883" max="15883" width="11" style="878" customWidth="1"/>
    <col min="15884" max="16128" width="8.85546875" style="878"/>
    <col min="16129" max="16129" width="3.42578125" style="878" customWidth="1"/>
    <col min="16130" max="16130" width="30.28515625" style="878" customWidth="1"/>
    <col min="16131" max="16131" width="9.5703125" style="878" customWidth="1"/>
    <col min="16132" max="16132" width="7.7109375" style="878" customWidth="1"/>
    <col min="16133" max="16133" width="5.42578125" style="878" customWidth="1"/>
    <col min="16134" max="16134" width="5.5703125" style="878" customWidth="1"/>
    <col min="16135" max="16135" width="6.7109375" style="878" customWidth="1"/>
    <col min="16136" max="16136" width="4.140625" style="878" customWidth="1"/>
    <col min="16137" max="16137" width="6.7109375" style="878" customWidth="1"/>
    <col min="16138" max="16138" width="14" style="878" customWidth="1"/>
    <col min="16139" max="16139" width="11" style="878" customWidth="1"/>
    <col min="16140" max="16384" width="8.85546875" style="878"/>
  </cols>
  <sheetData>
    <row r="1" spans="1:10" ht="18.75">
      <c r="A1" s="979" t="s">
        <v>1544</v>
      </c>
      <c r="B1" s="979"/>
      <c r="C1" s="979"/>
      <c r="D1" s="979"/>
      <c r="E1" s="979"/>
      <c r="F1" s="979"/>
      <c r="G1" s="979"/>
      <c r="H1" s="979"/>
    </row>
    <row r="2" spans="1:10" ht="18.75">
      <c r="A2" s="981"/>
      <c r="B2" s="981"/>
      <c r="C2" s="981"/>
      <c r="D2" s="981"/>
      <c r="E2" s="981"/>
      <c r="F2" s="981"/>
      <c r="G2" s="981"/>
      <c r="H2" s="981"/>
    </row>
    <row r="3" spans="1:10" ht="15.75">
      <c r="A3" s="982" t="s">
        <v>1545</v>
      </c>
    </row>
    <row r="4" spans="1:10" ht="15.75">
      <c r="A4" s="982" t="s">
        <v>1546</v>
      </c>
      <c r="C4" s="983">
        <v>133</v>
      </c>
    </row>
    <row r="6" spans="1:10">
      <c r="A6" s="984" t="s">
        <v>961</v>
      </c>
      <c r="B6" s="985" t="s">
        <v>1423</v>
      </c>
      <c r="C6" s="985" t="s">
        <v>1087</v>
      </c>
      <c r="D6" s="985" t="s">
        <v>22</v>
      </c>
      <c r="E6" s="985" t="s">
        <v>23</v>
      </c>
      <c r="F6" s="985" t="s">
        <v>24</v>
      </c>
      <c r="G6" s="985" t="s">
        <v>964</v>
      </c>
      <c r="H6" s="986" t="s">
        <v>1035</v>
      </c>
      <c r="I6" s="987" t="s">
        <v>1464</v>
      </c>
      <c r="J6" s="988" t="s">
        <v>52</v>
      </c>
    </row>
    <row r="7" spans="1:10">
      <c r="A7" s="989" t="s">
        <v>710</v>
      </c>
      <c r="B7" s="989" t="s">
        <v>1547</v>
      </c>
      <c r="C7" s="989"/>
      <c r="D7" s="990"/>
      <c r="E7" s="990"/>
      <c r="F7" s="990"/>
      <c r="G7" s="990"/>
      <c r="H7" s="989"/>
      <c r="I7" s="991"/>
      <c r="J7" s="992"/>
    </row>
    <row r="8" spans="1:10">
      <c r="A8" s="993">
        <v>1</v>
      </c>
      <c r="B8" s="993" t="s">
        <v>1425</v>
      </c>
      <c r="C8" s="994">
        <f>C4</f>
        <v>133</v>
      </c>
      <c r="D8" s="994">
        <v>15</v>
      </c>
      <c r="E8" s="994">
        <v>0.4</v>
      </c>
      <c r="F8" s="994">
        <v>0.5</v>
      </c>
      <c r="G8" s="995">
        <f>F8*E8*D8*C8</f>
        <v>399</v>
      </c>
      <c r="H8" s="994" t="s">
        <v>29</v>
      </c>
      <c r="I8" s="996">
        <f>Rates!F9</f>
        <v>1480.63</v>
      </c>
      <c r="J8" s="997">
        <f>I8*G8</f>
        <v>590771.37</v>
      </c>
    </row>
    <row r="9" spans="1:10">
      <c r="A9" s="994">
        <v>2</v>
      </c>
      <c r="B9" s="998" t="s">
        <v>1548</v>
      </c>
      <c r="C9" s="999">
        <f>C8</f>
        <v>133</v>
      </c>
      <c r="D9" s="999">
        <v>15</v>
      </c>
      <c r="E9" s="999">
        <v>0.4</v>
      </c>
      <c r="F9" s="999">
        <v>0.5</v>
      </c>
      <c r="G9" s="1000">
        <f>C9*D9*E9*F9</f>
        <v>399</v>
      </c>
      <c r="H9" s="999" t="s">
        <v>29</v>
      </c>
      <c r="I9" s="1001">
        <f>Rates!F15</f>
        <v>746.24</v>
      </c>
      <c r="J9" s="1002">
        <f>I9*G9</f>
        <v>297749.76000000001</v>
      </c>
    </row>
    <row r="10" spans="1:10">
      <c r="A10" s="994"/>
      <c r="B10" s="993" t="s">
        <v>1111</v>
      </c>
      <c r="C10" s="994"/>
      <c r="D10" s="994"/>
      <c r="E10" s="994"/>
      <c r="F10" s="994"/>
      <c r="G10" s="995"/>
      <c r="H10" s="994"/>
      <c r="I10" s="1003"/>
      <c r="J10" s="997">
        <f>SUM(J8:J9)</f>
        <v>888521.13</v>
      </c>
    </row>
    <row r="11" spans="1:10">
      <c r="A11" s="1004"/>
      <c r="B11" s="1005" t="s">
        <v>1549</v>
      </c>
      <c r="C11" s="1006"/>
      <c r="D11" s="1007"/>
      <c r="E11" s="1007"/>
      <c r="F11" s="1008"/>
      <c r="G11" s="1007"/>
      <c r="H11" s="1007"/>
      <c r="I11" s="1003"/>
      <c r="J11" s="997"/>
    </row>
    <row r="12" spans="1:10">
      <c r="A12" s="1004"/>
      <c r="B12" s="989"/>
      <c r="C12" s="990"/>
      <c r="D12" s="1009"/>
      <c r="E12" s="1009"/>
      <c r="F12" s="1010"/>
      <c r="G12" s="1009"/>
      <c r="H12" s="1009"/>
      <c r="I12" s="1011"/>
      <c r="J12" s="992"/>
    </row>
    <row r="13" spans="1:10">
      <c r="A13" s="994">
        <v>1</v>
      </c>
      <c r="B13" s="993" t="s">
        <v>1550</v>
      </c>
      <c r="C13" s="994">
        <f>$C$4</f>
        <v>133</v>
      </c>
      <c r="D13" s="994">
        <v>10</v>
      </c>
      <c r="E13" s="993"/>
      <c r="F13" s="994"/>
      <c r="G13" s="994">
        <f t="shared" ref="G13:G20" si="0">C13*D13</f>
        <v>1330</v>
      </c>
      <c r="H13" s="994" t="s">
        <v>965</v>
      </c>
      <c r="I13" s="1012">
        <f>data!D4</f>
        <v>172</v>
      </c>
      <c r="J13" s="997">
        <f>G13*I13</f>
        <v>228760</v>
      </c>
    </row>
    <row r="14" spans="1:10">
      <c r="A14" s="994">
        <v>2</v>
      </c>
      <c r="B14" s="993" t="s">
        <v>1551</v>
      </c>
      <c r="C14" s="994">
        <f t="shared" ref="C14:C20" si="1">$C$4</f>
        <v>133</v>
      </c>
      <c r="D14" s="994">
        <v>1</v>
      </c>
      <c r="E14" s="993"/>
      <c r="F14" s="994"/>
      <c r="G14" s="994">
        <f t="shared" si="0"/>
        <v>133</v>
      </c>
      <c r="H14" s="994" t="s">
        <v>973</v>
      </c>
      <c r="I14" s="1003">
        <v>1500</v>
      </c>
      <c r="J14" s="997">
        <f t="shared" ref="J14:J20" si="2">G14*I14</f>
        <v>199500</v>
      </c>
    </row>
    <row r="15" spans="1:10">
      <c r="A15" s="994">
        <v>3</v>
      </c>
      <c r="B15" s="993" t="s">
        <v>1552</v>
      </c>
      <c r="C15" s="994">
        <f t="shared" si="1"/>
        <v>133</v>
      </c>
      <c r="D15" s="994">
        <v>3</v>
      </c>
      <c r="E15" s="993"/>
      <c r="F15" s="994"/>
      <c r="G15" s="994">
        <f t="shared" si="0"/>
        <v>399</v>
      </c>
      <c r="H15" s="994" t="s">
        <v>973</v>
      </c>
      <c r="I15" s="1003">
        <f>FittingsSummary!AB17</f>
        <v>86</v>
      </c>
      <c r="J15" s="997">
        <f t="shared" si="2"/>
        <v>34314</v>
      </c>
    </row>
    <row r="16" spans="1:10">
      <c r="A16" s="994">
        <v>4</v>
      </c>
      <c r="B16" s="993" t="s">
        <v>1553</v>
      </c>
      <c r="C16" s="994">
        <f t="shared" si="1"/>
        <v>133</v>
      </c>
      <c r="D16" s="994">
        <v>2</v>
      </c>
      <c r="E16" s="993"/>
      <c r="F16" s="994"/>
      <c r="G16" s="994">
        <f t="shared" si="0"/>
        <v>266</v>
      </c>
      <c r="H16" s="994" t="s">
        <v>973</v>
      </c>
      <c r="I16" s="1003">
        <f>FittingsSummary!AB60</f>
        <v>30</v>
      </c>
      <c r="J16" s="997">
        <f t="shared" si="2"/>
        <v>7980</v>
      </c>
    </row>
    <row r="17" spans="1:10">
      <c r="A17" s="994">
        <v>5</v>
      </c>
      <c r="B17" s="993" t="s">
        <v>1554</v>
      </c>
      <c r="C17" s="994">
        <f t="shared" si="1"/>
        <v>133</v>
      </c>
      <c r="D17" s="994">
        <v>3</v>
      </c>
      <c r="E17" s="993"/>
      <c r="F17" s="994"/>
      <c r="G17" s="994">
        <f t="shared" si="0"/>
        <v>399</v>
      </c>
      <c r="H17" s="994" t="s">
        <v>973</v>
      </c>
      <c r="I17" s="1003">
        <f>FittingsSummary!AB32</f>
        <v>38</v>
      </c>
      <c r="J17" s="997">
        <f t="shared" si="2"/>
        <v>15162</v>
      </c>
    </row>
    <row r="18" spans="1:10">
      <c r="A18" s="994">
        <v>6</v>
      </c>
      <c r="B18" s="993" t="s">
        <v>1555</v>
      </c>
      <c r="C18" s="994">
        <f t="shared" si="1"/>
        <v>133</v>
      </c>
      <c r="D18" s="994">
        <v>1</v>
      </c>
      <c r="E18" s="993"/>
      <c r="F18" s="994"/>
      <c r="G18" s="994">
        <f t="shared" si="0"/>
        <v>133</v>
      </c>
      <c r="H18" s="994" t="s">
        <v>973</v>
      </c>
      <c r="I18" s="1003">
        <v>664</v>
      </c>
      <c r="J18" s="997">
        <f t="shared" si="2"/>
        <v>88312</v>
      </c>
    </row>
    <row r="19" spans="1:10">
      <c r="A19" s="994">
        <v>7</v>
      </c>
      <c r="B19" s="993" t="s">
        <v>1556</v>
      </c>
      <c r="C19" s="994">
        <f t="shared" si="1"/>
        <v>133</v>
      </c>
      <c r="D19" s="994">
        <v>1</v>
      </c>
      <c r="E19" s="993"/>
      <c r="F19" s="994"/>
      <c r="G19" s="994">
        <f t="shared" si="0"/>
        <v>133</v>
      </c>
      <c r="H19" s="994" t="s">
        <v>973</v>
      </c>
      <c r="I19" s="1003">
        <f>FittingsSummary!AB79</f>
        <v>118</v>
      </c>
      <c r="J19" s="997">
        <f t="shared" si="2"/>
        <v>15694</v>
      </c>
    </row>
    <row r="20" spans="1:10">
      <c r="A20" s="999">
        <v>8</v>
      </c>
      <c r="B20" s="998" t="s">
        <v>1557</v>
      </c>
      <c r="C20" s="994">
        <f t="shared" si="1"/>
        <v>133</v>
      </c>
      <c r="D20" s="999">
        <v>1</v>
      </c>
      <c r="E20" s="998"/>
      <c r="F20" s="999"/>
      <c r="G20" s="999">
        <f t="shared" si="0"/>
        <v>133</v>
      </c>
      <c r="H20" s="999" t="s">
        <v>973</v>
      </c>
      <c r="I20" s="1013">
        <f>FittingsSummary!AB123</f>
        <v>400</v>
      </c>
      <c r="J20" s="1002">
        <f t="shared" si="2"/>
        <v>53200</v>
      </c>
    </row>
    <row r="21" spans="1:10">
      <c r="A21" s="991"/>
      <c r="B21" s="991" t="s">
        <v>1111</v>
      </c>
      <c r="C21" s="991"/>
      <c r="D21" s="991"/>
      <c r="E21" s="991"/>
      <c r="F21" s="991"/>
      <c r="G21" s="991"/>
      <c r="H21" s="991"/>
      <c r="I21" s="991"/>
      <c r="J21" s="1014">
        <f>SUM(J13:J20)</f>
        <v>642922</v>
      </c>
    </row>
    <row r="22" spans="1:10">
      <c r="A22" s="991"/>
      <c r="B22" s="991" t="s">
        <v>1108</v>
      </c>
      <c r="C22" s="991"/>
      <c r="D22" s="991"/>
      <c r="E22" s="991"/>
      <c r="F22" s="991"/>
      <c r="G22" s="991"/>
      <c r="H22" s="991"/>
      <c r="I22" s="991"/>
      <c r="J22" s="1014">
        <f>J21+J10</f>
        <v>1531443.13</v>
      </c>
    </row>
    <row r="23" spans="1:10">
      <c r="A23" s="993"/>
      <c r="B23" s="993" t="s">
        <v>1558</v>
      </c>
      <c r="C23" s="993"/>
      <c r="D23" s="993"/>
      <c r="E23" s="993"/>
      <c r="F23" s="993"/>
      <c r="G23" s="993"/>
      <c r="H23" s="993"/>
      <c r="I23" s="993"/>
      <c r="J23" s="997">
        <f>J22*0.13</f>
        <v>199087.60689999998</v>
      </c>
    </row>
    <row r="24" spans="1:10">
      <c r="A24" s="993"/>
      <c r="B24" s="1015" t="s">
        <v>1559</v>
      </c>
      <c r="C24" s="1015"/>
      <c r="D24" s="1015"/>
      <c r="E24" s="1015"/>
      <c r="F24" s="1015"/>
      <c r="G24" s="1015"/>
      <c r="H24" s="1015"/>
      <c r="I24" s="1015"/>
      <c r="J24" s="1016">
        <f>J23+J22</f>
        <v>1730530.7368999999</v>
      </c>
    </row>
    <row r="25" spans="1:10">
      <c r="A25" s="998"/>
      <c r="B25" s="998" t="s">
        <v>1560</v>
      </c>
      <c r="C25" s="998"/>
      <c r="D25" s="998"/>
      <c r="E25" s="998"/>
      <c r="F25" s="998"/>
      <c r="G25" s="998"/>
      <c r="H25" s="998"/>
      <c r="I25" s="998"/>
      <c r="J25" s="1002">
        <f>J24/C4</f>
        <v>13011.5093</v>
      </c>
    </row>
  </sheetData>
  <printOptions gridLines="1" gridLinesSet="0"/>
  <pageMargins left="1.19" right="0.11811023622047245" top="0.66" bottom="0.51181102362204722" header="0.51181102362204722" footer="0.51181102362204722"/>
  <pageSetup paperSize="9" orientation="portrait" horizontalDpi="4294967293" verticalDpi="0" r:id="rId1"/>
  <headerFooter alignWithMargins="0">
    <oddFooter>&amp;LEstimated by&amp;CChecked by&amp;RApproved by</oddFooter>
  </headerFooter>
  <rowBreaks count="1" manualBreakCount="1">
    <brk id="96" max="65535"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4" tint="0.39997558519241921"/>
  </sheetPr>
  <dimension ref="A1:M133"/>
  <sheetViews>
    <sheetView workbookViewId="0">
      <selection sqref="A1:I1"/>
    </sheetView>
  </sheetViews>
  <sheetFormatPr defaultColWidth="9.140625" defaultRowHeight="15"/>
  <cols>
    <col min="1" max="1" width="5.42578125" style="1961" customWidth="1"/>
    <col min="2" max="2" width="43.7109375" style="1961" bestFit="1" customWidth="1"/>
    <col min="3" max="3" width="5.140625" style="1961" bestFit="1" customWidth="1"/>
    <col min="4" max="4" width="4.5703125" style="1961" bestFit="1" customWidth="1"/>
    <col min="5" max="5" width="8.7109375" style="1961" bestFit="1" customWidth="1"/>
    <col min="6" max="6" width="9.42578125" style="1961" bestFit="1" customWidth="1"/>
    <col min="7" max="7" width="8.42578125" style="1961" bestFit="1" customWidth="1"/>
    <col min="8" max="8" width="11.140625" style="1961" bestFit="1" customWidth="1"/>
    <col min="9" max="9" width="8.28515625" style="1961" bestFit="1" customWidth="1"/>
    <col min="10" max="11" width="9.140625" style="1961"/>
    <col min="12" max="13" width="9.28515625" style="1961" bestFit="1" customWidth="1"/>
    <col min="14" max="16384" width="9.140625" style="1961"/>
  </cols>
  <sheetData>
    <row r="1" spans="1:13">
      <c r="A1" s="3018" t="s">
        <v>2894</v>
      </c>
      <c r="B1" s="3018"/>
      <c r="C1" s="3018"/>
      <c r="D1" s="3018"/>
      <c r="E1" s="3018"/>
      <c r="F1" s="3018"/>
      <c r="G1" s="3018"/>
      <c r="H1" s="3018"/>
      <c r="I1" s="3018"/>
    </row>
    <row r="2" spans="1:13" s="1963" customFormat="1">
      <c r="A2" s="3019" t="s">
        <v>3049</v>
      </c>
      <c r="B2" s="3019"/>
      <c r="C2" s="3019"/>
      <c r="D2" s="3019"/>
      <c r="E2" s="1962"/>
      <c r="F2" s="1962"/>
      <c r="G2" s="1962"/>
      <c r="H2" s="1962"/>
      <c r="I2" s="1962"/>
    </row>
    <row r="3" spans="1:13" s="1963" customFormat="1">
      <c r="A3" s="1964" t="s">
        <v>908</v>
      </c>
      <c r="B3" s="1965" t="s">
        <v>2861</v>
      </c>
      <c r="C3" s="1965" t="s">
        <v>1035</v>
      </c>
      <c r="D3" s="1965" t="s">
        <v>1087</v>
      </c>
      <c r="E3" s="1965" t="s">
        <v>2895</v>
      </c>
      <c r="F3" s="1965" t="s">
        <v>2896</v>
      </c>
      <c r="G3" s="1965" t="s">
        <v>2897</v>
      </c>
      <c r="H3" s="1965" t="s">
        <v>964</v>
      </c>
      <c r="I3" s="1966" t="s">
        <v>1055</v>
      </c>
    </row>
    <row r="4" spans="1:13" s="1963" customFormat="1">
      <c r="A4" s="1967">
        <v>1</v>
      </c>
      <c r="B4" s="1968" t="s">
        <v>26</v>
      </c>
      <c r="C4" s="1969" t="s">
        <v>2862</v>
      </c>
      <c r="D4" s="1969">
        <v>1</v>
      </c>
      <c r="E4" s="1969">
        <f>7+1</f>
        <v>8</v>
      </c>
      <c r="F4" s="1969">
        <f>14+0.3+3+3+1</f>
        <v>21.3</v>
      </c>
      <c r="G4" s="1969"/>
      <c r="H4" s="1970">
        <f>+ROUND(PRODUCT(D4:G4),2)</f>
        <v>170.4</v>
      </c>
      <c r="I4" s="1971"/>
    </row>
    <row r="5" spans="1:13" s="1963" customFormat="1">
      <c r="A5" s="1967">
        <v>2</v>
      </c>
      <c r="B5" s="1972" t="s">
        <v>2898</v>
      </c>
      <c r="C5" s="1969"/>
      <c r="D5" s="1969"/>
      <c r="E5" s="1969"/>
      <c r="F5" s="1969"/>
      <c r="G5" s="1969"/>
      <c r="H5" s="1970"/>
      <c r="I5" s="1971"/>
    </row>
    <row r="6" spans="1:13" s="1963" customFormat="1">
      <c r="A6" s="1973"/>
      <c r="B6" s="1974" t="s">
        <v>2899</v>
      </c>
      <c r="C6" s="1975" t="s">
        <v>1084</v>
      </c>
      <c r="D6" s="1976">
        <v>1</v>
      </c>
      <c r="E6" s="1976">
        <v>5</v>
      </c>
      <c r="F6" s="1969">
        <v>0.3</v>
      </c>
      <c r="G6" s="1976">
        <v>1.5249999999999999</v>
      </c>
      <c r="H6" s="1970">
        <f t="shared" ref="H6:H21" si="0">+ROUND(PRODUCT(D6:G6),2)</f>
        <v>2.29</v>
      </c>
      <c r="I6" s="1971"/>
      <c r="L6" s="1963">
        <f>1.5+0.1+0.15</f>
        <v>1.75</v>
      </c>
      <c r="M6" s="1963">
        <f>0.31+0.1+0.15</f>
        <v>0.56000000000000005</v>
      </c>
    </row>
    <row r="7" spans="1:13" s="1963" customFormat="1">
      <c r="A7" s="1973"/>
      <c r="B7" s="1974"/>
      <c r="C7" s="1975" t="s">
        <v>1084</v>
      </c>
      <c r="D7" s="1976">
        <v>1</v>
      </c>
      <c r="E7" s="1976">
        <f>E6</f>
        <v>5</v>
      </c>
      <c r="F7" s="1969">
        <f>2-0.3</f>
        <v>1.7</v>
      </c>
      <c r="G7" s="1976">
        <v>0.52500000000000002</v>
      </c>
      <c r="H7" s="1970">
        <f t="shared" si="0"/>
        <v>4.46</v>
      </c>
      <c r="I7" s="1971"/>
    </row>
    <row r="8" spans="1:13" s="1963" customFormat="1">
      <c r="A8" s="1973"/>
      <c r="B8" s="1974"/>
      <c r="C8" s="1975" t="s">
        <v>1084</v>
      </c>
      <c r="D8" s="1976">
        <v>1</v>
      </c>
      <c r="E8" s="1976">
        <f>+E7</f>
        <v>5</v>
      </c>
      <c r="F8" s="1976">
        <v>0.3</v>
      </c>
      <c r="G8" s="1976">
        <f>+G6</f>
        <v>1.5249999999999999</v>
      </c>
      <c r="H8" s="1970">
        <f t="shared" si="0"/>
        <v>2.29</v>
      </c>
      <c r="I8" s="1971"/>
    </row>
    <row r="9" spans="1:13" s="1963" customFormat="1">
      <c r="A9" s="1973"/>
      <c r="B9" s="1974"/>
      <c r="C9" s="1975" t="s">
        <v>1084</v>
      </c>
      <c r="D9" s="1976">
        <v>1</v>
      </c>
      <c r="E9" s="1976">
        <f>+E8</f>
        <v>5</v>
      </c>
      <c r="F9" s="1976">
        <v>3</v>
      </c>
      <c r="G9" s="1976">
        <v>0.52500000000000002</v>
      </c>
      <c r="H9" s="1970">
        <f t="shared" si="0"/>
        <v>7.88</v>
      </c>
      <c r="I9" s="1971"/>
    </row>
    <row r="10" spans="1:13" s="1963" customFormat="1">
      <c r="A10" s="1973"/>
      <c r="B10" s="1974" t="s">
        <v>2900</v>
      </c>
      <c r="C10" s="1977" t="s">
        <v>1084</v>
      </c>
      <c r="D10" s="1969">
        <v>1</v>
      </c>
      <c r="E10" s="1969">
        <v>2.1</v>
      </c>
      <c r="F10" s="1969">
        <f>2.5+0.3+1+0.25</f>
        <v>4.05</v>
      </c>
      <c r="G10" s="1969">
        <f>1.5+0.3</f>
        <v>1.8</v>
      </c>
      <c r="H10" s="1978">
        <f t="shared" si="0"/>
        <v>15.31</v>
      </c>
      <c r="I10" s="1971"/>
    </row>
    <row r="11" spans="1:13" s="1963" customFormat="1">
      <c r="A11" s="1973"/>
      <c r="B11" s="1969"/>
      <c r="C11" s="1979" t="s">
        <v>1084</v>
      </c>
      <c r="D11" s="1969"/>
      <c r="E11" s="1969"/>
      <c r="F11" s="1969"/>
      <c r="G11" s="1972" t="s">
        <v>1108</v>
      </c>
      <c r="H11" s="1980">
        <f>SUM(H6:H10)</f>
        <v>32.229999999999997</v>
      </c>
      <c r="I11" s="1971"/>
    </row>
    <row r="12" spans="1:13" s="1963" customFormat="1">
      <c r="A12" s="1973">
        <v>3</v>
      </c>
      <c r="B12" s="1968" t="s">
        <v>2886</v>
      </c>
      <c r="C12" s="1979"/>
      <c r="D12" s="1969"/>
      <c r="E12" s="1969"/>
      <c r="F12" s="1969"/>
      <c r="G12" s="1972"/>
      <c r="H12" s="1980"/>
      <c r="I12" s="1971"/>
    </row>
    <row r="13" spans="1:13" s="1963" customFormat="1">
      <c r="A13" s="1973"/>
      <c r="B13" s="1974" t="s">
        <v>2899</v>
      </c>
      <c r="C13" s="1977" t="s">
        <v>1084</v>
      </c>
      <c r="D13" s="1969">
        <v>1</v>
      </c>
      <c r="E13" s="1969">
        <f>E6</f>
        <v>5</v>
      </c>
      <c r="F13" s="1969">
        <f>3+0.3+2</f>
        <v>5.3</v>
      </c>
      <c r="G13" s="1969">
        <v>0.15</v>
      </c>
      <c r="H13" s="1970">
        <f t="shared" si="0"/>
        <v>3.98</v>
      </c>
      <c r="I13" s="1971"/>
    </row>
    <row r="14" spans="1:13" s="1963" customFormat="1">
      <c r="A14" s="1973"/>
      <c r="B14" s="1974"/>
      <c r="C14" s="1977"/>
      <c r="D14" s="1969">
        <v>1</v>
      </c>
      <c r="E14" s="1969">
        <f>4+0.3+3</f>
        <v>7.3</v>
      </c>
      <c r="F14" s="1969">
        <v>1.3</v>
      </c>
      <c r="G14" s="1969">
        <v>0.15</v>
      </c>
      <c r="H14" s="1970">
        <f>+ROUND(PRODUCT(D14:G14),2)</f>
        <v>1.42</v>
      </c>
      <c r="I14" s="1971"/>
    </row>
    <row r="15" spans="1:13" s="1963" customFormat="1">
      <c r="A15" s="1973"/>
      <c r="B15" s="1974" t="s">
        <v>2900</v>
      </c>
      <c r="C15" s="1977" t="s">
        <v>1084</v>
      </c>
      <c r="D15" s="1969">
        <v>1</v>
      </c>
      <c r="E15" s="1969">
        <f>+E10</f>
        <v>2.1</v>
      </c>
      <c r="F15" s="1969">
        <v>4.8499999999999996</v>
      </c>
      <c r="G15" s="1969">
        <f>G13</f>
        <v>0.15</v>
      </c>
      <c r="H15" s="1970">
        <f t="shared" si="0"/>
        <v>1.53</v>
      </c>
      <c r="I15" s="1971"/>
    </row>
    <row r="16" spans="1:13" s="1963" customFormat="1">
      <c r="A16" s="1973"/>
      <c r="B16" s="1969"/>
      <c r="C16" s="1979" t="s">
        <v>1084</v>
      </c>
      <c r="D16" s="1969"/>
      <c r="E16" s="1969"/>
      <c r="F16" s="1969"/>
      <c r="G16" s="1972" t="s">
        <v>1108</v>
      </c>
      <c r="H16" s="1980">
        <f>SUM(H13:H15)</f>
        <v>6.9300000000000006</v>
      </c>
      <c r="I16" s="1971"/>
    </row>
    <row r="17" spans="1:9" s="1963" customFormat="1">
      <c r="A17" s="1973"/>
      <c r="B17" s="1969"/>
      <c r="C17" s="1977"/>
      <c r="D17" s="1969"/>
      <c r="E17" s="1969"/>
      <c r="F17" s="1969"/>
      <c r="G17" s="1969"/>
      <c r="H17" s="1970"/>
      <c r="I17" s="1971"/>
    </row>
    <row r="18" spans="1:9" s="1963" customFormat="1">
      <c r="A18" s="1973">
        <v>4.0999999999999996</v>
      </c>
      <c r="B18" s="1972" t="s">
        <v>2901</v>
      </c>
      <c r="C18" s="1977"/>
      <c r="D18" s="1969"/>
      <c r="E18" s="1981"/>
      <c r="F18" s="1969"/>
      <c r="G18" s="1969"/>
      <c r="H18" s="1970"/>
      <c r="I18" s="1971"/>
    </row>
    <row r="19" spans="1:9" s="1963" customFormat="1">
      <c r="A19" s="1973"/>
      <c r="B19" s="1974" t="s">
        <v>2899</v>
      </c>
      <c r="C19" s="1977" t="s">
        <v>1084</v>
      </c>
      <c r="D19" s="1969">
        <v>1</v>
      </c>
      <c r="E19" s="1981">
        <f t="shared" ref="E19:F21" si="1">E13</f>
        <v>5</v>
      </c>
      <c r="F19" s="1969">
        <f t="shared" si="1"/>
        <v>5.3</v>
      </c>
      <c r="G19" s="1969">
        <v>7.4999999999999997E-2</v>
      </c>
      <c r="H19" s="1970">
        <f>+ROUND(PRODUCT(D19:G19),2)</f>
        <v>1.99</v>
      </c>
      <c r="I19" s="1971"/>
    </row>
    <row r="20" spans="1:9" s="1963" customFormat="1">
      <c r="A20" s="1973"/>
      <c r="B20" s="1974"/>
      <c r="C20" s="1977" t="s">
        <v>1084</v>
      </c>
      <c r="D20" s="1969">
        <v>1</v>
      </c>
      <c r="E20" s="1969">
        <f t="shared" si="1"/>
        <v>7.3</v>
      </c>
      <c r="F20" s="1969">
        <f t="shared" si="1"/>
        <v>1.3</v>
      </c>
      <c r="G20" s="1969">
        <v>7.4999999999999997E-2</v>
      </c>
      <c r="H20" s="1970">
        <f>+ROUND(PRODUCT(D20:G20),2)</f>
        <v>0.71</v>
      </c>
      <c r="I20" s="1971"/>
    </row>
    <row r="21" spans="1:9" s="1963" customFormat="1">
      <c r="A21" s="1973"/>
      <c r="B21" s="1974" t="s">
        <v>2900</v>
      </c>
      <c r="C21" s="1977" t="s">
        <v>1084</v>
      </c>
      <c r="D21" s="1969">
        <v>1</v>
      </c>
      <c r="E21" s="1969">
        <f t="shared" si="1"/>
        <v>2.1</v>
      </c>
      <c r="F21" s="1969">
        <f t="shared" si="1"/>
        <v>4.8499999999999996</v>
      </c>
      <c r="G21" s="1969">
        <v>7.4999999999999997E-2</v>
      </c>
      <c r="H21" s="1970">
        <f t="shared" si="0"/>
        <v>0.76</v>
      </c>
      <c r="I21" s="1971"/>
    </row>
    <row r="22" spans="1:9" s="1963" customFormat="1">
      <c r="A22" s="1973"/>
      <c r="B22" s="1969"/>
      <c r="C22" s="1979" t="s">
        <v>1084</v>
      </c>
      <c r="D22" s="1969"/>
      <c r="E22" s="1969"/>
      <c r="F22" s="1969"/>
      <c r="G22" s="1972" t="s">
        <v>1108</v>
      </c>
      <c r="H22" s="1980">
        <f>SUM(H19:H21)</f>
        <v>3.46</v>
      </c>
      <c r="I22" s="1971"/>
    </row>
    <row r="23" spans="1:9" s="1963" customFormat="1">
      <c r="A23" s="1973">
        <v>4.2</v>
      </c>
      <c r="B23" s="1972" t="s">
        <v>2865</v>
      </c>
      <c r="C23" s="1979"/>
      <c r="D23" s="1969"/>
      <c r="E23" s="1969"/>
      <c r="F23" s="1969"/>
      <c r="G23" s="1972"/>
      <c r="H23" s="1980"/>
      <c r="I23" s="1971"/>
    </row>
    <row r="24" spans="1:9" s="1963" customFormat="1">
      <c r="A24" s="1973"/>
      <c r="B24" s="1974" t="s">
        <v>2902</v>
      </c>
      <c r="C24" s="1977" t="s">
        <v>520</v>
      </c>
      <c r="D24" s="1969">
        <v>1</v>
      </c>
      <c r="E24" s="1969">
        <f>E19</f>
        <v>5</v>
      </c>
      <c r="F24" s="1969">
        <v>0.3</v>
      </c>
      <c r="G24" s="1970">
        <v>1.5249999999999999</v>
      </c>
      <c r="H24" s="1970">
        <f t="shared" ref="H24:H30" si="2">+ROUND(PRODUCT(D24:G24),2)</f>
        <v>2.29</v>
      </c>
      <c r="I24" s="1971"/>
    </row>
    <row r="25" spans="1:9" s="1963" customFormat="1">
      <c r="A25" s="1973"/>
      <c r="B25" s="1982"/>
      <c r="C25" s="1977" t="s">
        <v>520</v>
      </c>
      <c r="D25" s="1969">
        <v>1</v>
      </c>
      <c r="E25" s="1981">
        <f>E24</f>
        <v>5</v>
      </c>
      <c r="F25" s="1969">
        <f>2-0.3</f>
        <v>1.7</v>
      </c>
      <c r="G25" s="1970">
        <v>0.3</v>
      </c>
      <c r="H25" s="1970">
        <f t="shared" si="2"/>
        <v>2.5499999999999998</v>
      </c>
      <c r="I25" s="1971"/>
    </row>
    <row r="26" spans="1:9" s="1963" customFormat="1">
      <c r="A26" s="1973"/>
      <c r="B26" s="1982"/>
      <c r="C26" s="1977" t="s">
        <v>520</v>
      </c>
      <c r="D26" s="1969">
        <f>D25</f>
        <v>1</v>
      </c>
      <c r="E26" s="1981">
        <f>E25</f>
        <v>5</v>
      </c>
      <c r="F26" s="1983">
        <v>0.3</v>
      </c>
      <c r="G26" s="1978">
        <f>1+0.995+0.3</f>
        <v>2.2949999999999999</v>
      </c>
      <c r="H26" s="1970">
        <f>+ROUND(PRODUCT(D26:G26),2)</f>
        <v>3.44</v>
      </c>
      <c r="I26" s="1971"/>
    </row>
    <row r="27" spans="1:9" s="1963" customFormat="1">
      <c r="A27" s="1973"/>
      <c r="B27" s="1982"/>
      <c r="C27" s="1977" t="s">
        <v>520</v>
      </c>
      <c r="D27" s="1969">
        <f>D26</f>
        <v>1</v>
      </c>
      <c r="E27" s="1981">
        <f>E26</f>
        <v>5</v>
      </c>
      <c r="F27" s="1983">
        <v>3</v>
      </c>
      <c r="G27" s="1977">
        <v>0.3</v>
      </c>
      <c r="H27" s="1970">
        <f>+ROUND(PRODUCT(D27:G27),2)</f>
        <v>4.5</v>
      </c>
      <c r="I27" s="1971"/>
    </row>
    <row r="28" spans="1:9" s="1963" customFormat="1">
      <c r="A28" s="1967"/>
      <c r="B28" s="1984" t="s">
        <v>1324</v>
      </c>
      <c r="C28" s="1969" t="s">
        <v>520</v>
      </c>
      <c r="D28" s="1969">
        <f>D21</f>
        <v>1</v>
      </c>
      <c r="E28" s="1981">
        <f>E21</f>
        <v>2.1</v>
      </c>
      <c r="F28" s="1969">
        <f>F21</f>
        <v>4.8499999999999996</v>
      </c>
      <c r="G28" s="1969">
        <v>0.3</v>
      </c>
      <c r="H28" s="1970">
        <f t="shared" si="2"/>
        <v>3.06</v>
      </c>
      <c r="I28" s="1971"/>
    </row>
    <row r="29" spans="1:9" s="1963" customFormat="1">
      <c r="A29" s="1967"/>
      <c r="B29" s="1974" t="s">
        <v>2903</v>
      </c>
      <c r="C29" s="1969" t="s">
        <v>520</v>
      </c>
      <c r="D29" s="1969">
        <v>1</v>
      </c>
      <c r="E29" s="1969">
        <v>8.3000000000000007</v>
      </c>
      <c r="F29" s="1969">
        <v>0.3</v>
      </c>
      <c r="G29" s="1969">
        <v>2.15</v>
      </c>
      <c r="H29" s="1970">
        <f t="shared" si="2"/>
        <v>5.35</v>
      </c>
      <c r="I29" s="1971"/>
    </row>
    <row r="30" spans="1:9" s="1963" customFormat="1">
      <c r="A30" s="1967"/>
      <c r="B30" s="1974" t="s">
        <v>1510</v>
      </c>
      <c r="C30" s="1969" t="s">
        <v>520</v>
      </c>
      <c r="D30" s="1969">
        <v>1</v>
      </c>
      <c r="E30" s="1981">
        <v>2.1</v>
      </c>
      <c r="F30" s="1969">
        <f>2.5+0.3+0.3</f>
        <v>3.0999999999999996</v>
      </c>
      <c r="G30" s="1969">
        <v>0.15</v>
      </c>
      <c r="H30" s="1970">
        <f t="shared" si="2"/>
        <v>0.98</v>
      </c>
      <c r="I30" s="1971"/>
    </row>
    <row r="31" spans="1:9" s="1963" customFormat="1">
      <c r="A31" s="1967"/>
      <c r="B31" s="1969" t="s">
        <v>1624</v>
      </c>
      <c r="C31" s="1969"/>
      <c r="D31" s="1969"/>
      <c r="E31" s="1981"/>
      <c r="F31" s="1969"/>
      <c r="G31" s="1972"/>
      <c r="H31" s="1980"/>
      <c r="I31" s="1971"/>
    </row>
    <row r="32" spans="1:9" s="1963" customFormat="1">
      <c r="A32" s="1967"/>
      <c r="B32" s="1974" t="s">
        <v>2903</v>
      </c>
      <c r="C32" s="1969" t="s">
        <v>520</v>
      </c>
      <c r="D32" s="1969">
        <v>1</v>
      </c>
      <c r="E32" s="1981">
        <f>1.25*2+2.1</f>
        <v>4.5999999999999996</v>
      </c>
      <c r="F32" s="1969">
        <v>0.25</v>
      </c>
      <c r="G32" s="1970">
        <f>G29</f>
        <v>2.15</v>
      </c>
      <c r="H32" s="1970">
        <f>+ROUND(PRODUCT(D32:G32),2)</f>
        <v>2.4700000000000002</v>
      </c>
      <c r="I32" s="1971"/>
    </row>
    <row r="33" spans="1:9" s="1963" customFormat="1">
      <c r="A33" s="1967"/>
      <c r="B33" s="1974" t="s">
        <v>1510</v>
      </c>
      <c r="C33" s="1969" t="s">
        <v>520</v>
      </c>
      <c r="D33" s="1969">
        <v>1</v>
      </c>
      <c r="E33" s="1969">
        <v>2.1</v>
      </c>
      <c r="F33" s="1969">
        <v>1.25</v>
      </c>
      <c r="G33" s="1969">
        <v>0.15</v>
      </c>
      <c r="H33" s="1970">
        <f>+ROUND(PRODUCT(D33:G33),2)</f>
        <v>0.39</v>
      </c>
      <c r="I33" s="1971"/>
    </row>
    <row r="34" spans="1:9" s="1963" customFormat="1">
      <c r="A34" s="1967"/>
      <c r="B34" s="1974" t="s">
        <v>2904</v>
      </c>
      <c r="C34" s="1969" t="s">
        <v>520</v>
      </c>
      <c r="D34" s="1969">
        <v>-2</v>
      </c>
      <c r="E34" s="1970">
        <f>3.14*0.6^2/4</f>
        <v>0.28260000000000002</v>
      </c>
      <c r="F34" s="1969"/>
      <c r="G34" s="1969">
        <v>0.15</v>
      </c>
      <c r="H34" s="1970">
        <f>+ROUND(PRODUCT(D34:G34),2)</f>
        <v>-0.08</v>
      </c>
      <c r="I34" s="1971"/>
    </row>
    <row r="35" spans="1:9" s="1963" customFormat="1">
      <c r="A35" s="1967"/>
      <c r="B35" s="1969"/>
      <c r="C35" s="1972" t="s">
        <v>1084</v>
      </c>
      <c r="D35" s="1969"/>
      <c r="E35" s="1969"/>
      <c r="F35" s="1969"/>
      <c r="G35" s="1972" t="s">
        <v>1108</v>
      </c>
      <c r="H35" s="1980">
        <f>SUM(H24:H34)</f>
        <v>24.95</v>
      </c>
      <c r="I35" s="1971"/>
    </row>
    <row r="36" spans="1:9" s="1963" customFormat="1">
      <c r="A36" s="1967">
        <v>5</v>
      </c>
      <c r="B36" s="1972" t="s">
        <v>2905</v>
      </c>
      <c r="C36" s="1972"/>
      <c r="D36" s="1969"/>
      <c r="E36" s="1969"/>
      <c r="F36" s="1969"/>
      <c r="G36" s="1972"/>
      <c r="H36" s="1980"/>
      <c r="I36" s="1971"/>
    </row>
    <row r="37" spans="1:9" s="1963" customFormat="1">
      <c r="A37" s="1967"/>
      <c r="B37" s="1984" t="s">
        <v>1324</v>
      </c>
      <c r="C37" s="1969" t="s">
        <v>2862</v>
      </c>
      <c r="D37" s="1969">
        <f>D28</f>
        <v>1</v>
      </c>
      <c r="E37" s="1981">
        <f>E28</f>
        <v>2.1</v>
      </c>
      <c r="F37" s="1969">
        <f>F28</f>
        <v>4.8499999999999996</v>
      </c>
      <c r="G37" s="1972"/>
      <c r="H37" s="1970">
        <f>+ROUND(PRODUCT(D37:G37),2)</f>
        <v>10.19</v>
      </c>
      <c r="I37" s="1971"/>
    </row>
    <row r="38" spans="1:9" s="1963" customFormat="1">
      <c r="A38" s="1967"/>
      <c r="B38" s="1984" t="s">
        <v>2903</v>
      </c>
      <c r="C38" s="1969" t="s">
        <v>2862</v>
      </c>
      <c r="D38" s="1969">
        <v>1</v>
      </c>
      <c r="E38" s="1981">
        <f>+(E37+F37)*2</f>
        <v>13.899999999999999</v>
      </c>
      <c r="F38" s="1969"/>
      <c r="G38" s="1969">
        <v>2.15</v>
      </c>
      <c r="H38" s="1970">
        <f>+ROUND(PRODUCT(D38:G38),2)</f>
        <v>29.89</v>
      </c>
      <c r="I38" s="1971"/>
    </row>
    <row r="39" spans="1:9" s="1963" customFormat="1">
      <c r="A39" s="1967"/>
      <c r="B39" s="1984"/>
      <c r="C39" s="1972" t="s">
        <v>2862</v>
      </c>
      <c r="D39" s="1969"/>
      <c r="E39" s="1969"/>
      <c r="F39" s="1969"/>
      <c r="G39" s="1972" t="s">
        <v>1108</v>
      </c>
      <c r="H39" s="1980">
        <f>SUM(H37:H38)</f>
        <v>40.08</v>
      </c>
      <c r="I39" s="1971"/>
    </row>
    <row r="40" spans="1:9" s="1963" customFormat="1">
      <c r="A40" s="1967">
        <v>6</v>
      </c>
      <c r="B40" s="1972" t="s">
        <v>2866</v>
      </c>
      <c r="C40" s="1972"/>
      <c r="D40" s="1969"/>
      <c r="E40" s="1969"/>
      <c r="F40" s="1969"/>
      <c r="G40" s="1972"/>
      <c r="H40" s="1980"/>
      <c r="I40" s="1971"/>
    </row>
    <row r="41" spans="1:9" s="1963" customFormat="1">
      <c r="A41" s="1967"/>
      <c r="B41" s="1974" t="s">
        <v>2906</v>
      </c>
      <c r="C41" s="1969" t="s">
        <v>2862</v>
      </c>
      <c r="D41" s="1969">
        <v>1</v>
      </c>
      <c r="E41" s="1969">
        <f>2*(E19+F19)</f>
        <v>20.6</v>
      </c>
      <c r="F41" s="1969"/>
      <c r="G41" s="1969">
        <f>+G19</f>
        <v>7.4999999999999997E-2</v>
      </c>
      <c r="H41" s="1970">
        <f t="shared" ref="H41:H48" si="3">+ROUND(PRODUCT(D41:G41),2)</f>
        <v>1.55</v>
      </c>
      <c r="I41" s="1971"/>
    </row>
    <row r="42" spans="1:9" s="1963" customFormat="1">
      <c r="A42" s="1967"/>
      <c r="B42" s="1974" t="s">
        <v>2902</v>
      </c>
      <c r="C42" s="1969" t="s">
        <v>2862</v>
      </c>
      <c r="D42" s="1969">
        <v>1</v>
      </c>
      <c r="E42" s="1969">
        <f>+(E24+F24)*2</f>
        <v>10.6</v>
      </c>
      <c r="F42" s="1969"/>
      <c r="G42" s="1970">
        <f>G24</f>
        <v>1.5249999999999999</v>
      </c>
      <c r="H42" s="1970">
        <f t="shared" si="3"/>
        <v>16.170000000000002</v>
      </c>
      <c r="I42" s="1971"/>
    </row>
    <row r="43" spans="1:9" s="1963" customFormat="1">
      <c r="A43" s="1967"/>
      <c r="B43" s="1974"/>
      <c r="C43" s="1969" t="s">
        <v>2862</v>
      </c>
      <c r="D43" s="1969">
        <v>1</v>
      </c>
      <c r="E43" s="1969">
        <f>2*(E25+F25)</f>
        <v>13.4</v>
      </c>
      <c r="F43" s="1969"/>
      <c r="G43" s="1970">
        <f>G25</f>
        <v>0.3</v>
      </c>
      <c r="H43" s="1970">
        <f t="shared" si="3"/>
        <v>4.0199999999999996</v>
      </c>
      <c r="I43" s="1971"/>
    </row>
    <row r="44" spans="1:9" s="1963" customFormat="1">
      <c r="A44" s="1967"/>
      <c r="B44" s="1974"/>
      <c r="C44" s="1969" t="s">
        <v>2862</v>
      </c>
      <c r="D44" s="1969">
        <v>1</v>
      </c>
      <c r="E44" s="1969">
        <f>2*(E26+F26)</f>
        <v>10.6</v>
      </c>
      <c r="F44" s="1969"/>
      <c r="G44" s="1970">
        <f>G26</f>
        <v>2.2949999999999999</v>
      </c>
      <c r="H44" s="1970">
        <f>+ROUND(PRODUCT(D44:G44),2)</f>
        <v>24.33</v>
      </c>
      <c r="I44" s="1971"/>
    </row>
    <row r="45" spans="1:9" s="1963" customFormat="1">
      <c r="A45" s="1967"/>
      <c r="B45" s="1974"/>
      <c r="C45" s="1969" t="s">
        <v>2862</v>
      </c>
      <c r="D45" s="1969">
        <v>1</v>
      </c>
      <c r="E45" s="1969">
        <f>E27+2*F27</f>
        <v>11</v>
      </c>
      <c r="F45" s="1969"/>
      <c r="G45" s="1969">
        <f>G27</f>
        <v>0.3</v>
      </c>
      <c r="H45" s="1970">
        <f t="shared" si="3"/>
        <v>3.3</v>
      </c>
      <c r="I45" s="1971"/>
    </row>
    <row r="46" spans="1:9" s="1963" customFormat="1">
      <c r="A46" s="1967"/>
      <c r="B46" s="1969" t="s">
        <v>1324</v>
      </c>
      <c r="C46" s="1969" t="s">
        <v>2862</v>
      </c>
      <c r="D46" s="1969">
        <v>2</v>
      </c>
      <c r="E46" s="1969">
        <f>+(E28+F28)*2</f>
        <v>13.899999999999999</v>
      </c>
      <c r="F46" s="1969"/>
      <c r="G46" s="1969">
        <f>+G28</f>
        <v>0.3</v>
      </c>
      <c r="H46" s="1970">
        <f t="shared" si="3"/>
        <v>8.34</v>
      </c>
      <c r="I46" s="1971"/>
    </row>
    <row r="47" spans="1:9" s="1963" customFormat="1">
      <c r="A47" s="1967"/>
      <c r="B47" s="1974" t="s">
        <v>2903</v>
      </c>
      <c r="C47" s="1969" t="s">
        <v>2862</v>
      </c>
      <c r="D47" s="1969">
        <f>D28</f>
        <v>1</v>
      </c>
      <c r="E47" s="1969">
        <f>+(E29+F29)*2</f>
        <v>17.200000000000003</v>
      </c>
      <c r="F47" s="1969"/>
      <c r="G47" s="1969">
        <f>+G29</f>
        <v>2.15</v>
      </c>
      <c r="H47" s="1970">
        <f>+ROUND(PRODUCT(D47:G47),2)</f>
        <v>36.979999999999997</v>
      </c>
      <c r="I47" s="1971"/>
    </row>
    <row r="48" spans="1:9" s="1963" customFormat="1">
      <c r="A48" s="1967"/>
      <c r="B48" s="1974" t="s">
        <v>1510</v>
      </c>
      <c r="C48" s="1969" t="s">
        <v>2862</v>
      </c>
      <c r="D48" s="1969">
        <f>D30</f>
        <v>1</v>
      </c>
      <c r="E48" s="1969">
        <f>E30+2*G30</f>
        <v>2.4</v>
      </c>
      <c r="F48" s="1969">
        <f>F30+2*G30</f>
        <v>3.3999999999999995</v>
      </c>
      <c r="G48" s="1969"/>
      <c r="H48" s="1970">
        <f t="shared" si="3"/>
        <v>8.16</v>
      </c>
      <c r="I48" s="1971"/>
    </row>
    <row r="49" spans="1:9" s="1963" customFormat="1">
      <c r="A49" s="1985"/>
      <c r="B49" s="1969" t="s">
        <v>1624</v>
      </c>
      <c r="C49" s="1969"/>
      <c r="D49" s="1969"/>
      <c r="E49" s="1969"/>
      <c r="F49" s="1969"/>
      <c r="G49" s="1969"/>
      <c r="H49" s="1970"/>
      <c r="I49" s="1971"/>
    </row>
    <row r="50" spans="1:9" s="1963" customFormat="1">
      <c r="A50" s="1985"/>
      <c r="B50" s="1974" t="s">
        <v>2903</v>
      </c>
      <c r="C50" s="1969" t="s">
        <v>2862</v>
      </c>
      <c r="D50" s="1969">
        <f>2*D32</f>
        <v>2</v>
      </c>
      <c r="E50" s="1969">
        <f>E32</f>
        <v>4.5999999999999996</v>
      </c>
      <c r="F50" s="1969"/>
      <c r="G50" s="1970">
        <f>G32</f>
        <v>2.15</v>
      </c>
      <c r="H50" s="1970">
        <f>+ROUND(PRODUCT(D50:G50),2)</f>
        <v>19.78</v>
      </c>
      <c r="I50" s="1971"/>
    </row>
    <row r="51" spans="1:9" s="1963" customFormat="1">
      <c r="A51" s="1985"/>
      <c r="B51" s="1974" t="s">
        <v>1510</v>
      </c>
      <c r="C51" s="1969" t="s">
        <v>2862</v>
      </c>
      <c r="D51" s="1969">
        <f>D33</f>
        <v>1</v>
      </c>
      <c r="E51" s="1969">
        <f>E33+2*G33</f>
        <v>2.4</v>
      </c>
      <c r="F51" s="1969">
        <f>F33+2*G33</f>
        <v>1.55</v>
      </c>
      <c r="G51" s="1969"/>
      <c r="H51" s="1970">
        <f>+ROUND(PRODUCT(D51:G51),2)</f>
        <v>3.72</v>
      </c>
      <c r="I51" s="1971"/>
    </row>
    <row r="52" spans="1:9" s="1963" customFormat="1">
      <c r="A52" s="1985"/>
      <c r="B52" s="1974" t="s">
        <v>2904</v>
      </c>
      <c r="C52" s="1969" t="s">
        <v>2862</v>
      </c>
      <c r="D52" s="1969">
        <f>D34</f>
        <v>-2</v>
      </c>
      <c r="E52" s="1970">
        <f>E34</f>
        <v>0.28260000000000002</v>
      </c>
      <c r="F52" s="1969"/>
      <c r="G52" s="1972"/>
      <c r="H52" s="1970">
        <f>+ROUND(PRODUCT(D52:G52),2)</f>
        <v>-0.56999999999999995</v>
      </c>
      <c r="I52" s="1971"/>
    </row>
    <row r="53" spans="1:9" s="1963" customFormat="1">
      <c r="A53" s="1985"/>
      <c r="B53" s="1969"/>
      <c r="C53" s="1972" t="s">
        <v>2862</v>
      </c>
      <c r="D53" s="1969"/>
      <c r="E53" s="1969"/>
      <c r="F53" s="1969"/>
      <c r="G53" s="1972" t="s">
        <v>1108</v>
      </c>
      <c r="H53" s="1980">
        <f>SUM(H41:H52)</f>
        <v>125.78</v>
      </c>
      <c r="I53" s="1971"/>
    </row>
    <row r="54" spans="1:9" s="1963" customFormat="1">
      <c r="A54" s="1967">
        <v>7</v>
      </c>
      <c r="B54" s="1972" t="s">
        <v>2867</v>
      </c>
      <c r="C54" s="1972" t="s">
        <v>1034</v>
      </c>
      <c r="D54" s="1969"/>
      <c r="E54" s="1969"/>
      <c r="F54" s="1969"/>
      <c r="G54" s="1969"/>
      <c r="H54" s="1980">
        <f>+H35*35.32*4.5</f>
        <v>3965.5530000000003</v>
      </c>
      <c r="I54" s="1971"/>
    </row>
    <row r="55" spans="1:9" s="1963" customFormat="1">
      <c r="A55" s="1986"/>
      <c r="B55" s="1987"/>
      <c r="C55" s="1987"/>
      <c r="D55" s="1976"/>
      <c r="E55" s="1976"/>
      <c r="F55" s="1976"/>
      <c r="G55" s="1976"/>
      <c r="H55" s="1988"/>
      <c r="I55" s="1989"/>
    </row>
    <row r="56" spans="1:9" s="1963" customFormat="1">
      <c r="A56" s="1986">
        <v>9</v>
      </c>
      <c r="B56" s="1987" t="s">
        <v>2907</v>
      </c>
      <c r="C56" s="1976"/>
      <c r="D56" s="1976"/>
      <c r="E56" s="1976"/>
      <c r="F56" s="1976"/>
      <c r="G56" s="1976"/>
      <c r="H56" s="1990"/>
      <c r="I56" s="1989"/>
    </row>
    <row r="57" spans="1:9" s="1963" customFormat="1">
      <c r="A57" s="1991"/>
      <c r="B57" s="1969" t="s">
        <v>1324</v>
      </c>
      <c r="C57" s="1969" t="s">
        <v>2862</v>
      </c>
      <c r="D57" s="1976">
        <v>1</v>
      </c>
      <c r="E57" s="1976">
        <v>2.5</v>
      </c>
      <c r="F57" s="1976">
        <v>1.5</v>
      </c>
      <c r="G57" s="1976"/>
      <c r="H57" s="1970">
        <f>+ROUND(PRODUCT(D57:G57),2)</f>
        <v>3.75</v>
      </c>
      <c r="I57" s="1989"/>
    </row>
    <row r="58" spans="1:9" s="1963" customFormat="1">
      <c r="A58" s="1991"/>
      <c r="B58" s="1969" t="s">
        <v>1624</v>
      </c>
      <c r="C58" s="1969" t="s">
        <v>2862</v>
      </c>
      <c r="D58" s="1976">
        <v>1</v>
      </c>
      <c r="E58" s="1976">
        <v>1.5</v>
      </c>
      <c r="F58" s="1976">
        <v>1</v>
      </c>
      <c r="G58" s="1976"/>
      <c r="H58" s="1970">
        <f>+ROUND(PRODUCT(D58:G58),2)</f>
        <v>1.5</v>
      </c>
      <c r="I58" s="1989"/>
    </row>
    <row r="59" spans="1:9" s="1963" customFormat="1">
      <c r="A59" s="1991"/>
      <c r="B59" s="1976"/>
      <c r="C59" s="1972" t="s">
        <v>2862</v>
      </c>
      <c r="D59" s="1969"/>
      <c r="E59" s="1969"/>
      <c r="F59" s="1969"/>
      <c r="G59" s="1972" t="s">
        <v>1108</v>
      </c>
      <c r="H59" s="1980">
        <f>SUM(H57:H58)</f>
        <v>5.25</v>
      </c>
      <c r="I59" s="1989"/>
    </row>
    <row r="60" spans="1:9" s="1963" customFormat="1">
      <c r="A60" s="1986">
        <v>10</v>
      </c>
      <c r="B60" s="1987" t="s">
        <v>2908</v>
      </c>
      <c r="C60" s="1976"/>
      <c r="D60" s="1976"/>
      <c r="E60" s="1976"/>
      <c r="F60" s="1976"/>
      <c r="G60" s="1976"/>
      <c r="H60" s="1990"/>
      <c r="I60" s="1989"/>
    </row>
    <row r="61" spans="1:9" s="1963" customFormat="1">
      <c r="A61" s="1991"/>
      <c r="B61" s="1969" t="s">
        <v>1324</v>
      </c>
      <c r="C61" s="1969" t="s">
        <v>2862</v>
      </c>
      <c r="D61" s="1976">
        <v>1</v>
      </c>
      <c r="E61" s="1976">
        <f>E57</f>
        <v>2.5</v>
      </c>
      <c r="F61" s="1976">
        <f>F57</f>
        <v>1.5</v>
      </c>
      <c r="G61" s="1976"/>
      <c r="H61" s="1970">
        <f>+ROUND(PRODUCT(D61:G61),2)</f>
        <v>3.75</v>
      </c>
      <c r="I61" s="1989"/>
    </row>
    <row r="62" spans="1:9" s="1963" customFormat="1">
      <c r="A62" s="1991"/>
      <c r="B62" s="1974" t="s">
        <v>2903</v>
      </c>
      <c r="C62" s="1969" t="s">
        <v>2862</v>
      </c>
      <c r="D62" s="1976">
        <v>2</v>
      </c>
      <c r="E62" s="1976">
        <f>+(E61+F61)*2</f>
        <v>8</v>
      </c>
      <c r="F62" s="1976"/>
      <c r="G62" s="1976">
        <v>2.15</v>
      </c>
      <c r="H62" s="1970">
        <f>+ROUND(PRODUCT(D62:G62),2)</f>
        <v>34.4</v>
      </c>
      <c r="I62" s="1989"/>
    </row>
    <row r="63" spans="1:9" s="1963" customFormat="1">
      <c r="A63" s="1991"/>
      <c r="B63" s="1969" t="s">
        <v>1624</v>
      </c>
      <c r="C63" s="1969" t="s">
        <v>2862</v>
      </c>
      <c r="D63" s="1976">
        <v>1</v>
      </c>
      <c r="E63" s="1976">
        <f>E58</f>
        <v>1.5</v>
      </c>
      <c r="F63" s="1976">
        <f>F58</f>
        <v>1</v>
      </c>
      <c r="G63" s="1976"/>
      <c r="H63" s="1970">
        <f>+ROUND(PRODUCT(D63:G63),2)</f>
        <v>1.5</v>
      </c>
      <c r="I63" s="1989"/>
    </row>
    <row r="64" spans="1:9" s="1963" customFormat="1">
      <c r="A64" s="1991"/>
      <c r="B64" s="1974" t="s">
        <v>2903</v>
      </c>
      <c r="C64" s="1969" t="s">
        <v>2862</v>
      </c>
      <c r="D64" s="1976">
        <v>2</v>
      </c>
      <c r="E64" s="1976">
        <f>+(E63+F63)*2</f>
        <v>5</v>
      </c>
      <c r="F64" s="1976"/>
      <c r="G64" s="1990">
        <f>G50</f>
        <v>2.15</v>
      </c>
      <c r="H64" s="1970">
        <f>+ROUND(PRODUCT(D64:G64),2)</f>
        <v>21.5</v>
      </c>
      <c r="I64" s="1989"/>
    </row>
    <row r="65" spans="1:9" s="1963" customFormat="1">
      <c r="A65" s="1991"/>
      <c r="B65" s="1976"/>
      <c r="C65" s="1972" t="s">
        <v>2862</v>
      </c>
      <c r="D65" s="1969"/>
      <c r="E65" s="1969"/>
      <c r="F65" s="1969"/>
      <c r="G65" s="1972" t="s">
        <v>1108</v>
      </c>
      <c r="H65" s="1980">
        <f>SUM(H61:H64)</f>
        <v>61.15</v>
      </c>
      <c r="I65" s="1989"/>
    </row>
    <row r="66" spans="1:9" s="1963" customFormat="1" ht="25.5">
      <c r="A66" s="1986">
        <v>11</v>
      </c>
      <c r="B66" s="1992" t="s">
        <v>2870</v>
      </c>
      <c r="C66" s="1976"/>
      <c r="D66" s="1976"/>
      <c r="E66" s="1976"/>
      <c r="F66" s="1976"/>
      <c r="G66" s="1976"/>
      <c r="H66" s="1990"/>
      <c r="I66" s="1989"/>
    </row>
    <row r="67" spans="1:9" s="1963" customFormat="1">
      <c r="A67" s="1991"/>
      <c r="B67" s="1969" t="s">
        <v>1324</v>
      </c>
      <c r="C67" s="1976"/>
      <c r="D67" s="1976"/>
      <c r="E67" s="1976"/>
      <c r="F67" s="1976"/>
      <c r="G67" s="1976"/>
      <c r="H67" s="1990"/>
      <c r="I67" s="1989"/>
    </row>
    <row r="68" spans="1:9" s="1963" customFormat="1">
      <c r="A68" s="1991"/>
      <c r="B68" s="1974" t="s">
        <v>2903</v>
      </c>
      <c r="C68" s="1969" t="s">
        <v>2862</v>
      </c>
      <c r="D68" s="1976">
        <v>2</v>
      </c>
      <c r="E68" s="1976">
        <f>E62</f>
        <v>8</v>
      </c>
      <c r="F68" s="1976"/>
      <c r="G68" s="1976">
        <f>G62</f>
        <v>2.15</v>
      </c>
      <c r="H68" s="1970">
        <f>+ROUND(PRODUCT(D68:G68),2)</f>
        <v>34.4</v>
      </c>
      <c r="I68" s="1989"/>
    </row>
    <row r="69" spans="1:9" s="1963" customFormat="1">
      <c r="A69" s="1991"/>
      <c r="B69" s="1974" t="s">
        <v>1510</v>
      </c>
      <c r="C69" s="1969" t="s">
        <v>2862</v>
      </c>
      <c r="D69" s="1976">
        <v>2</v>
      </c>
      <c r="E69" s="1976">
        <f>E48</f>
        <v>2.4</v>
      </c>
      <c r="F69" s="1976">
        <f>F48</f>
        <v>3.3999999999999995</v>
      </c>
      <c r="G69" s="1976"/>
      <c r="H69" s="1970">
        <f>+ROUND(PRODUCT(D69:G69),2)</f>
        <v>16.32</v>
      </c>
      <c r="I69" s="1989"/>
    </row>
    <row r="70" spans="1:9" s="1963" customFormat="1">
      <c r="A70" s="1991"/>
      <c r="B70" s="1969" t="s">
        <v>1624</v>
      </c>
      <c r="C70" s="1976"/>
      <c r="D70" s="1976"/>
      <c r="E70" s="1976"/>
      <c r="F70" s="1976"/>
      <c r="G70" s="1976"/>
      <c r="H70" s="1990"/>
      <c r="I70" s="1989"/>
    </row>
    <row r="71" spans="1:9" s="1963" customFormat="1">
      <c r="A71" s="1991"/>
      <c r="B71" s="1974" t="s">
        <v>2903</v>
      </c>
      <c r="C71" s="1969" t="s">
        <v>2862</v>
      </c>
      <c r="D71" s="1976">
        <v>2</v>
      </c>
      <c r="E71" s="1976">
        <f>E64</f>
        <v>5</v>
      </c>
      <c r="F71" s="1976"/>
      <c r="G71" s="1990">
        <f>G64</f>
        <v>2.15</v>
      </c>
      <c r="H71" s="1970">
        <f t="shared" ref="H71:H87" si="4">+ROUND(PRODUCT(D71:G71),2)</f>
        <v>21.5</v>
      </c>
      <c r="I71" s="1989"/>
    </row>
    <row r="72" spans="1:9" s="1963" customFormat="1">
      <c r="A72" s="1991"/>
      <c r="B72" s="1974" t="s">
        <v>1510</v>
      </c>
      <c r="C72" s="1969" t="s">
        <v>2862</v>
      </c>
      <c r="D72" s="1976">
        <v>2</v>
      </c>
      <c r="E72" s="1976">
        <f>E51</f>
        <v>2.4</v>
      </c>
      <c r="F72" s="1976">
        <f>F51</f>
        <v>1.55</v>
      </c>
      <c r="G72" s="1976"/>
      <c r="H72" s="1970">
        <f t="shared" si="4"/>
        <v>7.44</v>
      </c>
      <c r="I72" s="1989"/>
    </row>
    <row r="73" spans="1:9" s="1963" customFormat="1">
      <c r="A73" s="1991"/>
      <c r="B73" s="1974" t="s">
        <v>2904</v>
      </c>
      <c r="C73" s="1969" t="s">
        <v>2862</v>
      </c>
      <c r="D73" s="1969">
        <f>D52</f>
        <v>-2</v>
      </c>
      <c r="E73" s="1970">
        <f>E52</f>
        <v>0.28260000000000002</v>
      </c>
      <c r="F73" s="1976"/>
      <c r="G73" s="1976"/>
      <c r="H73" s="1970">
        <f t="shared" si="4"/>
        <v>-0.56999999999999995</v>
      </c>
      <c r="I73" s="1989"/>
    </row>
    <row r="74" spans="1:9" s="1963" customFormat="1">
      <c r="A74" s="1991"/>
      <c r="B74" s="1993"/>
      <c r="C74" s="1972" t="s">
        <v>2862</v>
      </c>
      <c r="D74" s="1969"/>
      <c r="E74" s="1969"/>
      <c r="F74" s="1969"/>
      <c r="G74" s="1972" t="s">
        <v>1108</v>
      </c>
      <c r="H74" s="1980">
        <f>SUM(H67:H73)</f>
        <v>79.09</v>
      </c>
      <c r="I74" s="1989"/>
    </row>
    <row r="75" spans="1:9" s="1963" customFormat="1">
      <c r="A75" s="1986">
        <v>12</v>
      </c>
      <c r="B75" s="1994" t="s">
        <v>2871</v>
      </c>
      <c r="C75" s="1972"/>
      <c r="D75" s="1976"/>
      <c r="E75" s="1976"/>
      <c r="F75" s="1976"/>
      <c r="G75" s="1976"/>
      <c r="H75" s="1980"/>
      <c r="I75" s="1989"/>
    </row>
    <row r="76" spans="1:9" s="1963" customFormat="1">
      <c r="A76" s="1991"/>
      <c r="B76" s="1995" t="s">
        <v>2909</v>
      </c>
      <c r="C76" s="1969"/>
      <c r="D76" s="1976"/>
      <c r="E76" s="1976"/>
      <c r="F76" s="1976"/>
      <c r="G76" s="1976"/>
      <c r="H76" s="1980"/>
      <c r="I76" s="1989"/>
    </row>
    <row r="77" spans="1:9" s="1963" customFormat="1">
      <c r="A77" s="1991"/>
      <c r="B77" s="1995" t="s">
        <v>2873</v>
      </c>
      <c r="C77" s="1969" t="s">
        <v>1084</v>
      </c>
      <c r="D77" s="1976">
        <v>1</v>
      </c>
      <c r="E77" s="1976">
        <v>14</v>
      </c>
      <c r="F77" s="1976">
        <v>10.6</v>
      </c>
      <c r="G77" s="1976">
        <v>0.3</v>
      </c>
      <c r="H77" s="1970">
        <f>+ROUND(PRODUCT(D77:G77),2)</f>
        <v>44.52</v>
      </c>
      <c r="I77" s="1989"/>
    </row>
    <row r="78" spans="1:9" s="1963" customFormat="1">
      <c r="A78" s="1996">
        <v>13</v>
      </c>
      <c r="B78" s="1997" t="s">
        <v>2874</v>
      </c>
      <c r="C78" s="1998" t="s">
        <v>1087</v>
      </c>
      <c r="D78" s="1998">
        <v>2</v>
      </c>
      <c r="E78" s="1998"/>
      <c r="F78" s="1998"/>
      <c r="G78" s="1998"/>
      <c r="H78" s="1999">
        <f t="shared" si="4"/>
        <v>2</v>
      </c>
      <c r="I78" s="2000"/>
    </row>
    <row r="79" spans="1:9" s="1963" customFormat="1" hidden="1">
      <c r="A79" s="2001">
        <v>15</v>
      </c>
      <c r="B79" s="2002" t="s">
        <v>2875</v>
      </c>
      <c r="C79" s="2003"/>
      <c r="D79" s="2003"/>
      <c r="E79" s="2003"/>
      <c r="F79" s="2003"/>
      <c r="G79" s="2003"/>
      <c r="H79" s="2004"/>
      <c r="I79" s="2005"/>
    </row>
    <row r="80" spans="1:9" s="2009" customFormat="1" ht="12.75" hidden="1">
      <c r="A80" s="2006"/>
      <c r="B80" s="2007" t="s">
        <v>2876</v>
      </c>
      <c r="C80" s="1969" t="s">
        <v>1087</v>
      </c>
      <c r="D80" s="1969">
        <v>2</v>
      </c>
      <c r="E80" s="2008"/>
      <c r="F80" s="2008"/>
      <c r="G80" s="2008"/>
      <c r="H80" s="1970">
        <f t="shared" si="4"/>
        <v>2</v>
      </c>
      <c r="I80" s="1971"/>
    </row>
    <row r="81" spans="1:9" s="2009" customFormat="1" ht="12.75" hidden="1">
      <c r="A81" s="2006"/>
      <c r="B81" s="2007" t="s">
        <v>2877</v>
      </c>
      <c r="C81" s="1969" t="s">
        <v>1087</v>
      </c>
      <c r="D81" s="1969">
        <v>2</v>
      </c>
      <c r="E81" s="2008"/>
      <c r="F81" s="2008"/>
      <c r="G81" s="2008"/>
      <c r="H81" s="1970">
        <f t="shared" si="4"/>
        <v>2</v>
      </c>
      <c r="I81" s="1971"/>
    </row>
    <row r="82" spans="1:9" s="2009" customFormat="1" ht="12.75" hidden="1">
      <c r="A82" s="2006"/>
      <c r="B82" s="2007" t="s">
        <v>2878</v>
      </c>
      <c r="C82" s="1969" t="s">
        <v>1087</v>
      </c>
      <c r="D82" s="1969">
        <v>10</v>
      </c>
      <c r="E82" s="2008"/>
      <c r="F82" s="2008"/>
      <c r="G82" s="2008"/>
      <c r="H82" s="1970">
        <f t="shared" si="4"/>
        <v>10</v>
      </c>
      <c r="I82" s="1971"/>
    </row>
    <row r="83" spans="1:9" s="2009" customFormat="1" ht="12.75" hidden="1">
      <c r="A83" s="2006"/>
      <c r="B83" s="2007" t="s">
        <v>2879</v>
      </c>
      <c r="C83" s="1969" t="s">
        <v>1087</v>
      </c>
      <c r="D83" s="1969">
        <v>2</v>
      </c>
      <c r="E83" s="2008"/>
      <c r="F83" s="2008"/>
      <c r="G83" s="2008"/>
      <c r="H83" s="1970">
        <f t="shared" si="4"/>
        <v>2</v>
      </c>
      <c r="I83" s="1971"/>
    </row>
    <row r="84" spans="1:9" s="2009" customFormat="1" ht="12.75" hidden="1">
      <c r="A84" s="2006"/>
      <c r="B84" s="2007" t="s">
        <v>2880</v>
      </c>
      <c r="C84" s="1969" t="s">
        <v>1087</v>
      </c>
      <c r="D84" s="1969">
        <v>2</v>
      </c>
      <c r="E84" s="2008"/>
      <c r="F84" s="2008"/>
      <c r="G84" s="2008"/>
      <c r="H84" s="1970">
        <f t="shared" si="4"/>
        <v>2</v>
      </c>
      <c r="I84" s="1971"/>
    </row>
    <row r="85" spans="1:9" s="2009" customFormat="1" ht="12.75" hidden="1">
      <c r="A85" s="2006"/>
      <c r="B85" s="2007" t="s">
        <v>2881</v>
      </c>
      <c r="C85" s="1969" t="s">
        <v>1087</v>
      </c>
      <c r="D85" s="1969">
        <v>2</v>
      </c>
      <c r="E85" s="2008"/>
      <c r="F85" s="2008"/>
      <c r="G85" s="2008"/>
      <c r="H85" s="1970">
        <f t="shared" si="4"/>
        <v>2</v>
      </c>
      <c r="I85" s="1971"/>
    </row>
    <row r="86" spans="1:9" s="2009" customFormat="1" ht="12.75" hidden="1">
      <c r="A86" s="2006"/>
      <c r="B86" s="2007" t="s">
        <v>2882</v>
      </c>
      <c r="C86" s="1969" t="s">
        <v>1087</v>
      </c>
      <c r="D86" s="1969">
        <v>2</v>
      </c>
      <c r="E86" s="2008"/>
      <c r="F86" s="2008"/>
      <c r="G86" s="2008"/>
      <c r="H86" s="1970">
        <f t="shared" si="4"/>
        <v>2</v>
      </c>
      <c r="I86" s="1971"/>
    </row>
    <row r="87" spans="1:9" s="2009" customFormat="1" ht="12.75" hidden="1">
      <c r="A87" s="2010"/>
      <c r="B87" s="2011" t="s">
        <v>2883</v>
      </c>
      <c r="C87" s="1998" t="s">
        <v>1087</v>
      </c>
      <c r="D87" s="1998">
        <v>1</v>
      </c>
      <c r="E87" s="2012"/>
      <c r="F87" s="2012"/>
      <c r="G87" s="2012"/>
      <c r="H87" s="1999">
        <f t="shared" si="4"/>
        <v>1</v>
      </c>
      <c r="I87" s="2000"/>
    </row>
    <row r="88" spans="1:9" s="2009" customFormat="1" ht="12.75">
      <c r="B88" s="2013"/>
      <c r="C88" s="2014"/>
      <c r="D88" s="2015"/>
      <c r="E88" s="2016"/>
      <c r="F88" s="2016"/>
      <c r="G88" s="2017"/>
    </row>
    <row r="89" spans="1:9">
      <c r="A89" s="3020" t="s">
        <v>2924</v>
      </c>
      <c r="B89" s="3020"/>
      <c r="C89" s="1962"/>
      <c r="D89" s="1962"/>
      <c r="E89" s="1962"/>
      <c r="F89" s="1962"/>
      <c r="G89" s="1962"/>
      <c r="H89" s="1962"/>
      <c r="I89" s="1962"/>
    </row>
    <row r="90" spans="1:9">
      <c r="A90" s="1964" t="s">
        <v>908</v>
      </c>
      <c r="B90" s="1965" t="s">
        <v>2861</v>
      </c>
      <c r="C90" s="1965" t="s">
        <v>1035</v>
      </c>
      <c r="D90" s="1965" t="s">
        <v>1087</v>
      </c>
      <c r="E90" s="1965" t="s">
        <v>2895</v>
      </c>
      <c r="F90" s="1965" t="s">
        <v>2896</v>
      </c>
      <c r="G90" s="1965" t="s">
        <v>2897</v>
      </c>
      <c r="H90" s="1965" t="s">
        <v>964</v>
      </c>
      <c r="I90" s="1966" t="s">
        <v>1055</v>
      </c>
    </row>
    <row r="91" spans="1:9">
      <c r="A91" s="2018">
        <v>1</v>
      </c>
      <c r="B91" s="1972" t="s">
        <v>2898</v>
      </c>
      <c r="C91" s="2019"/>
      <c r="D91" s="2019"/>
      <c r="E91" s="2019"/>
      <c r="F91" s="2019"/>
      <c r="G91" s="2019"/>
      <c r="H91" s="2019"/>
      <c r="I91" s="2020"/>
    </row>
    <row r="92" spans="1:9">
      <c r="A92" s="2021"/>
      <c r="B92" s="2019"/>
      <c r="C92" s="1969" t="s">
        <v>520</v>
      </c>
      <c r="D92" s="2022">
        <v>1</v>
      </c>
      <c r="E92" s="2022">
        <v>50</v>
      </c>
      <c r="F92" s="2022">
        <f>1.68+1</f>
        <v>2.6799999999999997</v>
      </c>
      <c r="G92" s="2022">
        <v>1</v>
      </c>
      <c r="H92" s="1970">
        <f>+ROUND(PRODUCT(D92:G92),2)</f>
        <v>134</v>
      </c>
      <c r="I92" s="2020"/>
    </row>
    <row r="93" spans="1:9">
      <c r="A93" s="2021"/>
      <c r="B93" s="2019"/>
      <c r="C93" s="1972" t="s">
        <v>520</v>
      </c>
      <c r="D93" s="2022"/>
      <c r="E93" s="2022"/>
      <c r="F93" s="2022"/>
      <c r="G93" s="2022"/>
      <c r="H93" s="2023">
        <f>SUM(H92:H92)</f>
        <v>134</v>
      </c>
      <c r="I93" s="2020"/>
    </row>
    <row r="94" spans="1:9">
      <c r="A94" s="2021">
        <v>2</v>
      </c>
      <c r="B94" s="2024" t="s">
        <v>2884</v>
      </c>
      <c r="C94" s="2025"/>
      <c r="D94" s="2022"/>
      <c r="E94" s="2022"/>
      <c r="F94" s="2022"/>
      <c r="G94" s="2022"/>
      <c r="H94" s="2023"/>
      <c r="I94" s="2020"/>
    </row>
    <row r="95" spans="1:9">
      <c r="A95" s="2021"/>
      <c r="B95" s="2019"/>
      <c r="C95" s="1969" t="s">
        <v>520</v>
      </c>
      <c r="D95" s="2022">
        <v>1</v>
      </c>
      <c r="E95" s="2022">
        <f>E92*50%</f>
        <v>25</v>
      </c>
      <c r="F95" s="2022">
        <v>1.2</v>
      </c>
      <c r="G95" s="2022">
        <f>G92</f>
        <v>1</v>
      </c>
      <c r="H95" s="1970">
        <f>+ROUND(PRODUCT(D95:G95),2)</f>
        <v>30</v>
      </c>
      <c r="I95" s="2020"/>
    </row>
    <row r="96" spans="1:9">
      <c r="A96" s="2021"/>
      <c r="B96" s="2019"/>
      <c r="C96" s="1972" t="s">
        <v>520</v>
      </c>
      <c r="D96" s="2022"/>
      <c r="E96" s="2022"/>
      <c r="F96" s="2022"/>
      <c r="G96" s="2022"/>
      <c r="H96" s="2023">
        <f>SUM(H95:H95)</f>
        <v>30</v>
      </c>
      <c r="I96" s="2020"/>
    </row>
    <row r="97" spans="1:13">
      <c r="A97" s="2021"/>
      <c r="B97" s="2019"/>
      <c r="C97" s="2025"/>
      <c r="D97" s="2022"/>
      <c r="E97" s="2022"/>
      <c r="F97" s="2022"/>
      <c r="G97" s="2022"/>
      <c r="H97" s="2023"/>
      <c r="I97" s="2020"/>
    </row>
    <row r="98" spans="1:13">
      <c r="A98" s="2021">
        <v>4</v>
      </c>
      <c r="B98" s="2024" t="s">
        <v>2885</v>
      </c>
      <c r="C98" s="2019"/>
      <c r="D98" s="2019"/>
      <c r="E98" s="2019"/>
      <c r="F98" s="2019"/>
      <c r="G98" s="2019"/>
      <c r="H98" s="2019"/>
      <c r="I98" s="2020"/>
    </row>
    <row r="99" spans="1:13">
      <c r="A99" s="2021">
        <v>4.0999999999999996</v>
      </c>
      <c r="B99" s="2024" t="s">
        <v>2886</v>
      </c>
      <c r="C99" s="1969" t="s">
        <v>520</v>
      </c>
      <c r="D99" s="2022">
        <v>1</v>
      </c>
      <c r="E99" s="2022">
        <f>E92</f>
        <v>50</v>
      </c>
      <c r="F99" s="2022">
        <v>1.68</v>
      </c>
      <c r="G99" s="2022">
        <v>0.2</v>
      </c>
      <c r="H99" s="1970">
        <f>+ROUND(PRODUCT(D99:G99),2)</f>
        <v>16.8</v>
      </c>
      <c r="I99" s="2020"/>
    </row>
    <row r="100" spans="1:13">
      <c r="A100" s="2021"/>
      <c r="B100" s="2019"/>
      <c r="C100" s="1972" t="s">
        <v>520</v>
      </c>
      <c r="D100" s="2019"/>
      <c r="E100" s="2019"/>
      <c r="F100" s="2019"/>
      <c r="G100" s="2019"/>
      <c r="H100" s="1980">
        <f>SUM(H99:H99)</f>
        <v>16.8</v>
      </c>
      <c r="I100" s="2020"/>
    </row>
    <row r="101" spans="1:13" hidden="1">
      <c r="A101" s="2021">
        <v>4.3</v>
      </c>
      <c r="B101" s="2024" t="s">
        <v>2887</v>
      </c>
      <c r="C101" s="1969"/>
      <c r="D101" s="2022"/>
      <c r="E101" s="2022"/>
      <c r="F101" s="2022"/>
      <c r="G101" s="2022"/>
      <c r="H101" s="1970"/>
      <c r="I101" s="2020"/>
    </row>
    <row r="102" spans="1:13" hidden="1">
      <c r="A102" s="2021"/>
      <c r="B102" s="2019"/>
      <c r="C102" s="1969" t="s">
        <v>520</v>
      </c>
      <c r="D102" s="2022">
        <v>1</v>
      </c>
      <c r="E102" s="2022">
        <f>E99</f>
        <v>50</v>
      </c>
      <c r="F102" s="2022">
        <v>0.35</v>
      </c>
      <c r="G102" s="2022">
        <v>0.32</v>
      </c>
      <c r="H102" s="1970">
        <f>+ROUND(PRODUCT(D102:G102),2)</f>
        <v>5.6</v>
      </c>
      <c r="I102" s="2020"/>
      <c r="L102" s="1961">
        <f>7/3.281</f>
        <v>2.1334958854007922</v>
      </c>
      <c r="M102" s="1961">
        <f>1.5*3.281</f>
        <v>4.9215</v>
      </c>
    </row>
    <row r="103" spans="1:13" hidden="1">
      <c r="A103" s="2021"/>
      <c r="B103" s="1982" t="s">
        <v>2910</v>
      </c>
      <c r="C103" s="1969" t="s">
        <v>520</v>
      </c>
      <c r="D103" s="2022">
        <v>2</v>
      </c>
      <c r="E103" s="2022">
        <v>0.45</v>
      </c>
      <c r="F103" s="2022">
        <v>0.45</v>
      </c>
      <c r="G103" s="2022">
        <v>1.5</v>
      </c>
      <c r="H103" s="1970">
        <f>+ROUND(PRODUCT(D103:G103),2)</f>
        <v>0.61</v>
      </c>
      <c r="I103" s="2020"/>
    </row>
    <row r="104" spans="1:13" hidden="1">
      <c r="A104" s="2021"/>
      <c r="B104" s="2019"/>
      <c r="C104" s="1972" t="s">
        <v>520</v>
      </c>
      <c r="D104" s="2022"/>
      <c r="E104" s="2022"/>
      <c r="F104" s="2022"/>
      <c r="G104" s="2022"/>
      <c r="H104" s="1980">
        <f>SUM(H102:H103)</f>
        <v>6.21</v>
      </c>
      <c r="I104" s="2020"/>
    </row>
    <row r="105" spans="1:13">
      <c r="A105" s="2021">
        <v>5</v>
      </c>
      <c r="B105" s="2024" t="s">
        <v>2864</v>
      </c>
      <c r="C105" s="1972"/>
      <c r="D105" s="2022"/>
      <c r="E105" s="2022"/>
      <c r="F105" s="2022"/>
      <c r="G105" s="2022"/>
      <c r="H105" s="1980"/>
      <c r="I105" s="2020"/>
    </row>
    <row r="106" spans="1:13">
      <c r="A106" s="2021"/>
      <c r="B106" s="2024" t="s">
        <v>2888</v>
      </c>
      <c r="C106" s="1972"/>
      <c r="D106" s="2022"/>
      <c r="E106" s="2022"/>
      <c r="F106" s="2022"/>
      <c r="G106" s="2022"/>
      <c r="H106" s="1980"/>
      <c r="I106" s="2020"/>
    </row>
    <row r="107" spans="1:13">
      <c r="A107" s="2021"/>
      <c r="B107" s="2024"/>
      <c r="C107" s="1969" t="s">
        <v>520</v>
      </c>
      <c r="D107" s="2022">
        <f>D102</f>
        <v>1</v>
      </c>
      <c r="E107" s="2022">
        <f>E102</f>
        <v>50</v>
      </c>
      <c r="F107" s="2022">
        <f>F99</f>
        <v>1.68</v>
      </c>
      <c r="G107" s="2022">
        <v>0.1</v>
      </c>
      <c r="H107" s="1970">
        <f>+ROUND(PRODUCT(D107:G107),2)</f>
        <v>8.4</v>
      </c>
      <c r="I107" s="2020"/>
    </row>
    <row r="108" spans="1:13" hidden="1">
      <c r="A108" s="2021"/>
      <c r="B108" s="1982" t="s">
        <v>2911</v>
      </c>
      <c r="C108" s="1969" t="s">
        <v>520</v>
      </c>
      <c r="D108" s="2022">
        <f>E102/2+3</f>
        <v>28</v>
      </c>
      <c r="E108" s="2026">
        <v>0.13</v>
      </c>
      <c r="F108" s="2027">
        <v>0.13</v>
      </c>
      <c r="G108" s="2027">
        <v>0.05</v>
      </c>
      <c r="H108" s="1970">
        <f>+ROUND(PRODUCT(D108:G108),2)</f>
        <v>0.02</v>
      </c>
      <c r="I108" s="2020"/>
    </row>
    <row r="109" spans="1:13" hidden="1">
      <c r="A109" s="2021"/>
      <c r="B109" s="1982" t="s">
        <v>2912</v>
      </c>
      <c r="C109" s="1969" t="s">
        <v>520</v>
      </c>
      <c r="D109" s="2022">
        <f>D108</f>
        <v>28</v>
      </c>
      <c r="E109" s="2026">
        <v>0.13</v>
      </c>
      <c r="F109" s="2026">
        <v>3.5000000000000003E-2</v>
      </c>
      <c r="G109" s="2026">
        <v>0.26</v>
      </c>
      <c r="H109" s="1970">
        <f>+ROUND(PRODUCT(D109:G109),2)</f>
        <v>0.03</v>
      </c>
      <c r="I109" s="2020"/>
    </row>
    <row r="110" spans="1:13" hidden="1">
      <c r="A110" s="2021"/>
      <c r="B110" s="2024"/>
      <c r="C110" s="1972" t="s">
        <v>520</v>
      </c>
      <c r="D110" s="2022"/>
      <c r="E110" s="2022"/>
      <c r="F110" s="2022"/>
      <c r="G110" s="2022"/>
      <c r="H110" s="1980">
        <f>SUM(H107:H109)</f>
        <v>8.4499999999999993</v>
      </c>
      <c r="I110" s="2020"/>
    </row>
    <row r="111" spans="1:13" hidden="1">
      <c r="A111" s="2021"/>
      <c r="B111" s="2024" t="s">
        <v>2889</v>
      </c>
      <c r="C111" s="1972"/>
      <c r="D111" s="2022"/>
      <c r="E111" s="2022"/>
      <c r="F111" s="2022"/>
      <c r="G111" s="2022"/>
      <c r="H111" s="1980"/>
      <c r="I111" s="2020"/>
    </row>
    <row r="112" spans="1:13" hidden="1">
      <c r="A112" s="2021"/>
      <c r="B112" s="1982" t="s">
        <v>2913</v>
      </c>
      <c r="C112" s="1969" t="s">
        <v>520</v>
      </c>
      <c r="D112" s="2022">
        <f>D107</f>
        <v>1</v>
      </c>
      <c r="E112" s="2022">
        <f>E107</f>
        <v>50</v>
      </c>
      <c r="F112" s="2022">
        <f>F102</f>
        <v>0.35</v>
      </c>
      <c r="G112" s="2022">
        <v>0.05</v>
      </c>
      <c r="H112" s="1970">
        <f>+ROUND(PRODUCT(D112:G112),2)</f>
        <v>0.88</v>
      </c>
      <c r="I112" s="2020"/>
    </row>
    <row r="113" spans="1:9" hidden="1">
      <c r="A113" s="2021"/>
      <c r="B113" s="2019"/>
      <c r="C113" s="1972" t="s">
        <v>520</v>
      </c>
      <c r="D113" s="2022"/>
      <c r="E113" s="2022"/>
      <c r="F113" s="2022"/>
      <c r="G113" s="2022"/>
      <c r="H113" s="1980">
        <f>SUM(H112:H112)</f>
        <v>0.88</v>
      </c>
      <c r="I113" s="2020"/>
    </row>
    <row r="114" spans="1:9">
      <c r="A114" s="2021">
        <v>6</v>
      </c>
      <c r="B114" s="2024" t="s">
        <v>362</v>
      </c>
      <c r="C114" s="1972"/>
      <c r="D114" s="2022"/>
      <c r="E114" s="2022"/>
      <c r="F114" s="2022"/>
      <c r="G114" s="2022"/>
      <c r="H114" s="1980"/>
      <c r="I114" s="2020"/>
    </row>
    <row r="115" spans="1:9">
      <c r="A115" s="2021"/>
      <c r="B115" s="2019"/>
      <c r="C115" s="1969" t="s">
        <v>2862</v>
      </c>
      <c r="D115" s="2022">
        <v>2</v>
      </c>
      <c r="E115" s="2022">
        <f>E107+F107</f>
        <v>51.68</v>
      </c>
      <c r="F115" s="2022"/>
      <c r="G115" s="2022">
        <f>G107</f>
        <v>0.1</v>
      </c>
      <c r="H115" s="1970">
        <f>+ROUND(PRODUCT(D115:G115),2)</f>
        <v>10.34</v>
      </c>
      <c r="I115" s="2020"/>
    </row>
    <row r="116" spans="1:9">
      <c r="A116" s="2021"/>
      <c r="B116" s="1982" t="s">
        <v>2913</v>
      </c>
      <c r="C116" s="1969" t="s">
        <v>2862</v>
      </c>
      <c r="D116" s="2022">
        <v>2</v>
      </c>
      <c r="E116" s="2022">
        <f>E112+F112</f>
        <v>50.35</v>
      </c>
      <c r="F116" s="2022"/>
      <c r="G116" s="2022">
        <f>G112</f>
        <v>0.05</v>
      </c>
      <c r="H116" s="1970">
        <f>+ROUND(PRODUCT(D116:G116),2)</f>
        <v>5.04</v>
      </c>
      <c r="I116" s="2020"/>
    </row>
    <row r="117" spans="1:9">
      <c r="A117" s="2021"/>
      <c r="B117" s="1982"/>
      <c r="C117" s="1972" t="s">
        <v>2862</v>
      </c>
      <c r="D117" s="2022"/>
      <c r="E117" s="2022"/>
      <c r="F117" s="2022"/>
      <c r="G117" s="2022"/>
      <c r="H117" s="1980">
        <f>SUM(H115:H116)</f>
        <v>15.379999999999999</v>
      </c>
      <c r="I117" s="2020"/>
    </row>
    <row r="118" spans="1:9" ht="25.5">
      <c r="A118" s="2021">
        <v>7</v>
      </c>
      <c r="B118" s="2028" t="s">
        <v>2914</v>
      </c>
      <c r="C118" s="1972"/>
      <c r="D118" s="2022"/>
      <c r="E118" s="2022"/>
      <c r="F118" s="2022"/>
      <c r="G118" s="2022"/>
      <c r="H118" s="1980"/>
      <c r="I118" s="2020"/>
    </row>
    <row r="119" spans="1:9">
      <c r="A119" s="2021"/>
      <c r="B119" s="2019"/>
      <c r="C119" s="1969" t="s">
        <v>2862</v>
      </c>
      <c r="D119" s="2022">
        <v>2</v>
      </c>
      <c r="E119" s="2022">
        <f>E108</f>
        <v>0.13</v>
      </c>
      <c r="F119" s="2022"/>
      <c r="G119" s="2022">
        <f>G102+G112+0.125</f>
        <v>0.495</v>
      </c>
      <c r="H119" s="1970">
        <f>+ROUND(PRODUCT(D119:G119),2)</f>
        <v>0.13</v>
      </c>
      <c r="I119" s="2020"/>
    </row>
    <row r="120" spans="1:9">
      <c r="A120" s="2021"/>
      <c r="B120" s="2019"/>
      <c r="C120" s="1972" t="s">
        <v>2862</v>
      </c>
      <c r="D120" s="2022"/>
      <c r="E120" s="2022"/>
      <c r="F120" s="2022"/>
      <c r="G120" s="2022"/>
      <c r="H120" s="1980">
        <f>SUM(H119:H119)</f>
        <v>0.13</v>
      </c>
      <c r="I120" s="2020"/>
    </row>
    <row r="121" spans="1:9" ht="36">
      <c r="A121" s="2021">
        <v>8</v>
      </c>
      <c r="B121" s="2029" t="s">
        <v>2891</v>
      </c>
      <c r="C121" s="2030"/>
      <c r="D121" s="2031"/>
      <c r="E121" s="2022"/>
      <c r="F121" s="2022"/>
      <c r="G121" s="2022"/>
      <c r="H121" s="1980"/>
      <c r="I121" s="2020"/>
    </row>
    <row r="122" spans="1:9">
      <c r="A122" s="2021"/>
      <c r="B122" s="2019"/>
      <c r="C122" s="1969" t="s">
        <v>2862</v>
      </c>
      <c r="D122" s="2022">
        <v>1</v>
      </c>
      <c r="E122" s="2022">
        <f>E119</f>
        <v>0.13</v>
      </c>
      <c r="F122" s="2022"/>
      <c r="G122" s="2022">
        <v>1.78</v>
      </c>
      <c r="H122" s="1970">
        <f>+ROUND(PRODUCT(D122:G122),2)</f>
        <v>0.23</v>
      </c>
      <c r="I122" s="2020"/>
    </row>
    <row r="123" spans="1:9">
      <c r="A123" s="2021" t="s">
        <v>2915</v>
      </c>
      <c r="B123" s="2019"/>
      <c r="C123" s="1972" t="s">
        <v>2862</v>
      </c>
      <c r="D123" s="2022"/>
      <c r="E123" s="2022"/>
      <c r="F123" s="2022"/>
      <c r="G123" s="2022"/>
      <c r="H123" s="1980">
        <f>SUM(H122:H122)</f>
        <v>0.23</v>
      </c>
      <c r="I123" s="2020"/>
    </row>
    <row r="124" spans="1:9">
      <c r="A124" s="2032">
        <v>9</v>
      </c>
      <c r="B124" s="2002" t="s">
        <v>2871</v>
      </c>
      <c r="C124" s="1987"/>
      <c r="D124" s="2033"/>
      <c r="E124" s="2033"/>
      <c r="F124" s="2033"/>
      <c r="G124" s="2033"/>
      <c r="H124" s="1988"/>
      <c r="I124" s="2034"/>
    </row>
    <row r="125" spans="1:9">
      <c r="A125" s="2032"/>
      <c r="B125" s="2035" t="s">
        <v>2893</v>
      </c>
      <c r="C125" s="1969" t="s">
        <v>520</v>
      </c>
      <c r="D125" s="2022">
        <f>8*2</f>
        <v>16</v>
      </c>
      <c r="E125" s="2022">
        <v>2</v>
      </c>
      <c r="F125" s="2022">
        <v>1</v>
      </c>
      <c r="G125" s="2022">
        <v>1</v>
      </c>
      <c r="H125" s="1970">
        <f>+ROUND(PRODUCT(D125:G125),2)</f>
        <v>32</v>
      </c>
      <c r="I125" s="2034"/>
    </row>
    <row r="126" spans="1:9">
      <c r="A126" s="2036"/>
      <c r="B126" s="1998"/>
      <c r="C126" s="2037" t="s">
        <v>520</v>
      </c>
      <c r="D126" s="2038"/>
      <c r="E126" s="2038"/>
      <c r="F126" s="2038"/>
      <c r="G126" s="2038"/>
      <c r="H126" s="2039">
        <f>SUM(H125:H125)</f>
        <v>32</v>
      </c>
      <c r="I126" s="2000"/>
    </row>
    <row r="127" spans="1:9">
      <c r="A127" s="2040"/>
      <c r="B127" s="2040"/>
      <c r="C127" s="2040"/>
      <c r="D127" s="2040"/>
      <c r="E127" s="2040"/>
      <c r="F127" s="2040"/>
      <c r="G127" s="2040"/>
      <c r="H127" s="2040"/>
      <c r="I127" s="2040"/>
    </row>
    <row r="128" spans="1:9">
      <c r="A128" s="1962"/>
      <c r="B128" s="1962"/>
      <c r="C128" s="1962"/>
      <c r="D128" s="1962"/>
      <c r="E128" s="1962"/>
      <c r="F128" s="1962"/>
      <c r="G128" s="1962"/>
      <c r="H128" s="1962"/>
      <c r="I128" s="1962"/>
    </row>
    <row r="130" spans="1:9">
      <c r="A130" s="2040"/>
      <c r="B130" s="2040"/>
      <c r="C130" s="2040"/>
      <c r="D130" s="2040"/>
      <c r="E130" s="2040"/>
      <c r="F130" s="2040"/>
      <c r="G130" s="2040"/>
      <c r="H130" s="2040"/>
      <c r="I130" s="2040"/>
    </row>
    <row r="131" spans="1:9">
      <c r="A131" s="2040"/>
      <c r="B131" s="2040"/>
      <c r="C131" s="2040"/>
      <c r="D131" s="2040"/>
      <c r="E131" s="2040"/>
      <c r="F131" s="2040"/>
      <c r="G131" s="2040"/>
      <c r="H131" s="2040"/>
      <c r="I131" s="2040"/>
    </row>
    <row r="132" spans="1:9">
      <c r="A132" s="2040"/>
      <c r="B132" s="2040"/>
      <c r="C132" s="2040"/>
      <c r="D132" s="2040"/>
      <c r="E132" s="2040"/>
      <c r="F132" s="2040"/>
      <c r="G132" s="2040"/>
      <c r="H132" s="2040"/>
      <c r="I132" s="2040"/>
    </row>
    <row r="133" spans="1:9">
      <c r="A133" s="2040"/>
      <c r="B133" s="2040"/>
      <c r="C133" s="2040"/>
      <c r="D133" s="2040"/>
      <c r="E133" s="2040"/>
      <c r="F133" s="2040"/>
      <c r="G133" s="2040"/>
      <c r="H133" s="2040"/>
      <c r="I133" s="2040"/>
    </row>
  </sheetData>
  <mergeCells count="3">
    <mergeCell ref="A1:I1"/>
    <mergeCell ref="A2:D2"/>
    <mergeCell ref="A89:B89"/>
  </mergeCells>
  <printOptions horizontalCentered="1"/>
  <pageMargins left="0.4" right="0.1" top="0.55000000000000004" bottom="0.3" header="0.3" footer="0.1"/>
  <pageSetup paperSize="9" scale="95" orientation="portrait" horizontalDpi="4294967293" r:id="rId1"/>
  <rowBreaks count="3" manualBreakCount="3">
    <brk id="54" max="7" man="1"/>
    <brk id="113" max="7" man="1"/>
    <brk id="128"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65"/>
  <sheetViews>
    <sheetView workbookViewId="0">
      <selection sqref="A1:J1"/>
    </sheetView>
  </sheetViews>
  <sheetFormatPr defaultColWidth="8.85546875" defaultRowHeight="12.75"/>
  <cols>
    <col min="1" max="1" width="3.7109375" style="536" customWidth="1"/>
    <col min="2" max="2" width="29.42578125" style="536" customWidth="1"/>
    <col min="3" max="3" width="5.42578125" style="536" customWidth="1"/>
    <col min="4" max="4" width="6.7109375" style="536" customWidth="1"/>
    <col min="5" max="5" width="7.7109375" style="536" customWidth="1"/>
    <col min="6" max="6" width="5.5703125" style="536" customWidth="1"/>
    <col min="7" max="7" width="7.28515625" style="536" customWidth="1"/>
    <col min="8" max="8" width="7.140625" style="536" customWidth="1"/>
    <col min="9" max="9" width="9.5703125" style="536" bestFit="1" customWidth="1"/>
    <col min="10" max="10" width="12" style="536" customWidth="1"/>
    <col min="11" max="16384" width="8.85546875" style="536"/>
  </cols>
  <sheetData>
    <row r="1" spans="1:10" ht="23.25">
      <c r="A1" s="2968" t="s">
        <v>1561</v>
      </c>
      <c r="B1" s="2968"/>
      <c r="C1" s="2968"/>
      <c r="D1" s="2968"/>
      <c r="E1" s="2968"/>
      <c r="F1" s="2968"/>
      <c r="G1" s="2968"/>
      <c r="H1" s="2968"/>
      <c r="I1" s="2968"/>
      <c r="J1" s="2968"/>
    </row>
    <row r="2" spans="1:10" ht="18.75">
      <c r="A2" s="3021" t="s">
        <v>1562</v>
      </c>
      <c r="B2" s="3021"/>
      <c r="C2" s="3021"/>
      <c r="D2" s="3021"/>
      <c r="E2" s="3021"/>
      <c r="F2" s="3021"/>
      <c r="G2" s="3021"/>
      <c r="H2" s="3021"/>
      <c r="I2" s="3021"/>
      <c r="J2" s="3021"/>
    </row>
    <row r="3" spans="1:10">
      <c r="A3" s="745"/>
      <c r="B3" s="754" t="s">
        <v>1563</v>
      </c>
      <c r="C3" s="1017">
        <v>4</v>
      </c>
      <c r="D3" s="746" t="s">
        <v>965</v>
      </c>
      <c r="E3" s="1018" t="s">
        <v>1564</v>
      </c>
      <c r="F3" s="746"/>
      <c r="G3" s="1019">
        <v>1</v>
      </c>
      <c r="H3" s="932" t="s">
        <v>1503</v>
      </c>
      <c r="I3" s="1019">
        <v>1</v>
      </c>
    </row>
    <row r="4" spans="1:10">
      <c r="A4" s="745"/>
      <c r="B4" s="754" t="s">
        <v>1565</v>
      </c>
      <c r="C4" s="1017">
        <v>1.5</v>
      </c>
      <c r="D4" s="746" t="s">
        <v>965</v>
      </c>
      <c r="E4" s="1018"/>
      <c r="F4" s="746"/>
      <c r="G4" s="1018"/>
      <c r="H4" s="1020"/>
    </row>
    <row r="5" spans="1:10">
      <c r="A5" s="656">
        <f>'Entry for Rates'!F4</f>
        <v>0</v>
      </c>
      <c r="B5" s="1021"/>
      <c r="C5" s="1021"/>
      <c r="E5" s="1022"/>
      <c r="F5" s="1018"/>
      <c r="G5" s="1018"/>
      <c r="H5" s="1018"/>
      <c r="J5" s="754" t="s">
        <v>3050</v>
      </c>
    </row>
    <row r="6" spans="1:10">
      <c r="A6" s="1023" t="s">
        <v>961</v>
      </c>
      <c r="B6" s="1024" t="s">
        <v>1423</v>
      </c>
      <c r="C6" s="1024" t="s">
        <v>1087</v>
      </c>
      <c r="D6" s="1024" t="s">
        <v>22</v>
      </c>
      <c r="E6" s="1024" t="s">
        <v>23</v>
      </c>
      <c r="F6" s="1024" t="s">
        <v>24</v>
      </c>
      <c r="G6" s="1024" t="s">
        <v>964</v>
      </c>
      <c r="H6" s="1024" t="s">
        <v>1035</v>
      </c>
      <c r="I6" s="938" t="s">
        <v>97</v>
      </c>
      <c r="J6" s="1025" t="s">
        <v>52</v>
      </c>
    </row>
    <row r="7" spans="1:10" ht="13.5">
      <c r="A7" s="1026">
        <v>1</v>
      </c>
      <c r="B7" s="1027" t="s">
        <v>26</v>
      </c>
      <c r="C7" s="1028"/>
      <c r="D7" s="1028">
        <v>5</v>
      </c>
      <c r="E7" s="1028">
        <v>3</v>
      </c>
      <c r="F7" s="1029"/>
      <c r="G7" s="1028">
        <f>D7*E7</f>
        <v>15</v>
      </c>
      <c r="H7" s="1029" t="s">
        <v>1566</v>
      </c>
      <c r="I7" s="1030">
        <f>Rates!F7</f>
        <v>149.5</v>
      </c>
      <c r="J7" s="750">
        <f>ROUND(G7*I7,2)</f>
        <v>2242.5</v>
      </c>
    </row>
    <row r="8" spans="1:10">
      <c r="A8" s="1026">
        <v>2</v>
      </c>
      <c r="B8" s="1027" t="s">
        <v>40</v>
      </c>
      <c r="C8" s="1028"/>
      <c r="D8" s="1028"/>
      <c r="E8" s="1028"/>
      <c r="F8" s="1028"/>
      <c r="G8" s="1028"/>
      <c r="H8" s="1028"/>
      <c r="I8" s="669"/>
      <c r="J8" s="750"/>
    </row>
    <row r="9" spans="1:10">
      <c r="A9" s="1026"/>
      <c r="B9" s="751" t="s">
        <v>1567</v>
      </c>
      <c r="C9" s="1028"/>
      <c r="D9" s="1028">
        <f>C3+0.45</f>
        <v>4.45</v>
      </c>
      <c r="E9" s="1028">
        <v>0.45</v>
      </c>
      <c r="F9" s="1028">
        <v>1</v>
      </c>
      <c r="G9" s="1028">
        <f>ROUND(D9*E9*F9,2)</f>
        <v>2</v>
      </c>
      <c r="H9" s="749"/>
      <c r="I9" s="669"/>
      <c r="J9" s="750"/>
    </row>
    <row r="10" spans="1:10">
      <c r="A10" s="1026"/>
      <c r="B10" s="751" t="s">
        <v>1568</v>
      </c>
      <c r="C10" s="1028"/>
      <c r="D10" s="1028">
        <f>G3+2*0.45</f>
        <v>1.9</v>
      </c>
      <c r="E10" s="1028">
        <f>2*0.45+I3</f>
        <v>1.9</v>
      </c>
      <c r="F10" s="1028">
        <v>0.8</v>
      </c>
      <c r="G10" s="1028">
        <f>ROUND(D10*E10*F10,2)</f>
        <v>2.89</v>
      </c>
      <c r="H10" s="749"/>
      <c r="I10" s="669"/>
      <c r="J10" s="750"/>
    </row>
    <row r="11" spans="1:10">
      <c r="A11" s="1026"/>
      <c r="B11" s="751" t="s">
        <v>1569</v>
      </c>
      <c r="C11" s="1028"/>
      <c r="D11" s="1028">
        <v>10</v>
      </c>
      <c r="E11" s="1028">
        <v>0.45</v>
      </c>
      <c r="F11" s="1028">
        <v>1</v>
      </c>
      <c r="G11" s="1028">
        <f>ROUND(D11*E11*F11,2)</f>
        <v>4.5</v>
      </c>
      <c r="H11" s="749"/>
      <c r="I11" s="669"/>
      <c r="J11" s="750"/>
    </row>
    <row r="12" spans="1:10">
      <c r="A12" s="1026"/>
      <c r="B12" s="751" t="s">
        <v>1570</v>
      </c>
      <c r="C12" s="1028"/>
      <c r="D12" s="1028">
        <v>10</v>
      </c>
      <c r="E12" s="1028">
        <v>0.5</v>
      </c>
      <c r="F12" s="1028">
        <v>0.5</v>
      </c>
      <c r="G12" s="1028">
        <f>ROUND(D12*E12*F12,2)</f>
        <v>2.5</v>
      </c>
      <c r="H12" s="749"/>
      <c r="I12" s="669"/>
      <c r="J12" s="750"/>
    </row>
    <row r="13" spans="1:10" ht="14.25" customHeight="1">
      <c r="A13" s="1026"/>
      <c r="B13" s="751" t="s">
        <v>1571</v>
      </c>
      <c r="C13" s="1028"/>
      <c r="D13" s="1028"/>
      <c r="E13" s="1028"/>
      <c r="F13" s="1028"/>
      <c r="G13" s="1031">
        <f>SUM(G9:G12)</f>
        <v>11.89</v>
      </c>
      <c r="H13" s="1032" t="s">
        <v>29</v>
      </c>
      <c r="I13" s="1030">
        <f>Rates!F9</f>
        <v>1480.63</v>
      </c>
      <c r="J13" s="750">
        <f>ROUND(G13*I13,2)</f>
        <v>17604.689999999999</v>
      </c>
    </row>
    <row r="14" spans="1:10">
      <c r="A14" s="1026">
        <v>3</v>
      </c>
      <c r="B14" s="1027" t="s">
        <v>1572</v>
      </c>
      <c r="C14" s="1028"/>
      <c r="D14" s="1028"/>
      <c r="E14" s="1028"/>
      <c r="F14" s="1028"/>
      <c r="G14" s="1028"/>
      <c r="H14" s="1028"/>
      <c r="I14" s="1030"/>
      <c r="J14" s="750"/>
    </row>
    <row r="15" spans="1:10">
      <c r="A15" s="1026"/>
      <c r="B15" s="751" t="s">
        <v>1573</v>
      </c>
      <c r="C15" s="1028"/>
      <c r="D15" s="1028">
        <f>C3+0.45</f>
        <v>4.45</v>
      </c>
      <c r="E15" s="1028">
        <v>0.45</v>
      </c>
      <c r="F15" s="1028">
        <v>0.1</v>
      </c>
      <c r="G15" s="1033">
        <f>ROUND(D15*E15*F15,3)</f>
        <v>0.2</v>
      </c>
      <c r="H15" s="1028"/>
      <c r="I15" s="669"/>
      <c r="J15" s="750"/>
    </row>
    <row r="16" spans="1:10">
      <c r="A16" s="1026"/>
      <c r="B16" s="751" t="s">
        <v>1574</v>
      </c>
      <c r="C16" s="1028"/>
      <c r="D16" s="1028">
        <f>G3+0.45*2</f>
        <v>1.9</v>
      </c>
      <c r="E16" s="1028">
        <f>I3+0.45*2</f>
        <v>1.9</v>
      </c>
      <c r="F16" s="1028">
        <v>0.1</v>
      </c>
      <c r="G16" s="1033">
        <f>ROUND(D16*E16*F16,3)</f>
        <v>0.36099999999999999</v>
      </c>
      <c r="H16" s="1028"/>
      <c r="I16" s="669"/>
      <c r="J16" s="750"/>
    </row>
    <row r="17" spans="1:10">
      <c r="A17" s="1026"/>
      <c r="B17" s="751" t="s">
        <v>1575</v>
      </c>
      <c r="C17" s="1028"/>
      <c r="D17" s="1028">
        <f>C3+0.45</f>
        <v>4.45</v>
      </c>
      <c r="E17" s="1028">
        <v>0.45</v>
      </c>
      <c r="F17" s="1028">
        <v>0.05</v>
      </c>
      <c r="G17" s="1033">
        <f>ROUND(D17*E17*F17,3)</f>
        <v>0.1</v>
      </c>
      <c r="H17" s="1028"/>
      <c r="I17" s="669"/>
      <c r="J17" s="750"/>
    </row>
    <row r="18" spans="1:10">
      <c r="A18" s="1026"/>
      <c r="B18" s="751" t="s">
        <v>1576</v>
      </c>
      <c r="C18" s="1028"/>
      <c r="D18" s="1028">
        <v>0.7</v>
      </c>
      <c r="E18" s="1028">
        <v>0.45</v>
      </c>
      <c r="F18" s="1028">
        <v>0.1</v>
      </c>
      <c r="G18" s="1033">
        <f>ROUND(D18*E18*F18,3)</f>
        <v>3.2000000000000001E-2</v>
      </c>
      <c r="H18" s="1028"/>
      <c r="I18" s="669"/>
      <c r="J18" s="750"/>
    </row>
    <row r="19" spans="1:10">
      <c r="A19" s="1026"/>
      <c r="B19" s="751" t="s">
        <v>1577</v>
      </c>
      <c r="C19" s="1028">
        <v>3</v>
      </c>
      <c r="D19" s="1028">
        <v>0.45</v>
      </c>
      <c r="E19" s="1028">
        <v>0.2</v>
      </c>
      <c r="F19" s="1028">
        <v>0.2</v>
      </c>
      <c r="G19" s="1033">
        <f>ROUND(C19*D19*E19*F19,3)</f>
        <v>5.3999999999999999E-2</v>
      </c>
      <c r="H19" s="1028"/>
      <c r="I19" s="669"/>
      <c r="J19" s="750"/>
    </row>
    <row r="20" spans="1:10">
      <c r="A20" s="1026"/>
      <c r="B20" s="751" t="s">
        <v>1578</v>
      </c>
      <c r="C20" s="1028"/>
      <c r="D20" s="1028">
        <f>G3+0.45*2</f>
        <v>1.9</v>
      </c>
      <c r="E20" s="1028">
        <f>I3+0.45*2</f>
        <v>1.9</v>
      </c>
      <c r="F20" s="1028">
        <v>0.1</v>
      </c>
      <c r="G20" s="1033">
        <f>ROUND(D20*E20*F20,3)</f>
        <v>0.36099999999999999</v>
      </c>
      <c r="H20" s="1028"/>
      <c r="I20" s="669"/>
      <c r="J20" s="750"/>
    </row>
    <row r="21" spans="1:10">
      <c r="A21" s="1026"/>
      <c r="B21" s="1027" t="s">
        <v>1579</v>
      </c>
      <c r="C21" s="1028"/>
      <c r="D21" s="1028"/>
      <c r="E21" s="1028"/>
      <c r="F21" s="1028"/>
      <c r="G21" s="1033"/>
      <c r="H21" s="1028"/>
      <c r="I21" s="1030"/>
      <c r="J21" s="750"/>
    </row>
    <row r="22" spans="1:10">
      <c r="A22" s="1026"/>
      <c r="B22" s="751" t="s">
        <v>1580</v>
      </c>
      <c r="C22" s="1028">
        <v>1</v>
      </c>
      <c r="D22" s="1034">
        <v>0.6</v>
      </c>
      <c r="E22" s="1028">
        <v>0.6</v>
      </c>
      <c r="F22" s="1028">
        <v>0.05</v>
      </c>
      <c r="G22" s="1033">
        <f>-ROUND(D22*C22*E22*F22,3)</f>
        <v>-1.7999999999999999E-2</v>
      </c>
      <c r="H22" s="1028"/>
      <c r="I22" s="669"/>
      <c r="J22" s="750"/>
    </row>
    <row r="23" spans="1:10">
      <c r="A23" s="1026"/>
      <c r="B23" s="751" t="s">
        <v>1108</v>
      </c>
      <c r="C23" s="1028"/>
      <c r="D23" s="1028"/>
      <c r="E23" s="1028"/>
      <c r="F23" s="1028"/>
      <c r="G23" s="1033">
        <f>SUM(G15:G22)</f>
        <v>1.0900000000000001</v>
      </c>
      <c r="H23" s="1029" t="s">
        <v>29</v>
      </c>
      <c r="I23" s="1030">
        <f>Rates!F32</f>
        <v>16022.87</v>
      </c>
      <c r="J23" s="750">
        <f>ROUND(G23*I23,2)</f>
        <v>17464.93</v>
      </c>
    </row>
    <row r="24" spans="1:10">
      <c r="A24" s="1026">
        <v>4</v>
      </c>
      <c r="B24" s="1027" t="s">
        <v>1581</v>
      </c>
      <c r="C24" s="1028"/>
      <c r="D24" s="1028"/>
      <c r="E24" s="1028"/>
      <c r="F24" s="1028"/>
      <c r="G24" s="1028"/>
      <c r="H24" s="1028"/>
      <c r="I24" s="1030"/>
      <c r="J24" s="750"/>
    </row>
    <row r="25" spans="1:10">
      <c r="A25" s="1026"/>
      <c r="B25" s="751" t="s">
        <v>1582</v>
      </c>
      <c r="C25" s="1028"/>
      <c r="D25" s="1028">
        <f>C3+0.45</f>
        <v>4.45</v>
      </c>
      <c r="E25" s="1028">
        <v>0.45</v>
      </c>
      <c r="F25" s="1028">
        <f>C4</f>
        <v>1.5</v>
      </c>
      <c r="G25" s="1028">
        <f>ROUND(D25*E25*F25,2)</f>
        <v>3</v>
      </c>
      <c r="H25" s="1028"/>
      <c r="I25" s="669"/>
      <c r="J25" s="750"/>
    </row>
    <row r="26" spans="1:10">
      <c r="A26" s="1026"/>
      <c r="B26" s="751" t="s">
        <v>1583</v>
      </c>
      <c r="C26" s="1028"/>
      <c r="D26" s="1028">
        <f>(G3+0.45*2)*2+I3*2</f>
        <v>5.8</v>
      </c>
      <c r="E26" s="1028">
        <v>0.45</v>
      </c>
      <c r="F26" s="1028">
        <f>C4</f>
        <v>1.5</v>
      </c>
      <c r="G26" s="1028">
        <f>ROUND(D26*E26*F26,2)</f>
        <v>3.92</v>
      </c>
      <c r="H26" s="1028"/>
      <c r="I26" s="669"/>
      <c r="J26" s="750"/>
    </row>
    <row r="27" spans="1:10">
      <c r="A27" s="1026"/>
      <c r="B27" s="1027" t="s">
        <v>1584</v>
      </c>
      <c r="C27" s="1028"/>
      <c r="D27" s="1028"/>
      <c r="E27" s="1028"/>
      <c r="F27" s="1028"/>
      <c r="G27" s="1033"/>
      <c r="H27" s="1028"/>
      <c r="I27" s="669"/>
      <c r="J27" s="750"/>
    </row>
    <row r="28" spans="1:10">
      <c r="A28" s="1026"/>
      <c r="B28" s="751" t="s">
        <v>1585</v>
      </c>
      <c r="C28" s="1028">
        <f>C19</f>
        <v>3</v>
      </c>
      <c r="D28" s="1028">
        <f>D19</f>
        <v>0.45</v>
      </c>
      <c r="E28" s="1028">
        <f>E19</f>
        <v>0.2</v>
      </c>
      <c r="F28" s="1028">
        <f>F19</f>
        <v>0.2</v>
      </c>
      <c r="G28" s="1028">
        <f>-ROUND(D28*C28*E28*F28,2)</f>
        <v>-0.05</v>
      </c>
      <c r="H28" s="1028"/>
      <c r="I28" s="669"/>
      <c r="J28" s="750"/>
    </row>
    <row r="29" spans="1:10">
      <c r="A29" s="1026"/>
      <c r="B29" s="751" t="s">
        <v>1586</v>
      </c>
      <c r="C29" s="1028"/>
      <c r="D29" s="1028">
        <v>0.5</v>
      </c>
      <c r="E29" s="1028">
        <v>0.45</v>
      </c>
      <c r="F29" s="1028">
        <v>0.3</v>
      </c>
      <c r="G29" s="1028">
        <f>-ROUND(D29*E29*F29,2)</f>
        <v>-7.0000000000000007E-2</v>
      </c>
      <c r="H29" s="1028"/>
      <c r="I29" s="669"/>
      <c r="J29" s="750"/>
    </row>
    <row r="30" spans="1:10">
      <c r="A30" s="1026"/>
      <c r="B30" s="751" t="s">
        <v>1587</v>
      </c>
      <c r="C30" s="749"/>
      <c r="D30" s="749"/>
      <c r="E30" s="749"/>
      <c r="F30" s="749"/>
      <c r="G30" s="1028">
        <f>SUM(G25:G29)</f>
        <v>6.8</v>
      </c>
      <c r="H30" s="1029" t="s">
        <v>29</v>
      </c>
      <c r="I30" s="1030">
        <f>Rates!F24</f>
        <v>15619.64</v>
      </c>
      <c r="J30" s="750">
        <f>ROUND(G30*I30,2)</f>
        <v>106213.55</v>
      </c>
    </row>
    <row r="31" spans="1:10">
      <c r="A31" s="1026">
        <v>5</v>
      </c>
      <c r="B31" s="749" t="s">
        <v>1588</v>
      </c>
      <c r="C31" s="749"/>
      <c r="D31" s="748">
        <v>0.5</v>
      </c>
      <c r="E31" s="749">
        <v>0.45</v>
      </c>
      <c r="F31" s="749">
        <v>0.3</v>
      </c>
      <c r="G31" s="1028">
        <f>ROUND(D31*E31*F31,2)</f>
        <v>7.0000000000000007E-2</v>
      </c>
      <c r="H31" s="1029" t="s">
        <v>29</v>
      </c>
      <c r="I31" s="1030">
        <f>Rates!F21</f>
        <v>7311.32</v>
      </c>
      <c r="J31" s="750">
        <f>ROUND(G31*I31,2)</f>
        <v>511.79</v>
      </c>
    </row>
    <row r="32" spans="1:10">
      <c r="A32" s="1026"/>
      <c r="B32" s="749"/>
      <c r="C32" s="749"/>
      <c r="D32" s="749"/>
      <c r="E32" s="749"/>
      <c r="F32" s="749"/>
      <c r="G32" s="1028"/>
      <c r="H32" s="1029"/>
      <c r="I32" s="1030"/>
      <c r="J32" s="750"/>
    </row>
    <row r="33" spans="1:10">
      <c r="A33" s="1026">
        <v>6</v>
      </c>
      <c r="B33" s="1027" t="s">
        <v>1521</v>
      </c>
      <c r="C33" s="1028"/>
      <c r="D33" s="1028"/>
      <c r="E33" s="1028"/>
      <c r="F33" s="1028"/>
      <c r="G33" s="1028"/>
      <c r="H33" s="1028"/>
      <c r="I33" s="1030"/>
      <c r="J33" s="750"/>
    </row>
    <row r="34" spans="1:10">
      <c r="A34" s="1026"/>
      <c r="B34" s="751" t="s">
        <v>1589</v>
      </c>
      <c r="C34" s="1028"/>
      <c r="D34" s="1028"/>
      <c r="E34" s="1028"/>
      <c r="F34" s="1028"/>
      <c r="G34" s="1028"/>
      <c r="H34" s="1028"/>
      <c r="I34" s="669"/>
      <c r="J34" s="750"/>
    </row>
    <row r="35" spans="1:10">
      <c r="A35" s="1026"/>
      <c r="B35" s="751" t="s">
        <v>1590</v>
      </c>
      <c r="C35" s="1035">
        <f>ROUND((G3+0.45*2)/0.15+1,0)</f>
        <v>14</v>
      </c>
      <c r="D35" s="1028">
        <f>I3+0.45*2+0.05</f>
        <v>1.95</v>
      </c>
      <c r="E35" s="1036">
        <v>0.39500000000000002</v>
      </c>
      <c r="F35" s="1037"/>
      <c r="G35" s="1028">
        <f>ROUND(C35*D35*E35,2)</f>
        <v>10.78</v>
      </c>
      <c r="H35" s="1028"/>
      <c r="I35" s="669"/>
      <c r="J35" s="750"/>
    </row>
    <row r="36" spans="1:10">
      <c r="A36" s="1026"/>
      <c r="B36" s="751"/>
      <c r="C36" s="1035">
        <f>ROUND((I3+0.45*2)/0.15+1,0)</f>
        <v>14</v>
      </c>
      <c r="D36" s="1028">
        <f>G3+0.45*2+0.05</f>
        <v>1.95</v>
      </c>
      <c r="E36" s="1036">
        <v>0.39500000000000002</v>
      </c>
      <c r="F36" s="1037"/>
      <c r="G36" s="1028">
        <f>ROUND(C36*D36*E36,2)</f>
        <v>10.78</v>
      </c>
      <c r="H36" s="1028"/>
      <c r="I36" s="1030"/>
      <c r="J36" s="750"/>
    </row>
    <row r="37" spans="1:10">
      <c r="A37" s="1026"/>
      <c r="B37" s="751" t="s">
        <v>1591</v>
      </c>
      <c r="C37" s="1035">
        <v>8</v>
      </c>
      <c r="D37" s="1028">
        <v>0.6</v>
      </c>
      <c r="E37" s="1036">
        <v>0.39500000000000002</v>
      </c>
      <c r="F37" s="1037"/>
      <c r="G37" s="1028">
        <f>-C37*D37*E37</f>
        <v>-1.8959999999999999</v>
      </c>
      <c r="H37" s="1028"/>
      <c r="I37" s="669"/>
      <c r="J37" s="750"/>
    </row>
    <row r="38" spans="1:10">
      <c r="A38" s="1026"/>
      <c r="B38" s="751" t="s">
        <v>1108</v>
      </c>
      <c r="C38" s="1028"/>
      <c r="D38" s="1028"/>
      <c r="E38" s="1028"/>
      <c r="F38" s="1028"/>
      <c r="G38" s="1028">
        <f>SUM(G35:G37)</f>
        <v>19.663999999999998</v>
      </c>
      <c r="H38" s="1029" t="s">
        <v>1034</v>
      </c>
      <c r="I38" s="1030">
        <f>Rates!F39</f>
        <v>125.35</v>
      </c>
      <c r="J38" s="750">
        <f>ROUND(G38*I38,2)</f>
        <v>2464.88</v>
      </c>
    </row>
    <row r="39" spans="1:10">
      <c r="A39" s="1026">
        <v>7</v>
      </c>
      <c r="B39" s="1027" t="s">
        <v>1592</v>
      </c>
      <c r="C39" s="1028"/>
      <c r="D39" s="1028"/>
      <c r="E39" s="1028"/>
      <c r="F39" s="1028"/>
      <c r="G39" s="1028"/>
      <c r="H39" s="1028"/>
      <c r="I39" s="669"/>
      <c r="J39" s="750"/>
    </row>
    <row r="40" spans="1:10">
      <c r="A40" s="1026"/>
      <c r="B40" s="751" t="s">
        <v>1593</v>
      </c>
      <c r="C40" s="1028">
        <v>2</v>
      </c>
      <c r="D40" s="1028">
        <f>+G3+0.45*2</f>
        <v>1.9</v>
      </c>
      <c r="E40" s="1029" t="s">
        <v>44</v>
      </c>
      <c r="F40" s="1028">
        <f>+F20</f>
        <v>0.1</v>
      </c>
      <c r="G40" s="1028">
        <f>ROUND(C40*D40*F40,2)</f>
        <v>0.38</v>
      </c>
      <c r="H40" s="1028"/>
      <c r="I40" s="1030"/>
      <c r="J40" s="750"/>
    </row>
    <row r="41" spans="1:10">
      <c r="A41" s="1026"/>
      <c r="B41" s="751"/>
      <c r="C41" s="1028">
        <v>2</v>
      </c>
      <c r="D41" s="1028">
        <v>0.64</v>
      </c>
      <c r="E41" s="1029" t="s">
        <v>44</v>
      </c>
      <c r="F41" s="1028">
        <f>+F20</f>
        <v>0.1</v>
      </c>
      <c r="G41" s="1028">
        <f>ROUND(C41*D41*F41,2)</f>
        <v>0.13</v>
      </c>
      <c r="H41" s="1028"/>
      <c r="I41" s="669"/>
      <c r="J41" s="750"/>
    </row>
    <row r="42" spans="1:10">
      <c r="A42" s="1026"/>
      <c r="B42" s="1027" t="s">
        <v>1594</v>
      </c>
      <c r="C42" s="1028"/>
      <c r="D42" s="1028">
        <f>G3</f>
        <v>1</v>
      </c>
      <c r="E42" s="1028">
        <f>I3</f>
        <v>1</v>
      </c>
      <c r="F42" s="1029" t="s">
        <v>44</v>
      </c>
      <c r="G42" s="1028">
        <f>ROUND(D42*E42,2)</f>
        <v>1</v>
      </c>
      <c r="H42" s="1028"/>
      <c r="I42" s="669"/>
      <c r="J42" s="750"/>
    </row>
    <row r="43" spans="1:10">
      <c r="A43" s="1026"/>
      <c r="B43" s="751" t="s">
        <v>1595</v>
      </c>
      <c r="C43" s="1035">
        <v>2</v>
      </c>
      <c r="D43" s="1028">
        <f>C3+0.45</f>
        <v>4.45</v>
      </c>
      <c r="E43" s="1029" t="s">
        <v>44</v>
      </c>
      <c r="F43" s="1028">
        <f>+F17</f>
        <v>0.05</v>
      </c>
      <c r="G43" s="1028">
        <f>ROUND(+C43*D43*F43,2)</f>
        <v>0.45</v>
      </c>
      <c r="H43" s="1028"/>
      <c r="I43" s="669"/>
      <c r="J43" s="750"/>
    </row>
    <row r="44" spans="1:10">
      <c r="A44" s="1026"/>
      <c r="B44" s="751" t="s">
        <v>1108</v>
      </c>
      <c r="C44" s="1028"/>
      <c r="D44" s="1038"/>
      <c r="E44" s="1028"/>
      <c r="F44" s="1029"/>
      <c r="G44" s="1028">
        <f>SUM(G40:G43)</f>
        <v>1.96</v>
      </c>
      <c r="H44" s="1029" t="s">
        <v>47</v>
      </c>
      <c r="I44" s="1030">
        <f>Rates!F40</f>
        <v>1322.68</v>
      </c>
      <c r="J44" s="750">
        <f>ROUND(G44*I44,2)</f>
        <v>2592.4499999999998</v>
      </c>
    </row>
    <row r="45" spans="1:10">
      <c r="A45" s="1026">
        <v>8</v>
      </c>
      <c r="B45" s="1027" t="s">
        <v>1596</v>
      </c>
      <c r="C45" s="1028"/>
      <c r="D45" s="1028"/>
      <c r="E45" s="1028"/>
      <c r="F45" s="1028"/>
      <c r="G45" s="1028"/>
      <c r="H45" s="1028"/>
      <c r="I45" s="1030"/>
      <c r="J45" s="750"/>
    </row>
    <row r="46" spans="1:10">
      <c r="A46" s="1026"/>
      <c r="B46" s="751" t="s">
        <v>1597</v>
      </c>
      <c r="C46" s="1028"/>
      <c r="D46" s="1028">
        <f>C3+I3+2*0.45</f>
        <v>5.9</v>
      </c>
      <c r="E46" s="1029" t="s">
        <v>44</v>
      </c>
      <c r="F46" s="1028">
        <f>C4</f>
        <v>1.5</v>
      </c>
      <c r="G46" s="1028">
        <f>ROUND(D46*F46,2)</f>
        <v>8.85</v>
      </c>
      <c r="H46" s="1029" t="s">
        <v>47</v>
      </c>
      <c r="I46" s="1030"/>
      <c r="J46" s="750"/>
    </row>
    <row r="47" spans="1:10">
      <c r="A47" s="1026"/>
      <c r="B47" s="751" t="s">
        <v>1598</v>
      </c>
      <c r="C47" s="1028"/>
      <c r="D47" s="1028">
        <f>2*(G3+I3)</f>
        <v>4</v>
      </c>
      <c r="E47" s="1029"/>
      <c r="F47" s="1028">
        <f>C4</f>
        <v>1.5</v>
      </c>
      <c r="G47" s="1028">
        <f>ROUND(D47*F47,2)</f>
        <v>6</v>
      </c>
      <c r="H47" s="1029"/>
      <c r="I47" s="1030"/>
      <c r="J47" s="750"/>
    </row>
    <row r="48" spans="1:10">
      <c r="A48" s="1026"/>
      <c r="B48" s="751" t="s">
        <v>1599</v>
      </c>
      <c r="C48" s="1028"/>
      <c r="D48" s="1028">
        <f>G3</f>
        <v>1</v>
      </c>
      <c r="E48" s="1029">
        <f>I3</f>
        <v>1</v>
      </c>
      <c r="F48" s="1039" t="s">
        <v>44</v>
      </c>
      <c r="G48" s="1028">
        <f>ROUND(D48*E48,2)</f>
        <v>1</v>
      </c>
      <c r="H48" s="1029"/>
      <c r="I48" s="1030"/>
      <c r="J48" s="750"/>
    </row>
    <row r="49" spans="1:10">
      <c r="A49" s="1026"/>
      <c r="B49" s="751" t="s">
        <v>1600</v>
      </c>
      <c r="C49" s="1028"/>
      <c r="D49" s="1028">
        <f>2*(G3+0.45*2)+I3+0.45*2</f>
        <v>5.7</v>
      </c>
      <c r="E49" s="1029"/>
      <c r="F49" s="1039">
        <f>F46+F20</f>
        <v>1.6</v>
      </c>
      <c r="G49" s="1028">
        <f>ROUND(D49*F49,2)</f>
        <v>9.1199999999999992</v>
      </c>
      <c r="H49" s="1029"/>
      <c r="I49" s="1030"/>
      <c r="J49" s="750"/>
    </row>
    <row r="50" spans="1:10">
      <c r="A50" s="1026"/>
      <c r="B50" s="751" t="s">
        <v>1601</v>
      </c>
      <c r="C50" s="1028"/>
      <c r="D50" s="1028"/>
      <c r="E50" s="1029"/>
      <c r="F50" s="1028"/>
      <c r="G50" s="1028">
        <f>SUM(G46:G49)</f>
        <v>24.97</v>
      </c>
      <c r="H50" s="1029" t="s">
        <v>47</v>
      </c>
      <c r="I50" s="1030">
        <f>Rates!F59</f>
        <v>509.41</v>
      </c>
      <c r="J50" s="750">
        <f>ROUND(G50*I50,2)</f>
        <v>12719.97</v>
      </c>
    </row>
    <row r="51" spans="1:10">
      <c r="A51" s="1026"/>
      <c r="B51" s="751"/>
      <c r="C51" s="1028"/>
      <c r="D51" s="1028"/>
      <c r="E51" s="1029"/>
      <c r="F51" s="1028"/>
      <c r="G51" s="1028"/>
      <c r="H51" s="1029"/>
      <c r="I51" s="1030"/>
      <c r="J51" s="750"/>
    </row>
    <row r="52" spans="1:10">
      <c r="A52" s="1026">
        <v>9</v>
      </c>
      <c r="B52" s="1027" t="s">
        <v>1602</v>
      </c>
      <c r="C52" s="1028" t="s">
        <v>1603</v>
      </c>
      <c r="D52" s="1028"/>
      <c r="E52" s="1029"/>
      <c r="F52" s="1028"/>
      <c r="G52" s="1028">
        <f>G50</f>
        <v>24.97</v>
      </c>
      <c r="H52" s="1029"/>
      <c r="I52" s="1030"/>
      <c r="J52" s="750"/>
    </row>
    <row r="53" spans="1:10">
      <c r="A53" s="1026"/>
      <c r="B53" s="751" t="s">
        <v>1604</v>
      </c>
      <c r="C53" s="1028"/>
      <c r="D53" s="1028">
        <f>D49</f>
        <v>5.7</v>
      </c>
      <c r="E53" s="1028"/>
      <c r="F53" s="1028">
        <f>F49</f>
        <v>1.6</v>
      </c>
      <c r="G53" s="1028">
        <f>-ROUND(D53*F53,2)</f>
        <v>-9.1199999999999992</v>
      </c>
      <c r="H53" s="1029"/>
      <c r="I53" s="1030"/>
      <c r="J53" s="750"/>
    </row>
    <row r="54" spans="1:10">
      <c r="A54" s="1026"/>
      <c r="B54" s="751" t="s">
        <v>1605</v>
      </c>
      <c r="C54" s="1028"/>
      <c r="D54" s="1028"/>
      <c r="E54" s="1029"/>
      <c r="F54" s="1028"/>
      <c r="G54" s="1028">
        <f>SUM(G52:G53)</f>
        <v>15.85</v>
      </c>
      <c r="H54" s="1029" t="s">
        <v>47</v>
      </c>
      <c r="I54" s="1030">
        <f>Rates!F67</f>
        <v>346.26</v>
      </c>
      <c r="J54" s="750">
        <f>ROUND(G54*I54,2)</f>
        <v>5488.22</v>
      </c>
    </row>
    <row r="55" spans="1:10">
      <c r="A55" s="1026"/>
      <c r="B55" s="751"/>
      <c r="C55" s="1028"/>
      <c r="D55" s="1028"/>
      <c r="E55" s="1029"/>
      <c r="F55" s="1028"/>
      <c r="G55" s="1028"/>
      <c r="H55" s="1029"/>
      <c r="I55" s="1030"/>
      <c r="J55" s="750"/>
    </row>
    <row r="56" spans="1:10">
      <c r="A56" s="1026">
        <v>10</v>
      </c>
      <c r="B56" s="1027" t="s">
        <v>1606</v>
      </c>
      <c r="C56" s="1028">
        <v>1</v>
      </c>
      <c r="D56" s="1028">
        <v>2.76</v>
      </c>
      <c r="E56" s="1028">
        <v>0.6</v>
      </c>
      <c r="F56" s="1028">
        <v>0.5</v>
      </c>
      <c r="G56" s="1028">
        <f>C56*D56*E56*F56</f>
        <v>0.82799999999999996</v>
      </c>
      <c r="H56" s="1029" t="s">
        <v>29</v>
      </c>
      <c r="I56" s="1030">
        <f>Rates!F19</f>
        <v>5523.35</v>
      </c>
      <c r="J56" s="750">
        <f t="shared" ref="J56:J61" si="0">ROUND(G56*I56,2)</f>
        <v>4573.33</v>
      </c>
    </row>
    <row r="57" spans="1:10">
      <c r="A57" s="1026">
        <v>11</v>
      </c>
      <c r="B57" s="1027" t="s">
        <v>1607</v>
      </c>
      <c r="C57" s="1035"/>
      <c r="D57" s="1040"/>
      <c r="E57" s="1040"/>
      <c r="F57" s="1040"/>
      <c r="G57" s="1035">
        <v>1</v>
      </c>
      <c r="H57" s="1040" t="s">
        <v>1038</v>
      </c>
      <c r="I57" s="1041">
        <f>MR!$I$41*1.15</f>
        <v>2112.2624999999998</v>
      </c>
      <c r="J57" s="750">
        <f t="shared" si="0"/>
        <v>2112.2600000000002</v>
      </c>
    </row>
    <row r="58" spans="1:10">
      <c r="A58" s="1026">
        <v>12</v>
      </c>
      <c r="B58" s="1027" t="s">
        <v>1608</v>
      </c>
      <c r="C58" s="1035"/>
      <c r="D58" s="1040"/>
      <c r="E58" s="1040"/>
      <c r="F58" s="1040"/>
      <c r="G58" s="1035">
        <v>22</v>
      </c>
      <c r="H58" s="1040" t="s">
        <v>965</v>
      </c>
      <c r="I58" s="1042">
        <f>'bar+gate'!J$75</f>
        <v>1925.17</v>
      </c>
      <c r="J58" s="750">
        <f t="shared" si="0"/>
        <v>42353.74</v>
      </c>
    </row>
    <row r="59" spans="1:10">
      <c r="A59" s="1026">
        <v>13</v>
      </c>
      <c r="B59" s="1027" t="s">
        <v>1609</v>
      </c>
      <c r="C59" s="1035"/>
      <c r="D59" s="1040"/>
      <c r="E59" s="1040"/>
      <c r="F59" s="1040"/>
      <c r="G59" s="1035">
        <v>1</v>
      </c>
      <c r="H59" s="1040" t="s">
        <v>973</v>
      </c>
      <c r="I59" s="1042">
        <f>'bar+gate'!J$98</f>
        <v>16574.28</v>
      </c>
      <c r="J59" s="750">
        <f t="shared" si="0"/>
        <v>16574.28</v>
      </c>
    </row>
    <row r="60" spans="1:10">
      <c r="A60" s="1026">
        <v>14</v>
      </c>
      <c r="B60" s="1027" t="s">
        <v>1610</v>
      </c>
      <c r="C60" s="1035"/>
      <c r="D60" s="1040"/>
      <c r="E60" s="1040"/>
      <c r="F60" s="1040"/>
      <c r="G60" s="1035">
        <v>1</v>
      </c>
      <c r="H60" s="1040" t="s">
        <v>1221</v>
      </c>
      <c r="I60" s="1041">
        <f>Rates!F$111</f>
        <v>450</v>
      </c>
      <c r="J60" s="750">
        <f t="shared" si="0"/>
        <v>450</v>
      </c>
    </row>
    <row r="61" spans="1:10">
      <c r="A61" s="1043">
        <v>15</v>
      </c>
      <c r="B61" s="1044" t="s">
        <v>1611</v>
      </c>
      <c r="C61" s="1045"/>
      <c r="D61" s="1045"/>
      <c r="E61" s="1045"/>
      <c r="F61" s="1045"/>
      <c r="G61" s="1046">
        <v>1</v>
      </c>
      <c r="H61" s="1045" t="s">
        <v>1154</v>
      </c>
      <c r="I61" s="1041">
        <f>Rates!F$99</f>
        <v>600</v>
      </c>
      <c r="J61" s="916">
        <f t="shared" si="0"/>
        <v>600</v>
      </c>
    </row>
    <row r="62" spans="1:10">
      <c r="A62" s="1047"/>
      <c r="B62" s="1048" t="s">
        <v>1403</v>
      </c>
      <c r="C62" s="1049"/>
      <c r="D62" s="1049"/>
      <c r="E62" s="1049"/>
      <c r="F62" s="1049"/>
      <c r="G62" s="1049"/>
      <c r="H62" s="1050"/>
      <c r="I62" s="1051"/>
      <c r="J62" s="1052">
        <f>SUM(J7:J61)</f>
        <v>233966.59</v>
      </c>
    </row>
    <row r="63" spans="1:10">
      <c r="A63" s="922"/>
      <c r="B63" s="861" t="s">
        <v>1535</v>
      </c>
      <c r="C63" s="923"/>
      <c r="D63" s="923"/>
      <c r="E63" s="923"/>
      <c r="F63" s="923"/>
      <c r="G63" s="923"/>
      <c r="H63" s="924"/>
      <c r="I63" s="925">
        <f>'Entry for Rates'!$F$114</f>
        <v>13</v>
      </c>
      <c r="J63" s="921">
        <f>I63*J62/100</f>
        <v>30415.6567</v>
      </c>
    </row>
    <row r="64" spans="1:10">
      <c r="A64" s="855"/>
      <c r="B64" s="926" t="s">
        <v>1612</v>
      </c>
      <c r="C64" s="927"/>
      <c r="D64" s="928"/>
      <c r="E64" s="928"/>
      <c r="F64" s="928"/>
      <c r="G64" s="928"/>
      <c r="H64" s="928"/>
      <c r="I64" s="926" t="s">
        <v>107</v>
      </c>
      <c r="J64" s="1053">
        <f>+J63+J62</f>
        <v>264382.24670000002</v>
      </c>
    </row>
    <row r="65" spans="1:10">
      <c r="A65" s="655"/>
      <c r="B65" s="655"/>
      <c r="C65" s="692"/>
      <c r="D65" s="655"/>
      <c r="E65" s="655"/>
      <c r="F65" s="655"/>
      <c r="G65" s="655"/>
      <c r="H65" s="655"/>
      <c r="J65" s="805"/>
    </row>
  </sheetData>
  <mergeCells count="2">
    <mergeCell ref="A1:J1"/>
    <mergeCell ref="A2:J2"/>
  </mergeCells>
  <printOptions gridLines="1" gridLinesSet="0"/>
  <pageMargins left="0.7" right="0.7" top="0.75" bottom="0.75" header="0.3" footer="0.3"/>
  <pageSetup paperSize="9" scale="88" orientation="portrait" horizontalDpi="180" verticalDpi="180" r:id="rId1"/>
  <headerFooter alignWithMargins="0">
    <oddFooter>&amp;LEstimated by&amp;CChecked by&amp;RApproved by</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9472"/>
  <sheetViews>
    <sheetView workbookViewId="0"/>
  </sheetViews>
  <sheetFormatPr defaultColWidth="9.7109375" defaultRowHeight="12"/>
  <cols>
    <col min="1" max="1" width="3.140625" style="1056" customWidth="1"/>
    <col min="2" max="2" width="35.7109375" style="1056" customWidth="1"/>
    <col min="3" max="3" width="5.42578125" style="1131" customWidth="1"/>
    <col min="4" max="5" width="5.7109375" style="1056" customWidth="1"/>
    <col min="6" max="6" width="6.140625" style="1056" customWidth="1"/>
    <col min="7" max="7" width="5.5703125" style="1056" customWidth="1"/>
    <col min="8" max="8" width="8.140625" style="1056" customWidth="1"/>
    <col min="9" max="9" width="4.140625" style="1056" customWidth="1"/>
    <col min="10" max="10" width="9.28515625" style="1056" customWidth="1"/>
    <col min="11" max="11" width="9.7109375" style="1060" customWidth="1"/>
    <col min="12" max="12" width="13" style="1056" customWidth="1"/>
    <col min="13" max="13" width="16" style="1056" customWidth="1"/>
    <col min="14" max="14" width="10.42578125" style="1056" customWidth="1"/>
    <col min="15" max="15" width="9.7109375" style="1056" customWidth="1"/>
    <col min="16" max="16" width="13.42578125" style="1056" customWidth="1"/>
    <col min="17" max="16384" width="9.7109375" style="1056"/>
  </cols>
  <sheetData>
    <row r="1" spans="1:13" ht="23.25">
      <c r="A1" s="1054" t="s">
        <v>1613</v>
      </c>
      <c r="B1" s="1054"/>
      <c r="C1" s="1054"/>
      <c r="D1" s="1054"/>
      <c r="E1" s="1054"/>
      <c r="F1" s="1054"/>
      <c r="G1" s="1054"/>
      <c r="H1" s="1054"/>
      <c r="I1" s="1054"/>
      <c r="J1" s="1054"/>
      <c r="K1" s="1054"/>
      <c r="L1" s="1055"/>
    </row>
    <row r="2" spans="1:13" ht="23.25">
      <c r="A2" s="1057">
        <f>'Entry for Rates'!F4</f>
        <v>0</v>
      </c>
      <c r="B2" s="1058"/>
      <c r="C2" s="1059">
        <v>10</v>
      </c>
      <c r="D2" s="1059"/>
      <c r="E2" s="1059"/>
      <c r="F2" s="1058"/>
      <c r="G2" s="1058"/>
      <c r="H2" s="1058"/>
      <c r="I2" s="1058"/>
      <c r="J2" s="1058"/>
      <c r="L2" s="1055"/>
      <c r="M2" s="1058"/>
    </row>
    <row r="3" spans="1:13" ht="14.25">
      <c r="A3" s="1061"/>
      <c r="B3" s="1062" t="s">
        <v>1614</v>
      </c>
      <c r="C3" s="1063">
        <f>VLOOKUP(C2,data!F$4:I$18,4,FALSE)</f>
        <v>3</v>
      </c>
      <c r="D3" s="1064" t="s">
        <v>965</v>
      </c>
      <c r="G3" s="1062" t="s">
        <v>1615</v>
      </c>
      <c r="H3" s="1065">
        <f>VLOOKUP(C2,data!F$4:H$18,3,FALSE)</f>
        <v>1.65</v>
      </c>
      <c r="I3" s="1061" t="s">
        <v>965</v>
      </c>
      <c r="J3" s="1061"/>
      <c r="K3" s="1066"/>
    </row>
    <row r="4" spans="1:13">
      <c r="A4" s="1061"/>
      <c r="B4" s="1062" t="s">
        <v>1616</v>
      </c>
      <c r="C4" s="1067">
        <f>VLOOKUP(C2,data!F$4:G$18,2,FALSE)</f>
        <v>0.5</v>
      </c>
      <c r="D4" s="1064" t="s">
        <v>965</v>
      </c>
      <c r="E4" s="1064"/>
      <c r="F4" s="1062" t="s">
        <v>1617</v>
      </c>
      <c r="G4" s="1068">
        <f>'Salient feature'!D8</f>
        <v>1</v>
      </c>
      <c r="H4" s="1068"/>
      <c r="I4" s="1061"/>
      <c r="J4" s="1061"/>
      <c r="K4" s="1066">
        <f>+K103</f>
        <v>360013.88836823881</v>
      </c>
      <c r="L4" s="1069"/>
    </row>
    <row r="5" spans="1:13" ht="36">
      <c r="A5" s="1070" t="s">
        <v>961</v>
      </c>
      <c r="B5" s="1071" t="s">
        <v>1423</v>
      </c>
      <c r="C5" s="1072" t="s">
        <v>1087</v>
      </c>
      <c r="D5" s="1071" t="s">
        <v>1618</v>
      </c>
      <c r="E5" s="1073" t="s">
        <v>1619</v>
      </c>
      <c r="F5" s="1071" t="s">
        <v>23</v>
      </c>
      <c r="G5" s="1071" t="s">
        <v>24</v>
      </c>
      <c r="H5" s="1071" t="s">
        <v>1620</v>
      </c>
      <c r="I5" s="1071" t="s">
        <v>1035</v>
      </c>
      <c r="J5" s="1074" t="s">
        <v>1621</v>
      </c>
      <c r="K5" s="1075" t="s">
        <v>52</v>
      </c>
    </row>
    <row r="6" spans="1:13">
      <c r="A6" s="1076">
        <v>1</v>
      </c>
      <c r="B6" s="1077" t="s">
        <v>1622</v>
      </c>
      <c r="C6" s="1078"/>
      <c r="D6" s="1079"/>
      <c r="E6" s="1079">
        <f>ROUND(C3+4,0)</f>
        <v>7</v>
      </c>
      <c r="F6" s="1079">
        <f>ROUND(C3+2,0)</f>
        <v>5</v>
      </c>
      <c r="G6" s="1079"/>
      <c r="H6" s="1080">
        <f>E6*F6</f>
        <v>35</v>
      </c>
      <c r="I6" s="1081" t="s">
        <v>47</v>
      </c>
      <c r="J6" s="1081">
        <f>Rates!$F$7</f>
        <v>149.5</v>
      </c>
      <c r="K6" s="1082">
        <f>H6*J6</f>
        <v>5232.5</v>
      </c>
    </row>
    <row r="7" spans="1:13">
      <c r="A7" s="1083">
        <v>2</v>
      </c>
      <c r="B7" s="1084" t="s">
        <v>1623</v>
      </c>
      <c r="C7" s="1078"/>
      <c r="D7" s="1079"/>
      <c r="E7" s="1079"/>
      <c r="F7" s="1079"/>
      <c r="G7" s="1079"/>
      <c r="H7" s="1079"/>
      <c r="I7" s="1079"/>
      <c r="J7" s="1079"/>
      <c r="K7" s="1082"/>
      <c r="M7" s="1085"/>
    </row>
    <row r="8" spans="1:13">
      <c r="A8" s="1083"/>
      <c r="B8" s="1086" t="s">
        <v>1624</v>
      </c>
      <c r="C8" s="1078"/>
      <c r="D8" s="1079"/>
      <c r="E8" s="1079">
        <v>1.7</v>
      </c>
      <c r="F8" s="1079">
        <v>1.5</v>
      </c>
      <c r="G8" s="1079">
        <v>1.3</v>
      </c>
      <c r="H8" s="1079">
        <f>E8*F8*G8</f>
        <v>3.3149999999999999</v>
      </c>
      <c r="I8" s="1087"/>
      <c r="J8" s="1087"/>
      <c r="K8" s="1082"/>
    </row>
    <row r="9" spans="1:13">
      <c r="A9" s="1083"/>
      <c r="B9" s="1086" t="s">
        <v>1625</v>
      </c>
      <c r="C9" s="1078" t="s">
        <v>1626</v>
      </c>
      <c r="D9" s="1079">
        <f>C3/2+0.05+0.75</f>
        <v>2.2999999999999998</v>
      </c>
      <c r="E9" s="1079">
        <f>D9</f>
        <v>2.2999999999999998</v>
      </c>
      <c r="F9" s="1081" t="s">
        <v>1627</v>
      </c>
      <c r="G9" s="1079">
        <f>H3+0.3-0.4</f>
        <v>1.5499999999999998</v>
      </c>
      <c r="H9" s="1079">
        <f>IF(C9="π",PI()*D9*E9*G9,IF(C9="2π",2*PI()*D9*E9*G9,"Change"))</f>
        <v>25.759488963109501</v>
      </c>
      <c r="I9" s="1087"/>
      <c r="J9" s="1087"/>
      <c r="K9" s="1082"/>
    </row>
    <row r="10" spans="1:13">
      <c r="A10" s="1083"/>
      <c r="B10" s="1084" t="s">
        <v>1628</v>
      </c>
      <c r="C10" s="1078"/>
      <c r="D10" s="1079"/>
      <c r="E10" s="1079"/>
      <c r="F10" s="1079"/>
      <c r="G10" s="1079"/>
      <c r="H10" s="1079"/>
      <c r="I10" s="1087"/>
      <c r="J10" s="1087"/>
      <c r="K10" s="1082"/>
    </row>
    <row r="11" spans="1:13">
      <c r="A11" s="1083"/>
      <c r="B11" s="1086" t="s">
        <v>1108</v>
      </c>
      <c r="C11" s="1078"/>
      <c r="D11" s="1079"/>
      <c r="E11" s="1079"/>
      <c r="F11" s="1079"/>
      <c r="G11" s="1079"/>
      <c r="H11" s="1079">
        <f>SUM(H8:H10)</f>
        <v>29.074488963109502</v>
      </c>
      <c r="I11" s="1081" t="s">
        <v>29</v>
      </c>
      <c r="J11" s="1081">
        <f>Rates!F9</f>
        <v>1480.63</v>
      </c>
      <c r="K11" s="1082">
        <f>H11*J11</f>
        <v>43048.560593448827</v>
      </c>
    </row>
    <row r="12" spans="1:13">
      <c r="A12" s="1083">
        <v>3</v>
      </c>
      <c r="B12" s="1077" t="s">
        <v>1629</v>
      </c>
      <c r="C12" s="1078"/>
      <c r="D12" s="1079"/>
      <c r="E12" s="1079"/>
      <c r="F12" s="1079"/>
      <c r="G12" s="1079"/>
      <c r="H12" s="1079"/>
      <c r="I12" s="1087"/>
      <c r="J12" s="1087"/>
      <c r="K12" s="1082"/>
    </row>
    <row r="13" spans="1:13" ht="13.5">
      <c r="A13" s="1083"/>
      <c r="B13" s="1086" t="s">
        <v>1630</v>
      </c>
      <c r="C13" s="1078" t="s">
        <v>1626</v>
      </c>
      <c r="D13" s="1079">
        <f>D9</f>
        <v>2.2999999999999998</v>
      </c>
      <c r="E13" s="1079">
        <f>D9</f>
        <v>2.2999999999999998</v>
      </c>
      <c r="F13" s="1081" t="s">
        <v>1627</v>
      </c>
      <c r="G13" s="1079">
        <f>G9-0.5</f>
        <v>1.0499999999999998</v>
      </c>
      <c r="H13" s="1079">
        <f>IF(C13="π",PI()*D13*E13*G13,IF(C13="2π",2*PI()*D13*E13*G13,"Change"))</f>
        <v>17.449976394364498</v>
      </c>
      <c r="I13" s="1088" t="s">
        <v>29</v>
      </c>
      <c r="J13" s="1088"/>
      <c r="K13" s="1082"/>
    </row>
    <row r="14" spans="1:13" ht="13.5">
      <c r="A14" s="1083"/>
      <c r="B14" s="1086" t="s">
        <v>1631</v>
      </c>
      <c r="C14" s="1078" t="s">
        <v>1626</v>
      </c>
      <c r="D14" s="1079">
        <f>C3/2+0.05</f>
        <v>1.55</v>
      </c>
      <c r="E14" s="1079">
        <f>D14</f>
        <v>1.55</v>
      </c>
      <c r="F14" s="1081" t="s">
        <v>1627</v>
      </c>
      <c r="G14" s="1079">
        <f>G13</f>
        <v>1.0499999999999998</v>
      </c>
      <c r="H14" s="1079">
        <f>-PI()*D14*E14*G14</f>
        <v>-7.9250601677619512</v>
      </c>
      <c r="I14" s="1088" t="s">
        <v>29</v>
      </c>
      <c r="J14" s="1088"/>
      <c r="K14" s="1082"/>
    </row>
    <row r="15" spans="1:13">
      <c r="A15" s="1083"/>
      <c r="B15" s="1086" t="s">
        <v>1632</v>
      </c>
      <c r="C15" s="1078"/>
      <c r="D15" s="1079"/>
      <c r="E15" s="1079"/>
      <c r="F15" s="1079"/>
      <c r="G15" s="1079"/>
      <c r="H15" s="1079">
        <f>H13+H14</f>
        <v>9.5249162266025458</v>
      </c>
      <c r="I15" s="1079" t="str">
        <f>I11</f>
        <v>m³</v>
      </c>
      <c r="J15" s="1081">
        <f>Rates!$F$15</f>
        <v>746.24</v>
      </c>
      <c r="K15" s="1082">
        <f>H15*J15</f>
        <v>7107.8734849398843</v>
      </c>
    </row>
    <row r="16" spans="1:13">
      <c r="A16" s="1083">
        <v>4</v>
      </c>
      <c r="B16" s="1077" t="s">
        <v>1633</v>
      </c>
      <c r="C16" s="1078"/>
      <c r="D16" s="1079"/>
      <c r="E16" s="1079"/>
      <c r="F16" s="1079"/>
      <c r="G16" s="1079"/>
      <c r="H16" s="1079"/>
      <c r="I16" s="1079"/>
      <c r="J16" s="1079"/>
      <c r="K16" s="1082"/>
    </row>
    <row r="17" spans="1:11">
      <c r="A17" s="1083"/>
      <c r="B17" s="1086" t="s">
        <v>1624</v>
      </c>
      <c r="C17" s="1078"/>
      <c r="D17" s="1079"/>
      <c r="E17" s="1079">
        <v>1.7</v>
      </c>
      <c r="F17" s="1079">
        <v>1.5</v>
      </c>
      <c r="G17" s="1079">
        <v>0.15</v>
      </c>
      <c r="H17" s="1079">
        <f>E17*F17*G17</f>
        <v>0.38249999999999995</v>
      </c>
      <c r="I17" s="1079"/>
      <c r="J17" s="1079"/>
      <c r="K17" s="1082"/>
    </row>
    <row r="18" spans="1:11">
      <c r="A18" s="1083"/>
      <c r="B18" s="1086" t="s">
        <v>1625</v>
      </c>
      <c r="C18" s="1078" t="s">
        <v>1626</v>
      </c>
      <c r="D18" s="1079">
        <f>C3/2+0.05+0.25</f>
        <v>1.8</v>
      </c>
      <c r="E18" s="1079">
        <f>D18</f>
        <v>1.8</v>
      </c>
      <c r="F18" s="1079" t="s">
        <v>1634</v>
      </c>
      <c r="G18" s="1079">
        <v>0.2</v>
      </c>
      <c r="H18" s="1079">
        <f>IF(C18="π",PI()*D18*E18*G18,IF(C18="2π",2*PI()*D18*E18*G18,"Change"))</f>
        <v>2.0357520395261863</v>
      </c>
      <c r="I18" s="1079"/>
      <c r="J18" s="1079"/>
      <c r="K18" s="1082"/>
    </row>
    <row r="19" spans="1:11">
      <c r="A19" s="1083"/>
      <c r="B19" s="1089" t="s">
        <v>1635</v>
      </c>
      <c r="C19" s="1078"/>
      <c r="D19" s="1079"/>
      <c r="E19" s="1079"/>
      <c r="F19" s="1079"/>
      <c r="G19" s="1079"/>
      <c r="H19" s="1079"/>
      <c r="I19" s="1087"/>
      <c r="J19" s="1087"/>
      <c r="K19" s="1082"/>
    </row>
    <row r="20" spans="1:11">
      <c r="A20" s="1083"/>
      <c r="B20" s="1086" t="s">
        <v>1636</v>
      </c>
      <c r="C20" s="1078"/>
      <c r="D20" s="1079"/>
      <c r="E20" s="1079">
        <v>1.7</v>
      </c>
      <c r="F20" s="1079">
        <v>0.4</v>
      </c>
      <c r="G20" s="1079">
        <v>0.2</v>
      </c>
      <c r="H20" s="1079">
        <f>-E20*F20*G20</f>
        <v>-0.13600000000000001</v>
      </c>
      <c r="I20" s="1087"/>
      <c r="J20" s="1087"/>
      <c r="K20" s="1082"/>
    </row>
    <row r="21" spans="1:11">
      <c r="A21" s="1083"/>
      <c r="B21" s="1086" t="s">
        <v>1108</v>
      </c>
      <c r="C21" s="1078"/>
      <c r="D21" s="1079"/>
      <c r="E21" s="1087"/>
      <c r="F21" s="1087"/>
      <c r="G21" s="1087"/>
      <c r="H21" s="1079">
        <f>H17+H18+H20</f>
        <v>2.282252039526186</v>
      </c>
      <c r="I21" s="1081" t="s">
        <v>29</v>
      </c>
      <c r="J21" s="1081">
        <f>Rates!$F$19</f>
        <v>5523.35</v>
      </c>
      <c r="K21" s="1082">
        <f>H21*J21</f>
        <v>12605.67680251696</v>
      </c>
    </row>
    <row r="22" spans="1:11">
      <c r="A22" s="1083">
        <v>5</v>
      </c>
      <c r="B22" s="1077" t="s">
        <v>1637</v>
      </c>
      <c r="C22" s="1078"/>
      <c r="D22" s="1079"/>
      <c r="E22" s="1079"/>
      <c r="F22" s="1079"/>
      <c r="G22" s="1079"/>
      <c r="H22" s="1079"/>
      <c r="I22" s="1079"/>
      <c r="J22" s="1079"/>
      <c r="K22" s="1082"/>
    </row>
    <row r="23" spans="1:11">
      <c r="A23" s="1083"/>
      <c r="B23" s="1086" t="s">
        <v>1624</v>
      </c>
      <c r="C23" s="1078"/>
      <c r="D23" s="1079"/>
      <c r="E23" s="1079">
        <v>5</v>
      </c>
      <c r="F23" s="1079">
        <v>0.35</v>
      </c>
      <c r="G23" s="1079">
        <v>1.1499999999999999</v>
      </c>
      <c r="H23" s="1079">
        <f>E23*F23*G23</f>
        <v>2.0124999999999997</v>
      </c>
      <c r="I23" s="1081" t="s">
        <v>29</v>
      </c>
      <c r="J23" s="1081">
        <f>Rates!$F$25</f>
        <v>14917.39</v>
      </c>
      <c r="K23" s="1082">
        <f>H23*J23</f>
        <v>30021.247374999995</v>
      </c>
    </row>
    <row r="24" spans="1:11">
      <c r="A24" s="1083">
        <v>6</v>
      </c>
      <c r="B24" s="1077" t="s">
        <v>1638</v>
      </c>
      <c r="C24" s="1078"/>
      <c r="D24" s="1079"/>
      <c r="E24" s="1079"/>
      <c r="F24" s="1079"/>
      <c r="G24" s="1079"/>
      <c r="H24" s="1079"/>
      <c r="I24" s="1079"/>
      <c r="J24" s="1079"/>
      <c r="K24" s="1082"/>
    </row>
    <row r="25" spans="1:11">
      <c r="A25" s="1083"/>
      <c r="B25" s="1086" t="s">
        <v>1639</v>
      </c>
      <c r="C25" s="1078"/>
      <c r="D25" s="1079"/>
      <c r="E25" s="1079">
        <v>1.7</v>
      </c>
      <c r="F25" s="1079">
        <v>1.5</v>
      </c>
      <c r="G25" s="1079">
        <v>0.1</v>
      </c>
      <c r="H25" s="1090">
        <f>E25*F25*G25</f>
        <v>0.255</v>
      </c>
      <c r="I25" s="1079"/>
      <c r="J25" s="1079"/>
      <c r="K25" s="1082"/>
    </row>
    <row r="26" spans="1:11">
      <c r="A26" s="1083"/>
      <c r="B26" s="1086" t="s">
        <v>1640</v>
      </c>
      <c r="C26" s="1078" t="s">
        <v>1626</v>
      </c>
      <c r="D26" s="1079">
        <v>0.3</v>
      </c>
      <c r="E26" s="1079">
        <v>0.3</v>
      </c>
      <c r="F26" s="1079" t="s">
        <v>1634</v>
      </c>
      <c r="G26" s="1079">
        <v>0.05</v>
      </c>
      <c r="H26" s="1090">
        <f>-IF(C26="π",PI()*D26*E26*G26,IF(C26="2π",2*PI()*D26*E26*G26,"Change"))</f>
        <v>-1.4137166941154071E-2</v>
      </c>
      <c r="I26" s="1079"/>
      <c r="J26" s="1079"/>
      <c r="K26" s="1082"/>
    </row>
    <row r="27" spans="1:11">
      <c r="A27" s="1083"/>
      <c r="B27" s="1089" t="s">
        <v>1641</v>
      </c>
      <c r="C27" s="1078"/>
      <c r="D27" s="1087"/>
      <c r="E27" s="1087"/>
      <c r="F27" s="1087"/>
      <c r="G27" s="1087"/>
      <c r="H27" s="1090"/>
      <c r="I27" s="1087"/>
      <c r="J27" s="1087"/>
      <c r="K27" s="1082"/>
    </row>
    <row r="28" spans="1:11">
      <c r="A28" s="1083"/>
      <c r="B28" s="1086" t="s">
        <v>1642</v>
      </c>
      <c r="C28" s="1078" t="s">
        <v>1626</v>
      </c>
      <c r="D28" s="1079">
        <v>0.3</v>
      </c>
      <c r="E28" s="1079">
        <v>0.3</v>
      </c>
      <c r="F28" s="1079" t="s">
        <v>1527</v>
      </c>
      <c r="G28" s="1079">
        <v>0.05</v>
      </c>
      <c r="H28" s="1090">
        <f>IF(C28="π",PI()*D28*E28*G28,IF(C28="2π",2*PI()*D28*E28*G28,"Change"))</f>
        <v>1.4137166941154071E-2</v>
      </c>
      <c r="I28" s="1079"/>
      <c r="J28" s="1079"/>
      <c r="K28" s="1082"/>
    </row>
    <row r="29" spans="1:11">
      <c r="A29" s="1083"/>
      <c r="B29" s="1086" t="s">
        <v>1508</v>
      </c>
      <c r="C29" s="1078">
        <v>2</v>
      </c>
      <c r="D29" s="1079"/>
      <c r="E29" s="1079">
        <v>1</v>
      </c>
      <c r="F29" s="1079">
        <v>0.35</v>
      </c>
      <c r="G29" s="1079">
        <v>0.2</v>
      </c>
      <c r="H29" s="1090">
        <f>C29*E29*F29*G29</f>
        <v>0.13999999999999999</v>
      </c>
      <c r="I29" s="1079"/>
      <c r="J29" s="1079"/>
      <c r="K29" s="1082"/>
    </row>
    <row r="30" spans="1:11">
      <c r="A30" s="1083"/>
      <c r="B30" s="1086" t="s">
        <v>1108</v>
      </c>
      <c r="C30" s="1078"/>
      <c r="D30" s="1079"/>
      <c r="E30" s="1079"/>
      <c r="F30" s="1079"/>
      <c r="G30" s="1079"/>
      <c r="H30" s="1090">
        <f>SUM(H25:H29)</f>
        <v>0.39500000000000002</v>
      </c>
      <c r="I30" s="1081" t="s">
        <v>29</v>
      </c>
      <c r="J30" s="1081">
        <f>Rates!$F$32</f>
        <v>16022.87</v>
      </c>
      <c r="K30" s="1082">
        <f>H30*J30</f>
        <v>6329.0336500000003</v>
      </c>
    </row>
    <row r="31" spans="1:11" ht="12.75">
      <c r="A31" s="1083">
        <v>7</v>
      </c>
      <c r="B31" s="1077" t="s">
        <v>1643</v>
      </c>
      <c r="C31" s="1078"/>
      <c r="D31" s="1079"/>
      <c r="E31" s="1079"/>
      <c r="F31" s="1079"/>
      <c r="G31" s="1079"/>
      <c r="H31" s="1079"/>
      <c r="I31" s="1091"/>
      <c r="J31" s="1091"/>
      <c r="K31" s="1082"/>
    </row>
    <row r="32" spans="1:11">
      <c r="A32" s="1083"/>
      <c r="B32" s="1084" t="s">
        <v>1644</v>
      </c>
      <c r="C32" s="1078" t="s">
        <v>1626</v>
      </c>
      <c r="D32" s="1079">
        <f>C3/2+0.05+0.1</f>
        <v>1.6500000000000001</v>
      </c>
      <c r="E32" s="1079">
        <f>D32</f>
        <v>1.6500000000000001</v>
      </c>
      <c r="F32" s="1079" t="s">
        <v>1627</v>
      </c>
      <c r="G32" s="1090">
        <f>(0.1+0.15)/2</f>
        <v>0.125</v>
      </c>
      <c r="H32" s="1090">
        <f>PI()*D32*E32*G32</f>
        <v>1.0691232499247765</v>
      </c>
      <c r="I32" s="1081" t="s">
        <v>29</v>
      </c>
      <c r="J32" s="1081">
        <f>Rates!$F$33</f>
        <v>17163.13</v>
      </c>
      <c r="K32" s="1082">
        <f>H32*J32</f>
        <v>18349.501324481429</v>
      </c>
    </row>
    <row r="33" spans="1:13">
      <c r="A33" s="1083"/>
      <c r="B33" s="1087"/>
      <c r="C33" s="1078"/>
      <c r="D33" s="1079"/>
      <c r="E33" s="1087"/>
      <c r="F33" s="1087"/>
      <c r="G33" s="1087"/>
      <c r="H33" s="1079"/>
      <c r="I33" s="1079"/>
      <c r="J33" s="1079"/>
      <c r="K33" s="1082"/>
    </row>
    <row r="34" spans="1:13">
      <c r="A34" s="1083">
        <v>8</v>
      </c>
      <c r="B34" s="1077" t="s">
        <v>1521</v>
      </c>
      <c r="C34" s="1078"/>
      <c r="D34" s="1079"/>
      <c r="E34" s="1079"/>
      <c r="F34" s="1079"/>
      <c r="G34" s="1079"/>
      <c r="H34" s="1079"/>
      <c r="I34" s="1079"/>
      <c r="J34" s="1079"/>
      <c r="K34" s="1082"/>
    </row>
    <row r="35" spans="1:13">
      <c r="A35" s="1083"/>
      <c r="B35" s="1077" t="s">
        <v>1645</v>
      </c>
      <c r="C35" s="1078"/>
      <c r="D35" s="1079"/>
      <c r="E35" s="1079"/>
      <c r="F35" s="1079"/>
      <c r="G35" s="1079"/>
      <c r="H35" s="1079"/>
      <c r="I35" s="1079"/>
      <c r="J35" s="1079"/>
      <c r="K35" s="1082"/>
    </row>
    <row r="36" spans="1:13" ht="12.75">
      <c r="A36" s="1083"/>
      <c r="B36" s="1086" t="s">
        <v>1646</v>
      </c>
      <c r="C36" s="1092">
        <v>11</v>
      </c>
      <c r="D36" s="1093">
        <v>1.7</v>
      </c>
      <c r="E36" s="1079"/>
      <c r="F36" s="1094">
        <v>0.39500000000000002</v>
      </c>
      <c r="G36" s="1095"/>
      <c r="H36" s="1079">
        <f>ROUND(C36*D36*F36,2)</f>
        <v>7.39</v>
      </c>
      <c r="I36" s="1079"/>
      <c r="J36" s="1079"/>
      <c r="K36" s="1082"/>
    </row>
    <row r="37" spans="1:13" ht="12.75">
      <c r="A37" s="1083"/>
      <c r="B37" s="1086" t="s">
        <v>1647</v>
      </c>
      <c r="C37" s="1092">
        <v>12</v>
      </c>
      <c r="D37" s="1093">
        <v>1.5</v>
      </c>
      <c r="E37" s="1079"/>
      <c r="F37" s="1094">
        <v>0.39500000000000002</v>
      </c>
      <c r="G37" s="1095"/>
      <c r="H37" s="1079">
        <f>ROUND(C37*D37*F37,2)</f>
        <v>7.11</v>
      </c>
      <c r="I37" s="1079"/>
      <c r="J37" s="1079"/>
      <c r="K37" s="1082"/>
    </row>
    <row r="38" spans="1:13" ht="12.75">
      <c r="A38" s="1083"/>
      <c r="B38" s="1086" t="s">
        <v>1640</v>
      </c>
      <c r="C38" s="1092">
        <v>8</v>
      </c>
      <c r="D38" s="1093">
        <v>0.6</v>
      </c>
      <c r="E38" s="1079"/>
      <c r="F38" s="1094">
        <v>0.39500000000000002</v>
      </c>
      <c r="G38" s="1095"/>
      <c r="H38" s="1079">
        <f>-ROUND(C38*D38*F38,2)</f>
        <v>-1.9</v>
      </c>
      <c r="I38" s="1079"/>
      <c r="J38" s="1079"/>
      <c r="K38" s="1082"/>
    </row>
    <row r="39" spans="1:13">
      <c r="A39" s="1083"/>
      <c r="B39" s="1086" t="s">
        <v>1108</v>
      </c>
      <c r="C39" s="1078"/>
      <c r="D39" s="1079"/>
      <c r="E39" s="1079"/>
      <c r="F39" s="1096"/>
      <c r="G39" s="1079"/>
      <c r="H39" s="1079">
        <f>SUM(H36:H38)</f>
        <v>12.6</v>
      </c>
      <c r="I39" s="1081" t="s">
        <v>1034</v>
      </c>
      <c r="J39" s="1081">
        <f>Rates!$F$39</f>
        <v>125.35</v>
      </c>
      <c r="K39" s="1082">
        <f>H39*J39</f>
        <v>1579.4099999999999</v>
      </c>
      <c r="M39" s="1097"/>
    </row>
    <row r="40" spans="1:13">
      <c r="A40" s="1083">
        <v>9</v>
      </c>
      <c r="B40" s="1077" t="s">
        <v>1648</v>
      </c>
      <c r="C40" s="1078"/>
      <c r="D40" s="1079"/>
      <c r="E40" s="1079"/>
      <c r="F40" s="1079"/>
      <c r="G40" s="1079"/>
      <c r="H40" s="1079"/>
      <c r="I40" s="1079"/>
      <c r="J40" s="1079"/>
      <c r="K40" s="1082"/>
    </row>
    <row r="41" spans="1:13">
      <c r="A41" s="1083"/>
      <c r="B41" s="1086" t="s">
        <v>1649</v>
      </c>
      <c r="C41" s="1078"/>
      <c r="D41" s="1079"/>
      <c r="E41" s="1079">
        <v>1</v>
      </c>
      <c r="F41" s="1079">
        <v>0.8</v>
      </c>
      <c r="G41" s="1079"/>
      <c r="H41" s="1079">
        <f>E41*F41</f>
        <v>0.8</v>
      </c>
      <c r="I41" s="1079"/>
      <c r="J41" s="1079"/>
      <c r="K41" s="1082"/>
    </row>
    <row r="42" spans="1:13">
      <c r="A42" s="1083"/>
      <c r="B42" s="1086" t="s">
        <v>1650</v>
      </c>
      <c r="C42" s="1078"/>
      <c r="D42" s="1079"/>
      <c r="E42" s="1079">
        <v>6.4</v>
      </c>
      <c r="F42" s="1081" t="s">
        <v>44</v>
      </c>
      <c r="G42" s="1079">
        <v>0.1</v>
      </c>
      <c r="H42" s="1079">
        <f>E42*G42</f>
        <v>0.64000000000000012</v>
      </c>
      <c r="I42" s="1079"/>
      <c r="J42" s="1079"/>
      <c r="K42" s="1082"/>
    </row>
    <row r="43" spans="1:13">
      <c r="A43" s="1083"/>
      <c r="B43" s="1086" t="s">
        <v>1640</v>
      </c>
      <c r="C43" s="1078" t="s">
        <v>1626</v>
      </c>
      <c r="D43" s="1079">
        <v>0.3</v>
      </c>
      <c r="E43" s="1079">
        <v>0.3</v>
      </c>
      <c r="F43" s="1079"/>
      <c r="G43" s="1079"/>
      <c r="H43" s="1090">
        <f>-IF(C43="π",PI()*D43*E43,IF(C43="2π",2*PI()*D43*E43,"Change"))</f>
        <v>-0.28274333882308139</v>
      </c>
      <c r="I43" s="1087"/>
      <c r="J43" s="1087"/>
      <c r="K43" s="1082"/>
    </row>
    <row r="44" spans="1:13">
      <c r="A44" s="1083"/>
      <c r="B44" s="1086" t="s">
        <v>1108</v>
      </c>
      <c r="C44" s="1078"/>
      <c r="D44" s="1079"/>
      <c r="E44" s="1079"/>
      <c r="F44" s="1079"/>
      <c r="G44" s="1079"/>
      <c r="H44" s="1079">
        <f>SUM(H41:H43)</f>
        <v>1.1572566611769188</v>
      </c>
      <c r="I44" s="1081" t="s">
        <v>47</v>
      </c>
      <c r="J44" s="1081">
        <f>Rates!$F$40</f>
        <v>1322.68</v>
      </c>
      <c r="K44" s="1082">
        <f>H44*J44</f>
        <v>1530.6802406054871</v>
      </c>
      <c r="M44" s="1097"/>
    </row>
    <row r="45" spans="1:13">
      <c r="A45" s="1083">
        <v>10</v>
      </c>
      <c r="B45" s="1077" t="s">
        <v>1651</v>
      </c>
      <c r="C45" s="1078"/>
      <c r="D45" s="1079"/>
      <c r="E45" s="1079"/>
      <c r="F45" s="1079"/>
      <c r="G45" s="1079"/>
      <c r="H45" s="1079"/>
      <c r="I45" s="1079"/>
      <c r="J45" s="1079"/>
      <c r="K45" s="1082"/>
      <c r="M45" s="1097"/>
    </row>
    <row r="46" spans="1:13">
      <c r="A46" s="1083"/>
      <c r="B46" s="1077" t="s">
        <v>1652</v>
      </c>
      <c r="C46" s="1078" t="s">
        <v>1653</v>
      </c>
      <c r="D46" s="1079">
        <f>C3/2+0.025</f>
        <v>1.5249999999999999</v>
      </c>
      <c r="E46" s="1079"/>
      <c r="F46" s="1079" t="s">
        <v>1634</v>
      </c>
      <c r="G46" s="1079">
        <f>H3</f>
        <v>1.65</v>
      </c>
      <c r="H46" s="1079">
        <f>2*PI()*D46*G46</f>
        <v>15.810065029190632</v>
      </c>
      <c r="I46" s="1079"/>
      <c r="J46" s="1079"/>
      <c r="K46" s="1082"/>
      <c r="M46" s="1097"/>
    </row>
    <row r="47" spans="1:13">
      <c r="A47" s="1083"/>
      <c r="B47" s="1077" t="s">
        <v>1654</v>
      </c>
      <c r="C47" s="1078" t="s">
        <v>1653</v>
      </c>
      <c r="D47" s="1079">
        <f>((C3+0.05)^2+4*(C4^2))/8/C4</f>
        <v>2.5756249999999996</v>
      </c>
      <c r="E47" s="1079"/>
      <c r="F47" s="1079"/>
      <c r="G47" s="1079">
        <f>C4</f>
        <v>0.5</v>
      </c>
      <c r="H47" s="1079">
        <f>2*PI()*D47*G47</f>
        <v>8.0915645784022097</v>
      </c>
      <c r="I47" s="1079"/>
      <c r="J47" s="1079"/>
      <c r="K47" s="1082"/>
      <c r="M47" s="1097"/>
    </row>
    <row r="48" spans="1:13">
      <c r="A48" s="1083"/>
      <c r="B48" s="1084" t="s">
        <v>1655</v>
      </c>
      <c r="C48" s="1078"/>
      <c r="D48" s="1087"/>
      <c r="E48" s="1087"/>
      <c r="F48" s="1087"/>
      <c r="G48" s="1087"/>
      <c r="H48" s="1087"/>
      <c r="I48" s="1087"/>
      <c r="J48" s="1087"/>
      <c r="K48" s="1082"/>
      <c r="M48" s="1097"/>
    </row>
    <row r="49" spans="1:13">
      <c r="A49" s="1083"/>
      <c r="B49" s="1084" t="s">
        <v>1656</v>
      </c>
      <c r="C49" s="1078" t="s">
        <v>1626</v>
      </c>
      <c r="D49" s="1079">
        <v>0.3</v>
      </c>
      <c r="E49" s="1079">
        <v>0.3</v>
      </c>
      <c r="F49" s="1079"/>
      <c r="G49" s="1079"/>
      <c r="H49" s="1079">
        <f>-D49*E49*PI()</f>
        <v>-0.28274333882308139</v>
      </c>
      <c r="I49" s="1079"/>
      <c r="J49" s="1081"/>
      <c r="K49" s="1082"/>
      <c r="M49" s="1097"/>
    </row>
    <row r="50" spans="1:13">
      <c r="A50" s="1083"/>
      <c r="B50" s="1086" t="s">
        <v>1520</v>
      </c>
      <c r="C50" s="1078"/>
      <c r="D50" s="1079"/>
      <c r="E50" s="1079"/>
      <c r="F50" s="1079"/>
      <c r="G50" s="1079"/>
      <c r="H50" s="1079">
        <f>SUM(H46:H49)</f>
        <v>23.61888626876976</v>
      </c>
      <c r="I50" s="1081" t="s">
        <v>47</v>
      </c>
      <c r="J50" s="1081">
        <f>Rates!$F$42</f>
        <v>490.15</v>
      </c>
      <c r="K50" s="1082">
        <f>H50*J50</f>
        <v>11576.797104637497</v>
      </c>
      <c r="M50" s="1097"/>
    </row>
    <row r="51" spans="1:13">
      <c r="A51" s="1098"/>
      <c r="B51" s="1099"/>
      <c r="C51" s="1100"/>
      <c r="D51" s="1101"/>
      <c r="E51" s="1101"/>
      <c r="F51" s="1101"/>
      <c r="G51" s="1101"/>
      <c r="H51" s="1101"/>
      <c r="I51" s="1102"/>
      <c r="J51" s="1102"/>
      <c r="K51" s="1103"/>
      <c r="M51" s="1097"/>
    </row>
    <row r="52" spans="1:13">
      <c r="A52" s="1061"/>
      <c r="B52" s="1062"/>
      <c r="C52" s="1085"/>
      <c r="D52" s="1104"/>
      <c r="E52" s="1104"/>
      <c r="F52" s="1104"/>
      <c r="G52" s="1104"/>
      <c r="H52" s="1104"/>
      <c r="I52" s="1105"/>
      <c r="J52" s="1105"/>
      <c r="K52" s="1106"/>
      <c r="M52" s="1097"/>
    </row>
    <row r="53" spans="1:13">
      <c r="A53" s="1061"/>
      <c r="B53" s="1062"/>
      <c r="C53" s="1085"/>
      <c r="D53" s="1104"/>
      <c r="E53" s="1104"/>
      <c r="F53" s="1104"/>
      <c r="G53" s="1104"/>
      <c r="H53" s="1104"/>
      <c r="I53" s="1105"/>
      <c r="J53" s="1105"/>
      <c r="K53" s="1106"/>
      <c r="M53" s="1097"/>
    </row>
    <row r="54" spans="1:13">
      <c r="A54" s="1061"/>
      <c r="B54" s="1062"/>
      <c r="C54" s="1085"/>
      <c r="D54" s="1104"/>
      <c r="E54" s="1104"/>
      <c r="F54" s="1104"/>
      <c r="G54" s="1104"/>
      <c r="H54" s="1104"/>
      <c r="I54" s="1105"/>
      <c r="J54" s="1105"/>
      <c r="K54" s="1106"/>
      <c r="M54" s="1097"/>
    </row>
    <row r="55" spans="1:13" ht="18.75">
      <c r="A55" s="1061"/>
      <c r="B55" s="1061"/>
      <c r="C55" s="1085"/>
      <c r="D55" s="1061"/>
      <c r="E55" s="1061"/>
      <c r="F55" s="1061"/>
      <c r="G55" s="1061"/>
      <c r="H55" s="1107" t="s">
        <v>1657</v>
      </c>
      <c r="I55" s="1108"/>
      <c r="J55" s="1109">
        <f>C2</f>
        <v>10</v>
      </c>
      <c r="K55" s="1110" t="s">
        <v>29</v>
      </c>
      <c r="M55" s="1097"/>
    </row>
    <row r="56" spans="1:13">
      <c r="A56" s="1111" t="s">
        <v>961</v>
      </c>
      <c r="B56" s="1074" t="s">
        <v>1423</v>
      </c>
      <c r="C56" s="1112" t="s">
        <v>1087</v>
      </c>
      <c r="D56" s="1113" t="s">
        <v>1618</v>
      </c>
      <c r="E56" s="1113" t="s">
        <v>22</v>
      </c>
      <c r="F56" s="1113" t="s">
        <v>23</v>
      </c>
      <c r="G56" s="1113" t="s">
        <v>24</v>
      </c>
      <c r="H56" s="1113" t="s">
        <v>964</v>
      </c>
      <c r="I56" s="1113" t="s">
        <v>1035</v>
      </c>
      <c r="J56" s="1113" t="s">
        <v>97</v>
      </c>
      <c r="K56" s="1075" t="s">
        <v>52</v>
      </c>
      <c r="M56" s="1097"/>
    </row>
    <row r="57" spans="1:13">
      <c r="A57" s="1083"/>
      <c r="B57" s="1086"/>
      <c r="C57" s="1078"/>
      <c r="D57" s="1079"/>
      <c r="E57" s="1079"/>
      <c r="F57" s="1079"/>
      <c r="G57" s="1079"/>
      <c r="H57" s="1079"/>
      <c r="I57" s="1081"/>
      <c r="J57" s="1081"/>
      <c r="K57" s="1082"/>
      <c r="M57" s="1097"/>
    </row>
    <row r="58" spans="1:13">
      <c r="A58" s="1083">
        <v>11</v>
      </c>
      <c r="B58" s="1077" t="s">
        <v>1658</v>
      </c>
      <c r="C58" s="1078"/>
      <c r="D58" s="1079"/>
      <c r="E58" s="1079"/>
      <c r="F58" s="1079"/>
      <c r="G58" s="1079"/>
      <c r="H58" s="1079"/>
      <c r="I58" s="1079"/>
      <c r="J58" s="1079"/>
      <c r="K58" s="1082"/>
    </row>
    <row r="59" spans="1:13">
      <c r="A59" s="1083"/>
      <c r="B59" s="1077" t="s">
        <v>1659</v>
      </c>
      <c r="C59" s="1078"/>
      <c r="D59" s="1079" t="s">
        <v>1660</v>
      </c>
      <c r="E59" s="1079"/>
      <c r="F59" s="1079"/>
      <c r="G59" s="1079"/>
      <c r="H59" s="1079">
        <f>H50</f>
        <v>23.61888626876976</v>
      </c>
      <c r="I59" s="1081" t="s">
        <v>47</v>
      </c>
      <c r="J59" s="1081">
        <f>Rates!$F$43</f>
        <v>1246.28</v>
      </c>
      <c r="K59" s="1082">
        <f>H59*J59</f>
        <v>29435.745579042377</v>
      </c>
    </row>
    <row r="60" spans="1:13">
      <c r="A60" s="1083"/>
      <c r="B60" s="1077"/>
      <c r="C60" s="1078"/>
      <c r="D60" s="1090"/>
      <c r="E60" s="1079"/>
      <c r="F60" s="1079"/>
      <c r="G60" s="1079"/>
      <c r="H60" s="1079"/>
      <c r="I60" s="1079"/>
      <c r="J60" s="1079"/>
      <c r="K60" s="1082"/>
    </row>
    <row r="61" spans="1:13">
      <c r="A61" s="1083">
        <v>12</v>
      </c>
      <c r="B61" s="1077" t="s">
        <v>1661</v>
      </c>
      <c r="C61" s="1078"/>
      <c r="D61" s="1079"/>
      <c r="E61" s="1079"/>
      <c r="F61" s="1079"/>
      <c r="G61" s="1079"/>
      <c r="H61" s="1079"/>
      <c r="I61" s="1079"/>
      <c r="J61" s="1079"/>
      <c r="K61" s="1082"/>
    </row>
    <row r="62" spans="1:13">
      <c r="A62" s="1083"/>
      <c r="B62" s="1077" t="s">
        <v>1662</v>
      </c>
      <c r="C62" s="1078"/>
      <c r="D62" s="1079"/>
      <c r="E62" s="1079"/>
      <c r="F62" s="1079"/>
      <c r="G62" s="1079"/>
      <c r="H62" s="1079"/>
      <c r="I62" s="1079"/>
      <c r="J62" s="1079"/>
      <c r="K62" s="1082"/>
    </row>
    <row r="63" spans="1:13">
      <c r="A63" s="1083"/>
      <c r="B63" s="1077" t="s">
        <v>1663</v>
      </c>
      <c r="C63" s="1078" t="s">
        <v>1664</v>
      </c>
      <c r="D63" s="1079">
        <f>D46</f>
        <v>1.5249999999999999</v>
      </c>
      <c r="E63" s="1079"/>
      <c r="F63" s="1079"/>
      <c r="G63" s="1079">
        <f>G46</f>
        <v>1.65</v>
      </c>
      <c r="H63" s="1079">
        <f>D63*G63*4*PI()*2</f>
        <v>63.240260116762535</v>
      </c>
      <c r="I63" s="1079"/>
      <c r="J63" s="1079"/>
      <c r="K63" s="1082"/>
    </row>
    <row r="64" spans="1:13">
      <c r="A64" s="1083"/>
      <c r="B64" s="1077" t="s">
        <v>1654</v>
      </c>
      <c r="C64" s="1078" t="s">
        <v>1664</v>
      </c>
      <c r="D64" s="1079">
        <f>D47</f>
        <v>2.5756249999999996</v>
      </c>
      <c r="E64" s="1096" t="s">
        <v>1665</v>
      </c>
      <c r="F64" s="1079"/>
      <c r="G64" s="1090">
        <f>G47</f>
        <v>0.5</v>
      </c>
      <c r="H64" s="1079">
        <f>8*PI()*D64*G64</f>
        <v>32.366258313608839</v>
      </c>
      <c r="I64" s="1079"/>
      <c r="J64" s="1079"/>
      <c r="K64" s="1082"/>
    </row>
    <row r="65" spans="1:13">
      <c r="A65" s="1083"/>
      <c r="B65" s="1084" t="s">
        <v>1655</v>
      </c>
      <c r="C65" s="1078"/>
      <c r="D65" s="1087"/>
      <c r="E65" s="1087"/>
      <c r="F65" s="1087"/>
      <c r="G65" s="1087"/>
      <c r="H65" s="1087"/>
      <c r="I65" s="1087"/>
      <c r="J65" s="1087"/>
      <c r="K65" s="1082"/>
    </row>
    <row r="66" spans="1:13">
      <c r="A66" s="1083"/>
      <c r="B66" s="1077" t="s">
        <v>1666</v>
      </c>
      <c r="C66" s="1078" t="s">
        <v>1664</v>
      </c>
      <c r="D66" s="1079">
        <v>0.3</v>
      </c>
      <c r="E66" s="1079">
        <v>0.3</v>
      </c>
      <c r="F66" s="1079"/>
      <c r="G66" s="1079"/>
      <c r="H66" s="1079">
        <f>-4*PI()*D66*E66</f>
        <v>-1.1309733552923256</v>
      </c>
      <c r="I66" s="1079"/>
      <c r="J66" s="1079"/>
      <c r="K66" s="1082"/>
    </row>
    <row r="67" spans="1:13" ht="12.75">
      <c r="A67" s="1083"/>
      <c r="B67" s="1084" t="s">
        <v>1667</v>
      </c>
      <c r="C67" s="1078"/>
      <c r="D67" s="1079"/>
      <c r="E67" s="1079"/>
      <c r="F67" s="1079"/>
      <c r="G67" s="1079"/>
      <c r="H67" s="1091"/>
      <c r="I67" s="1091"/>
      <c r="J67" s="1091"/>
      <c r="K67" s="1114"/>
      <c r="M67" s="1097"/>
    </row>
    <row r="68" spans="1:13">
      <c r="A68" s="1083"/>
      <c r="B68" s="1086" t="s">
        <v>1668</v>
      </c>
      <c r="C68" s="1078"/>
      <c r="D68" s="1079"/>
      <c r="E68" s="1079"/>
      <c r="F68" s="1079"/>
      <c r="G68" s="1079"/>
      <c r="H68" s="1079">
        <f>SUM(H63:H66)</f>
        <v>94.475545075079054</v>
      </c>
      <c r="I68" s="1081" t="s">
        <v>47</v>
      </c>
      <c r="J68" s="1081">
        <f>Rates!$F$58</f>
        <v>547.54999999999995</v>
      </c>
      <c r="K68" s="1082">
        <f>H68*J68</f>
        <v>51730.084705859532</v>
      </c>
    </row>
    <row r="69" spans="1:13">
      <c r="A69" s="1083">
        <v>13</v>
      </c>
      <c r="B69" s="1077" t="s">
        <v>1669</v>
      </c>
      <c r="C69" s="1078"/>
      <c r="D69" s="1079"/>
      <c r="E69" s="1079"/>
      <c r="F69" s="1079"/>
      <c r="G69" s="1079"/>
      <c r="H69" s="1079"/>
      <c r="I69" s="1079"/>
      <c r="J69" s="1079"/>
      <c r="K69" s="1082"/>
    </row>
    <row r="70" spans="1:13">
      <c r="A70" s="1083"/>
      <c r="B70" s="1077" t="s">
        <v>1670</v>
      </c>
      <c r="C70" s="1078"/>
      <c r="D70" s="1079"/>
      <c r="E70" s="1079"/>
      <c r="F70" s="1079"/>
      <c r="G70" s="1079"/>
      <c r="H70" s="1079"/>
      <c r="I70" s="1079"/>
      <c r="J70" s="1079"/>
      <c r="K70" s="1082"/>
    </row>
    <row r="71" spans="1:13">
      <c r="A71" s="1083"/>
      <c r="B71" s="1077" t="s">
        <v>1671</v>
      </c>
      <c r="C71" s="1078" t="s">
        <v>1626</v>
      </c>
      <c r="D71" s="1079">
        <f>C3/2</f>
        <v>1.5</v>
      </c>
      <c r="E71" s="1079">
        <f>C3/2</f>
        <v>1.5</v>
      </c>
      <c r="F71" s="1079"/>
      <c r="G71" s="1079"/>
      <c r="H71" s="1079">
        <f>PI()*D71*E71</f>
        <v>7.0685834705770345</v>
      </c>
      <c r="I71" s="1081" t="s">
        <v>47</v>
      </c>
      <c r="J71" s="1081">
        <f>Rates!$F$59</f>
        <v>509.41</v>
      </c>
      <c r="K71" s="1082">
        <f>H71*J71</f>
        <v>3600.8071057466473</v>
      </c>
    </row>
    <row r="72" spans="1:13">
      <c r="A72" s="1083"/>
      <c r="B72" s="1084" t="s">
        <v>1672</v>
      </c>
      <c r="C72" s="1078"/>
      <c r="D72" s="1079"/>
      <c r="E72" s="1079"/>
      <c r="F72" s="1079"/>
      <c r="G72" s="1079"/>
      <c r="H72" s="1079"/>
      <c r="I72" s="1079"/>
      <c r="J72" s="1079"/>
      <c r="K72" s="1082"/>
    </row>
    <row r="73" spans="1:13">
      <c r="A73" s="1083"/>
      <c r="B73" s="1087"/>
      <c r="C73" s="1078"/>
      <c r="D73" s="1079"/>
      <c r="E73" s="1079"/>
      <c r="F73" s="1079"/>
      <c r="G73" s="1079"/>
      <c r="H73" s="1079"/>
      <c r="I73" s="1079"/>
      <c r="J73" s="1079"/>
      <c r="K73" s="1082"/>
    </row>
    <row r="74" spans="1:13">
      <c r="A74" s="1083">
        <v>14</v>
      </c>
      <c r="B74" s="1077" t="s">
        <v>1673</v>
      </c>
      <c r="C74" s="1078"/>
      <c r="D74" s="1079"/>
      <c r="E74" s="1079"/>
      <c r="F74" s="1079"/>
      <c r="G74" s="1079"/>
      <c r="H74" s="1079"/>
      <c r="I74" s="1079"/>
      <c r="J74" s="1079"/>
      <c r="K74" s="1082"/>
    </row>
    <row r="75" spans="1:13">
      <c r="A75" s="1083"/>
      <c r="B75" s="1077" t="s">
        <v>1674</v>
      </c>
      <c r="C75" s="1078"/>
      <c r="D75" s="1079"/>
      <c r="E75" s="1079">
        <v>1</v>
      </c>
      <c r="F75" s="1079">
        <v>0.8</v>
      </c>
      <c r="G75" s="1079"/>
      <c r="H75" s="1079">
        <f>E75*F75</f>
        <v>0.8</v>
      </c>
      <c r="I75" s="1079"/>
      <c r="J75" s="1079"/>
      <c r="K75" s="1082"/>
    </row>
    <row r="76" spans="1:13">
      <c r="A76" s="1083"/>
      <c r="B76" s="1077" t="s">
        <v>1675</v>
      </c>
      <c r="C76" s="1078"/>
      <c r="D76" s="1079"/>
      <c r="E76" s="1079">
        <v>3.6</v>
      </c>
      <c r="F76" s="1079"/>
      <c r="G76" s="1079">
        <v>1.1499999999999999</v>
      </c>
      <c r="H76" s="1079">
        <f>E76*G76</f>
        <v>4.1399999999999997</v>
      </c>
      <c r="I76" s="1079"/>
      <c r="J76" s="1079"/>
      <c r="K76" s="1082"/>
    </row>
    <row r="77" spans="1:13">
      <c r="A77" s="1083"/>
      <c r="B77" s="1086" t="s">
        <v>1668</v>
      </c>
      <c r="C77" s="1078"/>
      <c r="D77" s="1079"/>
      <c r="E77" s="1079"/>
      <c r="F77" s="1079"/>
      <c r="G77" s="1079"/>
      <c r="H77" s="1079">
        <f>SUM(H75:H76)</f>
        <v>4.9399999999999995</v>
      </c>
      <c r="I77" s="1081" t="s">
        <v>47</v>
      </c>
      <c r="J77" s="1081">
        <f>Rates!$F$60</f>
        <v>503.61</v>
      </c>
      <c r="K77" s="1082">
        <f>H77*J77</f>
        <v>2487.8334</v>
      </c>
    </row>
    <row r="78" spans="1:13">
      <c r="A78" s="1083"/>
      <c r="B78" s="1087"/>
      <c r="C78" s="1078"/>
      <c r="D78" s="1079"/>
      <c r="E78" s="1079"/>
      <c r="F78" s="1079"/>
      <c r="G78" s="1079"/>
      <c r="H78" s="1079"/>
      <c r="I78" s="1079"/>
      <c r="J78" s="1079"/>
      <c r="K78" s="1082"/>
    </row>
    <row r="79" spans="1:13">
      <c r="A79" s="1083">
        <v>15</v>
      </c>
      <c r="B79" s="1084" t="s">
        <v>1676</v>
      </c>
      <c r="C79" s="1078"/>
      <c r="D79" s="1079"/>
      <c r="E79" s="1079"/>
      <c r="F79" s="1079"/>
      <c r="G79" s="1079"/>
      <c r="H79" s="1079"/>
      <c r="I79" s="1079"/>
      <c r="J79" s="1079"/>
      <c r="K79" s="1082"/>
    </row>
    <row r="80" spans="1:13">
      <c r="A80" s="1083"/>
      <c r="B80" s="1077" t="s">
        <v>1677</v>
      </c>
      <c r="C80" s="1078" t="s">
        <v>1626</v>
      </c>
      <c r="D80" s="1079">
        <f>C3/2</f>
        <v>1.5</v>
      </c>
      <c r="E80" s="1079">
        <f>C3/2</f>
        <v>1.5</v>
      </c>
      <c r="F80" s="1079"/>
      <c r="G80" s="1079"/>
      <c r="H80" s="1079">
        <f>PI()*D80*E80</f>
        <v>7.0685834705770345</v>
      </c>
      <c r="I80" s="1079"/>
      <c r="J80" s="1079"/>
      <c r="K80" s="1082"/>
    </row>
    <row r="81" spans="1:11">
      <c r="A81" s="1083"/>
      <c r="B81" s="1077" t="s">
        <v>1678</v>
      </c>
      <c r="C81" s="1078" t="s">
        <v>1653</v>
      </c>
      <c r="D81" s="1079">
        <f>C3/2</f>
        <v>1.5</v>
      </c>
      <c r="E81" s="1079"/>
      <c r="F81" s="1079"/>
      <c r="G81" s="1079">
        <f>H3</f>
        <v>1.65</v>
      </c>
      <c r="H81" s="1079">
        <f>2*PI()*D81*G81</f>
        <v>15.550883635269475</v>
      </c>
      <c r="I81" s="1079"/>
      <c r="J81" s="1079"/>
      <c r="K81" s="1082"/>
    </row>
    <row r="82" spans="1:11">
      <c r="A82" s="1083"/>
      <c r="B82" s="1086" t="s">
        <v>1679</v>
      </c>
      <c r="C82" s="1078"/>
      <c r="D82" s="1079"/>
      <c r="E82" s="1079"/>
      <c r="F82" s="1079"/>
      <c r="G82" s="1079"/>
      <c r="H82" s="1079">
        <f>SUM(H80:H81)</f>
        <v>22.61946710584651</v>
      </c>
      <c r="I82" s="1081" t="s">
        <v>47</v>
      </c>
      <c r="J82" s="1081">
        <f>Rates!$F$67</f>
        <v>346.26</v>
      </c>
      <c r="K82" s="1082">
        <f>H82*J82</f>
        <v>7832.2166800704126</v>
      </c>
    </row>
    <row r="83" spans="1:11" ht="12.75">
      <c r="A83" s="1083">
        <v>16</v>
      </c>
      <c r="B83" s="1077" t="s">
        <v>1680</v>
      </c>
      <c r="C83" s="1115"/>
      <c r="D83" s="1091"/>
      <c r="E83" s="1091"/>
      <c r="F83" s="1091"/>
      <c r="G83" s="1091"/>
      <c r="H83" s="1091"/>
      <c r="I83" s="1091"/>
      <c r="J83" s="1091"/>
      <c r="K83" s="1082"/>
    </row>
    <row r="84" spans="1:11">
      <c r="A84" s="1083"/>
      <c r="B84" s="1084" t="s">
        <v>1681</v>
      </c>
      <c r="C84" s="1078" t="s">
        <v>1653</v>
      </c>
      <c r="D84" s="1079">
        <f>C3/2+0.05</f>
        <v>1.55</v>
      </c>
      <c r="E84" s="1079"/>
      <c r="F84" s="1079"/>
      <c r="G84" s="1079">
        <f>H3-0.4</f>
        <v>1.25</v>
      </c>
      <c r="H84" s="1079">
        <f>2*PI()*D84*G84</f>
        <v>12.173671532660448</v>
      </c>
      <c r="I84" s="1081" t="s">
        <v>47</v>
      </c>
      <c r="J84" s="1081">
        <f>Rates!$F$72</f>
        <v>103.35</v>
      </c>
      <c r="K84" s="1082">
        <f>H84*J84</f>
        <v>1258.1489529004573</v>
      </c>
    </row>
    <row r="85" spans="1:11">
      <c r="A85" s="1083"/>
      <c r="B85" s="1087"/>
      <c r="C85" s="1078"/>
      <c r="D85" s="1079"/>
      <c r="E85" s="1079"/>
      <c r="F85" s="1079"/>
      <c r="G85" s="1079"/>
      <c r="H85" s="1079"/>
      <c r="I85" s="1079"/>
      <c r="J85" s="1079"/>
      <c r="K85" s="1082"/>
    </row>
    <row r="86" spans="1:11">
      <c r="A86" s="1083">
        <v>17</v>
      </c>
      <c r="B86" s="1077" t="s">
        <v>1682</v>
      </c>
      <c r="C86" s="1078"/>
      <c r="D86" s="1079"/>
      <c r="E86" s="1079"/>
      <c r="F86" s="1079"/>
      <c r="G86" s="1079"/>
      <c r="H86" s="1079"/>
      <c r="I86" s="1079"/>
      <c r="J86" s="1079"/>
      <c r="K86" s="1082"/>
    </row>
    <row r="87" spans="1:11">
      <c r="A87" s="1083"/>
      <c r="B87" s="1077" t="s">
        <v>1683</v>
      </c>
      <c r="C87" s="1078" t="s">
        <v>1653</v>
      </c>
      <c r="D87" s="1079">
        <f>C3/2+0.05</f>
        <v>1.55</v>
      </c>
      <c r="E87" s="1079"/>
      <c r="F87" s="1079"/>
      <c r="G87" s="1079">
        <v>0.4</v>
      </c>
      <c r="H87" s="1079">
        <f>2*PI()*D87*G87</f>
        <v>3.8955748904513436</v>
      </c>
      <c r="I87" s="1079"/>
      <c r="J87" s="1079"/>
      <c r="K87" s="1082"/>
    </row>
    <row r="88" spans="1:11">
      <c r="A88" s="1083"/>
      <c r="B88" s="1084" t="s">
        <v>1684</v>
      </c>
      <c r="C88" s="1078"/>
      <c r="D88" s="1087"/>
      <c r="E88" s="1087"/>
      <c r="F88" s="1087"/>
      <c r="G88" s="1087"/>
      <c r="H88" s="1087"/>
      <c r="I88" s="1087"/>
      <c r="J88" s="1087"/>
      <c r="K88" s="1082"/>
    </row>
    <row r="89" spans="1:11">
      <c r="A89" s="1083"/>
      <c r="B89" s="1077" t="s">
        <v>1654</v>
      </c>
      <c r="C89" s="1078" t="s">
        <v>1653</v>
      </c>
      <c r="D89" s="1079">
        <f>((C3+0.1)^2+4*(G89)^2)/(8*(G89))</f>
        <v>2.6525000000000003</v>
      </c>
      <c r="E89" s="1079"/>
      <c r="F89" s="1079"/>
      <c r="G89" s="1079">
        <f>C4</f>
        <v>0.5</v>
      </c>
      <c r="H89" s="1079">
        <f>D89*G89*2*PI()</f>
        <v>8.3330745136469275</v>
      </c>
      <c r="I89" s="1079"/>
      <c r="J89" s="1079"/>
      <c r="K89" s="1082"/>
    </row>
    <row r="90" spans="1:11">
      <c r="A90" s="1083"/>
      <c r="B90" s="1084" t="s">
        <v>1685</v>
      </c>
      <c r="C90" s="1078"/>
      <c r="D90" s="1079"/>
      <c r="E90" s="1087"/>
      <c r="F90" s="1087"/>
      <c r="G90" s="1087"/>
      <c r="H90" s="1087"/>
      <c r="I90" s="1087"/>
      <c r="J90" s="1087"/>
      <c r="K90" s="1082"/>
    </row>
    <row r="91" spans="1:11">
      <c r="A91" s="1083"/>
      <c r="B91" s="1086" t="s">
        <v>1108</v>
      </c>
      <c r="C91" s="1078"/>
      <c r="D91" s="1079"/>
      <c r="E91" s="1079"/>
      <c r="F91" s="1079"/>
      <c r="G91" s="1079"/>
      <c r="H91" s="1079">
        <f>SUM(H87:H90)</f>
        <v>12.22864940409827</v>
      </c>
      <c r="I91" s="1081" t="s">
        <v>47</v>
      </c>
      <c r="J91" s="1081">
        <f>Rates!$F$71</f>
        <v>213.84</v>
      </c>
      <c r="K91" s="1082">
        <f>H91*J91</f>
        <v>2614.9743885723742</v>
      </c>
    </row>
    <row r="92" spans="1:11">
      <c r="A92" s="1083"/>
      <c r="B92" s="1087"/>
      <c r="C92" s="1078"/>
      <c r="D92" s="1079"/>
      <c r="E92" s="1079"/>
      <c r="F92" s="1079"/>
      <c r="G92" s="1079"/>
      <c r="H92" s="1079"/>
      <c r="I92" s="1081"/>
      <c r="J92" s="1081"/>
      <c r="K92" s="1082"/>
    </row>
    <row r="93" spans="1:11">
      <c r="A93" s="1083">
        <v>18</v>
      </c>
      <c r="B93" s="1077" t="s">
        <v>1686</v>
      </c>
      <c r="C93" s="1078"/>
      <c r="D93" s="1079"/>
      <c r="E93" s="1079"/>
      <c r="F93" s="1079"/>
      <c r="G93" s="1079"/>
      <c r="H93" s="1116">
        <v>2</v>
      </c>
      <c r="I93" s="1081" t="s">
        <v>1038</v>
      </c>
      <c r="J93" s="1081">
        <f>MR!$I$42*1.15</f>
        <v>1465.2149999999997</v>
      </c>
      <c r="K93" s="1082">
        <f t="shared" ref="K93:K99" si="0">H93*J93</f>
        <v>2930.4299999999994</v>
      </c>
    </row>
    <row r="94" spans="1:11">
      <c r="A94" s="1083"/>
      <c r="B94" s="1077"/>
      <c r="C94" s="1078"/>
      <c r="D94" s="1079"/>
      <c r="E94" s="1079"/>
      <c r="F94" s="1079"/>
      <c r="G94" s="1079"/>
      <c r="H94" s="1079"/>
      <c r="I94" s="1079"/>
      <c r="J94" s="1079"/>
      <c r="K94" s="1082"/>
    </row>
    <row r="95" spans="1:11">
      <c r="A95" s="1083">
        <v>19</v>
      </c>
      <c r="B95" s="1077" t="s">
        <v>1687</v>
      </c>
      <c r="C95" s="1078"/>
      <c r="D95" s="1079"/>
      <c r="E95" s="1079"/>
      <c r="F95" s="1079"/>
      <c r="G95" s="1079"/>
      <c r="H95" s="1117">
        <v>1</v>
      </c>
      <c r="I95" s="1081" t="s">
        <v>1154</v>
      </c>
      <c r="J95" s="1079">
        <v>700</v>
      </c>
      <c r="K95" s="1082">
        <f t="shared" si="0"/>
        <v>700</v>
      </c>
    </row>
    <row r="96" spans="1:11">
      <c r="A96" s="1083"/>
      <c r="B96" s="1087"/>
      <c r="C96" s="1078"/>
      <c r="D96" s="1079"/>
      <c r="E96" s="1079"/>
      <c r="F96" s="1079"/>
      <c r="G96" s="1079"/>
      <c r="H96" s="1079"/>
      <c r="I96" s="1079"/>
      <c r="J96" s="1079"/>
      <c r="K96" s="1082"/>
    </row>
    <row r="97" spans="1:11">
      <c r="A97" s="1083">
        <v>20</v>
      </c>
      <c r="B97" s="1084" t="s">
        <v>1688</v>
      </c>
      <c r="C97" s="1078">
        <v>1</v>
      </c>
      <c r="D97" s="1079">
        <f>VLOOKUP(C2,data!F$4:J$18,5,FALSE)</f>
        <v>24</v>
      </c>
      <c r="E97" s="1079"/>
      <c r="F97" s="1079"/>
      <c r="G97" s="1079"/>
      <c r="H97" s="1079">
        <f>D97</f>
        <v>24</v>
      </c>
      <c r="I97" s="1081" t="s">
        <v>965</v>
      </c>
      <c r="J97" s="1081">
        <f>'bar+gate'!$J$18</f>
        <v>2472.44</v>
      </c>
      <c r="K97" s="1082">
        <f t="shared" si="0"/>
        <v>59338.559999999998</v>
      </c>
    </row>
    <row r="98" spans="1:11">
      <c r="A98" s="1083"/>
      <c r="B98" s="1087"/>
      <c r="C98" s="1078"/>
      <c r="D98" s="1079"/>
      <c r="E98" s="1079"/>
      <c r="F98" s="1079"/>
      <c r="G98" s="1079"/>
      <c r="H98" s="1079"/>
      <c r="I98" s="1081"/>
      <c r="J98" s="1081"/>
      <c r="K98" s="1082"/>
    </row>
    <row r="99" spans="1:11">
      <c r="A99" s="1083">
        <v>21</v>
      </c>
      <c r="B99" s="1077" t="s">
        <v>1689</v>
      </c>
      <c r="C99" s="1078">
        <v>1</v>
      </c>
      <c r="D99" s="1079"/>
      <c r="E99" s="1079"/>
      <c r="F99" s="1079"/>
      <c r="G99" s="1079"/>
      <c r="H99" s="1079">
        <v>1</v>
      </c>
      <c r="I99" s="1081" t="s">
        <v>963</v>
      </c>
      <c r="J99" s="1081">
        <f>'bar+gate'!$J$42</f>
        <v>19286.280000000002</v>
      </c>
      <c r="K99" s="1082">
        <f t="shared" si="0"/>
        <v>19286.280000000002</v>
      </c>
    </row>
    <row r="100" spans="1:11">
      <c r="A100" s="1098"/>
      <c r="B100" s="1118"/>
      <c r="C100" s="1100"/>
      <c r="D100" s="1101"/>
      <c r="E100" s="1101"/>
      <c r="F100" s="1101"/>
      <c r="G100" s="1101"/>
      <c r="H100" s="1101"/>
      <c r="I100" s="1101"/>
      <c r="J100" s="1101"/>
      <c r="K100" s="1119"/>
    </row>
    <row r="101" spans="1:11">
      <c r="A101" s="1120"/>
      <c r="B101" s="1048" t="s">
        <v>1690</v>
      </c>
      <c r="C101" s="1121"/>
      <c r="D101" s="1122"/>
      <c r="E101" s="1122"/>
      <c r="F101" s="1122"/>
      <c r="G101" s="1122"/>
      <c r="H101" s="1122"/>
      <c r="I101" s="1122"/>
      <c r="J101" s="1122"/>
      <c r="K101" s="1123">
        <f>SUM(K6:K99)</f>
        <v>318596.36138782196</v>
      </c>
    </row>
    <row r="102" spans="1:11" ht="12" customHeight="1">
      <c r="A102" s="1124"/>
      <c r="B102" s="861" t="s">
        <v>1535</v>
      </c>
      <c r="C102" s="1085"/>
      <c r="D102" s="1104"/>
      <c r="E102" s="1104"/>
      <c r="F102" s="1104"/>
      <c r="G102" s="1104"/>
      <c r="H102" s="1104"/>
      <c r="I102" s="1104"/>
      <c r="J102" s="925">
        <f>'Entry for Rates'!$F$114</f>
        <v>13</v>
      </c>
      <c r="K102" s="921">
        <f>J102*K101/100</f>
        <v>41417.526980416857</v>
      </c>
    </row>
    <row r="103" spans="1:11">
      <c r="A103" s="1125"/>
      <c r="B103" s="1126" t="s">
        <v>1691</v>
      </c>
      <c r="C103" s="1127"/>
      <c r="D103" s="1128"/>
      <c r="E103" s="1128"/>
      <c r="F103" s="1128"/>
      <c r="G103" s="1128"/>
      <c r="H103" s="1128"/>
      <c r="I103" s="1128"/>
      <c r="J103" s="1129" t="s">
        <v>107</v>
      </c>
      <c r="K103" s="1130">
        <f>+K102+K101</f>
        <v>360013.88836823881</v>
      </c>
    </row>
    <row r="104" spans="1:11" ht="23.25">
      <c r="A104" s="1054" t="s">
        <v>1613</v>
      </c>
      <c r="B104" s="1054"/>
      <c r="C104" s="1054"/>
      <c r="D104" s="1054"/>
      <c r="E104" s="1054"/>
      <c r="F104" s="1054"/>
      <c r="G104" s="1054"/>
      <c r="H104" s="1054"/>
      <c r="I104" s="1054"/>
      <c r="J104" s="1054"/>
      <c r="K104" s="1054"/>
    </row>
    <row r="105" spans="1:11" ht="23.25">
      <c r="A105" s="1058"/>
      <c r="B105" s="1058"/>
      <c r="C105" s="1059">
        <v>20</v>
      </c>
      <c r="D105" s="1059"/>
      <c r="E105" s="1059"/>
      <c r="F105" s="1058"/>
      <c r="G105" s="1058"/>
      <c r="H105" s="1058"/>
      <c r="I105" s="1058"/>
      <c r="J105" s="1058"/>
    </row>
    <row r="106" spans="1:11" ht="12" customHeight="1">
      <c r="A106" s="1061"/>
      <c r="B106" s="1062" t="s">
        <v>1614</v>
      </c>
      <c r="C106" s="1063">
        <f>VLOOKUP(C105,data!F$4:I$18,4,FALSE)</f>
        <v>4</v>
      </c>
      <c r="D106" s="1064" t="s">
        <v>965</v>
      </c>
      <c r="G106" s="1062" t="s">
        <v>1615</v>
      </c>
      <c r="H106" s="1065">
        <f>VLOOKUP(C105,data!F$4:H$18,3,FALSE)</f>
        <v>1.8</v>
      </c>
      <c r="I106" s="1061" t="s">
        <v>965</v>
      </c>
      <c r="J106" s="1061"/>
      <c r="K106" s="1066"/>
    </row>
    <row r="107" spans="1:11" ht="12" customHeight="1">
      <c r="A107" s="1061"/>
      <c r="B107" s="1062" t="s">
        <v>1616</v>
      </c>
      <c r="C107" s="1067">
        <f>VLOOKUP(C105,data!F$4:G$18,2,FALSE)</f>
        <v>0.7</v>
      </c>
      <c r="D107" s="1064" t="s">
        <v>965</v>
      </c>
      <c r="E107" s="1064"/>
      <c r="F107" s="1062" t="s">
        <v>1617</v>
      </c>
      <c r="G107" s="1068">
        <v>1</v>
      </c>
      <c r="H107" s="1068"/>
      <c r="I107" s="1061"/>
      <c r="J107" s="1061"/>
      <c r="K107" s="1066">
        <f>+K205</f>
        <v>485383.00037941989</v>
      </c>
    </row>
    <row r="108" spans="1:11" ht="12" customHeight="1">
      <c r="A108" s="1070" t="s">
        <v>961</v>
      </c>
      <c r="B108" s="1071" t="s">
        <v>1423</v>
      </c>
      <c r="C108" s="1072" t="s">
        <v>1087</v>
      </c>
      <c r="D108" s="1071" t="s">
        <v>1618</v>
      </c>
      <c r="E108" s="1073" t="s">
        <v>1619</v>
      </c>
      <c r="F108" s="1071" t="s">
        <v>23</v>
      </c>
      <c r="G108" s="1071" t="s">
        <v>24</v>
      </c>
      <c r="H108" s="1071" t="s">
        <v>1620</v>
      </c>
      <c r="I108" s="1071" t="s">
        <v>1035</v>
      </c>
      <c r="J108" s="1074" t="s">
        <v>1621</v>
      </c>
      <c r="K108" s="1075" t="s">
        <v>52</v>
      </c>
    </row>
    <row r="109" spans="1:11" ht="12" customHeight="1">
      <c r="A109" s="1076">
        <v>1</v>
      </c>
      <c r="B109" s="1077" t="s">
        <v>1622</v>
      </c>
      <c r="C109" s="1078"/>
      <c r="D109" s="1079"/>
      <c r="E109" s="1079">
        <f>ROUND(C106+4,0)</f>
        <v>8</v>
      </c>
      <c r="F109" s="1079">
        <f>ROUND(C106+2,0)</f>
        <v>6</v>
      </c>
      <c r="G109" s="1079"/>
      <c r="H109" s="1080">
        <f>E109*F109</f>
        <v>48</v>
      </c>
      <c r="I109" s="1081" t="s">
        <v>47</v>
      </c>
      <c r="J109" s="1081">
        <f>Rates!$F$7</f>
        <v>149.5</v>
      </c>
      <c r="K109" s="1082">
        <f>H109*J109</f>
        <v>7176</v>
      </c>
    </row>
    <row r="110" spans="1:11" ht="12" customHeight="1">
      <c r="A110" s="1083">
        <v>2</v>
      </c>
      <c r="B110" s="1084" t="s">
        <v>1623</v>
      </c>
      <c r="C110" s="1078"/>
      <c r="D110" s="1079"/>
      <c r="E110" s="1079"/>
      <c r="F110" s="1079"/>
      <c r="G110" s="1079"/>
      <c r="H110" s="1079"/>
      <c r="I110" s="1079"/>
      <c r="J110" s="1079"/>
      <c r="K110" s="1082"/>
    </row>
    <row r="111" spans="1:11" ht="12" customHeight="1">
      <c r="A111" s="1083"/>
      <c r="B111" s="1086" t="s">
        <v>1624</v>
      </c>
      <c r="C111" s="1078"/>
      <c r="D111" s="1079"/>
      <c r="E111" s="1079">
        <v>1.7</v>
      </c>
      <c r="F111" s="1079">
        <v>1.5</v>
      </c>
      <c r="G111" s="1079">
        <v>1.3</v>
      </c>
      <c r="H111" s="1079">
        <f>E111*F111*G111</f>
        <v>3.3149999999999999</v>
      </c>
      <c r="I111" s="1087"/>
      <c r="J111" s="1087"/>
      <c r="K111" s="1082"/>
    </row>
    <row r="112" spans="1:11" ht="12" customHeight="1">
      <c r="A112" s="1083"/>
      <c r="B112" s="1086" t="s">
        <v>1625</v>
      </c>
      <c r="C112" s="1078" t="s">
        <v>1626</v>
      </c>
      <c r="D112" s="1079">
        <f>C106/2+0.05+0.75</f>
        <v>2.8</v>
      </c>
      <c r="E112" s="1079">
        <f>D112</f>
        <v>2.8</v>
      </c>
      <c r="F112" s="1081" t="s">
        <v>1627</v>
      </c>
      <c r="G112" s="1079">
        <f>H106+0.3-0.4</f>
        <v>1.7000000000000002</v>
      </c>
      <c r="H112" s="1079">
        <f>IF(C112="π",PI()*D112*E112*G112,IF(C112="2π",2*PI()*D112*E112*G112,"Change"))</f>
        <v>41.871146887044766</v>
      </c>
      <c r="I112" s="1087"/>
      <c r="J112" s="1087"/>
      <c r="K112" s="1082"/>
    </row>
    <row r="113" spans="1:11" ht="12" customHeight="1">
      <c r="A113" s="1083"/>
      <c r="B113" s="1084" t="s">
        <v>1628</v>
      </c>
      <c r="C113" s="1078"/>
      <c r="D113" s="1079"/>
      <c r="E113" s="1079"/>
      <c r="F113" s="1079"/>
      <c r="G113" s="1079"/>
      <c r="H113" s="1079"/>
      <c r="I113" s="1087"/>
      <c r="J113" s="1087"/>
      <c r="K113" s="1082"/>
    </row>
    <row r="114" spans="1:11" ht="12" customHeight="1">
      <c r="A114" s="1083"/>
      <c r="B114" s="1086" t="s">
        <v>1108</v>
      </c>
      <c r="C114" s="1078"/>
      <c r="D114" s="1079"/>
      <c r="E114" s="1079"/>
      <c r="F114" s="1079"/>
      <c r="G114" s="1079"/>
      <c r="H114" s="1079">
        <f>SUM(H111:H113)</f>
        <v>45.186146887044764</v>
      </c>
      <c r="I114" s="1081" t="s">
        <v>29</v>
      </c>
      <c r="J114" s="1081">
        <f>Rates!$F$9</f>
        <v>1480.63</v>
      </c>
      <c r="K114" s="1082">
        <f>H114*J114</f>
        <v>66903.9646653651</v>
      </c>
    </row>
    <row r="115" spans="1:11" ht="12" customHeight="1">
      <c r="A115" s="1083">
        <v>3</v>
      </c>
      <c r="B115" s="1077" t="s">
        <v>1629</v>
      </c>
      <c r="C115" s="1078"/>
      <c r="D115" s="1079"/>
      <c r="E115" s="1079"/>
      <c r="F115" s="1079"/>
      <c r="G115" s="1079"/>
      <c r="H115" s="1079"/>
      <c r="I115" s="1087"/>
      <c r="J115" s="1087"/>
      <c r="K115" s="1082"/>
    </row>
    <row r="116" spans="1:11" ht="12" customHeight="1">
      <c r="A116" s="1083"/>
      <c r="B116" s="1086" t="s">
        <v>1630</v>
      </c>
      <c r="C116" s="1078" t="s">
        <v>1626</v>
      </c>
      <c r="D116" s="1079">
        <f>D112</f>
        <v>2.8</v>
      </c>
      <c r="E116" s="1079">
        <f>D112</f>
        <v>2.8</v>
      </c>
      <c r="F116" s="1081" t="s">
        <v>1627</v>
      </c>
      <c r="G116" s="1079">
        <f>G112-0.5</f>
        <v>1.2000000000000002</v>
      </c>
      <c r="H116" s="1079">
        <f>IF(C116="π",PI()*D116*E116*G116,IF(C116="2π",2*PI()*D116*E116*G116,"Change"))</f>
        <v>29.556103684972776</v>
      </c>
      <c r="I116" s="1088" t="s">
        <v>29</v>
      </c>
      <c r="J116" s="1088"/>
      <c r="K116" s="1082"/>
    </row>
    <row r="117" spans="1:11" ht="12" customHeight="1">
      <c r="A117" s="1083"/>
      <c r="B117" s="1086" t="s">
        <v>1631</v>
      </c>
      <c r="C117" s="1078" t="s">
        <v>1626</v>
      </c>
      <c r="D117" s="1079">
        <f>C106/2+0.05</f>
        <v>2.0499999999999998</v>
      </c>
      <c r="E117" s="1079">
        <f>D117</f>
        <v>2.0499999999999998</v>
      </c>
      <c r="F117" s="1081" t="s">
        <v>1627</v>
      </c>
      <c r="G117" s="1079">
        <f>G116</f>
        <v>1.2000000000000002</v>
      </c>
      <c r="H117" s="1079">
        <f>-PI()*D117*E117*G117</f>
        <v>-15.843051752053325</v>
      </c>
      <c r="I117" s="1088" t="s">
        <v>29</v>
      </c>
      <c r="J117" s="1088"/>
      <c r="K117" s="1082"/>
    </row>
    <row r="118" spans="1:11" ht="12" customHeight="1">
      <c r="A118" s="1083"/>
      <c r="B118" s="1086" t="s">
        <v>1632</v>
      </c>
      <c r="C118" s="1078"/>
      <c r="D118" s="1079"/>
      <c r="E118" s="1079"/>
      <c r="F118" s="1079"/>
      <c r="G118" s="1079"/>
      <c r="H118" s="1079">
        <f>H116+H117</f>
        <v>13.71305193291945</v>
      </c>
      <c r="I118" s="1079" t="str">
        <f>I114</f>
        <v>m³</v>
      </c>
      <c r="J118" s="1081">
        <f>Rates!$F$15</f>
        <v>746.24</v>
      </c>
      <c r="K118" s="1082">
        <f>H118*J118</f>
        <v>10233.227874421811</v>
      </c>
    </row>
    <row r="119" spans="1:11" ht="12" customHeight="1">
      <c r="A119" s="1083">
        <v>4</v>
      </c>
      <c r="B119" s="1077" t="s">
        <v>1633</v>
      </c>
      <c r="C119" s="1078"/>
      <c r="D119" s="1079"/>
      <c r="E119" s="1079"/>
      <c r="F119" s="1079"/>
      <c r="G119" s="1079"/>
      <c r="H119" s="1079"/>
      <c r="I119" s="1079"/>
      <c r="J119" s="1079"/>
      <c r="K119" s="1082"/>
    </row>
    <row r="120" spans="1:11" ht="12" customHeight="1">
      <c r="A120" s="1083"/>
      <c r="B120" s="1086" t="s">
        <v>1624</v>
      </c>
      <c r="C120" s="1078"/>
      <c r="D120" s="1079"/>
      <c r="E120" s="1079">
        <v>1.7</v>
      </c>
      <c r="F120" s="1079">
        <v>1.5</v>
      </c>
      <c r="G120" s="1079">
        <v>0.15</v>
      </c>
      <c r="H120" s="1079">
        <f>E120*F120*G120</f>
        <v>0.38249999999999995</v>
      </c>
      <c r="I120" s="1079"/>
      <c r="J120" s="1079"/>
      <c r="K120" s="1082"/>
    </row>
    <row r="121" spans="1:11" ht="12" customHeight="1">
      <c r="A121" s="1083"/>
      <c r="B121" s="1086" t="s">
        <v>1625</v>
      </c>
      <c r="C121" s="1078" t="s">
        <v>1626</v>
      </c>
      <c r="D121" s="1079">
        <f>C106/2+0.05+0.25</f>
        <v>2.2999999999999998</v>
      </c>
      <c r="E121" s="1079">
        <f>D121</f>
        <v>2.2999999999999998</v>
      </c>
      <c r="F121" s="1079" t="s">
        <v>1634</v>
      </c>
      <c r="G121" s="1079">
        <v>0.2</v>
      </c>
      <c r="H121" s="1079">
        <f>IF(C121="π",PI()*D121*E121*G121,IF(C121="2π",2*PI()*D121*E121*G121,"Change"))</f>
        <v>3.3238050274980004</v>
      </c>
      <c r="I121" s="1079"/>
      <c r="J121" s="1079"/>
      <c r="K121" s="1082"/>
    </row>
    <row r="122" spans="1:11" ht="12" customHeight="1">
      <c r="A122" s="1083"/>
      <c r="B122" s="1089" t="s">
        <v>1635</v>
      </c>
      <c r="C122" s="1078"/>
      <c r="D122" s="1079"/>
      <c r="E122" s="1079"/>
      <c r="F122" s="1079"/>
      <c r="G122" s="1079"/>
      <c r="H122" s="1079"/>
      <c r="I122" s="1087"/>
      <c r="J122" s="1087"/>
      <c r="K122" s="1082"/>
    </row>
    <row r="123" spans="1:11" ht="12" customHeight="1">
      <c r="A123" s="1083"/>
      <c r="B123" s="1086" t="s">
        <v>1636</v>
      </c>
      <c r="C123" s="1078"/>
      <c r="D123" s="1079"/>
      <c r="E123" s="1079">
        <v>1.7</v>
      </c>
      <c r="F123" s="1079">
        <v>0.4</v>
      </c>
      <c r="G123" s="1079">
        <v>0.2</v>
      </c>
      <c r="H123" s="1079">
        <f>-E123*F123*G123</f>
        <v>-0.13600000000000001</v>
      </c>
      <c r="I123" s="1087"/>
      <c r="J123" s="1087"/>
      <c r="K123" s="1082"/>
    </row>
    <row r="124" spans="1:11" ht="12" customHeight="1">
      <c r="A124" s="1083"/>
      <c r="B124" s="1086" t="s">
        <v>1108</v>
      </c>
      <c r="C124" s="1078"/>
      <c r="D124" s="1079"/>
      <c r="E124" s="1087"/>
      <c r="F124" s="1087"/>
      <c r="G124" s="1087"/>
      <c r="H124" s="1079">
        <f>H120+H121+H123</f>
        <v>3.5703050274980002</v>
      </c>
      <c r="I124" s="1081" t="s">
        <v>29</v>
      </c>
      <c r="J124" s="1081">
        <f>Rates!$F$19</f>
        <v>5523.35</v>
      </c>
      <c r="K124" s="1082">
        <f>H124*J124</f>
        <v>19720.04427363108</v>
      </c>
    </row>
    <row r="125" spans="1:11" ht="12" customHeight="1">
      <c r="A125" s="1083">
        <v>5</v>
      </c>
      <c r="B125" s="1077" t="s">
        <v>1637</v>
      </c>
      <c r="C125" s="1078"/>
      <c r="D125" s="1079"/>
      <c r="E125" s="1079"/>
      <c r="F125" s="1079"/>
      <c r="G125" s="1079"/>
      <c r="H125" s="1079"/>
      <c r="I125" s="1079"/>
      <c r="J125" s="1079"/>
      <c r="K125" s="1082"/>
    </row>
    <row r="126" spans="1:11" ht="12" customHeight="1">
      <c r="A126" s="1083"/>
      <c r="B126" s="1086" t="s">
        <v>1624</v>
      </c>
      <c r="C126" s="1078"/>
      <c r="D126" s="1079"/>
      <c r="E126" s="1079">
        <v>5</v>
      </c>
      <c r="F126" s="1079">
        <v>0.35</v>
      </c>
      <c r="G126" s="1079">
        <v>1.1499999999999999</v>
      </c>
      <c r="H126" s="1079">
        <f>E126*F126*G126</f>
        <v>2.0124999999999997</v>
      </c>
      <c r="I126" s="1081" t="s">
        <v>29</v>
      </c>
      <c r="J126" s="1081">
        <f>Rates!$F$25</f>
        <v>14917.39</v>
      </c>
      <c r="K126" s="1082">
        <f>H126*J126</f>
        <v>30021.247374999995</v>
      </c>
    </row>
    <row r="127" spans="1:11" ht="12" customHeight="1">
      <c r="A127" s="1083">
        <v>6</v>
      </c>
      <c r="B127" s="1077" t="s">
        <v>1638</v>
      </c>
      <c r="C127" s="1078"/>
      <c r="D127" s="1079"/>
      <c r="E127" s="1079"/>
      <c r="F127" s="1079"/>
      <c r="G127" s="1079"/>
      <c r="H127" s="1079"/>
      <c r="I127" s="1079"/>
      <c r="J127" s="1079"/>
      <c r="K127" s="1082"/>
    </row>
    <row r="128" spans="1:11" ht="12" customHeight="1">
      <c r="A128" s="1083"/>
      <c r="B128" s="1086" t="s">
        <v>1639</v>
      </c>
      <c r="C128" s="1078"/>
      <c r="D128" s="1079"/>
      <c r="E128" s="1079">
        <v>1.7</v>
      </c>
      <c r="F128" s="1079">
        <v>1.5</v>
      </c>
      <c r="G128" s="1079">
        <v>0.1</v>
      </c>
      <c r="H128" s="1090">
        <f>E128*F128*G128</f>
        <v>0.255</v>
      </c>
      <c r="I128" s="1079"/>
      <c r="J128" s="1079"/>
      <c r="K128" s="1082"/>
    </row>
    <row r="129" spans="1:11" ht="12" customHeight="1">
      <c r="A129" s="1083"/>
      <c r="B129" s="1086" t="s">
        <v>1640</v>
      </c>
      <c r="C129" s="1078" t="s">
        <v>1626</v>
      </c>
      <c r="D129" s="1079">
        <v>0.3</v>
      </c>
      <c r="E129" s="1079">
        <v>0.3</v>
      </c>
      <c r="F129" s="1079" t="s">
        <v>1634</v>
      </c>
      <c r="G129" s="1079">
        <v>0.05</v>
      </c>
      <c r="H129" s="1090">
        <f>-IF(C129="π",PI()*D129*E129*G129,IF(C129="2π",2*PI()*D129*E129*G129,"Change"))</f>
        <v>-1.4137166941154071E-2</v>
      </c>
      <c r="I129" s="1079"/>
      <c r="J129" s="1079"/>
      <c r="K129" s="1082"/>
    </row>
    <row r="130" spans="1:11" ht="12" customHeight="1">
      <c r="A130" s="1083"/>
      <c r="B130" s="1089" t="s">
        <v>1641</v>
      </c>
      <c r="C130" s="1078"/>
      <c r="D130" s="1087"/>
      <c r="E130" s="1087"/>
      <c r="F130" s="1087"/>
      <c r="G130" s="1087"/>
      <c r="H130" s="1090"/>
      <c r="I130" s="1087"/>
      <c r="J130" s="1087"/>
      <c r="K130" s="1082"/>
    </row>
    <row r="131" spans="1:11" ht="12" customHeight="1">
      <c r="A131" s="1083"/>
      <c r="B131" s="1086" t="s">
        <v>1642</v>
      </c>
      <c r="C131" s="1078" t="s">
        <v>1626</v>
      </c>
      <c r="D131" s="1079">
        <v>0.3</v>
      </c>
      <c r="E131" s="1079">
        <v>0.3</v>
      </c>
      <c r="F131" s="1079" t="s">
        <v>1527</v>
      </c>
      <c r="G131" s="1079">
        <v>0.05</v>
      </c>
      <c r="H131" s="1090">
        <f>IF(C131="π",PI()*D131*E131*G131,IF(C131="2π",2*PI()*D131*E131*G131,"Change"))</f>
        <v>1.4137166941154071E-2</v>
      </c>
      <c r="I131" s="1079"/>
      <c r="J131" s="1079"/>
      <c r="K131" s="1082"/>
    </row>
    <row r="132" spans="1:11" ht="12" customHeight="1">
      <c r="A132" s="1083"/>
      <c r="B132" s="1086" t="s">
        <v>1508</v>
      </c>
      <c r="C132" s="1078">
        <v>2</v>
      </c>
      <c r="D132" s="1079"/>
      <c r="E132" s="1079">
        <v>1</v>
      </c>
      <c r="F132" s="1079">
        <v>0.35</v>
      </c>
      <c r="G132" s="1079">
        <v>0.2</v>
      </c>
      <c r="H132" s="1090">
        <f>C132*E132*F132*G132</f>
        <v>0.13999999999999999</v>
      </c>
      <c r="I132" s="1079"/>
      <c r="J132" s="1079"/>
      <c r="K132" s="1082"/>
    </row>
    <row r="133" spans="1:11" ht="12" customHeight="1">
      <c r="A133" s="1083"/>
      <c r="B133" s="1086" t="s">
        <v>1108</v>
      </c>
      <c r="C133" s="1078"/>
      <c r="D133" s="1079"/>
      <c r="E133" s="1079"/>
      <c r="F133" s="1079"/>
      <c r="G133" s="1079"/>
      <c r="H133" s="1090">
        <f>SUM(H128:H132)</f>
        <v>0.39500000000000002</v>
      </c>
      <c r="I133" s="1081" t="s">
        <v>29</v>
      </c>
      <c r="J133" s="1081">
        <f>Rates!$F$32</f>
        <v>16022.87</v>
      </c>
      <c r="K133" s="1082">
        <f>H133*J133</f>
        <v>6329.0336500000003</v>
      </c>
    </row>
    <row r="134" spans="1:11" ht="12" customHeight="1">
      <c r="A134" s="1083">
        <v>7</v>
      </c>
      <c r="B134" s="1077" t="s">
        <v>1643</v>
      </c>
      <c r="C134" s="1078"/>
      <c r="D134" s="1079"/>
      <c r="E134" s="1079"/>
      <c r="F134" s="1079"/>
      <c r="G134" s="1079"/>
      <c r="H134" s="1079"/>
      <c r="I134" s="1091"/>
      <c r="J134" s="1091"/>
      <c r="K134" s="1082"/>
    </row>
    <row r="135" spans="1:11" ht="12" customHeight="1">
      <c r="A135" s="1083"/>
      <c r="B135" s="1084" t="s">
        <v>1644</v>
      </c>
      <c r="C135" s="1078" t="s">
        <v>1626</v>
      </c>
      <c r="D135" s="1079">
        <f>C106/2+0.05+0.1</f>
        <v>2.15</v>
      </c>
      <c r="E135" s="1079">
        <f>D135</f>
        <v>2.15</v>
      </c>
      <c r="F135" s="1079" t="s">
        <v>1627</v>
      </c>
      <c r="G135" s="1090">
        <f>(0.1+0.15)/2</f>
        <v>0.125</v>
      </c>
      <c r="H135" s="1090">
        <f>PI()*D135*E135*G135</f>
        <v>1.8152515051523523</v>
      </c>
      <c r="I135" s="1081" t="s">
        <v>29</v>
      </c>
      <c r="J135" s="1081">
        <f>Rates!$F$33</f>
        <v>17163.13</v>
      </c>
      <c r="K135" s="1082">
        <f>H135*J135</f>
        <v>31155.397565625495</v>
      </c>
    </row>
    <row r="136" spans="1:11" ht="12" customHeight="1">
      <c r="A136" s="1083">
        <v>8</v>
      </c>
      <c r="B136" s="1077" t="s">
        <v>1521</v>
      </c>
      <c r="C136" s="1078"/>
      <c r="D136" s="1079"/>
      <c r="E136" s="1079"/>
      <c r="F136" s="1079"/>
      <c r="G136" s="1079"/>
      <c r="H136" s="1079"/>
      <c r="I136" s="1079"/>
      <c r="J136" s="1079"/>
      <c r="K136" s="1082"/>
    </row>
    <row r="137" spans="1:11" ht="12" customHeight="1">
      <c r="A137" s="1083"/>
      <c r="B137" s="1077" t="s">
        <v>1645</v>
      </c>
      <c r="C137" s="1078"/>
      <c r="D137" s="1079"/>
      <c r="E137" s="1079"/>
      <c r="F137" s="1079"/>
      <c r="G137" s="1079"/>
      <c r="H137" s="1079"/>
      <c r="I137" s="1079"/>
      <c r="J137" s="1079"/>
      <c r="K137" s="1082"/>
    </row>
    <row r="138" spans="1:11" ht="12" customHeight="1">
      <c r="A138" s="1083"/>
      <c r="B138" s="1086" t="s">
        <v>1646</v>
      </c>
      <c r="C138" s="1092">
        <v>11</v>
      </c>
      <c r="D138" s="1093">
        <v>1.7</v>
      </c>
      <c r="E138" s="1079"/>
      <c r="F138" s="1094">
        <v>0.39500000000000002</v>
      </c>
      <c r="G138" s="1095"/>
      <c r="H138" s="1079">
        <f>ROUND(C138*D138*F138,2)</f>
        <v>7.39</v>
      </c>
      <c r="I138" s="1079"/>
      <c r="J138" s="1079"/>
      <c r="K138" s="1082"/>
    </row>
    <row r="139" spans="1:11" ht="12" customHeight="1">
      <c r="A139" s="1083"/>
      <c r="B139" s="1086" t="s">
        <v>1647</v>
      </c>
      <c r="C139" s="1092">
        <v>12</v>
      </c>
      <c r="D139" s="1093">
        <v>1.5</v>
      </c>
      <c r="E139" s="1079"/>
      <c r="F139" s="1094">
        <v>0.39500000000000002</v>
      </c>
      <c r="G139" s="1095"/>
      <c r="H139" s="1079">
        <f>ROUND(C139*D139*F139,2)</f>
        <v>7.11</v>
      </c>
      <c r="I139" s="1079"/>
      <c r="J139" s="1079"/>
      <c r="K139" s="1082"/>
    </row>
    <row r="140" spans="1:11" ht="12" customHeight="1">
      <c r="A140" s="1083"/>
      <c r="B140" s="1086" t="s">
        <v>1640</v>
      </c>
      <c r="C140" s="1092">
        <v>8</v>
      </c>
      <c r="D140" s="1093">
        <v>0.6</v>
      </c>
      <c r="E140" s="1079"/>
      <c r="F140" s="1094">
        <v>0.39500000000000002</v>
      </c>
      <c r="G140" s="1095"/>
      <c r="H140" s="1079">
        <f>-ROUND(C140*D140*F140,2)</f>
        <v>-1.9</v>
      </c>
      <c r="I140" s="1079"/>
      <c r="J140" s="1079"/>
      <c r="K140" s="1082"/>
    </row>
    <row r="141" spans="1:11" ht="12" customHeight="1">
      <c r="A141" s="1083"/>
      <c r="B141" s="1086" t="s">
        <v>1108</v>
      </c>
      <c r="C141" s="1078"/>
      <c r="D141" s="1079"/>
      <c r="E141" s="1079"/>
      <c r="F141" s="1096"/>
      <c r="G141" s="1079"/>
      <c r="H141" s="1079">
        <f>SUM(H138:H140)</f>
        <v>12.6</v>
      </c>
      <c r="I141" s="1081" t="s">
        <v>1034</v>
      </c>
      <c r="J141" s="1081">
        <f>Rates!$F$39</f>
        <v>125.35</v>
      </c>
      <c r="K141" s="1082">
        <f>H141*J141</f>
        <v>1579.4099999999999</v>
      </c>
    </row>
    <row r="142" spans="1:11" ht="12" customHeight="1">
      <c r="A142" s="1083">
        <v>9</v>
      </c>
      <c r="B142" s="1077" t="s">
        <v>1648</v>
      </c>
      <c r="C142" s="1078"/>
      <c r="D142" s="1079"/>
      <c r="E142" s="1079"/>
      <c r="F142" s="1079"/>
      <c r="G142" s="1079"/>
      <c r="H142" s="1079"/>
      <c r="I142" s="1079"/>
      <c r="J142" s="1079"/>
      <c r="K142" s="1082"/>
    </row>
    <row r="143" spans="1:11" ht="12" customHeight="1">
      <c r="A143" s="1083"/>
      <c r="B143" s="1086" t="s">
        <v>1649</v>
      </c>
      <c r="C143" s="1078"/>
      <c r="D143" s="1079"/>
      <c r="E143" s="1079">
        <v>1</v>
      </c>
      <c r="F143" s="1079">
        <v>0.8</v>
      </c>
      <c r="G143" s="1079"/>
      <c r="H143" s="1079">
        <f>E143*F143</f>
        <v>0.8</v>
      </c>
      <c r="I143" s="1079"/>
      <c r="J143" s="1079"/>
      <c r="K143" s="1082"/>
    </row>
    <row r="144" spans="1:11" ht="12" customHeight="1">
      <c r="A144" s="1083"/>
      <c r="B144" s="1086" t="s">
        <v>1650</v>
      </c>
      <c r="C144" s="1078"/>
      <c r="D144" s="1079"/>
      <c r="E144" s="1079">
        <v>6.4</v>
      </c>
      <c r="F144" s="1081" t="s">
        <v>44</v>
      </c>
      <c r="G144" s="1079">
        <v>0.1</v>
      </c>
      <c r="H144" s="1079">
        <f>E144*G144</f>
        <v>0.64000000000000012</v>
      </c>
      <c r="I144" s="1079"/>
      <c r="J144" s="1079"/>
      <c r="K144" s="1082"/>
    </row>
    <row r="145" spans="1:11" ht="12" customHeight="1">
      <c r="A145" s="1083"/>
      <c r="B145" s="1086" t="s">
        <v>1640</v>
      </c>
      <c r="C145" s="1078" t="s">
        <v>1626</v>
      </c>
      <c r="D145" s="1079">
        <v>0.3</v>
      </c>
      <c r="E145" s="1079">
        <v>0.3</v>
      </c>
      <c r="F145" s="1079"/>
      <c r="G145" s="1079"/>
      <c r="H145" s="1090">
        <f>-IF(C145="π",PI()*D145*E145,IF(C145="2π",2*PI()*D145*E145,"Change"))</f>
        <v>-0.28274333882308139</v>
      </c>
      <c r="I145" s="1087"/>
      <c r="J145" s="1087"/>
      <c r="K145" s="1082"/>
    </row>
    <row r="146" spans="1:11" ht="12" customHeight="1">
      <c r="A146" s="1083"/>
      <c r="B146" s="1086" t="s">
        <v>1108</v>
      </c>
      <c r="C146" s="1078"/>
      <c r="D146" s="1079"/>
      <c r="E146" s="1079"/>
      <c r="F146" s="1079"/>
      <c r="G146" s="1079"/>
      <c r="H146" s="1079">
        <f>SUM(H143:H145)</f>
        <v>1.1572566611769188</v>
      </c>
      <c r="I146" s="1081" t="s">
        <v>47</v>
      </c>
      <c r="J146" s="1081">
        <f>Rates!$F$40</f>
        <v>1322.68</v>
      </c>
      <c r="K146" s="1082">
        <f>H146*J146</f>
        <v>1530.6802406054871</v>
      </c>
    </row>
    <row r="147" spans="1:11" ht="12" customHeight="1">
      <c r="A147" s="1083">
        <v>10</v>
      </c>
      <c r="B147" s="1077" t="s">
        <v>1651</v>
      </c>
      <c r="C147" s="1078"/>
      <c r="D147" s="1079"/>
      <c r="E147" s="1079"/>
      <c r="F147" s="1079"/>
      <c r="G147" s="1079"/>
      <c r="H147" s="1079"/>
      <c r="I147" s="1079"/>
      <c r="J147" s="1079"/>
      <c r="K147" s="1082"/>
    </row>
    <row r="148" spans="1:11" ht="12" customHeight="1">
      <c r="A148" s="1083"/>
      <c r="B148" s="1077" t="s">
        <v>1652</v>
      </c>
      <c r="C148" s="1078" t="s">
        <v>1653</v>
      </c>
      <c r="D148" s="1079">
        <f>C106/2+0.025</f>
        <v>2.0249999999999999</v>
      </c>
      <c r="E148" s="1079"/>
      <c r="F148" s="1079" t="s">
        <v>1634</v>
      </c>
      <c r="G148" s="1079">
        <f>H106</f>
        <v>1.8</v>
      </c>
      <c r="H148" s="1079">
        <f>2*PI()*D148*G148</f>
        <v>22.902210444669592</v>
      </c>
      <c r="I148" s="1079"/>
      <c r="J148" s="1079"/>
      <c r="K148" s="1082"/>
    </row>
    <row r="149" spans="1:11" ht="12" customHeight="1">
      <c r="A149" s="1083"/>
      <c r="B149" s="1077" t="s">
        <v>1654</v>
      </c>
      <c r="C149" s="1078" t="s">
        <v>1653</v>
      </c>
      <c r="D149" s="1079">
        <f>((C106+0.05)^2+4*(C107^2))/8/C107</f>
        <v>3.2790178571428577</v>
      </c>
      <c r="E149" s="1079"/>
      <c r="F149" s="1079"/>
      <c r="G149" s="1079">
        <f>C107</f>
        <v>0.7</v>
      </c>
      <c r="H149" s="1079">
        <f>2*PI()*D149*G149</f>
        <v>14.421873775385643</v>
      </c>
      <c r="I149" s="1079"/>
      <c r="J149" s="1079"/>
      <c r="K149" s="1082"/>
    </row>
    <row r="150" spans="1:11" ht="12" customHeight="1">
      <c r="A150" s="1083"/>
      <c r="B150" s="1084" t="s">
        <v>1655</v>
      </c>
      <c r="C150" s="1078"/>
      <c r="D150" s="1087"/>
      <c r="E150" s="1087"/>
      <c r="F150" s="1087"/>
      <c r="G150" s="1087"/>
      <c r="H150" s="1087"/>
      <c r="I150" s="1087"/>
      <c r="J150" s="1087"/>
      <c r="K150" s="1082"/>
    </row>
    <row r="151" spans="1:11" ht="12" customHeight="1">
      <c r="A151" s="1083"/>
      <c r="B151" s="1084" t="s">
        <v>1656</v>
      </c>
      <c r="C151" s="1078" t="s">
        <v>1626</v>
      </c>
      <c r="D151" s="1079">
        <v>0.3</v>
      </c>
      <c r="E151" s="1079">
        <v>0.3</v>
      </c>
      <c r="F151" s="1079"/>
      <c r="G151" s="1079"/>
      <c r="H151" s="1079">
        <f>-D151*E151*PI()</f>
        <v>-0.28274333882308139</v>
      </c>
      <c r="I151" s="1079"/>
      <c r="J151" s="1081"/>
      <c r="K151" s="1082"/>
    </row>
    <row r="152" spans="1:11" ht="12" customHeight="1">
      <c r="A152" s="1083"/>
      <c r="B152" s="1086" t="s">
        <v>1520</v>
      </c>
      <c r="C152" s="1078"/>
      <c r="D152" s="1079"/>
      <c r="E152" s="1079"/>
      <c r="F152" s="1079"/>
      <c r="G152" s="1079"/>
      <c r="H152" s="1079">
        <f>SUM(H148:H151)</f>
        <v>37.041340881232152</v>
      </c>
      <c r="I152" s="1081" t="s">
        <v>47</v>
      </c>
      <c r="J152" s="1081">
        <f>Rates!$F$42</f>
        <v>490.15</v>
      </c>
      <c r="K152" s="1082">
        <f>H152*J152</f>
        <v>18155.81323293594</v>
      </c>
    </row>
    <row r="153" spans="1:11" ht="12" customHeight="1">
      <c r="A153" s="1098"/>
      <c r="B153" s="1099"/>
      <c r="C153" s="1100"/>
      <c r="D153" s="1101"/>
      <c r="E153" s="1101"/>
      <c r="F153" s="1101"/>
      <c r="G153" s="1101"/>
      <c r="H153" s="1101"/>
      <c r="I153" s="1102"/>
      <c r="J153" s="1102"/>
      <c r="K153" s="1103"/>
    </row>
    <row r="154" spans="1:11" ht="12" customHeight="1">
      <c r="A154" s="1061"/>
      <c r="B154" s="1062"/>
      <c r="C154" s="1085"/>
      <c r="D154" s="1104"/>
      <c r="E154" s="1104"/>
      <c r="F154" s="1104"/>
      <c r="G154" s="1104"/>
      <c r="H154" s="1104"/>
      <c r="I154" s="1105"/>
      <c r="J154" s="1105"/>
      <c r="K154" s="1106"/>
    </row>
    <row r="155" spans="1:11" ht="12" customHeight="1">
      <c r="A155" s="1061"/>
      <c r="B155" s="1062"/>
      <c r="C155" s="1085"/>
      <c r="D155" s="1104"/>
      <c r="E155" s="1104"/>
      <c r="F155" s="1104"/>
      <c r="G155" s="1104"/>
      <c r="H155" s="1104"/>
      <c r="I155" s="1105"/>
      <c r="J155" s="1105"/>
      <c r="K155" s="1106"/>
    </row>
    <row r="156" spans="1:11" ht="12" customHeight="1">
      <c r="A156" s="1061"/>
      <c r="B156" s="1062"/>
      <c r="C156" s="1085"/>
      <c r="D156" s="1104"/>
      <c r="E156" s="1104"/>
      <c r="F156" s="1104"/>
      <c r="G156" s="1104"/>
      <c r="H156" s="1104"/>
      <c r="I156" s="1105"/>
      <c r="J156" s="1105"/>
      <c r="K156" s="1106"/>
    </row>
    <row r="157" spans="1:11" ht="18.75">
      <c r="A157" s="1061"/>
      <c r="B157" s="1061"/>
      <c r="C157" s="1085"/>
      <c r="D157" s="1061"/>
      <c r="E157" s="1061"/>
      <c r="F157" s="1061"/>
      <c r="G157" s="1061"/>
      <c r="H157" s="1107" t="s">
        <v>1657</v>
      </c>
      <c r="I157" s="1108"/>
      <c r="J157" s="1109">
        <f>C105</f>
        <v>20</v>
      </c>
      <c r="K157" s="1110" t="s">
        <v>29</v>
      </c>
    </row>
    <row r="158" spans="1:11" ht="12" customHeight="1">
      <c r="A158" s="1111" t="s">
        <v>961</v>
      </c>
      <c r="B158" s="1074" t="s">
        <v>1423</v>
      </c>
      <c r="C158" s="1112" t="s">
        <v>1087</v>
      </c>
      <c r="D158" s="1113" t="s">
        <v>1618</v>
      </c>
      <c r="E158" s="1113" t="s">
        <v>22</v>
      </c>
      <c r="F158" s="1113" t="s">
        <v>23</v>
      </c>
      <c r="G158" s="1113" t="s">
        <v>24</v>
      </c>
      <c r="H158" s="1113" t="s">
        <v>964</v>
      </c>
      <c r="I158" s="1113" t="s">
        <v>1035</v>
      </c>
      <c r="J158" s="1113" t="s">
        <v>97</v>
      </c>
      <c r="K158" s="1075" t="s">
        <v>52</v>
      </c>
    </row>
    <row r="159" spans="1:11" ht="12" customHeight="1">
      <c r="A159" s="1083"/>
      <c r="B159" s="1086"/>
      <c r="C159" s="1078"/>
      <c r="D159" s="1079"/>
      <c r="E159" s="1079"/>
      <c r="F159" s="1079"/>
      <c r="G159" s="1079"/>
      <c r="H159" s="1079"/>
      <c r="I159" s="1081"/>
      <c r="J159" s="1081"/>
      <c r="K159" s="1082"/>
    </row>
    <row r="160" spans="1:11" ht="12" customHeight="1">
      <c r="A160" s="1083">
        <v>11</v>
      </c>
      <c r="B160" s="1077" t="s">
        <v>1658</v>
      </c>
      <c r="C160" s="1078"/>
      <c r="D160" s="1079"/>
      <c r="E160" s="1079"/>
      <c r="F160" s="1079"/>
      <c r="G160" s="1079"/>
      <c r="H160" s="1079"/>
      <c r="I160" s="1079"/>
      <c r="J160" s="1079"/>
      <c r="K160" s="1082"/>
    </row>
    <row r="161" spans="1:11" ht="12" customHeight="1">
      <c r="A161" s="1083"/>
      <c r="B161" s="1077" t="s">
        <v>1659</v>
      </c>
      <c r="C161" s="1078"/>
      <c r="D161" s="1079" t="s">
        <v>1660</v>
      </c>
      <c r="E161" s="1079"/>
      <c r="F161" s="1079"/>
      <c r="G161" s="1079"/>
      <c r="H161" s="1079">
        <f>H152</f>
        <v>37.041340881232152</v>
      </c>
      <c r="I161" s="1081" t="s">
        <v>47</v>
      </c>
      <c r="J161" s="1081">
        <f>Rates!$F$43</f>
        <v>1246.28</v>
      </c>
      <c r="K161" s="1082">
        <f>H161*J161</f>
        <v>46163.882313462003</v>
      </c>
    </row>
    <row r="162" spans="1:11" ht="12" customHeight="1">
      <c r="A162" s="1083"/>
      <c r="B162" s="1077"/>
      <c r="C162" s="1078"/>
      <c r="D162" s="1090"/>
      <c r="E162" s="1079"/>
      <c r="F162" s="1079"/>
      <c r="G162" s="1079"/>
      <c r="H162" s="1079"/>
      <c r="I162" s="1079"/>
      <c r="J162" s="1079"/>
      <c r="K162" s="1082"/>
    </row>
    <row r="163" spans="1:11" ht="12" customHeight="1">
      <c r="A163" s="1083">
        <v>12</v>
      </c>
      <c r="B163" s="1077" t="s">
        <v>1661</v>
      </c>
      <c r="C163" s="1078"/>
      <c r="D163" s="1079"/>
      <c r="E163" s="1079"/>
      <c r="F163" s="1079"/>
      <c r="G163" s="1079"/>
      <c r="H163" s="1079"/>
      <c r="I163" s="1079"/>
      <c r="J163" s="1079"/>
      <c r="K163" s="1082"/>
    </row>
    <row r="164" spans="1:11" ht="12" customHeight="1">
      <c r="A164" s="1083"/>
      <c r="B164" s="1077" t="s">
        <v>1662</v>
      </c>
      <c r="C164" s="1078"/>
      <c r="D164" s="1079"/>
      <c r="E164" s="1079"/>
      <c r="F164" s="1079"/>
      <c r="G164" s="1079"/>
      <c r="H164" s="1079"/>
      <c r="I164" s="1079"/>
      <c r="J164" s="1079"/>
      <c r="K164" s="1082"/>
    </row>
    <row r="165" spans="1:11" ht="12" customHeight="1">
      <c r="A165" s="1083"/>
      <c r="B165" s="1077" t="s">
        <v>1663</v>
      </c>
      <c r="C165" s="1078" t="s">
        <v>1664</v>
      </c>
      <c r="D165" s="1079">
        <f>D148</f>
        <v>2.0249999999999999</v>
      </c>
      <c r="E165" s="1079"/>
      <c r="F165" s="1079"/>
      <c r="G165" s="1079">
        <f>G148</f>
        <v>1.8</v>
      </c>
      <c r="H165" s="1079">
        <f>D165*G165*4*PI()*2</f>
        <v>91.608841778678368</v>
      </c>
      <c r="I165" s="1079"/>
      <c r="J165" s="1079"/>
      <c r="K165" s="1082"/>
    </row>
    <row r="166" spans="1:11" ht="12" customHeight="1">
      <c r="A166" s="1083"/>
      <c r="B166" s="1077" t="s">
        <v>1654</v>
      </c>
      <c r="C166" s="1078" t="s">
        <v>1664</v>
      </c>
      <c r="D166" s="1079">
        <f>D149</f>
        <v>3.2790178571428577</v>
      </c>
      <c r="E166" s="1096" t="s">
        <v>1665</v>
      </c>
      <c r="F166" s="1079"/>
      <c r="G166" s="1090">
        <f>G149</f>
        <v>0.7</v>
      </c>
      <c r="H166" s="1079">
        <f>8*PI()*D166*G166</f>
        <v>57.687495101542574</v>
      </c>
      <c r="I166" s="1079"/>
      <c r="J166" s="1079"/>
      <c r="K166" s="1082"/>
    </row>
    <row r="167" spans="1:11" ht="12" customHeight="1">
      <c r="A167" s="1083"/>
      <c r="B167" s="1084" t="s">
        <v>1655</v>
      </c>
      <c r="C167" s="1078"/>
      <c r="D167" s="1087"/>
      <c r="E167" s="1087"/>
      <c r="F167" s="1087"/>
      <c r="G167" s="1087"/>
      <c r="H167" s="1087"/>
      <c r="I167" s="1087"/>
      <c r="J167" s="1087"/>
      <c r="K167" s="1082"/>
    </row>
    <row r="168" spans="1:11" ht="12" customHeight="1">
      <c r="A168" s="1083"/>
      <c r="B168" s="1077" t="s">
        <v>1666</v>
      </c>
      <c r="C168" s="1078" t="s">
        <v>1664</v>
      </c>
      <c r="D168" s="1079">
        <v>0.3</v>
      </c>
      <c r="E168" s="1079">
        <v>0.3</v>
      </c>
      <c r="F168" s="1079"/>
      <c r="G168" s="1079"/>
      <c r="H168" s="1079">
        <f>-4*PI()*D168*E168</f>
        <v>-1.1309733552923256</v>
      </c>
      <c r="I168" s="1079"/>
      <c r="J168" s="1079"/>
      <c r="K168" s="1082"/>
    </row>
    <row r="169" spans="1:11" ht="12" customHeight="1">
      <c r="A169" s="1083"/>
      <c r="B169" s="1084" t="s">
        <v>1667</v>
      </c>
      <c r="C169" s="1078"/>
      <c r="D169" s="1079"/>
      <c r="E169" s="1079"/>
      <c r="F169" s="1079"/>
      <c r="G169" s="1079"/>
      <c r="H169" s="1091"/>
      <c r="I169" s="1091"/>
      <c r="J169" s="1091"/>
      <c r="K169" s="1114"/>
    </row>
    <row r="170" spans="1:11" ht="12" customHeight="1">
      <c r="A170" s="1083"/>
      <c r="B170" s="1086" t="s">
        <v>1668</v>
      </c>
      <c r="C170" s="1078"/>
      <c r="D170" s="1079"/>
      <c r="E170" s="1079"/>
      <c r="F170" s="1079"/>
      <c r="G170" s="1079"/>
      <c r="H170" s="1079">
        <f>SUM(H165:H168)</f>
        <v>148.16536352492861</v>
      </c>
      <c r="I170" s="1081" t="s">
        <v>47</v>
      </c>
      <c r="J170" s="1081">
        <f>Rates!$F$58</f>
        <v>547.54999999999995</v>
      </c>
      <c r="K170" s="1082">
        <f>H170*J170</f>
        <v>81127.944798074648</v>
      </c>
    </row>
    <row r="171" spans="1:11" ht="12" customHeight="1">
      <c r="A171" s="1083">
        <v>13</v>
      </c>
      <c r="B171" s="1077" t="s">
        <v>1669</v>
      </c>
      <c r="C171" s="1078"/>
      <c r="D171" s="1079"/>
      <c r="E171" s="1079"/>
      <c r="F171" s="1079"/>
      <c r="G171" s="1079"/>
      <c r="H171" s="1079"/>
      <c r="I171" s="1079"/>
      <c r="J171" s="1079"/>
      <c r="K171" s="1082"/>
    </row>
    <row r="172" spans="1:11" ht="12" customHeight="1">
      <c r="A172" s="1083"/>
      <c r="B172" s="1077" t="s">
        <v>1670</v>
      </c>
      <c r="C172" s="1078"/>
      <c r="D172" s="1079"/>
      <c r="E172" s="1079"/>
      <c r="F172" s="1079"/>
      <c r="G172" s="1079"/>
      <c r="H172" s="1079"/>
      <c r="I172" s="1079"/>
      <c r="J172" s="1079"/>
      <c r="K172" s="1082"/>
    </row>
    <row r="173" spans="1:11" ht="12" customHeight="1">
      <c r="A173" s="1083"/>
      <c r="B173" s="1077" t="s">
        <v>1671</v>
      </c>
      <c r="C173" s="1078" t="s">
        <v>1626</v>
      </c>
      <c r="D173" s="1079">
        <f>C106/2</f>
        <v>2</v>
      </c>
      <c r="E173" s="1079">
        <f>C106/2</f>
        <v>2</v>
      </c>
      <c r="F173" s="1079"/>
      <c r="G173" s="1079"/>
      <c r="H173" s="1079">
        <f>PI()*D173*E173</f>
        <v>12.566370614359172</v>
      </c>
      <c r="I173" s="1081" t="s">
        <v>47</v>
      </c>
      <c r="J173" s="1081">
        <f>Rates!$F$59</f>
        <v>509.41</v>
      </c>
      <c r="K173" s="1082">
        <f>H173*J173</f>
        <v>6401.4348546607062</v>
      </c>
    </row>
    <row r="174" spans="1:11" ht="12" customHeight="1">
      <c r="A174" s="1083"/>
      <c r="B174" s="1084" t="s">
        <v>1672</v>
      </c>
      <c r="C174" s="1078"/>
      <c r="D174" s="1079"/>
      <c r="E174" s="1079"/>
      <c r="F174" s="1079"/>
      <c r="G174" s="1079"/>
      <c r="H174" s="1079"/>
      <c r="I174" s="1079"/>
      <c r="J174" s="1079"/>
      <c r="K174" s="1082"/>
    </row>
    <row r="175" spans="1:11" ht="12" customHeight="1">
      <c r="A175" s="1083"/>
      <c r="B175" s="1087"/>
      <c r="C175" s="1078"/>
      <c r="D175" s="1079"/>
      <c r="E175" s="1079"/>
      <c r="F175" s="1079"/>
      <c r="G175" s="1079"/>
      <c r="H175" s="1079"/>
      <c r="I175" s="1079"/>
      <c r="J175" s="1079"/>
      <c r="K175" s="1082"/>
    </row>
    <row r="176" spans="1:11" ht="12" customHeight="1">
      <c r="A176" s="1083">
        <v>14</v>
      </c>
      <c r="B176" s="1077" t="s">
        <v>1673</v>
      </c>
      <c r="C176" s="1078"/>
      <c r="D176" s="1079"/>
      <c r="E176" s="1079"/>
      <c r="F176" s="1079"/>
      <c r="G176" s="1079"/>
      <c r="H176" s="1079"/>
      <c r="I176" s="1079"/>
      <c r="J176" s="1079"/>
      <c r="K176" s="1082"/>
    </row>
    <row r="177" spans="1:11" ht="12" customHeight="1">
      <c r="A177" s="1083"/>
      <c r="B177" s="1077" t="s">
        <v>1674</v>
      </c>
      <c r="C177" s="1078"/>
      <c r="D177" s="1079"/>
      <c r="E177" s="1079">
        <v>1</v>
      </c>
      <c r="F177" s="1079">
        <v>0.8</v>
      </c>
      <c r="G177" s="1079"/>
      <c r="H177" s="1079">
        <f>E177*F177</f>
        <v>0.8</v>
      </c>
      <c r="I177" s="1079"/>
      <c r="J177" s="1079"/>
      <c r="K177" s="1082"/>
    </row>
    <row r="178" spans="1:11" ht="12" customHeight="1">
      <c r="A178" s="1083"/>
      <c r="B178" s="1077" t="s">
        <v>1675</v>
      </c>
      <c r="C178" s="1078"/>
      <c r="D178" s="1079"/>
      <c r="E178" s="1079">
        <v>3.6</v>
      </c>
      <c r="F178" s="1079"/>
      <c r="G178" s="1079">
        <v>1.1499999999999999</v>
      </c>
      <c r="H178" s="1079">
        <f>E178*G178</f>
        <v>4.1399999999999997</v>
      </c>
      <c r="I178" s="1079"/>
      <c r="J178" s="1079"/>
      <c r="K178" s="1082"/>
    </row>
    <row r="179" spans="1:11" ht="12" customHeight="1">
      <c r="A179" s="1083"/>
      <c r="B179" s="1086" t="s">
        <v>1668</v>
      </c>
      <c r="C179" s="1078"/>
      <c r="D179" s="1079"/>
      <c r="E179" s="1079"/>
      <c r="F179" s="1079"/>
      <c r="G179" s="1079"/>
      <c r="H179" s="1079">
        <f>SUM(H177:H178)</f>
        <v>4.9399999999999995</v>
      </c>
      <c r="I179" s="1081" t="s">
        <v>47</v>
      </c>
      <c r="J179" s="1081">
        <f>Rates!$F$60</f>
        <v>503.61</v>
      </c>
      <c r="K179" s="1082">
        <f>H179*J179</f>
        <v>2487.8334</v>
      </c>
    </row>
    <row r="180" spans="1:11" ht="12" customHeight="1">
      <c r="A180" s="1083"/>
      <c r="B180" s="1087"/>
      <c r="C180" s="1078"/>
      <c r="D180" s="1079"/>
      <c r="E180" s="1079"/>
      <c r="F180" s="1079"/>
      <c r="G180" s="1079"/>
      <c r="H180" s="1079"/>
      <c r="I180" s="1079"/>
      <c r="J180" s="1079"/>
      <c r="K180" s="1082"/>
    </row>
    <row r="181" spans="1:11" ht="12" customHeight="1">
      <c r="A181" s="1083">
        <v>15</v>
      </c>
      <c r="B181" s="1084" t="s">
        <v>1676</v>
      </c>
      <c r="C181" s="1078"/>
      <c r="D181" s="1079"/>
      <c r="E181" s="1079"/>
      <c r="F181" s="1079"/>
      <c r="G181" s="1079"/>
      <c r="H181" s="1079"/>
      <c r="I181" s="1079"/>
      <c r="J181" s="1079"/>
      <c r="K181" s="1082"/>
    </row>
    <row r="182" spans="1:11" ht="12" customHeight="1">
      <c r="A182" s="1083"/>
      <c r="B182" s="1077" t="s">
        <v>1677</v>
      </c>
      <c r="C182" s="1078" t="s">
        <v>1626</v>
      </c>
      <c r="D182" s="1079">
        <f>C106/2</f>
        <v>2</v>
      </c>
      <c r="E182" s="1079">
        <f>C106/2</f>
        <v>2</v>
      </c>
      <c r="F182" s="1079"/>
      <c r="G182" s="1079"/>
      <c r="H182" s="1079">
        <f>PI()*D182*E182</f>
        <v>12.566370614359172</v>
      </c>
      <c r="I182" s="1079"/>
      <c r="J182" s="1079"/>
      <c r="K182" s="1082"/>
    </row>
    <row r="183" spans="1:11" ht="12" customHeight="1">
      <c r="A183" s="1083"/>
      <c r="B183" s="1077" t="s">
        <v>1678</v>
      </c>
      <c r="C183" s="1078" t="s">
        <v>1653</v>
      </c>
      <c r="D183" s="1079">
        <f>C106/2</f>
        <v>2</v>
      </c>
      <c r="E183" s="1079"/>
      <c r="F183" s="1079"/>
      <c r="G183" s="1079">
        <f>H106</f>
        <v>1.8</v>
      </c>
      <c r="H183" s="1079">
        <f>2*PI()*D183*G183</f>
        <v>22.61946710584651</v>
      </c>
      <c r="I183" s="1079"/>
      <c r="J183" s="1079"/>
      <c r="K183" s="1082"/>
    </row>
    <row r="184" spans="1:11" ht="12" customHeight="1">
      <c r="A184" s="1083"/>
      <c r="B184" s="1086" t="s">
        <v>1679</v>
      </c>
      <c r="C184" s="1078"/>
      <c r="D184" s="1079"/>
      <c r="E184" s="1079"/>
      <c r="F184" s="1079"/>
      <c r="G184" s="1079"/>
      <c r="H184" s="1079">
        <f>SUM(H182:H183)</f>
        <v>35.185837720205683</v>
      </c>
      <c r="I184" s="1081" t="s">
        <v>47</v>
      </c>
      <c r="J184" s="1081">
        <f>Rates!$F$67</f>
        <v>346.26</v>
      </c>
      <c r="K184" s="1082">
        <f>H184*J184</f>
        <v>12183.448168998419</v>
      </c>
    </row>
    <row r="185" spans="1:11" ht="12" customHeight="1">
      <c r="A185" s="1083">
        <v>16</v>
      </c>
      <c r="B185" s="1077" t="s">
        <v>1680</v>
      </c>
      <c r="C185" s="1115"/>
      <c r="D185" s="1091"/>
      <c r="E185" s="1091"/>
      <c r="F185" s="1091"/>
      <c r="G185" s="1091"/>
      <c r="H185" s="1091"/>
      <c r="I185" s="1091"/>
      <c r="J185" s="1091"/>
      <c r="K185" s="1082"/>
    </row>
    <row r="186" spans="1:11" ht="12" customHeight="1">
      <c r="A186" s="1083"/>
      <c r="B186" s="1084" t="s">
        <v>1681</v>
      </c>
      <c r="C186" s="1078" t="s">
        <v>1653</v>
      </c>
      <c r="D186" s="1079">
        <f>C106/2+0.05</f>
        <v>2.0499999999999998</v>
      </c>
      <c r="E186" s="1079"/>
      <c r="F186" s="1079"/>
      <c r="G186" s="1079">
        <f>H106-0.4</f>
        <v>1.4</v>
      </c>
      <c r="H186" s="1079">
        <f>2*PI()*D186*G186</f>
        <v>18.03274183160541</v>
      </c>
      <c r="I186" s="1081" t="s">
        <v>47</v>
      </c>
      <c r="J186" s="1081">
        <f>Rates!$F$72</f>
        <v>103.35</v>
      </c>
      <c r="K186" s="1082">
        <f>H186*J186</f>
        <v>1863.683868296419</v>
      </c>
    </row>
    <row r="187" spans="1:11" ht="12" customHeight="1">
      <c r="A187" s="1083"/>
      <c r="B187" s="1087"/>
      <c r="C187" s="1078"/>
      <c r="D187" s="1079"/>
      <c r="E187" s="1079"/>
      <c r="F187" s="1079"/>
      <c r="G187" s="1079"/>
      <c r="H187" s="1079"/>
      <c r="I187" s="1079"/>
      <c r="J187" s="1079"/>
      <c r="K187" s="1082"/>
    </row>
    <row r="188" spans="1:11" ht="12" customHeight="1">
      <c r="A188" s="1083">
        <v>17</v>
      </c>
      <c r="B188" s="1077" t="s">
        <v>1682</v>
      </c>
      <c r="C188" s="1078"/>
      <c r="D188" s="1079"/>
      <c r="E188" s="1079"/>
      <c r="F188" s="1079"/>
      <c r="G188" s="1079"/>
      <c r="H188" s="1079"/>
      <c r="I188" s="1079"/>
      <c r="J188" s="1079"/>
      <c r="K188" s="1082"/>
    </row>
    <row r="189" spans="1:11" ht="12" customHeight="1">
      <c r="A189" s="1083"/>
      <c r="B189" s="1077" t="s">
        <v>1683</v>
      </c>
      <c r="C189" s="1078" t="s">
        <v>1653</v>
      </c>
      <c r="D189" s="1079">
        <f>C106/2+0.05</f>
        <v>2.0499999999999998</v>
      </c>
      <c r="E189" s="1079"/>
      <c r="F189" s="1079"/>
      <c r="G189" s="1079">
        <v>0.4</v>
      </c>
      <c r="H189" s="1079">
        <f>2*PI()*D189*G189</f>
        <v>5.15221195188726</v>
      </c>
      <c r="I189" s="1079"/>
      <c r="J189" s="1079"/>
      <c r="K189" s="1082"/>
    </row>
    <row r="190" spans="1:11" ht="12" customHeight="1">
      <c r="A190" s="1083"/>
      <c r="B190" s="1084" t="s">
        <v>1684</v>
      </c>
      <c r="C190" s="1078"/>
      <c r="D190" s="1087"/>
      <c r="E190" s="1087"/>
      <c r="F190" s="1087"/>
      <c r="G190" s="1087"/>
      <c r="H190" s="1087"/>
      <c r="I190" s="1087"/>
      <c r="J190" s="1087"/>
      <c r="K190" s="1082"/>
    </row>
    <row r="191" spans="1:11" ht="12" customHeight="1">
      <c r="A191" s="1083"/>
      <c r="B191" s="1077" t="s">
        <v>1654</v>
      </c>
      <c r="C191" s="1078" t="s">
        <v>1653</v>
      </c>
      <c r="D191" s="1079">
        <f>((C106+0.1)^2+4*(G191)^2)/(8*(G191))</f>
        <v>3.3517857142857146</v>
      </c>
      <c r="E191" s="1079"/>
      <c r="F191" s="1079"/>
      <c r="G191" s="1079">
        <f>C107</f>
        <v>0.7</v>
      </c>
      <c r="H191" s="1079">
        <f>D191*G191*2*PI()</f>
        <v>14.741923526970103</v>
      </c>
      <c r="I191" s="1079"/>
      <c r="J191" s="1079"/>
      <c r="K191" s="1082"/>
    </row>
    <row r="192" spans="1:11" ht="12" customHeight="1">
      <c r="A192" s="1083"/>
      <c r="B192" s="1084" t="s">
        <v>1685</v>
      </c>
      <c r="C192" s="1078"/>
      <c r="D192" s="1079"/>
      <c r="E192" s="1087"/>
      <c r="F192" s="1087"/>
      <c r="G192" s="1087"/>
      <c r="H192" s="1087"/>
      <c r="I192" s="1087"/>
      <c r="J192" s="1087"/>
      <c r="K192" s="1082"/>
    </row>
    <row r="193" spans="1:11" ht="12" customHeight="1">
      <c r="A193" s="1083"/>
      <c r="B193" s="1086" t="s">
        <v>1108</v>
      </c>
      <c r="C193" s="1078"/>
      <c r="D193" s="1079"/>
      <c r="E193" s="1079"/>
      <c r="F193" s="1079"/>
      <c r="G193" s="1079"/>
      <c r="H193" s="1079">
        <f>SUM(H189:H192)</f>
        <v>19.894135478857365</v>
      </c>
      <c r="I193" s="1081" t="s">
        <v>47</v>
      </c>
      <c r="J193" s="1081">
        <f>Rates!$F$71</f>
        <v>213.84</v>
      </c>
      <c r="K193" s="1082">
        <f>H193*J193</f>
        <v>4254.1619307988585</v>
      </c>
    </row>
    <row r="194" spans="1:11" ht="12" customHeight="1">
      <c r="A194" s="1083"/>
      <c r="B194" s="1087"/>
      <c r="C194" s="1078"/>
      <c r="D194" s="1079"/>
      <c r="E194" s="1079"/>
      <c r="F194" s="1079"/>
      <c r="G194" s="1079"/>
      <c r="H194" s="1079"/>
      <c r="I194" s="1081"/>
      <c r="J194" s="1081"/>
      <c r="K194" s="1082"/>
    </row>
    <row r="195" spans="1:11" ht="12" customHeight="1">
      <c r="A195" s="1083">
        <v>18</v>
      </c>
      <c r="B195" s="1077" t="s">
        <v>1686</v>
      </c>
      <c r="C195" s="1078"/>
      <c r="D195" s="1079"/>
      <c r="E195" s="1079"/>
      <c r="F195" s="1079"/>
      <c r="G195" s="1079"/>
      <c r="H195" s="1116">
        <v>2</v>
      </c>
      <c r="I195" s="1081" t="s">
        <v>1038</v>
      </c>
      <c r="J195" s="1081">
        <f>MR!$I$42*1.15</f>
        <v>1465.2149999999997</v>
      </c>
      <c r="K195" s="1082">
        <f>H195*J195</f>
        <v>2930.4299999999994</v>
      </c>
    </row>
    <row r="196" spans="1:11" ht="12" customHeight="1">
      <c r="A196" s="1083"/>
      <c r="B196" s="1077"/>
      <c r="C196" s="1078"/>
      <c r="D196" s="1079"/>
      <c r="E196" s="1079"/>
      <c r="F196" s="1079"/>
      <c r="G196" s="1079"/>
      <c r="H196" s="1079"/>
      <c r="I196" s="1079"/>
      <c r="J196" s="1079"/>
      <c r="K196" s="1082"/>
    </row>
    <row r="197" spans="1:11" ht="12" customHeight="1">
      <c r="A197" s="1083">
        <v>19</v>
      </c>
      <c r="B197" s="1077" t="s">
        <v>1687</v>
      </c>
      <c r="C197" s="1078"/>
      <c r="D197" s="1079"/>
      <c r="E197" s="1079"/>
      <c r="F197" s="1079"/>
      <c r="G197" s="1079"/>
      <c r="H197" s="1117">
        <v>1</v>
      </c>
      <c r="I197" s="1081" t="s">
        <v>1154</v>
      </c>
      <c r="J197" s="1079">
        <v>700</v>
      </c>
      <c r="K197" s="1082">
        <f>H197*J197</f>
        <v>700</v>
      </c>
    </row>
    <row r="198" spans="1:11" ht="12" customHeight="1">
      <c r="A198" s="1083"/>
      <c r="B198" s="1087"/>
      <c r="C198" s="1078"/>
      <c r="D198" s="1079"/>
      <c r="E198" s="1079"/>
      <c r="F198" s="1079"/>
      <c r="G198" s="1079"/>
      <c r="H198" s="1079"/>
      <c r="I198" s="1079"/>
      <c r="J198" s="1079"/>
      <c r="K198" s="1082"/>
    </row>
    <row r="199" spans="1:11" ht="12" customHeight="1">
      <c r="A199" s="1083">
        <v>20</v>
      </c>
      <c r="B199" s="1084" t="s">
        <v>1688</v>
      </c>
      <c r="C199" s="1078">
        <v>1</v>
      </c>
      <c r="D199" s="1079">
        <f>VLOOKUP(C105,data!F$4:J$18,5,FALSE)</f>
        <v>24</v>
      </c>
      <c r="E199" s="1079"/>
      <c r="F199" s="1079"/>
      <c r="G199" s="1079"/>
      <c r="H199" s="1079">
        <f>D199</f>
        <v>24</v>
      </c>
      <c r="I199" s="1081" t="s">
        <v>965</v>
      </c>
      <c r="J199" s="1081">
        <f>'bar+gate'!$J$18</f>
        <v>2472.44</v>
      </c>
      <c r="K199" s="1082">
        <f>H199*J199</f>
        <v>59338.559999999998</v>
      </c>
    </row>
    <row r="200" spans="1:11" ht="12" customHeight="1">
      <c r="A200" s="1083"/>
      <c r="B200" s="1087"/>
      <c r="C200" s="1078"/>
      <c r="D200" s="1079"/>
      <c r="E200" s="1079"/>
      <c r="F200" s="1079"/>
      <c r="G200" s="1079"/>
      <c r="H200" s="1079"/>
      <c r="I200" s="1081"/>
      <c r="J200" s="1081"/>
      <c r="K200" s="1082"/>
    </row>
    <row r="201" spans="1:11" ht="12" customHeight="1">
      <c r="A201" s="1083">
        <v>21</v>
      </c>
      <c r="B201" s="1077" t="s">
        <v>1689</v>
      </c>
      <c r="C201" s="1078">
        <v>1</v>
      </c>
      <c r="D201" s="1079"/>
      <c r="E201" s="1079"/>
      <c r="F201" s="1079"/>
      <c r="G201" s="1079"/>
      <c r="H201" s="1079">
        <v>1</v>
      </c>
      <c r="I201" s="1081" t="s">
        <v>963</v>
      </c>
      <c r="J201" s="1081">
        <f>'bar+gate'!$J$42</f>
        <v>19286.280000000002</v>
      </c>
      <c r="K201" s="1082">
        <f>H201*J201</f>
        <v>19286.280000000002</v>
      </c>
    </row>
    <row r="202" spans="1:11" ht="12" customHeight="1">
      <c r="A202" s="1098"/>
      <c r="B202" s="1118"/>
      <c r="C202" s="1100"/>
      <c r="D202" s="1101"/>
      <c r="E202" s="1101"/>
      <c r="F202" s="1101"/>
      <c r="G202" s="1101"/>
      <c r="H202" s="1101"/>
      <c r="I202" s="1101"/>
      <c r="J202" s="1101"/>
      <c r="K202" s="1119"/>
    </row>
    <row r="203" spans="1:11" ht="12" customHeight="1">
      <c r="A203" s="1120"/>
      <c r="B203" s="1048" t="s">
        <v>1690</v>
      </c>
      <c r="C203" s="1121"/>
      <c r="D203" s="1122"/>
      <c r="E203" s="1122"/>
      <c r="F203" s="1122"/>
      <c r="G203" s="1122"/>
      <c r="H203" s="1122"/>
      <c r="I203" s="1122"/>
      <c r="J203" s="1122"/>
      <c r="K203" s="1123">
        <f>SUM(K109:K201)</f>
        <v>429542.478211876</v>
      </c>
    </row>
    <row r="204" spans="1:11" ht="12" customHeight="1">
      <c r="A204" s="1124"/>
      <c r="B204" s="861" t="s">
        <v>1535</v>
      </c>
      <c r="C204" s="1085"/>
      <c r="D204" s="1104"/>
      <c r="E204" s="1104"/>
      <c r="F204" s="1104"/>
      <c r="G204" s="1104"/>
      <c r="H204" s="1104"/>
      <c r="I204" s="1104"/>
      <c r="J204" s="925">
        <f>'Entry for Rates'!$F$114</f>
        <v>13</v>
      </c>
      <c r="K204" s="921">
        <f>J204*K203/100</f>
        <v>55840.522167543881</v>
      </c>
    </row>
    <row r="205" spans="1:11" ht="12" customHeight="1">
      <c r="A205" s="1125"/>
      <c r="B205" s="1126" t="s">
        <v>1691</v>
      </c>
      <c r="C205" s="1127"/>
      <c r="D205" s="1128"/>
      <c r="E205" s="1128"/>
      <c r="F205" s="1128"/>
      <c r="G205" s="1128"/>
      <c r="H205" s="1128"/>
      <c r="I205" s="1128"/>
      <c r="J205" s="1129" t="s">
        <v>107</v>
      </c>
      <c r="K205" s="1130">
        <f>+K204+K203</f>
        <v>485383.00037941989</v>
      </c>
    </row>
    <row r="206" spans="1:11" ht="12" customHeight="1"/>
    <row r="207" spans="1:11" ht="23.25">
      <c r="A207" s="1054" t="s">
        <v>1613</v>
      </c>
      <c r="B207" s="1054"/>
      <c r="C207" s="1054"/>
      <c r="D207" s="1054"/>
      <c r="E207" s="1054"/>
      <c r="F207" s="1054"/>
      <c r="G207" s="1054"/>
      <c r="H207" s="1054"/>
      <c r="I207" s="1054"/>
      <c r="J207" s="1054"/>
      <c r="K207" s="1054"/>
    </row>
    <row r="208" spans="1:11" ht="23.25">
      <c r="A208" s="1058"/>
      <c r="B208" s="1058"/>
      <c r="C208" s="1059">
        <v>16</v>
      </c>
      <c r="D208" s="1059"/>
      <c r="E208" s="1059"/>
      <c r="F208" s="1058"/>
      <c r="G208" s="1058"/>
      <c r="H208" s="1058"/>
      <c r="I208" s="1058"/>
      <c r="J208" s="1058"/>
    </row>
    <row r="209" spans="1:11" ht="12" customHeight="1">
      <c r="A209" s="1061"/>
      <c r="B209" s="1062" t="s">
        <v>1614</v>
      </c>
      <c r="C209" s="1063">
        <f>VLOOKUP(C208,data!F$4:I$18,4,FALSE)</f>
        <v>3.5</v>
      </c>
      <c r="D209" s="1064" t="s">
        <v>965</v>
      </c>
      <c r="G209" s="1062" t="s">
        <v>1615</v>
      </c>
      <c r="H209" s="1065">
        <f>VLOOKUP(C208,data!F$4:H$18,3,FALSE)</f>
        <v>1.9</v>
      </c>
      <c r="I209" s="1061" t="s">
        <v>965</v>
      </c>
      <c r="J209" s="1061"/>
      <c r="K209" s="1066"/>
    </row>
    <row r="210" spans="1:11" ht="12" customHeight="1">
      <c r="A210" s="1061"/>
      <c r="B210" s="1062" t="s">
        <v>1616</v>
      </c>
      <c r="C210" s="1067">
        <f>VLOOKUP(C208,data!F$4:G$18,2,FALSE)</f>
        <v>0.6</v>
      </c>
      <c r="D210" s="1064" t="s">
        <v>965</v>
      </c>
      <c r="E210" s="1064"/>
      <c r="F210" s="1062" t="s">
        <v>1617</v>
      </c>
      <c r="G210" s="1068">
        <v>1</v>
      </c>
      <c r="H210" s="1068"/>
      <c r="I210" s="1061"/>
      <c r="J210" s="1061"/>
      <c r="K210" s="1066">
        <f>+K308</f>
        <v>437264.09691340418</v>
      </c>
    </row>
    <row r="211" spans="1:11" ht="12" customHeight="1">
      <c r="A211" s="1070" t="s">
        <v>961</v>
      </c>
      <c r="B211" s="1071" t="s">
        <v>1423</v>
      </c>
      <c r="C211" s="1072" t="s">
        <v>1087</v>
      </c>
      <c r="D211" s="1071" t="s">
        <v>1618</v>
      </c>
      <c r="E211" s="1073" t="s">
        <v>1619</v>
      </c>
      <c r="F211" s="1071" t="s">
        <v>23</v>
      </c>
      <c r="G211" s="1071" t="s">
        <v>24</v>
      </c>
      <c r="H211" s="1071" t="s">
        <v>1620</v>
      </c>
      <c r="I211" s="1071" t="s">
        <v>1035</v>
      </c>
      <c r="J211" s="1074" t="s">
        <v>1621</v>
      </c>
      <c r="K211" s="1075" t="s">
        <v>52</v>
      </c>
    </row>
    <row r="212" spans="1:11" ht="12" customHeight="1">
      <c r="A212" s="1076">
        <v>1</v>
      </c>
      <c r="B212" s="1077" t="s">
        <v>1622</v>
      </c>
      <c r="C212" s="1078"/>
      <c r="D212" s="1079"/>
      <c r="E212" s="1079">
        <f>ROUND(C209+4,0)</f>
        <v>8</v>
      </c>
      <c r="F212" s="1079">
        <f>ROUND(C209+2,0)</f>
        <v>6</v>
      </c>
      <c r="G212" s="1079"/>
      <c r="H212" s="1080">
        <f>E212*F212</f>
        <v>48</v>
      </c>
      <c r="I212" s="1081" t="s">
        <v>47</v>
      </c>
      <c r="J212" s="1081">
        <f>Rates!$F$7</f>
        <v>149.5</v>
      </c>
      <c r="K212" s="1082">
        <f>H212*J212</f>
        <v>7176</v>
      </c>
    </row>
    <row r="213" spans="1:11" ht="12" customHeight="1">
      <c r="A213" s="1083">
        <v>2</v>
      </c>
      <c r="B213" s="1084" t="s">
        <v>1623</v>
      </c>
      <c r="C213" s="1078"/>
      <c r="D213" s="1079"/>
      <c r="E213" s="1079"/>
      <c r="F213" s="1079"/>
      <c r="G213" s="1079"/>
      <c r="H213" s="1079"/>
      <c r="I213" s="1079"/>
      <c r="J213" s="1079"/>
      <c r="K213" s="1082"/>
    </row>
    <row r="214" spans="1:11" ht="12" customHeight="1">
      <c r="A214" s="1083"/>
      <c r="B214" s="1086" t="s">
        <v>1624</v>
      </c>
      <c r="C214" s="1078"/>
      <c r="D214" s="1079"/>
      <c r="E214" s="1079">
        <v>1.7</v>
      </c>
      <c r="F214" s="1079">
        <v>1.5</v>
      </c>
      <c r="G214" s="1079">
        <v>1.3</v>
      </c>
      <c r="H214" s="1079">
        <f>E214*F214*G214</f>
        <v>3.3149999999999999</v>
      </c>
      <c r="I214" s="1087"/>
      <c r="J214" s="1087"/>
      <c r="K214" s="1082"/>
    </row>
    <row r="215" spans="1:11" ht="12" customHeight="1">
      <c r="A215" s="1083"/>
      <c r="B215" s="1086" t="s">
        <v>1625</v>
      </c>
      <c r="C215" s="1078" t="s">
        <v>1626</v>
      </c>
      <c r="D215" s="1079">
        <f>C209/2+0.05+0.75</f>
        <v>2.5499999999999998</v>
      </c>
      <c r="E215" s="1079">
        <f>D215</f>
        <v>2.5499999999999998</v>
      </c>
      <c r="F215" s="1081" t="s">
        <v>1627</v>
      </c>
      <c r="G215" s="1079">
        <f>H209+0.3-0.4</f>
        <v>1.7999999999999998</v>
      </c>
      <c r="H215" s="1079">
        <f>IF(C215="π",PI()*D215*E215*G215,IF(C215="2π",2*PI()*D215*E215*G215,"Change"))</f>
        <v>36.770771213941721</v>
      </c>
      <c r="I215" s="1087"/>
      <c r="J215" s="1087"/>
      <c r="K215" s="1082"/>
    </row>
    <row r="216" spans="1:11" ht="12" customHeight="1">
      <c r="A216" s="1083"/>
      <c r="B216" s="1084" t="s">
        <v>1628</v>
      </c>
      <c r="C216" s="1078"/>
      <c r="D216" s="1079"/>
      <c r="E216" s="1079"/>
      <c r="F216" s="1079"/>
      <c r="G216" s="1079"/>
      <c r="H216" s="1079"/>
      <c r="I216" s="1087"/>
      <c r="J216" s="1087"/>
      <c r="K216" s="1082"/>
    </row>
    <row r="217" spans="1:11" ht="12" customHeight="1">
      <c r="A217" s="1083"/>
      <c r="B217" s="1086" t="s">
        <v>1108</v>
      </c>
      <c r="C217" s="1078"/>
      <c r="D217" s="1079"/>
      <c r="E217" s="1079"/>
      <c r="F217" s="1079"/>
      <c r="G217" s="1079"/>
      <c r="H217" s="1079">
        <f>SUM(H214:H216)</f>
        <v>40.085771213941719</v>
      </c>
      <c r="I217" s="1081" t="s">
        <v>29</v>
      </c>
      <c r="J217" s="1081">
        <f>Rates!$F$9</f>
        <v>1480.63</v>
      </c>
      <c r="K217" s="1082">
        <f>H217*J217</f>
        <v>59352.195432498535</v>
      </c>
    </row>
    <row r="218" spans="1:11" ht="12" customHeight="1">
      <c r="A218" s="1083">
        <v>3</v>
      </c>
      <c r="B218" s="1077" t="s">
        <v>1629</v>
      </c>
      <c r="C218" s="1078"/>
      <c r="D218" s="1079"/>
      <c r="E218" s="1079"/>
      <c r="F218" s="1079"/>
      <c r="G218" s="1079"/>
      <c r="H218" s="1079"/>
      <c r="I218" s="1087"/>
      <c r="J218" s="1087"/>
      <c r="K218" s="1082"/>
    </row>
    <row r="219" spans="1:11" ht="12" customHeight="1">
      <c r="A219" s="1083"/>
      <c r="B219" s="1086" t="s">
        <v>1630</v>
      </c>
      <c r="C219" s="1078" t="s">
        <v>1626</v>
      </c>
      <c r="D219" s="1079">
        <f>D215</f>
        <v>2.5499999999999998</v>
      </c>
      <c r="E219" s="1079">
        <f>D215</f>
        <v>2.5499999999999998</v>
      </c>
      <c r="F219" s="1081" t="s">
        <v>1627</v>
      </c>
      <c r="G219" s="1079">
        <f>G215-0.5</f>
        <v>1.2999999999999998</v>
      </c>
      <c r="H219" s="1079">
        <f>IF(C219="π",PI()*D219*E219*G219,IF(C219="2π",2*PI()*D219*E219*G219,"Change"))</f>
        <v>26.556668098957907</v>
      </c>
      <c r="I219" s="1088" t="s">
        <v>29</v>
      </c>
      <c r="J219" s="1088"/>
      <c r="K219" s="1082"/>
    </row>
    <row r="220" spans="1:11" ht="12" customHeight="1">
      <c r="A220" s="1083"/>
      <c r="B220" s="1086" t="s">
        <v>1631</v>
      </c>
      <c r="C220" s="1078" t="s">
        <v>1626</v>
      </c>
      <c r="D220" s="1079">
        <f>C209/2+0.05</f>
        <v>1.8</v>
      </c>
      <c r="E220" s="1079">
        <f>D220</f>
        <v>1.8</v>
      </c>
      <c r="F220" s="1081" t="s">
        <v>1627</v>
      </c>
      <c r="G220" s="1079">
        <f>G219</f>
        <v>1.2999999999999998</v>
      </c>
      <c r="H220" s="1079">
        <f>-PI()*D220*E220*G220</f>
        <v>-13.232388256920208</v>
      </c>
      <c r="I220" s="1088" t="s">
        <v>29</v>
      </c>
      <c r="J220" s="1088"/>
      <c r="K220" s="1082"/>
    </row>
    <row r="221" spans="1:11" ht="12" customHeight="1">
      <c r="A221" s="1083"/>
      <c r="B221" s="1086" t="s">
        <v>1632</v>
      </c>
      <c r="C221" s="1078"/>
      <c r="D221" s="1079"/>
      <c r="E221" s="1079"/>
      <c r="F221" s="1079"/>
      <c r="G221" s="1079"/>
      <c r="H221" s="1079">
        <f>H219+H220</f>
        <v>13.324279842037699</v>
      </c>
      <c r="I221" s="1079" t="str">
        <f>I217</f>
        <v>m³</v>
      </c>
      <c r="J221" s="1081">
        <f>Rates!$F$15</f>
        <v>746.24</v>
      </c>
      <c r="K221" s="1082">
        <f>H221*J221</f>
        <v>9943.110589322212</v>
      </c>
    </row>
    <row r="222" spans="1:11" ht="12" customHeight="1">
      <c r="A222" s="1083">
        <v>4</v>
      </c>
      <c r="B222" s="1077" t="s">
        <v>1633</v>
      </c>
      <c r="C222" s="1078"/>
      <c r="D222" s="1079"/>
      <c r="E222" s="1079"/>
      <c r="F222" s="1079"/>
      <c r="G222" s="1079"/>
      <c r="H222" s="1079"/>
      <c r="I222" s="1079"/>
      <c r="J222" s="1079"/>
      <c r="K222" s="1082"/>
    </row>
    <row r="223" spans="1:11" ht="12" customHeight="1">
      <c r="A223" s="1083"/>
      <c r="B223" s="1086" t="s">
        <v>1624</v>
      </c>
      <c r="C223" s="1078"/>
      <c r="D223" s="1079"/>
      <c r="E223" s="1079">
        <v>1.7</v>
      </c>
      <c r="F223" s="1079">
        <v>1.5</v>
      </c>
      <c r="G223" s="1079">
        <v>0.15</v>
      </c>
      <c r="H223" s="1079">
        <f>E223*F223*G223</f>
        <v>0.38249999999999995</v>
      </c>
      <c r="I223" s="1079"/>
      <c r="J223" s="1079"/>
      <c r="K223" s="1082"/>
    </row>
    <row r="224" spans="1:11" ht="12" customHeight="1">
      <c r="A224" s="1083"/>
      <c r="B224" s="1086" t="s">
        <v>1625</v>
      </c>
      <c r="C224" s="1078" t="s">
        <v>1626</v>
      </c>
      <c r="D224" s="1079">
        <f>C209/2+0.05+0.25</f>
        <v>2.0499999999999998</v>
      </c>
      <c r="E224" s="1079">
        <f>D224</f>
        <v>2.0499999999999998</v>
      </c>
      <c r="F224" s="1079" t="s">
        <v>1634</v>
      </c>
      <c r="G224" s="1079">
        <v>0.2</v>
      </c>
      <c r="H224" s="1079">
        <f>IF(C224="π",PI()*D224*E224*G224,IF(C224="2π",2*PI()*D224*E224*G224,"Change"))</f>
        <v>2.6405086253422207</v>
      </c>
      <c r="I224" s="1079"/>
      <c r="J224" s="1079"/>
      <c r="K224" s="1082"/>
    </row>
    <row r="225" spans="1:11" ht="12" customHeight="1">
      <c r="A225" s="1083"/>
      <c r="B225" s="1089" t="s">
        <v>1635</v>
      </c>
      <c r="C225" s="1078"/>
      <c r="D225" s="1079"/>
      <c r="E225" s="1079"/>
      <c r="F225" s="1079"/>
      <c r="G225" s="1079"/>
      <c r="H225" s="1079"/>
      <c r="I225" s="1087"/>
      <c r="J225" s="1087"/>
      <c r="K225" s="1082"/>
    </row>
    <row r="226" spans="1:11" ht="12" customHeight="1">
      <c r="A226" s="1083"/>
      <c r="B226" s="1086" t="s">
        <v>1636</v>
      </c>
      <c r="C226" s="1078"/>
      <c r="D226" s="1079"/>
      <c r="E226" s="1079">
        <v>1.7</v>
      </c>
      <c r="F226" s="1079">
        <v>0.4</v>
      </c>
      <c r="G226" s="1079">
        <v>0.2</v>
      </c>
      <c r="H226" s="1079">
        <f>-E226*F226*G226</f>
        <v>-0.13600000000000001</v>
      </c>
      <c r="I226" s="1087"/>
      <c r="J226" s="1087"/>
      <c r="K226" s="1082"/>
    </row>
    <row r="227" spans="1:11" ht="12" customHeight="1">
      <c r="A227" s="1083"/>
      <c r="B227" s="1086" t="s">
        <v>1108</v>
      </c>
      <c r="C227" s="1078"/>
      <c r="D227" s="1079"/>
      <c r="E227" s="1087"/>
      <c r="F227" s="1087"/>
      <c r="G227" s="1087"/>
      <c r="H227" s="1079">
        <f>H223+H224+H226</f>
        <v>2.8870086253422205</v>
      </c>
      <c r="I227" s="1081" t="s">
        <v>29</v>
      </c>
      <c r="J227" s="1081">
        <f>Rates!$F$19</f>
        <v>5523.35</v>
      </c>
      <c r="K227" s="1082">
        <f>H227*J227</f>
        <v>15945.959090783954</v>
      </c>
    </row>
    <row r="228" spans="1:11" ht="12" customHeight="1">
      <c r="A228" s="1083">
        <v>5</v>
      </c>
      <c r="B228" s="1077" t="s">
        <v>1637</v>
      </c>
      <c r="C228" s="1078"/>
      <c r="D228" s="1079"/>
      <c r="E228" s="1079"/>
      <c r="F228" s="1079"/>
      <c r="G228" s="1079"/>
      <c r="H228" s="1079"/>
      <c r="I228" s="1079"/>
      <c r="J228" s="1079"/>
      <c r="K228" s="1082"/>
    </row>
    <row r="229" spans="1:11" ht="12" customHeight="1">
      <c r="A229" s="1083"/>
      <c r="B229" s="1086" t="s">
        <v>1624</v>
      </c>
      <c r="C229" s="1078"/>
      <c r="D229" s="1079"/>
      <c r="E229" s="1079">
        <v>5</v>
      </c>
      <c r="F229" s="1079">
        <v>0.35</v>
      </c>
      <c r="G229" s="1079">
        <v>1.1499999999999999</v>
      </c>
      <c r="H229" s="1079">
        <f>E229*F229*G229</f>
        <v>2.0124999999999997</v>
      </c>
      <c r="I229" s="1081" t="s">
        <v>29</v>
      </c>
      <c r="J229" s="1081">
        <f>Rates!$F$25</f>
        <v>14917.39</v>
      </c>
      <c r="K229" s="1082">
        <f>H229*J229</f>
        <v>30021.247374999995</v>
      </c>
    </row>
    <row r="230" spans="1:11" ht="12" customHeight="1">
      <c r="A230" s="1083">
        <v>6</v>
      </c>
      <c r="B230" s="1077" t="s">
        <v>1638</v>
      </c>
      <c r="C230" s="1078"/>
      <c r="D230" s="1079"/>
      <c r="E230" s="1079"/>
      <c r="F230" s="1079"/>
      <c r="G230" s="1079"/>
      <c r="H230" s="1079"/>
      <c r="I230" s="1079"/>
      <c r="J230" s="1079"/>
      <c r="K230" s="1082"/>
    </row>
    <row r="231" spans="1:11" ht="12" customHeight="1">
      <c r="A231" s="1083"/>
      <c r="B231" s="1086" t="s">
        <v>1639</v>
      </c>
      <c r="C231" s="1078"/>
      <c r="D231" s="1079"/>
      <c r="E231" s="1079">
        <v>1.7</v>
      </c>
      <c r="F231" s="1079">
        <v>1.5</v>
      </c>
      <c r="G231" s="1079">
        <v>0.1</v>
      </c>
      <c r="H231" s="1090">
        <f>E231*F231*G231</f>
        <v>0.255</v>
      </c>
      <c r="I231" s="1079"/>
      <c r="J231" s="1079"/>
      <c r="K231" s="1082"/>
    </row>
    <row r="232" spans="1:11" ht="12" customHeight="1">
      <c r="A232" s="1083"/>
      <c r="B232" s="1086" t="s">
        <v>1640</v>
      </c>
      <c r="C232" s="1078" t="s">
        <v>1626</v>
      </c>
      <c r="D232" s="1079">
        <v>0.3</v>
      </c>
      <c r="E232" s="1079">
        <v>0.3</v>
      </c>
      <c r="F232" s="1079" t="s">
        <v>1634</v>
      </c>
      <c r="G232" s="1079">
        <v>0.05</v>
      </c>
      <c r="H232" s="1090">
        <f>-IF(C232="π",PI()*D232*E232*G232,IF(C232="2π",2*PI()*D232*E232*G232,"Change"))</f>
        <v>-1.4137166941154071E-2</v>
      </c>
      <c r="I232" s="1079"/>
      <c r="J232" s="1079"/>
      <c r="K232" s="1082"/>
    </row>
    <row r="233" spans="1:11" ht="12" customHeight="1">
      <c r="A233" s="1083"/>
      <c r="B233" s="1089" t="s">
        <v>1641</v>
      </c>
      <c r="C233" s="1078"/>
      <c r="D233" s="1087"/>
      <c r="E233" s="1087"/>
      <c r="F233" s="1087"/>
      <c r="G233" s="1087"/>
      <c r="H233" s="1090"/>
      <c r="I233" s="1087"/>
      <c r="J233" s="1087"/>
      <c r="K233" s="1082"/>
    </row>
    <row r="234" spans="1:11" ht="12" customHeight="1">
      <c r="A234" s="1083"/>
      <c r="B234" s="1086" t="s">
        <v>1642</v>
      </c>
      <c r="C234" s="1078" t="s">
        <v>1626</v>
      </c>
      <c r="D234" s="1079">
        <v>0.3</v>
      </c>
      <c r="E234" s="1079">
        <v>0.3</v>
      </c>
      <c r="F234" s="1079" t="s">
        <v>1527</v>
      </c>
      <c r="G234" s="1079">
        <v>0.05</v>
      </c>
      <c r="H234" s="1090">
        <f>IF(C234="π",PI()*D234*E234*G234,IF(C234="2π",2*PI()*D234*E234*G234,"Change"))</f>
        <v>1.4137166941154071E-2</v>
      </c>
      <c r="I234" s="1079"/>
      <c r="J234" s="1079"/>
      <c r="K234" s="1082"/>
    </row>
    <row r="235" spans="1:11" ht="12" customHeight="1">
      <c r="A235" s="1083"/>
      <c r="B235" s="1086" t="s">
        <v>1508</v>
      </c>
      <c r="C235" s="1078">
        <v>2</v>
      </c>
      <c r="D235" s="1079"/>
      <c r="E235" s="1079">
        <v>1</v>
      </c>
      <c r="F235" s="1079">
        <v>0.35</v>
      </c>
      <c r="G235" s="1079">
        <v>0.2</v>
      </c>
      <c r="H235" s="1090">
        <f>C235*E235*F235*G235</f>
        <v>0.13999999999999999</v>
      </c>
      <c r="I235" s="1079"/>
      <c r="J235" s="1079"/>
      <c r="K235" s="1082"/>
    </row>
    <row r="236" spans="1:11" ht="12" customHeight="1">
      <c r="A236" s="1083"/>
      <c r="B236" s="1086" t="s">
        <v>1108</v>
      </c>
      <c r="C236" s="1078"/>
      <c r="D236" s="1079"/>
      <c r="E236" s="1079"/>
      <c r="F236" s="1079"/>
      <c r="G236" s="1079"/>
      <c r="H236" s="1090">
        <f>SUM(H231:H235)</f>
        <v>0.39500000000000002</v>
      </c>
      <c r="I236" s="1081" t="s">
        <v>29</v>
      </c>
      <c r="J236" s="1081">
        <f>Rates!$F$32</f>
        <v>16022.87</v>
      </c>
      <c r="K236" s="1082">
        <f>H236*J236</f>
        <v>6329.0336500000003</v>
      </c>
    </row>
    <row r="237" spans="1:11" ht="12" customHeight="1">
      <c r="A237" s="1083">
        <v>7</v>
      </c>
      <c r="B237" s="1077" t="s">
        <v>1643</v>
      </c>
      <c r="C237" s="1078"/>
      <c r="D237" s="1079"/>
      <c r="E237" s="1079"/>
      <c r="F237" s="1079"/>
      <c r="G237" s="1079"/>
      <c r="H237" s="1079"/>
      <c r="I237" s="1091"/>
      <c r="J237" s="1091"/>
      <c r="K237" s="1082"/>
    </row>
    <row r="238" spans="1:11" ht="12" customHeight="1">
      <c r="A238" s="1083"/>
      <c r="B238" s="1084" t="s">
        <v>1644</v>
      </c>
      <c r="C238" s="1078" t="s">
        <v>1626</v>
      </c>
      <c r="D238" s="1079">
        <f>C209/2+0.05+0.1</f>
        <v>1.9000000000000001</v>
      </c>
      <c r="E238" s="1079">
        <f>D238</f>
        <v>1.9000000000000001</v>
      </c>
      <c r="F238" s="1079" t="s">
        <v>1627</v>
      </c>
      <c r="G238" s="1090">
        <f>(0.1+0.15)/2</f>
        <v>0.125</v>
      </c>
      <c r="H238" s="1090">
        <f>PI()*D238*E238*G238</f>
        <v>1.4176436849323943</v>
      </c>
      <c r="I238" s="1081" t="s">
        <v>29</v>
      </c>
      <c r="J238" s="1081">
        <f>Rates!$F$33</f>
        <v>17163.13</v>
      </c>
      <c r="K238" s="1082">
        <f>H238*J238</f>
        <v>24331.202858173725</v>
      </c>
    </row>
    <row r="239" spans="1:11" ht="12" customHeight="1">
      <c r="A239" s="1083">
        <v>8</v>
      </c>
      <c r="B239" s="1077" t="s">
        <v>1521</v>
      </c>
      <c r="C239" s="1078"/>
      <c r="D239" s="1079"/>
      <c r="E239" s="1079"/>
      <c r="F239" s="1079"/>
      <c r="G239" s="1079"/>
      <c r="H239" s="1079"/>
      <c r="I239" s="1079"/>
      <c r="J239" s="1079"/>
      <c r="K239" s="1082"/>
    </row>
    <row r="240" spans="1:11" ht="12" customHeight="1">
      <c r="A240" s="1083"/>
      <c r="B240" s="1077" t="s">
        <v>1645</v>
      </c>
      <c r="C240" s="1078"/>
      <c r="D240" s="1079"/>
      <c r="E240" s="1079"/>
      <c r="F240" s="1079"/>
      <c r="G240" s="1079"/>
      <c r="H240" s="1079"/>
      <c r="I240" s="1079"/>
      <c r="J240" s="1079"/>
      <c r="K240" s="1082"/>
    </row>
    <row r="241" spans="1:11" ht="12" customHeight="1">
      <c r="A241" s="1083"/>
      <c r="B241" s="1086" t="s">
        <v>1646</v>
      </c>
      <c r="C241" s="1092">
        <v>11</v>
      </c>
      <c r="D241" s="1093">
        <v>1.7</v>
      </c>
      <c r="E241" s="1079"/>
      <c r="F241" s="1094">
        <v>0.39500000000000002</v>
      </c>
      <c r="G241" s="1095"/>
      <c r="H241" s="1079">
        <f>ROUND(C241*D241*F241,2)</f>
        <v>7.39</v>
      </c>
      <c r="I241" s="1079"/>
      <c r="J241" s="1079"/>
      <c r="K241" s="1082"/>
    </row>
    <row r="242" spans="1:11" ht="12" customHeight="1">
      <c r="A242" s="1083"/>
      <c r="B242" s="1086" t="s">
        <v>1647</v>
      </c>
      <c r="C242" s="1092">
        <v>12</v>
      </c>
      <c r="D242" s="1093">
        <v>1.5</v>
      </c>
      <c r="E242" s="1079"/>
      <c r="F242" s="1094">
        <v>0.39500000000000002</v>
      </c>
      <c r="G242" s="1095"/>
      <c r="H242" s="1079">
        <f>ROUND(C242*D242*F242,2)</f>
        <v>7.11</v>
      </c>
      <c r="I242" s="1079"/>
      <c r="J242" s="1079"/>
      <c r="K242" s="1082"/>
    </row>
    <row r="243" spans="1:11" ht="12" customHeight="1">
      <c r="A243" s="1083"/>
      <c r="B243" s="1086" t="s">
        <v>1640</v>
      </c>
      <c r="C243" s="1092">
        <v>8</v>
      </c>
      <c r="D243" s="1093">
        <v>0.6</v>
      </c>
      <c r="E243" s="1079"/>
      <c r="F243" s="1094">
        <v>0.39500000000000002</v>
      </c>
      <c r="G243" s="1095"/>
      <c r="H243" s="1079">
        <f>-ROUND(C243*D243*F243,2)</f>
        <v>-1.9</v>
      </c>
      <c r="I243" s="1079"/>
      <c r="J243" s="1079"/>
      <c r="K243" s="1082"/>
    </row>
    <row r="244" spans="1:11" ht="12" customHeight="1">
      <c r="A244" s="1083"/>
      <c r="B244" s="1086" t="s">
        <v>1108</v>
      </c>
      <c r="C244" s="1078"/>
      <c r="D244" s="1079"/>
      <c r="E244" s="1079"/>
      <c r="F244" s="1096"/>
      <c r="G244" s="1079"/>
      <c r="H244" s="1079">
        <f>SUM(H241:H243)</f>
        <v>12.6</v>
      </c>
      <c r="I244" s="1081" t="s">
        <v>1034</v>
      </c>
      <c r="J244" s="1081">
        <f>Rates!$F$39</f>
        <v>125.35</v>
      </c>
      <c r="K244" s="1082">
        <f>H244*J244</f>
        <v>1579.4099999999999</v>
      </c>
    </row>
    <row r="245" spans="1:11" ht="12" customHeight="1">
      <c r="A245" s="1083">
        <v>9</v>
      </c>
      <c r="B245" s="1077" t="s">
        <v>1648</v>
      </c>
      <c r="C245" s="1078"/>
      <c r="D245" s="1079"/>
      <c r="E245" s="1079"/>
      <c r="F245" s="1079"/>
      <c r="G245" s="1079"/>
      <c r="H245" s="1079"/>
      <c r="I245" s="1079"/>
      <c r="J245" s="1079"/>
      <c r="K245" s="1082"/>
    </row>
    <row r="246" spans="1:11" ht="12" customHeight="1">
      <c r="A246" s="1083"/>
      <c r="B246" s="1086" t="s">
        <v>1649</v>
      </c>
      <c r="C246" s="1078"/>
      <c r="D246" s="1079"/>
      <c r="E246" s="1079">
        <v>1</v>
      </c>
      <c r="F246" s="1079">
        <v>0.8</v>
      </c>
      <c r="G246" s="1079"/>
      <c r="H246" s="1079">
        <f>E246*F246</f>
        <v>0.8</v>
      </c>
      <c r="I246" s="1079"/>
      <c r="J246" s="1079"/>
      <c r="K246" s="1082"/>
    </row>
    <row r="247" spans="1:11" ht="12" customHeight="1">
      <c r="A247" s="1083"/>
      <c r="B247" s="1086" t="s">
        <v>1650</v>
      </c>
      <c r="C247" s="1078"/>
      <c r="D247" s="1079"/>
      <c r="E247" s="1079">
        <v>6.4</v>
      </c>
      <c r="F247" s="1081" t="s">
        <v>44</v>
      </c>
      <c r="G247" s="1079">
        <v>0.1</v>
      </c>
      <c r="H247" s="1079">
        <f>E247*G247</f>
        <v>0.64000000000000012</v>
      </c>
      <c r="I247" s="1079"/>
      <c r="J247" s="1079"/>
      <c r="K247" s="1082"/>
    </row>
    <row r="248" spans="1:11" ht="12" customHeight="1">
      <c r="A248" s="1083"/>
      <c r="B248" s="1086" t="s">
        <v>1640</v>
      </c>
      <c r="C248" s="1078" t="s">
        <v>1626</v>
      </c>
      <c r="D248" s="1079">
        <v>0.3</v>
      </c>
      <c r="E248" s="1079">
        <v>0.3</v>
      </c>
      <c r="F248" s="1079"/>
      <c r="G248" s="1079"/>
      <c r="H248" s="1090">
        <f>-IF(C248="π",PI()*D248*E248,IF(C248="2π",2*PI()*D248*E248,"Change"))</f>
        <v>-0.28274333882308139</v>
      </c>
      <c r="I248" s="1087"/>
      <c r="J248" s="1087"/>
      <c r="K248" s="1082"/>
    </row>
    <row r="249" spans="1:11" ht="12" customHeight="1">
      <c r="A249" s="1083"/>
      <c r="B249" s="1086" t="s">
        <v>1108</v>
      </c>
      <c r="C249" s="1078"/>
      <c r="D249" s="1079"/>
      <c r="E249" s="1079"/>
      <c r="F249" s="1079"/>
      <c r="G249" s="1079"/>
      <c r="H249" s="1079">
        <f>SUM(H246:H248)</f>
        <v>1.1572566611769188</v>
      </c>
      <c r="I249" s="1081" t="s">
        <v>47</v>
      </c>
      <c r="J249" s="1081">
        <f>Rates!$F$40</f>
        <v>1322.68</v>
      </c>
      <c r="K249" s="1082">
        <f>H249*J249</f>
        <v>1530.6802406054871</v>
      </c>
    </row>
    <row r="250" spans="1:11" ht="12" customHeight="1">
      <c r="A250" s="1083">
        <v>10</v>
      </c>
      <c r="B250" s="1077" t="s">
        <v>1651</v>
      </c>
      <c r="C250" s="1078"/>
      <c r="D250" s="1079"/>
      <c r="E250" s="1079"/>
      <c r="F250" s="1079"/>
      <c r="G250" s="1079"/>
      <c r="H250" s="1079"/>
      <c r="I250" s="1079"/>
      <c r="J250" s="1079"/>
      <c r="K250" s="1082"/>
    </row>
    <row r="251" spans="1:11" ht="12" customHeight="1">
      <c r="A251" s="1083"/>
      <c r="B251" s="1077" t="s">
        <v>1652</v>
      </c>
      <c r="C251" s="1078" t="s">
        <v>1653</v>
      </c>
      <c r="D251" s="1079">
        <f>C209/2+0.025</f>
        <v>1.7749999999999999</v>
      </c>
      <c r="E251" s="1079"/>
      <c r="F251" s="1079" t="s">
        <v>1634</v>
      </c>
      <c r="G251" s="1079">
        <f>H209</f>
        <v>1.9</v>
      </c>
      <c r="H251" s="1079">
        <f>2*PI()*D251*G251</f>
        <v>21.190042448463153</v>
      </c>
      <c r="I251" s="1079"/>
      <c r="J251" s="1079"/>
      <c r="K251" s="1082"/>
    </row>
    <row r="252" spans="1:11" ht="12" customHeight="1">
      <c r="A252" s="1083"/>
      <c r="B252" s="1077" t="s">
        <v>1654</v>
      </c>
      <c r="C252" s="1078" t="s">
        <v>1653</v>
      </c>
      <c r="D252" s="1079">
        <f>((C209+0.05)^2+4*(C210^2))/8/C210</f>
        <v>2.9255208333333331</v>
      </c>
      <c r="E252" s="1079"/>
      <c r="F252" s="1079"/>
      <c r="G252" s="1079">
        <f>C210</f>
        <v>0.6</v>
      </c>
      <c r="H252" s="1079">
        <f>2*PI()*D252*G252</f>
        <v>11.028953709508666</v>
      </c>
      <c r="I252" s="1079"/>
      <c r="J252" s="1079"/>
      <c r="K252" s="1082"/>
    </row>
    <row r="253" spans="1:11" ht="12" customHeight="1">
      <c r="A253" s="1083"/>
      <c r="B253" s="1084" t="s">
        <v>1655</v>
      </c>
      <c r="C253" s="1078"/>
      <c r="D253" s="1087"/>
      <c r="E253" s="1087"/>
      <c r="F253" s="1087"/>
      <c r="G253" s="1087"/>
      <c r="H253" s="1087"/>
      <c r="I253" s="1087"/>
      <c r="J253" s="1087"/>
      <c r="K253" s="1082"/>
    </row>
    <row r="254" spans="1:11" ht="12" customHeight="1">
      <c r="A254" s="1083"/>
      <c r="B254" s="1084" t="s">
        <v>1656</v>
      </c>
      <c r="C254" s="1078" t="s">
        <v>1626</v>
      </c>
      <c r="D254" s="1079">
        <v>0.3</v>
      </c>
      <c r="E254" s="1079">
        <v>0.3</v>
      </c>
      <c r="F254" s="1079"/>
      <c r="G254" s="1079"/>
      <c r="H254" s="1079">
        <f>-D254*E254*PI()</f>
        <v>-0.28274333882308139</v>
      </c>
      <c r="I254" s="1079"/>
      <c r="J254" s="1081"/>
      <c r="K254" s="1082"/>
    </row>
    <row r="255" spans="1:11" ht="12" customHeight="1">
      <c r="A255" s="1083"/>
      <c r="B255" s="1086" t="s">
        <v>1520</v>
      </c>
      <c r="C255" s="1078"/>
      <c r="D255" s="1079"/>
      <c r="E255" s="1079"/>
      <c r="F255" s="1079"/>
      <c r="G255" s="1079"/>
      <c r="H255" s="1079">
        <f>SUM(H251:H254)</f>
        <v>31.936252819148734</v>
      </c>
      <c r="I255" s="1081" t="s">
        <v>47</v>
      </c>
      <c r="J255" s="1081">
        <f>Rates!$F$42</f>
        <v>490.15</v>
      </c>
      <c r="K255" s="1082">
        <f>H255*J255</f>
        <v>15653.554319305751</v>
      </c>
    </row>
    <row r="256" spans="1:11" ht="12" customHeight="1">
      <c r="A256" s="1098"/>
      <c r="B256" s="1099"/>
      <c r="C256" s="1100"/>
      <c r="D256" s="1101"/>
      <c r="E256" s="1101"/>
      <c r="F256" s="1101"/>
      <c r="G256" s="1101"/>
      <c r="H256" s="1101"/>
      <c r="I256" s="1102"/>
      <c r="J256" s="1102"/>
      <c r="K256" s="1103"/>
    </row>
    <row r="257" spans="1:11" ht="12" customHeight="1">
      <c r="A257" s="1061"/>
      <c r="B257" s="1062"/>
      <c r="C257" s="1085"/>
      <c r="D257" s="1104"/>
      <c r="E257" s="1104"/>
      <c r="F257" s="1104"/>
      <c r="G257" s="1104"/>
      <c r="H257" s="1104"/>
      <c r="I257" s="1105"/>
      <c r="J257" s="1105"/>
      <c r="K257" s="1106"/>
    </row>
    <row r="258" spans="1:11" ht="12" customHeight="1">
      <c r="A258" s="1061"/>
      <c r="B258" s="1062"/>
      <c r="C258" s="1085"/>
      <c r="D258" s="1104"/>
      <c r="E258" s="1104"/>
      <c r="F258" s="1104"/>
      <c r="G258" s="1104"/>
      <c r="H258" s="1104"/>
      <c r="I258" s="1105"/>
      <c r="J258" s="1105"/>
      <c r="K258" s="1106"/>
    </row>
    <row r="259" spans="1:11" ht="12" customHeight="1">
      <c r="A259" s="1061"/>
      <c r="B259" s="1062"/>
      <c r="C259" s="1085"/>
      <c r="D259" s="1104"/>
      <c r="E259" s="1104"/>
      <c r="F259" s="1104"/>
      <c r="G259" s="1104"/>
      <c r="H259" s="1104"/>
      <c r="I259" s="1105"/>
      <c r="J259" s="1105"/>
      <c r="K259" s="1106"/>
    </row>
    <row r="260" spans="1:11" ht="18.75">
      <c r="A260" s="1061"/>
      <c r="B260" s="1061"/>
      <c r="C260" s="1085"/>
      <c r="D260" s="1061"/>
      <c r="E260" s="1061"/>
      <c r="F260" s="1061"/>
      <c r="G260" s="1061"/>
      <c r="H260" s="1107" t="s">
        <v>1657</v>
      </c>
      <c r="I260" s="1108"/>
      <c r="J260" s="1109">
        <f>C208</f>
        <v>16</v>
      </c>
      <c r="K260" s="1110" t="s">
        <v>29</v>
      </c>
    </row>
    <row r="261" spans="1:11" ht="12" customHeight="1">
      <c r="A261" s="1111" t="s">
        <v>961</v>
      </c>
      <c r="B261" s="1074" t="s">
        <v>1423</v>
      </c>
      <c r="C261" s="1112" t="s">
        <v>1087</v>
      </c>
      <c r="D261" s="1113" t="s">
        <v>1618</v>
      </c>
      <c r="E261" s="1113" t="s">
        <v>22</v>
      </c>
      <c r="F261" s="1113" t="s">
        <v>23</v>
      </c>
      <c r="G261" s="1113" t="s">
        <v>24</v>
      </c>
      <c r="H261" s="1113" t="s">
        <v>964</v>
      </c>
      <c r="I261" s="1113" t="s">
        <v>1035</v>
      </c>
      <c r="J261" s="1113" t="s">
        <v>97</v>
      </c>
      <c r="K261" s="1075" t="s">
        <v>52</v>
      </c>
    </row>
    <row r="262" spans="1:11" ht="12" customHeight="1">
      <c r="A262" s="1083"/>
      <c r="B262" s="1086"/>
      <c r="C262" s="1078"/>
      <c r="D262" s="1079"/>
      <c r="E262" s="1079"/>
      <c r="F262" s="1079"/>
      <c r="G262" s="1079"/>
      <c r="H262" s="1079"/>
      <c r="I262" s="1081"/>
      <c r="J262" s="1081"/>
      <c r="K262" s="1082"/>
    </row>
    <row r="263" spans="1:11" ht="12" customHeight="1">
      <c r="A263" s="1083">
        <v>11</v>
      </c>
      <c r="B263" s="1077" t="s">
        <v>1658</v>
      </c>
      <c r="C263" s="1078"/>
      <c r="D263" s="1079"/>
      <c r="E263" s="1079"/>
      <c r="F263" s="1079"/>
      <c r="G263" s="1079"/>
      <c r="H263" s="1079"/>
      <c r="I263" s="1079"/>
      <c r="J263" s="1079"/>
      <c r="K263" s="1082"/>
    </row>
    <row r="264" spans="1:11" ht="12" customHeight="1">
      <c r="A264" s="1083"/>
      <c r="B264" s="1077" t="s">
        <v>1659</v>
      </c>
      <c r="C264" s="1078"/>
      <c r="D264" s="1079" t="s">
        <v>1660</v>
      </c>
      <c r="E264" s="1079"/>
      <c r="F264" s="1079"/>
      <c r="G264" s="1079"/>
      <c r="H264" s="1079">
        <f>H255</f>
        <v>31.936252819148734</v>
      </c>
      <c r="I264" s="1081" t="s">
        <v>47</v>
      </c>
      <c r="J264" s="1081">
        <f>Rates!$F$43</f>
        <v>1246.28</v>
      </c>
      <c r="K264" s="1082">
        <f>H264*J264</f>
        <v>39801.513163448682</v>
      </c>
    </row>
    <row r="265" spans="1:11" ht="12" customHeight="1">
      <c r="A265" s="1083"/>
      <c r="B265" s="1077"/>
      <c r="C265" s="1078"/>
      <c r="D265" s="1090"/>
      <c r="E265" s="1079"/>
      <c r="F265" s="1079"/>
      <c r="G265" s="1079"/>
      <c r="H265" s="1079"/>
      <c r="I265" s="1079"/>
      <c r="J265" s="1079"/>
      <c r="K265" s="1082"/>
    </row>
    <row r="266" spans="1:11" ht="12" customHeight="1">
      <c r="A266" s="1083">
        <v>12</v>
      </c>
      <c r="B266" s="1077" t="s">
        <v>1661</v>
      </c>
      <c r="C266" s="1078"/>
      <c r="D266" s="1079"/>
      <c r="E266" s="1079"/>
      <c r="F266" s="1079"/>
      <c r="G266" s="1079"/>
      <c r="H266" s="1079"/>
      <c r="I266" s="1079"/>
      <c r="J266" s="1079"/>
      <c r="K266" s="1082"/>
    </row>
    <row r="267" spans="1:11" ht="12" customHeight="1">
      <c r="A267" s="1083"/>
      <c r="B267" s="1077" t="s">
        <v>1662</v>
      </c>
      <c r="C267" s="1078"/>
      <c r="D267" s="1079"/>
      <c r="E267" s="1079"/>
      <c r="F267" s="1079"/>
      <c r="G267" s="1079"/>
      <c r="H267" s="1079"/>
      <c r="I267" s="1079"/>
      <c r="J267" s="1079"/>
      <c r="K267" s="1082"/>
    </row>
    <row r="268" spans="1:11" ht="12" customHeight="1">
      <c r="A268" s="1083"/>
      <c r="B268" s="1077" t="s">
        <v>1663</v>
      </c>
      <c r="C268" s="1078" t="s">
        <v>1664</v>
      </c>
      <c r="D268" s="1079">
        <f>D251</f>
        <v>1.7749999999999999</v>
      </c>
      <c r="E268" s="1079"/>
      <c r="F268" s="1079"/>
      <c r="G268" s="1079">
        <f>G251</f>
        <v>1.9</v>
      </c>
      <c r="H268" s="1079">
        <f>D268*G268*4*PI()*2</f>
        <v>84.760169793852612</v>
      </c>
      <c r="I268" s="1079"/>
      <c r="J268" s="1079"/>
      <c r="K268" s="1082"/>
    </row>
    <row r="269" spans="1:11" ht="12" customHeight="1">
      <c r="A269" s="1083"/>
      <c r="B269" s="1077" t="s">
        <v>1654</v>
      </c>
      <c r="C269" s="1078" t="s">
        <v>1664</v>
      </c>
      <c r="D269" s="1079">
        <f>D252</f>
        <v>2.9255208333333331</v>
      </c>
      <c r="E269" s="1096" t="s">
        <v>1665</v>
      </c>
      <c r="F269" s="1079"/>
      <c r="G269" s="1090">
        <f>G252</f>
        <v>0.6</v>
      </c>
      <c r="H269" s="1079">
        <f>8*PI()*D269*G269</f>
        <v>44.115814838034666</v>
      </c>
      <c r="I269" s="1079"/>
      <c r="J269" s="1079"/>
      <c r="K269" s="1082"/>
    </row>
    <row r="270" spans="1:11" ht="12" customHeight="1">
      <c r="A270" s="1083"/>
      <c r="B270" s="1084" t="s">
        <v>1655</v>
      </c>
      <c r="C270" s="1078"/>
      <c r="D270" s="1087"/>
      <c r="E270" s="1087"/>
      <c r="F270" s="1087"/>
      <c r="G270" s="1087"/>
      <c r="H270" s="1087"/>
      <c r="I270" s="1087"/>
      <c r="J270" s="1087"/>
      <c r="K270" s="1082"/>
    </row>
    <row r="271" spans="1:11" ht="12" customHeight="1">
      <c r="A271" s="1083"/>
      <c r="B271" s="1077" t="s">
        <v>1666</v>
      </c>
      <c r="C271" s="1078" t="s">
        <v>1664</v>
      </c>
      <c r="D271" s="1079">
        <v>0.3</v>
      </c>
      <c r="E271" s="1079">
        <v>0.3</v>
      </c>
      <c r="F271" s="1079"/>
      <c r="G271" s="1079"/>
      <c r="H271" s="1079">
        <f>-4*PI()*D271*E271</f>
        <v>-1.1309733552923256</v>
      </c>
      <c r="I271" s="1079"/>
      <c r="J271" s="1079"/>
      <c r="K271" s="1082"/>
    </row>
    <row r="272" spans="1:11" ht="12" customHeight="1">
      <c r="A272" s="1083"/>
      <c r="B272" s="1084" t="s">
        <v>1667</v>
      </c>
      <c r="C272" s="1078"/>
      <c r="D272" s="1079"/>
      <c r="E272" s="1079"/>
      <c r="F272" s="1079"/>
      <c r="G272" s="1079"/>
      <c r="H272" s="1091"/>
      <c r="I272" s="1091"/>
      <c r="J272" s="1091"/>
      <c r="K272" s="1114"/>
    </row>
    <row r="273" spans="1:11" ht="12" customHeight="1">
      <c r="A273" s="1083"/>
      <c r="B273" s="1086" t="s">
        <v>1668</v>
      </c>
      <c r="C273" s="1078"/>
      <c r="D273" s="1079"/>
      <c r="E273" s="1079"/>
      <c r="F273" s="1079"/>
      <c r="G273" s="1079"/>
      <c r="H273" s="1079">
        <f>SUM(H268:H271)</f>
        <v>127.74501127659494</v>
      </c>
      <c r="I273" s="1081" t="s">
        <v>47</v>
      </c>
      <c r="J273" s="1081">
        <f>Rates!$F$58</f>
        <v>547.54999999999995</v>
      </c>
      <c r="K273" s="1082">
        <f>H273*J273</f>
        <v>69946.780924499559</v>
      </c>
    </row>
    <row r="274" spans="1:11" ht="12" customHeight="1">
      <c r="A274" s="1083">
        <v>13</v>
      </c>
      <c r="B274" s="1077" t="s">
        <v>1669</v>
      </c>
      <c r="C274" s="1078"/>
      <c r="D274" s="1079"/>
      <c r="E274" s="1079"/>
      <c r="F274" s="1079"/>
      <c r="G274" s="1079"/>
      <c r="H274" s="1079"/>
      <c r="I274" s="1079"/>
      <c r="J274" s="1079"/>
      <c r="K274" s="1082"/>
    </row>
    <row r="275" spans="1:11" ht="12" customHeight="1">
      <c r="A275" s="1083"/>
      <c r="B275" s="1077" t="s">
        <v>1670</v>
      </c>
      <c r="C275" s="1078"/>
      <c r="D275" s="1079"/>
      <c r="E275" s="1079"/>
      <c r="F275" s="1079"/>
      <c r="G275" s="1079"/>
      <c r="H275" s="1079"/>
      <c r="I275" s="1079"/>
      <c r="J275" s="1079"/>
      <c r="K275" s="1082"/>
    </row>
    <row r="276" spans="1:11" ht="12" customHeight="1">
      <c r="A276" s="1083"/>
      <c r="B276" s="1077" t="s">
        <v>1671</v>
      </c>
      <c r="C276" s="1078" t="s">
        <v>1626</v>
      </c>
      <c r="D276" s="1079">
        <f>C209/2</f>
        <v>1.75</v>
      </c>
      <c r="E276" s="1079">
        <f>C209/2</f>
        <v>1.75</v>
      </c>
      <c r="F276" s="1079"/>
      <c r="G276" s="1079"/>
      <c r="H276" s="1079">
        <f>PI()*D276*E276</f>
        <v>9.6211275016187408</v>
      </c>
      <c r="I276" s="1081" t="s">
        <v>47</v>
      </c>
      <c r="J276" s="1081">
        <f>Rates!$F$59</f>
        <v>509.41</v>
      </c>
      <c r="K276" s="1082">
        <f>H276*J276</f>
        <v>4901.0985605996029</v>
      </c>
    </row>
    <row r="277" spans="1:11" ht="12" customHeight="1">
      <c r="A277" s="1083"/>
      <c r="B277" s="1084" t="s">
        <v>1672</v>
      </c>
      <c r="C277" s="1078"/>
      <c r="D277" s="1079"/>
      <c r="E277" s="1079"/>
      <c r="F277" s="1079"/>
      <c r="G277" s="1079"/>
      <c r="H277" s="1079"/>
      <c r="I277" s="1079"/>
      <c r="J277" s="1079"/>
      <c r="K277" s="1082"/>
    </row>
    <row r="278" spans="1:11" ht="12" customHeight="1">
      <c r="A278" s="1083"/>
      <c r="B278" s="1087"/>
      <c r="C278" s="1078"/>
      <c r="D278" s="1079"/>
      <c r="E278" s="1079"/>
      <c r="F278" s="1079"/>
      <c r="G278" s="1079"/>
      <c r="H278" s="1079"/>
      <c r="I278" s="1079"/>
      <c r="J278" s="1079"/>
      <c r="K278" s="1082"/>
    </row>
    <row r="279" spans="1:11" ht="12" customHeight="1">
      <c r="A279" s="1083">
        <v>14</v>
      </c>
      <c r="B279" s="1077" t="s">
        <v>1673</v>
      </c>
      <c r="C279" s="1078"/>
      <c r="D279" s="1079"/>
      <c r="E279" s="1079"/>
      <c r="F279" s="1079"/>
      <c r="G279" s="1079"/>
      <c r="H279" s="1079"/>
      <c r="I279" s="1079"/>
      <c r="J279" s="1079"/>
      <c r="K279" s="1082"/>
    </row>
    <row r="280" spans="1:11" ht="12" customHeight="1">
      <c r="A280" s="1083"/>
      <c r="B280" s="1077" t="s">
        <v>1674</v>
      </c>
      <c r="C280" s="1078"/>
      <c r="D280" s="1079"/>
      <c r="E280" s="1079">
        <v>1</v>
      </c>
      <c r="F280" s="1079">
        <v>0.8</v>
      </c>
      <c r="G280" s="1079"/>
      <c r="H280" s="1079">
        <f>E280*F280</f>
        <v>0.8</v>
      </c>
      <c r="I280" s="1079"/>
      <c r="J280" s="1079"/>
      <c r="K280" s="1082"/>
    </row>
    <row r="281" spans="1:11" ht="12" customHeight="1">
      <c r="A281" s="1083"/>
      <c r="B281" s="1077" t="s">
        <v>1675</v>
      </c>
      <c r="C281" s="1078"/>
      <c r="D281" s="1079"/>
      <c r="E281" s="1079">
        <v>3.6</v>
      </c>
      <c r="F281" s="1079"/>
      <c r="G281" s="1079">
        <v>1.1499999999999999</v>
      </c>
      <c r="H281" s="1079">
        <f>E281*G281</f>
        <v>4.1399999999999997</v>
      </c>
      <c r="I281" s="1079"/>
      <c r="J281" s="1079"/>
      <c r="K281" s="1082"/>
    </row>
    <row r="282" spans="1:11" ht="12" customHeight="1">
      <c r="A282" s="1083"/>
      <c r="B282" s="1086" t="s">
        <v>1668</v>
      </c>
      <c r="C282" s="1078"/>
      <c r="D282" s="1079"/>
      <c r="E282" s="1079"/>
      <c r="F282" s="1079"/>
      <c r="G282" s="1079"/>
      <c r="H282" s="1079">
        <f>SUM(H280:H281)</f>
        <v>4.9399999999999995</v>
      </c>
      <c r="I282" s="1081" t="s">
        <v>47</v>
      </c>
      <c r="J282" s="1081">
        <f>Rates!$F$60</f>
        <v>503.61</v>
      </c>
      <c r="K282" s="1082">
        <f>H282*J282</f>
        <v>2487.8334</v>
      </c>
    </row>
    <row r="283" spans="1:11" ht="12" customHeight="1">
      <c r="A283" s="1083"/>
      <c r="B283" s="1087"/>
      <c r="C283" s="1078"/>
      <c r="D283" s="1079"/>
      <c r="E283" s="1079"/>
      <c r="F283" s="1079"/>
      <c r="G283" s="1079"/>
      <c r="H283" s="1079"/>
      <c r="I283" s="1079"/>
      <c r="J283" s="1079"/>
      <c r="K283" s="1082"/>
    </row>
    <row r="284" spans="1:11" ht="12" customHeight="1">
      <c r="A284" s="1083">
        <v>15</v>
      </c>
      <c r="B284" s="1084" t="s">
        <v>1676</v>
      </c>
      <c r="C284" s="1078"/>
      <c r="D284" s="1079"/>
      <c r="E284" s="1079"/>
      <c r="F284" s="1079"/>
      <c r="G284" s="1079"/>
      <c r="H284" s="1079"/>
      <c r="I284" s="1079"/>
      <c r="J284" s="1079"/>
      <c r="K284" s="1082"/>
    </row>
    <row r="285" spans="1:11" ht="12" customHeight="1">
      <c r="A285" s="1083"/>
      <c r="B285" s="1077" t="s">
        <v>1677</v>
      </c>
      <c r="C285" s="1078" t="s">
        <v>1626</v>
      </c>
      <c r="D285" s="1079">
        <f>C209/2</f>
        <v>1.75</v>
      </c>
      <c r="E285" s="1079">
        <f>C209/2</f>
        <v>1.75</v>
      </c>
      <c r="F285" s="1079"/>
      <c r="G285" s="1079"/>
      <c r="H285" s="1079">
        <f>PI()*D285*E285</f>
        <v>9.6211275016187408</v>
      </c>
      <c r="I285" s="1079"/>
      <c r="J285" s="1079"/>
      <c r="K285" s="1082"/>
    </row>
    <row r="286" spans="1:11" ht="12" customHeight="1">
      <c r="A286" s="1083"/>
      <c r="B286" s="1077" t="s">
        <v>1678</v>
      </c>
      <c r="C286" s="1078" t="s">
        <v>1653</v>
      </c>
      <c r="D286" s="1079">
        <f>C209/2</f>
        <v>1.75</v>
      </c>
      <c r="E286" s="1079"/>
      <c r="F286" s="1079"/>
      <c r="G286" s="1079">
        <f>H209</f>
        <v>1.9</v>
      </c>
      <c r="H286" s="1079">
        <f>2*PI()*D286*G286</f>
        <v>20.891591146372122</v>
      </c>
      <c r="I286" s="1079"/>
      <c r="J286" s="1079"/>
      <c r="K286" s="1082"/>
    </row>
    <row r="287" spans="1:11" ht="12" customHeight="1">
      <c r="A287" s="1083"/>
      <c r="B287" s="1086" t="s">
        <v>1679</v>
      </c>
      <c r="C287" s="1078"/>
      <c r="D287" s="1079"/>
      <c r="E287" s="1079"/>
      <c r="F287" s="1079"/>
      <c r="G287" s="1079"/>
      <c r="H287" s="1079">
        <f>SUM(H285:H286)</f>
        <v>30.512718647990862</v>
      </c>
      <c r="I287" s="1081" t="s">
        <v>47</v>
      </c>
      <c r="J287" s="1081">
        <f>Rates!$F$67</f>
        <v>346.26</v>
      </c>
      <c r="K287" s="1082">
        <f>H287*J287</f>
        <v>10565.333959053316</v>
      </c>
    </row>
    <row r="288" spans="1:11" ht="12" customHeight="1">
      <c r="A288" s="1083">
        <v>16</v>
      </c>
      <c r="B288" s="1077" t="s">
        <v>1680</v>
      </c>
      <c r="C288" s="1115"/>
      <c r="D288" s="1091"/>
      <c r="E288" s="1091"/>
      <c r="F288" s="1091"/>
      <c r="G288" s="1091"/>
      <c r="H288" s="1091"/>
      <c r="I288" s="1091"/>
      <c r="J288" s="1091"/>
      <c r="K288" s="1082"/>
    </row>
    <row r="289" spans="1:11" ht="12" customHeight="1">
      <c r="A289" s="1083"/>
      <c r="B289" s="1084" t="s">
        <v>1681</v>
      </c>
      <c r="C289" s="1078" t="s">
        <v>1653</v>
      </c>
      <c r="D289" s="1079">
        <f>C209/2+0.05</f>
        <v>1.8</v>
      </c>
      <c r="E289" s="1079"/>
      <c r="F289" s="1079"/>
      <c r="G289" s="1079">
        <f>H209-0.4</f>
        <v>1.5</v>
      </c>
      <c r="H289" s="1079">
        <f>2*PI()*D289*G289</f>
        <v>16.964600329384883</v>
      </c>
      <c r="I289" s="1081" t="s">
        <v>47</v>
      </c>
      <c r="J289" s="1081">
        <f>Rates!$F$72</f>
        <v>103.35</v>
      </c>
      <c r="K289" s="1082">
        <f>H289*J289</f>
        <v>1753.2914440419274</v>
      </c>
    </row>
    <row r="290" spans="1:11" ht="12" customHeight="1">
      <c r="A290" s="1083"/>
      <c r="B290" s="1087"/>
      <c r="C290" s="1078"/>
      <c r="D290" s="1079"/>
      <c r="E290" s="1079"/>
      <c r="F290" s="1079"/>
      <c r="G290" s="1079"/>
      <c r="H290" s="1079"/>
      <c r="I290" s="1079"/>
      <c r="J290" s="1079"/>
      <c r="K290" s="1082"/>
    </row>
    <row r="291" spans="1:11" ht="12" customHeight="1">
      <c r="A291" s="1083">
        <v>17</v>
      </c>
      <c r="B291" s="1077" t="s">
        <v>1682</v>
      </c>
      <c r="C291" s="1078"/>
      <c r="D291" s="1079"/>
      <c r="E291" s="1079"/>
      <c r="F291" s="1079"/>
      <c r="G291" s="1079"/>
      <c r="H291" s="1079"/>
      <c r="I291" s="1079"/>
      <c r="J291" s="1079"/>
      <c r="K291" s="1082"/>
    </row>
    <row r="292" spans="1:11" ht="12" customHeight="1">
      <c r="A292" s="1083"/>
      <c r="B292" s="1077" t="s">
        <v>1683</v>
      </c>
      <c r="C292" s="1078" t="s">
        <v>1653</v>
      </c>
      <c r="D292" s="1079">
        <f>C209/2+0.05</f>
        <v>1.8</v>
      </c>
      <c r="E292" s="1079"/>
      <c r="F292" s="1079"/>
      <c r="G292" s="1079">
        <v>0.4</v>
      </c>
      <c r="H292" s="1079">
        <f>2*PI()*D292*G292</f>
        <v>4.5238934211693023</v>
      </c>
      <c r="I292" s="1079"/>
      <c r="J292" s="1079"/>
      <c r="K292" s="1082"/>
    </row>
    <row r="293" spans="1:11" ht="12" customHeight="1">
      <c r="A293" s="1083"/>
      <c r="B293" s="1084" t="s">
        <v>1684</v>
      </c>
      <c r="C293" s="1078"/>
      <c r="D293" s="1087"/>
      <c r="E293" s="1087"/>
      <c r="F293" s="1087"/>
      <c r="G293" s="1087"/>
      <c r="H293" s="1087"/>
      <c r="I293" s="1087"/>
      <c r="J293" s="1087"/>
      <c r="K293" s="1082"/>
    </row>
    <row r="294" spans="1:11" ht="12" customHeight="1">
      <c r="A294" s="1083"/>
      <c r="B294" s="1077" t="s">
        <v>1654</v>
      </c>
      <c r="C294" s="1078" t="s">
        <v>1653</v>
      </c>
      <c r="D294" s="1079">
        <f>((C209+0.1)^2+4*(G294)^2)/(8*(G294))</f>
        <v>3</v>
      </c>
      <c r="E294" s="1079"/>
      <c r="F294" s="1079"/>
      <c r="G294" s="1079">
        <f>C210</f>
        <v>0.6</v>
      </c>
      <c r="H294" s="1079">
        <f>D294*G294*2*PI()</f>
        <v>11.309733552923253</v>
      </c>
      <c r="I294" s="1079"/>
      <c r="J294" s="1079"/>
      <c r="K294" s="1082"/>
    </row>
    <row r="295" spans="1:11" ht="12" customHeight="1">
      <c r="A295" s="1083"/>
      <c r="B295" s="1084" t="s">
        <v>1685</v>
      </c>
      <c r="C295" s="1078"/>
      <c r="D295" s="1079"/>
      <c r="E295" s="1087"/>
      <c r="F295" s="1087"/>
      <c r="G295" s="1087"/>
      <c r="H295" s="1087"/>
      <c r="I295" s="1087"/>
      <c r="J295" s="1087"/>
      <c r="K295" s="1082"/>
    </row>
    <row r="296" spans="1:11" ht="12" customHeight="1">
      <c r="A296" s="1083"/>
      <c r="B296" s="1086" t="s">
        <v>1108</v>
      </c>
      <c r="C296" s="1078"/>
      <c r="D296" s="1079"/>
      <c r="E296" s="1079"/>
      <c r="F296" s="1079"/>
      <c r="G296" s="1079"/>
      <c r="H296" s="1079">
        <f>SUM(H292:H295)</f>
        <v>15.833626974092557</v>
      </c>
      <c r="I296" s="1081" t="s">
        <v>47</v>
      </c>
      <c r="J296" s="1081">
        <f>Rates!$F$71</f>
        <v>213.84</v>
      </c>
      <c r="K296" s="1082">
        <f>H296*J296</f>
        <v>3385.8627921399525</v>
      </c>
    </row>
    <row r="297" spans="1:11" ht="12" customHeight="1">
      <c r="A297" s="1083"/>
      <c r="B297" s="1087"/>
      <c r="C297" s="1078"/>
      <c r="D297" s="1079"/>
      <c r="E297" s="1079"/>
      <c r="F297" s="1079"/>
      <c r="G297" s="1079"/>
      <c r="H297" s="1079"/>
      <c r="I297" s="1081"/>
      <c r="J297" s="1081"/>
      <c r="K297" s="1082"/>
    </row>
    <row r="298" spans="1:11" ht="12" customHeight="1">
      <c r="A298" s="1083">
        <v>18</v>
      </c>
      <c r="B298" s="1077" t="s">
        <v>1686</v>
      </c>
      <c r="C298" s="1078"/>
      <c r="D298" s="1079"/>
      <c r="E298" s="1079"/>
      <c r="F298" s="1079"/>
      <c r="G298" s="1079"/>
      <c r="H298" s="1116">
        <v>2</v>
      </c>
      <c r="I298" s="1081" t="s">
        <v>1038</v>
      </c>
      <c r="J298" s="1081">
        <f>MR!$I$42*1.15</f>
        <v>1465.2149999999997</v>
      </c>
      <c r="K298" s="1082">
        <f>H298*J298</f>
        <v>2930.4299999999994</v>
      </c>
    </row>
    <row r="299" spans="1:11" ht="12" customHeight="1">
      <c r="A299" s="1083"/>
      <c r="B299" s="1077"/>
      <c r="C299" s="1078"/>
      <c r="D299" s="1079"/>
      <c r="E299" s="1079"/>
      <c r="F299" s="1079"/>
      <c r="G299" s="1079"/>
      <c r="H299" s="1079"/>
      <c r="I299" s="1079"/>
      <c r="J299" s="1079"/>
      <c r="K299" s="1082"/>
    </row>
    <row r="300" spans="1:11" ht="12" customHeight="1">
      <c r="A300" s="1083">
        <v>19</v>
      </c>
      <c r="B300" s="1077" t="s">
        <v>1687</v>
      </c>
      <c r="C300" s="1078"/>
      <c r="D300" s="1079"/>
      <c r="E300" s="1079"/>
      <c r="F300" s="1079"/>
      <c r="G300" s="1079"/>
      <c r="H300" s="1117">
        <v>1</v>
      </c>
      <c r="I300" s="1081" t="s">
        <v>1154</v>
      </c>
      <c r="J300" s="1079">
        <v>700</v>
      </c>
      <c r="K300" s="1082">
        <f>H300*J300</f>
        <v>700</v>
      </c>
    </row>
    <row r="301" spans="1:11" ht="12" customHeight="1">
      <c r="A301" s="1083"/>
      <c r="B301" s="1087"/>
      <c r="C301" s="1078"/>
      <c r="D301" s="1079"/>
      <c r="E301" s="1079"/>
      <c r="F301" s="1079"/>
      <c r="G301" s="1079"/>
      <c r="H301" s="1079"/>
      <c r="I301" s="1079"/>
      <c r="J301" s="1079"/>
      <c r="K301" s="1082"/>
    </row>
    <row r="302" spans="1:11" ht="12" customHeight="1">
      <c r="A302" s="1083">
        <v>20</v>
      </c>
      <c r="B302" s="1084" t="s">
        <v>1688</v>
      </c>
      <c r="C302" s="1078">
        <v>1</v>
      </c>
      <c r="D302" s="1079">
        <f>VLOOKUP(C208,data!F$4:J$18,5,FALSE)</f>
        <v>24</v>
      </c>
      <c r="E302" s="1079"/>
      <c r="F302" s="1079"/>
      <c r="G302" s="1079"/>
      <c r="H302" s="1079">
        <f>D302</f>
        <v>24</v>
      </c>
      <c r="I302" s="1081" t="s">
        <v>965</v>
      </c>
      <c r="J302" s="1081">
        <f>'bar+gate'!$J$18</f>
        <v>2472.44</v>
      </c>
      <c r="K302" s="1082">
        <f>H302*J302</f>
        <v>59338.559999999998</v>
      </c>
    </row>
    <row r="303" spans="1:11" ht="12" customHeight="1">
      <c r="A303" s="1083"/>
      <c r="B303" s="1087"/>
      <c r="C303" s="1078"/>
      <c r="D303" s="1079"/>
      <c r="E303" s="1079"/>
      <c r="F303" s="1079"/>
      <c r="G303" s="1079"/>
      <c r="H303" s="1079"/>
      <c r="I303" s="1081"/>
      <c r="J303" s="1081"/>
      <c r="K303" s="1082"/>
    </row>
    <row r="304" spans="1:11" ht="12" customHeight="1">
      <c r="A304" s="1083">
        <v>21</v>
      </c>
      <c r="B304" s="1077" t="s">
        <v>1689</v>
      </c>
      <c r="C304" s="1078">
        <v>1</v>
      </c>
      <c r="D304" s="1079"/>
      <c r="E304" s="1079"/>
      <c r="F304" s="1079"/>
      <c r="G304" s="1079"/>
      <c r="H304" s="1079">
        <v>1</v>
      </c>
      <c r="I304" s="1081" t="s">
        <v>963</v>
      </c>
      <c r="J304" s="1081">
        <f>'bar+gate'!$J$42</f>
        <v>19286.280000000002</v>
      </c>
      <c r="K304" s="1082">
        <f>H304*J304</f>
        <v>19286.280000000002</v>
      </c>
    </row>
    <row r="305" spans="1:11" ht="12" customHeight="1">
      <c r="A305" s="1098"/>
      <c r="B305" s="1118"/>
      <c r="C305" s="1100"/>
      <c r="D305" s="1101"/>
      <c r="E305" s="1101"/>
      <c r="F305" s="1101"/>
      <c r="G305" s="1101"/>
      <c r="H305" s="1101"/>
      <c r="I305" s="1101"/>
      <c r="J305" s="1101"/>
      <c r="K305" s="1119"/>
    </row>
    <row r="306" spans="1:11" ht="12" customHeight="1">
      <c r="A306" s="1120"/>
      <c r="B306" s="1048" t="s">
        <v>1690</v>
      </c>
      <c r="C306" s="1121"/>
      <c r="D306" s="1122"/>
      <c r="E306" s="1122"/>
      <c r="F306" s="1122"/>
      <c r="G306" s="1122"/>
      <c r="H306" s="1122"/>
      <c r="I306" s="1122"/>
      <c r="J306" s="1122"/>
      <c r="K306" s="1123">
        <f>SUM(K212:K304)</f>
        <v>386959.37779947271</v>
      </c>
    </row>
    <row r="307" spans="1:11" ht="12" customHeight="1">
      <c r="A307" s="1124"/>
      <c r="B307" s="861" t="s">
        <v>1535</v>
      </c>
      <c r="C307" s="1085"/>
      <c r="D307" s="1104"/>
      <c r="E307" s="1104"/>
      <c r="F307" s="1104"/>
      <c r="G307" s="1104"/>
      <c r="H307" s="1104"/>
      <c r="I307" s="1104"/>
      <c r="J307" s="925">
        <f>'Entry for Rates'!$F$114</f>
        <v>13</v>
      </c>
      <c r="K307" s="921">
        <f>J307*K306/100</f>
        <v>50304.719113931453</v>
      </c>
    </row>
    <row r="308" spans="1:11" ht="12" customHeight="1">
      <c r="A308" s="1125"/>
      <c r="B308" s="1126" t="s">
        <v>1691</v>
      </c>
      <c r="C308" s="1127"/>
      <c r="D308" s="1128"/>
      <c r="E308" s="1128"/>
      <c r="F308" s="1128"/>
      <c r="G308" s="1128"/>
      <c r="H308" s="1128"/>
      <c r="I308" s="1128"/>
      <c r="J308" s="1129" t="s">
        <v>107</v>
      </c>
      <c r="K308" s="1130">
        <f>+K307+K306</f>
        <v>437264.09691340418</v>
      </c>
    </row>
    <row r="309" spans="1:11" ht="16.5" customHeight="1"/>
    <row r="310" spans="1:11" ht="16.5" customHeight="1"/>
    <row r="311" spans="1:11" ht="16.5" customHeight="1"/>
    <row r="312" spans="1:11" ht="16.5" customHeight="1"/>
    <row r="313" spans="1:11" ht="16.5" customHeight="1"/>
    <row r="314" spans="1:11" ht="16.5" customHeight="1"/>
    <row r="315" spans="1:11" ht="16.5" customHeight="1"/>
    <row r="316" spans="1:11" ht="16.5" customHeight="1"/>
    <row r="317" spans="1:11" ht="16.5" customHeight="1"/>
    <row r="318" spans="1:11" ht="16.5" customHeight="1"/>
    <row r="319" spans="1:11" ht="16.5" customHeight="1"/>
    <row r="320" spans="1:11"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row r="1001" ht="16.5" customHeight="1"/>
    <row r="1002" ht="16.5" customHeight="1"/>
    <row r="1003" ht="16.5" customHeight="1"/>
    <row r="1004" ht="16.5" customHeight="1"/>
    <row r="1005" ht="16.5" customHeight="1"/>
    <row r="1006" ht="16.5" customHeight="1"/>
    <row r="1007" ht="16.5" customHeight="1"/>
    <row r="1008" ht="16.5" customHeight="1"/>
    <row r="1009" ht="16.5" customHeight="1"/>
    <row r="1010" ht="16.5" customHeight="1"/>
    <row r="1011" ht="16.5" customHeight="1"/>
    <row r="1012" ht="16.5" customHeight="1"/>
    <row r="1013" ht="16.5" customHeight="1"/>
    <row r="1014" ht="16.5" customHeight="1"/>
    <row r="1015" ht="16.5" customHeight="1"/>
    <row r="1016" ht="16.5" customHeight="1"/>
    <row r="1017" ht="16.5" customHeight="1"/>
    <row r="1018" ht="16.5" customHeight="1"/>
    <row r="1019" ht="16.5" customHeight="1"/>
    <row r="1020" ht="16.5" customHeight="1"/>
    <row r="1021" ht="16.5" customHeight="1"/>
    <row r="1022" ht="16.5" customHeight="1"/>
    <row r="1023" ht="16.5" customHeight="1"/>
    <row r="1024" ht="16.5" customHeight="1"/>
    <row r="1025" ht="16.5" customHeight="1"/>
    <row r="1026" ht="16.5" customHeight="1"/>
    <row r="1027" ht="16.5" customHeight="1"/>
    <row r="1028" ht="16.5" customHeight="1"/>
    <row r="1029" ht="16.5" customHeight="1"/>
    <row r="1030" ht="16.5" customHeight="1"/>
    <row r="1031" ht="16.5" customHeight="1"/>
    <row r="1032" ht="16.5" customHeight="1"/>
    <row r="1033" ht="16.5" customHeight="1"/>
    <row r="1034" ht="16.5" customHeight="1"/>
    <row r="1035" ht="16.5" customHeight="1"/>
    <row r="1036" ht="16.5" customHeight="1"/>
    <row r="1037" ht="16.5" customHeight="1"/>
    <row r="1038" ht="16.5" customHeight="1"/>
    <row r="1039" ht="16.5" customHeight="1"/>
    <row r="1040" ht="16.5" customHeight="1"/>
    <row r="1041" ht="16.5" customHeight="1"/>
    <row r="1042" ht="16.5" customHeight="1"/>
    <row r="1043" ht="16.5" customHeight="1"/>
    <row r="1044" ht="16.5" customHeight="1"/>
    <row r="1045" ht="16.5" customHeight="1"/>
    <row r="1046" ht="16.5" customHeight="1"/>
    <row r="1047" ht="16.5" customHeight="1"/>
    <row r="1048" ht="16.5" customHeight="1"/>
    <row r="1049" ht="16.5" customHeight="1"/>
    <row r="1050" ht="16.5" customHeight="1"/>
    <row r="1051" ht="16.5" customHeight="1"/>
    <row r="1052" ht="16.5" customHeight="1"/>
    <row r="1053" ht="16.5" customHeight="1"/>
    <row r="1054" ht="16.5" customHeight="1"/>
    <row r="1055" ht="16.5" customHeight="1"/>
    <row r="1056" ht="16.5" customHeight="1"/>
    <row r="1057" ht="16.5" customHeight="1"/>
    <row r="1058" ht="16.5" customHeight="1"/>
    <row r="1059" ht="16.5" customHeight="1"/>
    <row r="1060" ht="16.5" customHeight="1"/>
    <row r="1061" ht="16.5" customHeight="1"/>
    <row r="1062" ht="16.5" customHeight="1"/>
    <row r="1063" ht="16.5" customHeight="1"/>
    <row r="1064" ht="16.5" customHeight="1"/>
    <row r="1065" ht="16.5" customHeight="1"/>
    <row r="1066" ht="16.5" customHeight="1"/>
    <row r="1067" ht="16.5" customHeight="1"/>
    <row r="1068" ht="16.5" customHeight="1"/>
    <row r="1069" ht="16.5" customHeight="1"/>
    <row r="1070" ht="16.5" customHeight="1"/>
    <row r="1071" ht="16.5" customHeight="1"/>
    <row r="1072" ht="16.5" customHeight="1"/>
    <row r="1073" ht="16.5" customHeight="1"/>
    <row r="1074" ht="16.5" customHeight="1"/>
    <row r="1075" ht="16.5" customHeight="1"/>
    <row r="1076" ht="16.5" customHeight="1"/>
    <row r="1077" ht="16.5" customHeight="1"/>
    <row r="1078" ht="16.5" customHeight="1"/>
    <row r="1079" ht="16.5" customHeight="1"/>
    <row r="1080" ht="16.5" customHeight="1"/>
    <row r="1081" ht="16.5" customHeight="1"/>
    <row r="1082" ht="16.5" customHeight="1"/>
    <row r="1083" ht="16.5" customHeight="1"/>
    <row r="1084" ht="16.5" customHeight="1"/>
    <row r="1085" ht="16.5" customHeight="1"/>
    <row r="1086" ht="16.5" customHeight="1"/>
    <row r="1087" ht="16.5" customHeight="1"/>
    <row r="1088" ht="16.5" customHeight="1"/>
    <row r="1089" ht="16.5" customHeight="1"/>
    <row r="1090" ht="16.5" customHeight="1"/>
    <row r="1091" ht="16.5" customHeight="1"/>
    <row r="1092" ht="16.5" customHeight="1"/>
    <row r="1093" ht="16.5" customHeight="1"/>
    <row r="1094" ht="16.5" customHeight="1"/>
    <row r="1095" ht="16.5" customHeight="1"/>
    <row r="1096" ht="16.5" customHeight="1"/>
    <row r="1097" ht="16.5" customHeight="1"/>
    <row r="1098" ht="16.5" customHeight="1"/>
    <row r="1099" ht="16.5" customHeight="1"/>
    <row r="1100" ht="16.5" customHeight="1"/>
    <row r="1101" ht="16.5" customHeight="1"/>
    <row r="1102" ht="16.5" customHeight="1"/>
    <row r="1103" ht="16.5" customHeight="1"/>
    <row r="1104" ht="16.5" customHeight="1"/>
    <row r="1105" ht="16.5" customHeight="1"/>
    <row r="1106" ht="16.5" customHeight="1"/>
    <row r="1107" ht="16.5" customHeight="1"/>
    <row r="1108" ht="16.5" customHeight="1"/>
    <row r="1109" ht="16.5" customHeight="1"/>
    <row r="1110" ht="16.5" customHeight="1"/>
    <row r="1111" ht="16.5" customHeight="1"/>
    <row r="1112" ht="16.5" customHeight="1"/>
    <row r="1113" ht="16.5" customHeight="1"/>
    <row r="1114" ht="16.5" customHeight="1"/>
    <row r="1115" ht="16.5" customHeight="1"/>
    <row r="1116" ht="16.5" customHeight="1"/>
    <row r="1117" ht="16.5" customHeight="1"/>
    <row r="1118" ht="16.5" customHeight="1"/>
    <row r="1119" ht="16.5" customHeight="1"/>
    <row r="1120" ht="16.5" customHeight="1"/>
    <row r="1121" ht="16.5" customHeight="1"/>
    <row r="1122" ht="16.5" customHeight="1"/>
    <row r="1123" ht="16.5" customHeight="1"/>
    <row r="1124" ht="16.5" customHeight="1"/>
    <row r="1125" ht="16.5" customHeight="1"/>
    <row r="1126" ht="16.5" customHeight="1"/>
    <row r="1127" ht="16.5" customHeight="1"/>
    <row r="1128" ht="16.5" customHeight="1"/>
    <row r="1129" ht="16.5" customHeight="1"/>
    <row r="1130" ht="16.5" customHeight="1"/>
    <row r="1131" ht="16.5" customHeight="1"/>
    <row r="1132" ht="16.5" customHeight="1"/>
    <row r="1133" ht="16.5" customHeight="1"/>
    <row r="1134" ht="16.5" customHeight="1"/>
    <row r="1135" ht="16.5" customHeight="1"/>
    <row r="1136" ht="16.5" customHeight="1"/>
    <row r="1137" ht="16.5" customHeight="1"/>
    <row r="1138" ht="16.5" customHeight="1"/>
    <row r="1139" ht="16.5" customHeight="1"/>
    <row r="1140" ht="16.5" customHeight="1"/>
    <row r="1141" ht="16.5" customHeight="1"/>
    <row r="1142" ht="16.5" customHeight="1"/>
    <row r="1143" ht="16.5" customHeight="1"/>
    <row r="1144" ht="16.5" customHeight="1"/>
    <row r="1145" ht="16.5" customHeight="1"/>
    <row r="1146" ht="16.5" customHeight="1"/>
    <row r="1147" ht="16.5" customHeight="1"/>
    <row r="1148" ht="16.5" customHeight="1"/>
    <row r="1149" ht="16.5" customHeight="1"/>
    <row r="1150" ht="16.5" customHeight="1"/>
    <row r="1151" ht="16.5" customHeight="1"/>
    <row r="1152" ht="16.5" customHeight="1"/>
    <row r="1153" ht="16.5" customHeight="1"/>
    <row r="1154" ht="16.5" customHeight="1"/>
    <row r="1155" ht="16.5" customHeight="1"/>
    <row r="1156" ht="16.5" customHeight="1"/>
    <row r="1157" ht="16.5" customHeight="1"/>
    <row r="1158" ht="16.5" customHeight="1"/>
    <row r="1159" ht="16.5" customHeight="1"/>
    <row r="1160" ht="16.5" customHeight="1"/>
    <row r="1161" ht="16.5" customHeight="1"/>
    <row r="1162" ht="16.5" customHeight="1"/>
    <row r="1163" ht="16.5" customHeight="1"/>
    <row r="1164" ht="16.5" customHeight="1"/>
    <row r="1165" ht="16.5" customHeight="1"/>
    <row r="1166" ht="16.5" customHeight="1"/>
    <row r="1167" ht="16.5" customHeight="1"/>
    <row r="1168" ht="16.5" customHeight="1"/>
    <row r="1169" ht="16.5" customHeight="1"/>
    <row r="1170" ht="16.5" customHeight="1"/>
    <row r="1171" ht="16.5" customHeight="1"/>
    <row r="1172" ht="16.5" customHeight="1"/>
    <row r="1173" ht="16.5" customHeight="1"/>
    <row r="1174" ht="16.5" customHeight="1"/>
    <row r="1175" ht="16.5" customHeight="1"/>
    <row r="1176" ht="16.5" customHeight="1"/>
    <row r="1177" ht="16.5" customHeight="1"/>
    <row r="1178" ht="16.5" customHeight="1"/>
    <row r="1179" ht="16.5" customHeight="1"/>
    <row r="1180" ht="16.5" customHeight="1"/>
    <row r="1181" ht="16.5" customHeight="1"/>
    <row r="1182" ht="16.5" customHeight="1"/>
    <row r="1183" ht="16.5" customHeight="1"/>
    <row r="1184" ht="16.5" customHeight="1"/>
    <row r="1185" ht="16.5" customHeight="1"/>
    <row r="1186" ht="16.5" customHeight="1"/>
    <row r="1187" ht="16.5" customHeight="1"/>
    <row r="1188" ht="16.5" customHeight="1"/>
    <row r="1189" ht="16.5" customHeight="1"/>
    <row r="1190" ht="16.5" customHeight="1"/>
    <row r="1191" ht="16.5" customHeight="1"/>
    <row r="1192" ht="16.5" customHeight="1"/>
    <row r="1193" ht="16.5" customHeight="1"/>
    <row r="1194" ht="16.5" customHeight="1"/>
    <row r="1195" ht="16.5" customHeight="1"/>
    <row r="1196" ht="16.5" customHeight="1"/>
    <row r="1197" ht="16.5" customHeight="1"/>
    <row r="1198" ht="16.5" customHeight="1"/>
    <row r="1199" ht="16.5" customHeight="1"/>
    <row r="1200" ht="16.5" customHeight="1"/>
    <row r="1201" ht="16.5" customHeight="1"/>
    <row r="1202" ht="16.5" customHeight="1"/>
    <row r="1203" ht="16.5" customHeight="1"/>
    <row r="1204" ht="16.5" customHeight="1"/>
    <row r="1205" ht="16.5" customHeight="1"/>
    <row r="1206" ht="16.5" customHeight="1"/>
    <row r="1207" ht="16.5" customHeight="1"/>
    <row r="1208" ht="16.5" customHeight="1"/>
    <row r="1209" ht="16.5" customHeight="1"/>
    <row r="1210" ht="16.5" customHeight="1"/>
    <row r="1211" ht="16.5" customHeight="1"/>
    <row r="1212" ht="16.5" customHeight="1"/>
    <row r="1213" ht="16.5" customHeight="1"/>
    <row r="1214" ht="16.5" customHeight="1"/>
    <row r="1215" ht="16.5" customHeight="1"/>
    <row r="1216" ht="16.5" customHeight="1"/>
    <row r="1217" ht="16.5" customHeight="1"/>
    <row r="1218" ht="16.5" customHeight="1"/>
    <row r="1219" ht="16.5" customHeight="1"/>
    <row r="1220" ht="16.5" customHeight="1"/>
    <row r="1221" ht="16.5" customHeight="1"/>
    <row r="1222" ht="16.5" customHeight="1"/>
    <row r="1223" ht="16.5" customHeight="1"/>
    <row r="1224" ht="16.5" customHeight="1"/>
    <row r="1225" ht="16.5" customHeight="1"/>
    <row r="1226" ht="16.5" customHeight="1"/>
    <row r="1227" ht="16.5" customHeight="1"/>
    <row r="1228" ht="16.5" customHeight="1"/>
    <row r="1229" ht="16.5" customHeight="1"/>
    <row r="1230" ht="16.5" customHeight="1"/>
    <row r="1231" ht="16.5" customHeight="1"/>
    <row r="1232" ht="16.5" customHeight="1"/>
    <row r="1233" ht="16.5" customHeight="1"/>
    <row r="1234" ht="16.5" customHeight="1"/>
    <row r="1235" ht="16.5" customHeight="1"/>
    <row r="1236" ht="16.5" customHeight="1"/>
    <row r="1237" ht="16.5" customHeight="1"/>
    <row r="1238" ht="16.5" customHeight="1"/>
    <row r="1239" ht="16.5" customHeight="1"/>
    <row r="1240" ht="16.5" customHeight="1"/>
    <row r="1241" ht="16.5" customHeight="1"/>
    <row r="1242" ht="16.5" customHeight="1"/>
    <row r="1243" ht="16.5" customHeight="1"/>
    <row r="1244" ht="16.5" customHeight="1"/>
    <row r="1245" ht="16.5" customHeight="1"/>
    <row r="1246" ht="16.5" customHeight="1"/>
    <row r="1247" ht="16.5" customHeight="1"/>
    <row r="1248" ht="16.5" customHeight="1"/>
    <row r="1249" ht="16.5" customHeight="1"/>
    <row r="1250" ht="16.5" customHeight="1"/>
    <row r="1251" ht="16.5" customHeight="1"/>
    <row r="1252" ht="16.5" customHeight="1"/>
    <row r="1253" ht="16.5" customHeight="1"/>
    <row r="1254" ht="16.5" customHeight="1"/>
    <row r="1255" ht="16.5" customHeight="1"/>
    <row r="1256" ht="16.5" customHeight="1"/>
    <row r="1257" ht="16.5" customHeight="1"/>
    <row r="1258" ht="16.5" customHeight="1"/>
    <row r="1259" ht="16.5" customHeight="1"/>
    <row r="1260" ht="16.5" customHeight="1"/>
    <row r="1261" ht="16.5" customHeight="1"/>
    <row r="1262" ht="16.5" customHeight="1"/>
    <row r="1263" ht="16.5" customHeight="1"/>
    <row r="1264" ht="16.5" customHeight="1"/>
    <row r="1265" ht="16.5" customHeight="1"/>
    <row r="1266" ht="16.5" customHeight="1"/>
    <row r="1267" ht="16.5" customHeight="1"/>
    <row r="1268" ht="16.5" customHeight="1"/>
    <row r="1269" ht="16.5" customHeight="1"/>
    <row r="1270" ht="16.5" customHeight="1"/>
    <row r="1271" ht="16.5" customHeight="1"/>
    <row r="1272" ht="16.5" customHeight="1"/>
    <row r="1273" ht="16.5" customHeight="1"/>
    <row r="1274" ht="16.5" customHeight="1"/>
    <row r="1275" ht="16.5" customHeight="1"/>
    <row r="1276" ht="16.5" customHeight="1"/>
    <row r="1277" ht="16.5" customHeight="1"/>
    <row r="1278" ht="16.5" customHeight="1"/>
    <row r="1279" ht="16.5" customHeight="1"/>
    <row r="1280" ht="16.5" customHeight="1"/>
    <row r="1281" ht="16.5" customHeight="1"/>
    <row r="1282" ht="16.5" customHeight="1"/>
    <row r="1283" ht="16.5" customHeight="1"/>
    <row r="1284" ht="16.5" customHeight="1"/>
    <row r="1285" ht="16.5" customHeight="1"/>
    <row r="1286" ht="16.5" customHeight="1"/>
    <row r="1287" ht="16.5" customHeight="1"/>
    <row r="1288" ht="16.5" customHeight="1"/>
    <row r="1289" ht="16.5" customHeight="1"/>
    <row r="1290" ht="16.5" customHeight="1"/>
    <row r="1291" ht="16.5" customHeight="1"/>
    <row r="1292" ht="16.5" customHeight="1"/>
    <row r="1293" ht="16.5" customHeight="1"/>
    <row r="1294" ht="16.5" customHeight="1"/>
    <row r="1295" ht="16.5" customHeight="1"/>
    <row r="1296" ht="16.5" customHeight="1"/>
    <row r="1297" ht="16.5" customHeight="1"/>
    <row r="1298" ht="16.5" customHeight="1"/>
    <row r="1299" ht="16.5" customHeight="1"/>
    <row r="1300" ht="16.5" customHeight="1"/>
    <row r="1301" ht="16.5" customHeight="1"/>
    <row r="1302" ht="16.5" customHeight="1"/>
    <row r="1303" ht="16.5" customHeight="1"/>
    <row r="1304" ht="16.5" customHeight="1"/>
    <row r="1305" ht="16.5" customHeight="1"/>
    <row r="1306" ht="16.5" customHeight="1"/>
    <row r="1307" ht="16.5" customHeight="1"/>
    <row r="1308" ht="16.5" customHeight="1"/>
    <row r="1309" ht="16.5" customHeight="1"/>
    <row r="1310" ht="16.5" customHeight="1"/>
    <row r="1311" ht="16.5" customHeight="1"/>
    <row r="1312" ht="16.5" customHeight="1"/>
    <row r="1313" ht="16.5" customHeight="1"/>
    <row r="1314" ht="16.5" customHeight="1"/>
    <row r="1315" ht="16.5" customHeight="1"/>
    <row r="1316" ht="16.5" customHeight="1"/>
    <row r="1317" ht="16.5" customHeight="1"/>
    <row r="1318" ht="16.5" customHeight="1"/>
    <row r="1319" ht="16.5" customHeight="1"/>
    <row r="1320" ht="16.5" customHeight="1"/>
    <row r="1321" ht="16.5" customHeight="1"/>
    <row r="1322" ht="16.5" customHeight="1"/>
    <row r="1323" ht="16.5" customHeight="1"/>
    <row r="1324" ht="16.5" customHeight="1"/>
    <row r="1325" ht="16.5" customHeight="1"/>
    <row r="1326" ht="16.5" customHeight="1"/>
    <row r="1327" ht="16.5" customHeight="1"/>
    <row r="1328" ht="16.5" customHeight="1"/>
    <row r="1329" ht="16.5" customHeight="1"/>
    <row r="1330" ht="16.5" customHeight="1"/>
    <row r="1331" ht="16.5" customHeight="1"/>
    <row r="1332" ht="16.5" customHeight="1"/>
    <row r="1333" ht="16.5" customHeight="1"/>
    <row r="1334" ht="16.5" customHeight="1"/>
    <row r="1335" ht="16.5" customHeight="1"/>
    <row r="1336" ht="16.5" customHeight="1"/>
    <row r="1337" ht="16.5" customHeight="1"/>
    <row r="1338" ht="16.5" customHeight="1"/>
    <row r="1339" ht="16.5" customHeight="1"/>
    <row r="1340" ht="16.5" customHeight="1"/>
    <row r="1341" ht="16.5" customHeight="1"/>
    <row r="1342" ht="16.5" customHeight="1"/>
    <row r="1343" ht="16.5" customHeight="1"/>
    <row r="1344" ht="16.5" customHeight="1"/>
    <row r="1345" ht="16.5" customHeight="1"/>
    <row r="1346" ht="16.5" customHeight="1"/>
    <row r="1347" ht="16.5" customHeight="1"/>
    <row r="1348" ht="16.5" customHeight="1"/>
    <row r="1349" ht="16.5" customHeight="1"/>
    <row r="1350" ht="16.5" customHeight="1"/>
    <row r="1351" ht="16.5" customHeight="1"/>
    <row r="1352" ht="16.5" customHeight="1"/>
    <row r="1353" ht="16.5" customHeight="1"/>
    <row r="1354" ht="16.5" customHeight="1"/>
    <row r="1355" ht="16.5" customHeight="1"/>
    <row r="1356" ht="16.5" customHeight="1"/>
    <row r="1357" ht="16.5" customHeight="1"/>
    <row r="1358" ht="16.5" customHeight="1"/>
    <row r="1359" ht="16.5" customHeight="1"/>
    <row r="1360" ht="16.5" customHeight="1"/>
    <row r="1361" ht="16.5" customHeight="1"/>
    <row r="1362" ht="16.5" customHeight="1"/>
    <row r="1363" ht="16.5" customHeight="1"/>
    <row r="1364" ht="16.5" customHeight="1"/>
    <row r="1365" ht="16.5" customHeight="1"/>
    <row r="1366" ht="16.5" customHeight="1"/>
    <row r="1367" ht="16.5" customHeight="1"/>
    <row r="1368" ht="16.5" customHeight="1"/>
    <row r="1369" ht="16.5" customHeight="1"/>
    <row r="1370" ht="16.5" customHeight="1"/>
    <row r="1371" ht="16.5" customHeight="1"/>
    <row r="1372" ht="16.5" customHeight="1"/>
    <row r="1373" ht="16.5" customHeight="1"/>
    <row r="1374" ht="16.5" customHeight="1"/>
    <row r="1375" ht="16.5" customHeight="1"/>
    <row r="1376" ht="16.5" customHeight="1"/>
    <row r="1377" ht="16.5" customHeight="1"/>
    <row r="1378" ht="16.5" customHeight="1"/>
    <row r="1379" ht="16.5" customHeight="1"/>
    <row r="1380" ht="16.5" customHeight="1"/>
    <row r="1381" ht="16.5" customHeight="1"/>
    <row r="1382" ht="16.5" customHeight="1"/>
    <row r="1383" ht="16.5" customHeight="1"/>
    <row r="1384" ht="16.5" customHeight="1"/>
    <row r="1385" ht="16.5" customHeight="1"/>
    <row r="1386" ht="16.5" customHeight="1"/>
    <row r="1387" ht="16.5" customHeight="1"/>
    <row r="1388" ht="16.5" customHeight="1"/>
    <row r="1389" ht="16.5" customHeight="1"/>
    <row r="1390" ht="16.5" customHeight="1"/>
    <row r="1391" ht="16.5" customHeight="1"/>
    <row r="1392" ht="16.5" customHeight="1"/>
    <row r="1393" ht="16.5" customHeight="1"/>
    <row r="1394" ht="16.5" customHeight="1"/>
    <row r="1395" ht="16.5" customHeight="1"/>
    <row r="1396" ht="16.5" customHeight="1"/>
    <row r="1397" ht="16.5" customHeight="1"/>
    <row r="1398" ht="16.5" customHeight="1"/>
    <row r="1399" ht="16.5" customHeight="1"/>
    <row r="1400" ht="16.5" customHeight="1"/>
    <row r="1401" ht="16.5" customHeight="1"/>
    <row r="1402" ht="16.5" customHeight="1"/>
    <row r="1403" ht="16.5" customHeight="1"/>
    <row r="1404" ht="16.5" customHeight="1"/>
    <row r="1405" ht="16.5" customHeight="1"/>
    <row r="1406" ht="16.5" customHeight="1"/>
    <row r="1407" ht="16.5" customHeight="1"/>
    <row r="1408" ht="16.5" customHeight="1"/>
    <row r="1409" ht="16.5" customHeight="1"/>
    <row r="1410" ht="16.5" customHeight="1"/>
    <row r="1411" ht="16.5" customHeight="1"/>
    <row r="1412" ht="16.5" customHeight="1"/>
    <row r="1413" ht="16.5" customHeight="1"/>
    <row r="1414" ht="16.5" customHeight="1"/>
    <row r="1415" ht="16.5" customHeight="1"/>
    <row r="1416" ht="16.5" customHeight="1"/>
    <row r="1417" ht="16.5" customHeight="1"/>
    <row r="1418" ht="16.5" customHeight="1"/>
    <row r="1419" ht="16.5" customHeight="1"/>
    <row r="1420" ht="16.5" customHeight="1"/>
    <row r="1421" ht="16.5" customHeight="1"/>
    <row r="1422" ht="16.5" customHeight="1"/>
    <row r="1423" ht="16.5" customHeight="1"/>
    <row r="1424" ht="16.5" customHeight="1"/>
    <row r="1425" ht="16.5" customHeight="1"/>
    <row r="1426" ht="16.5" customHeight="1"/>
    <row r="1427" ht="16.5" customHeight="1"/>
    <row r="1428" ht="16.5" customHeight="1"/>
    <row r="1429" ht="16.5" customHeight="1"/>
    <row r="1430" ht="16.5" customHeight="1"/>
    <row r="1431" ht="16.5" customHeight="1"/>
    <row r="1432" ht="16.5" customHeight="1"/>
    <row r="1433" ht="16.5" customHeight="1"/>
    <row r="1434" ht="16.5" customHeight="1"/>
    <row r="1435" ht="16.5" customHeight="1"/>
    <row r="1436" ht="16.5" customHeight="1"/>
    <row r="1437" ht="16.5" customHeight="1"/>
    <row r="1438" ht="16.5" customHeight="1"/>
    <row r="1439" ht="16.5" customHeight="1"/>
    <row r="1440" ht="16.5" customHeight="1"/>
    <row r="1441" ht="16.5" customHeight="1"/>
    <row r="1442" ht="16.5" customHeight="1"/>
    <row r="1443" ht="16.5" customHeight="1"/>
    <row r="1444" ht="16.5" customHeight="1"/>
    <row r="1445" ht="16.5" customHeight="1"/>
    <row r="1446" ht="16.5" customHeight="1"/>
    <row r="1447" ht="16.5" customHeight="1"/>
    <row r="1448" ht="16.5" customHeight="1"/>
    <row r="1449" ht="16.5" customHeight="1"/>
    <row r="1450" ht="16.5" customHeight="1"/>
    <row r="1451" ht="16.5" customHeight="1"/>
    <row r="1452" ht="16.5" customHeight="1"/>
    <row r="1453" ht="16.5" customHeight="1"/>
    <row r="1454" ht="16.5" customHeight="1"/>
    <row r="1455" ht="16.5" customHeight="1"/>
    <row r="1456" ht="16.5" customHeight="1"/>
    <row r="1457" ht="16.5" customHeight="1"/>
    <row r="1458" ht="16.5" customHeight="1"/>
    <row r="1459" ht="16.5" customHeight="1"/>
    <row r="1460" ht="16.5" customHeight="1"/>
    <row r="1461" ht="16.5" customHeight="1"/>
    <row r="1462" ht="16.5" customHeight="1"/>
    <row r="1463" ht="16.5" customHeight="1"/>
    <row r="1464" ht="16.5" customHeight="1"/>
    <row r="1465" ht="16.5" customHeight="1"/>
    <row r="1466" ht="16.5" customHeight="1"/>
    <row r="1467" ht="16.5" customHeight="1"/>
    <row r="1468" ht="16.5" customHeight="1"/>
    <row r="1469" ht="16.5" customHeight="1"/>
    <row r="1470" ht="16.5" customHeight="1"/>
    <row r="1471" ht="16.5" customHeight="1"/>
    <row r="1472" ht="16.5" customHeight="1"/>
    <row r="1473" ht="16.5" customHeight="1"/>
    <row r="1474" ht="16.5" customHeight="1"/>
    <row r="1475" ht="16.5" customHeight="1"/>
    <row r="1476" ht="16.5" customHeight="1"/>
    <row r="1477" ht="16.5" customHeight="1"/>
    <row r="1478" ht="16.5" customHeight="1"/>
    <row r="1479" ht="16.5" customHeight="1"/>
    <row r="1480" ht="16.5" customHeight="1"/>
    <row r="1481" ht="16.5" customHeight="1"/>
    <row r="1482" ht="16.5" customHeight="1"/>
    <row r="1483" ht="16.5" customHeight="1"/>
    <row r="1484" ht="16.5" customHeight="1"/>
    <row r="1485" ht="16.5" customHeight="1"/>
    <row r="1486" ht="16.5" customHeight="1"/>
    <row r="1487" ht="16.5" customHeight="1"/>
    <row r="1488" ht="16.5" customHeight="1"/>
    <row r="1489" ht="16.5" customHeight="1"/>
    <row r="1490" ht="16.5" customHeight="1"/>
    <row r="1491" ht="16.5" customHeight="1"/>
    <row r="1492" ht="16.5" customHeight="1"/>
    <row r="1493" ht="16.5" customHeight="1"/>
    <row r="1494" ht="16.5" customHeight="1"/>
    <row r="1495" ht="16.5" customHeight="1"/>
    <row r="1496" ht="16.5" customHeight="1"/>
    <row r="1497" ht="16.5" customHeight="1"/>
    <row r="1498" ht="16.5" customHeight="1"/>
    <row r="1499" ht="16.5" customHeight="1"/>
    <row r="1500" ht="16.5" customHeight="1"/>
    <row r="1501" ht="16.5" customHeight="1"/>
    <row r="1502" ht="16.5" customHeight="1"/>
    <row r="1503" ht="16.5" customHeight="1"/>
    <row r="1504" ht="16.5" customHeight="1"/>
    <row r="1505" ht="16.5" customHeight="1"/>
    <row r="1506" ht="16.5" customHeight="1"/>
    <row r="1507" ht="16.5" customHeight="1"/>
    <row r="1508" ht="16.5" customHeight="1"/>
    <row r="1509" ht="16.5" customHeight="1"/>
    <row r="1510" ht="16.5" customHeight="1"/>
    <row r="1511" ht="16.5" customHeight="1"/>
    <row r="1512" ht="16.5" customHeight="1"/>
    <row r="1513" ht="16.5" customHeight="1"/>
    <row r="1514" ht="16.5" customHeight="1"/>
    <row r="1515" ht="16.5" customHeight="1"/>
    <row r="1516" ht="16.5" customHeight="1"/>
    <row r="1517" ht="16.5" customHeight="1"/>
    <row r="1518" ht="16.5" customHeight="1"/>
    <row r="1519" ht="16.5" customHeight="1"/>
    <row r="1520" ht="16.5" customHeight="1"/>
    <row r="1521" ht="16.5" customHeight="1"/>
    <row r="1522" ht="16.5" customHeight="1"/>
    <row r="1523" ht="16.5" customHeight="1"/>
    <row r="1524" ht="16.5" customHeight="1"/>
    <row r="1525" ht="16.5" customHeight="1"/>
    <row r="1526" ht="16.5" customHeight="1"/>
    <row r="1527" ht="16.5" customHeight="1"/>
    <row r="1528" ht="16.5" customHeight="1"/>
    <row r="1529" ht="16.5" customHeight="1"/>
    <row r="1530" ht="16.5" customHeight="1"/>
    <row r="1531" ht="16.5" customHeight="1"/>
    <row r="1532" ht="16.5" customHeight="1"/>
    <row r="1533" ht="16.5" customHeight="1"/>
    <row r="1534" ht="16.5" customHeight="1"/>
    <row r="1535" ht="16.5" customHeight="1"/>
    <row r="1536" ht="16.5" customHeight="1"/>
    <row r="1537" ht="16.5" customHeight="1"/>
    <row r="1538" ht="16.5" customHeight="1"/>
    <row r="1539" ht="16.5" customHeight="1"/>
    <row r="1540" ht="16.5" customHeight="1"/>
    <row r="1541" ht="16.5" customHeight="1"/>
    <row r="1542" ht="16.5" customHeight="1"/>
    <row r="1543" ht="16.5" customHeight="1"/>
    <row r="1544" ht="16.5" customHeight="1"/>
    <row r="1545" ht="16.5" customHeight="1"/>
    <row r="1546" ht="16.5" customHeight="1"/>
    <row r="1547" ht="16.5" customHeight="1"/>
    <row r="1548" ht="16.5" customHeight="1"/>
    <row r="1549" ht="16.5" customHeight="1"/>
    <row r="1550" ht="16.5" customHeight="1"/>
    <row r="1551" ht="16.5" customHeight="1"/>
    <row r="1552" ht="16.5" customHeight="1"/>
    <row r="1553" ht="16.5" customHeight="1"/>
    <row r="1554" ht="16.5" customHeight="1"/>
    <row r="1555" ht="16.5" customHeight="1"/>
    <row r="1556" ht="16.5" customHeight="1"/>
    <row r="1557" ht="16.5" customHeight="1"/>
    <row r="1558" ht="16.5" customHeight="1"/>
    <row r="1559" ht="16.5" customHeight="1"/>
    <row r="1560" ht="16.5" customHeight="1"/>
    <row r="1561" ht="16.5" customHeight="1"/>
    <row r="1562" ht="16.5" customHeight="1"/>
    <row r="1563" ht="16.5" customHeight="1"/>
    <row r="1564" ht="16.5" customHeight="1"/>
    <row r="1565" ht="16.5" customHeight="1"/>
    <row r="1566" ht="16.5" customHeight="1"/>
    <row r="1567" ht="16.5" customHeight="1"/>
    <row r="1568" ht="16.5" customHeight="1"/>
    <row r="1569" ht="16.5" customHeight="1"/>
    <row r="1570" ht="16.5" customHeight="1"/>
    <row r="1571" ht="16.5" customHeight="1"/>
    <row r="1572" ht="16.5" customHeight="1"/>
    <row r="1573" ht="16.5" customHeight="1"/>
    <row r="1574" ht="16.5" customHeight="1"/>
    <row r="1575" ht="16.5" customHeight="1"/>
    <row r="1576" ht="16.5" customHeight="1"/>
    <row r="1577" ht="16.5" customHeight="1"/>
    <row r="1578" ht="16.5" customHeight="1"/>
    <row r="1579" ht="16.5" customHeight="1"/>
    <row r="1580" ht="16.5" customHeight="1"/>
    <row r="1581" ht="16.5" customHeight="1"/>
    <row r="1582" ht="16.5" customHeight="1"/>
    <row r="1583" ht="16.5" customHeight="1"/>
    <row r="1584" ht="16.5" customHeight="1"/>
    <row r="1585" ht="16.5" customHeight="1"/>
    <row r="1586" ht="16.5" customHeight="1"/>
    <row r="1587" ht="16.5" customHeight="1"/>
    <row r="1588" ht="16.5" customHeight="1"/>
    <row r="1589" ht="16.5" customHeight="1"/>
    <row r="1590" ht="16.5" customHeight="1"/>
    <row r="1591" ht="16.5" customHeight="1"/>
    <row r="1592" ht="16.5" customHeight="1"/>
    <row r="1593" ht="16.5" customHeight="1"/>
    <row r="1594" ht="16.5" customHeight="1"/>
    <row r="1595" ht="16.5" customHeight="1"/>
    <row r="1596" ht="16.5" customHeight="1"/>
    <row r="1597" ht="16.5" customHeight="1"/>
    <row r="1598" ht="16.5" customHeight="1"/>
    <row r="1599" ht="16.5" customHeight="1"/>
    <row r="1600" ht="16.5" customHeight="1"/>
    <row r="1601" ht="16.5" customHeight="1"/>
    <row r="1602" ht="16.5" customHeight="1"/>
    <row r="1603" ht="16.5" customHeight="1"/>
    <row r="1604" ht="16.5" customHeight="1"/>
    <row r="1605" ht="16.5" customHeight="1"/>
    <row r="1606" ht="16.5" customHeight="1"/>
    <row r="1607" ht="16.5" customHeight="1"/>
    <row r="1608" ht="16.5" customHeight="1"/>
    <row r="1609" ht="16.5" customHeight="1"/>
    <row r="1610" ht="16.5" customHeight="1"/>
    <row r="1611" ht="16.5" customHeight="1"/>
    <row r="1612" ht="16.5" customHeight="1"/>
    <row r="1613" ht="16.5" customHeight="1"/>
    <row r="1614" ht="16.5" customHeight="1"/>
    <row r="1615" ht="16.5" customHeight="1"/>
    <row r="1616" ht="16.5" customHeight="1"/>
    <row r="1617" ht="16.5" customHeight="1"/>
    <row r="1618" ht="16.5" customHeight="1"/>
    <row r="1619" ht="16.5" customHeight="1"/>
    <row r="1620" ht="16.5" customHeight="1"/>
    <row r="1621" ht="16.5" customHeight="1"/>
    <row r="1622" ht="16.5" customHeight="1"/>
    <row r="1623" ht="16.5" customHeight="1"/>
    <row r="1624" ht="16.5" customHeight="1"/>
    <row r="1625" ht="16.5" customHeight="1"/>
    <row r="1626" ht="16.5" customHeight="1"/>
    <row r="1627" ht="16.5" customHeight="1"/>
    <row r="1628" ht="16.5" customHeight="1"/>
    <row r="1629" ht="16.5" customHeight="1"/>
    <row r="1630" ht="16.5" customHeight="1"/>
    <row r="1631" ht="16.5" customHeight="1"/>
    <row r="1632" ht="16.5" customHeight="1"/>
    <row r="1633" ht="16.5" customHeight="1"/>
    <row r="1634" ht="16.5" customHeight="1"/>
    <row r="1635" ht="16.5" customHeight="1"/>
    <row r="1636" ht="16.5" customHeight="1"/>
    <row r="1637" ht="16.5" customHeight="1"/>
    <row r="1638" ht="16.5" customHeight="1"/>
    <row r="1639" ht="16.5" customHeight="1"/>
    <row r="1640" ht="16.5" customHeight="1"/>
    <row r="1641" ht="16.5" customHeight="1"/>
    <row r="1642" ht="16.5" customHeight="1"/>
    <row r="1643" ht="16.5" customHeight="1"/>
    <row r="1644" ht="16.5" customHeight="1"/>
    <row r="1645" ht="16.5" customHeight="1"/>
    <row r="1646" ht="16.5" customHeight="1"/>
    <row r="1647" ht="16.5" customHeight="1"/>
    <row r="1648" ht="16.5" customHeight="1"/>
    <row r="1649" ht="16.5" customHeight="1"/>
    <row r="1650" ht="16.5" customHeight="1"/>
    <row r="1651" ht="16.5" customHeight="1"/>
    <row r="1652" ht="16.5" customHeight="1"/>
    <row r="1653" ht="16.5" customHeight="1"/>
    <row r="1654" ht="16.5" customHeight="1"/>
    <row r="1655" ht="16.5" customHeight="1"/>
    <row r="1656" ht="16.5" customHeight="1"/>
    <row r="1657" ht="16.5" customHeight="1"/>
    <row r="1658" ht="16.5" customHeight="1"/>
    <row r="1659" ht="16.5" customHeight="1"/>
    <row r="1660" ht="16.5" customHeight="1"/>
    <row r="1661" ht="16.5" customHeight="1"/>
    <row r="1662" ht="16.5" customHeight="1"/>
    <row r="1663" ht="16.5" customHeight="1"/>
    <row r="1664" ht="16.5" customHeight="1"/>
    <row r="1665" ht="16.5" customHeight="1"/>
    <row r="1666" ht="16.5" customHeight="1"/>
    <row r="1667" ht="16.5" customHeight="1"/>
    <row r="1668" ht="16.5" customHeight="1"/>
    <row r="1669" ht="16.5" customHeight="1"/>
    <row r="1670" ht="16.5" customHeight="1"/>
    <row r="1671" ht="16.5" customHeight="1"/>
    <row r="1672" ht="16.5" customHeight="1"/>
    <row r="1673" ht="16.5" customHeight="1"/>
    <row r="1674" ht="16.5" customHeight="1"/>
    <row r="1675" ht="16.5" customHeight="1"/>
    <row r="1676" ht="16.5" customHeight="1"/>
    <row r="1677" ht="16.5" customHeight="1"/>
    <row r="1678" ht="16.5" customHeight="1"/>
    <row r="1679" ht="16.5" customHeight="1"/>
    <row r="1680" ht="16.5" customHeight="1"/>
    <row r="1681" ht="16.5" customHeight="1"/>
    <row r="1682" ht="16.5" customHeight="1"/>
    <row r="1683" ht="16.5" customHeight="1"/>
    <row r="1684" ht="16.5" customHeight="1"/>
    <row r="1685" ht="16.5" customHeight="1"/>
    <row r="1686" ht="16.5" customHeight="1"/>
    <row r="1687" ht="16.5" customHeight="1"/>
    <row r="1688" ht="16.5" customHeight="1"/>
    <row r="1689" ht="16.5" customHeight="1"/>
    <row r="1690" ht="16.5" customHeight="1"/>
    <row r="1691" ht="16.5" customHeight="1"/>
    <row r="1692" ht="16.5" customHeight="1"/>
    <row r="1693" ht="16.5" customHeight="1"/>
    <row r="1694" ht="16.5" customHeight="1"/>
    <row r="1695" ht="16.5" customHeight="1"/>
    <row r="1696" ht="16.5" customHeight="1"/>
    <row r="1697" ht="16.5" customHeight="1"/>
    <row r="1698" ht="16.5" customHeight="1"/>
    <row r="1699" ht="16.5" customHeight="1"/>
    <row r="1700" ht="16.5" customHeight="1"/>
    <row r="1701" ht="16.5" customHeight="1"/>
    <row r="1702" ht="16.5" customHeight="1"/>
    <row r="1703" ht="16.5" customHeight="1"/>
    <row r="1704" ht="16.5" customHeight="1"/>
    <row r="1705" ht="16.5" customHeight="1"/>
    <row r="1706" ht="16.5" customHeight="1"/>
    <row r="1707" ht="16.5" customHeight="1"/>
    <row r="1708" ht="16.5" customHeight="1"/>
    <row r="1709" ht="16.5" customHeight="1"/>
    <row r="1710" ht="16.5" customHeight="1"/>
    <row r="1711" ht="16.5" customHeight="1"/>
    <row r="1712" ht="16.5" customHeight="1"/>
    <row r="1713" ht="16.5" customHeight="1"/>
    <row r="1714" ht="16.5" customHeight="1"/>
    <row r="1715" ht="16.5" customHeight="1"/>
    <row r="1716" ht="16.5" customHeight="1"/>
    <row r="1717" ht="16.5" customHeight="1"/>
    <row r="1718" ht="16.5" customHeight="1"/>
    <row r="1719" ht="16.5" customHeight="1"/>
    <row r="1720" ht="16.5" customHeight="1"/>
    <row r="1721" ht="16.5" customHeight="1"/>
    <row r="1722" ht="16.5" customHeight="1"/>
    <row r="1723" ht="16.5" customHeight="1"/>
    <row r="1724" ht="16.5" customHeight="1"/>
    <row r="1725" ht="16.5" customHeight="1"/>
    <row r="1726" ht="16.5" customHeight="1"/>
    <row r="1727" ht="16.5" customHeight="1"/>
    <row r="1728" ht="16.5" customHeight="1"/>
    <row r="1729" ht="16.5" customHeight="1"/>
    <row r="1730" ht="16.5" customHeight="1"/>
    <row r="1731" ht="16.5" customHeight="1"/>
    <row r="1732" ht="16.5" customHeight="1"/>
    <row r="1733" ht="16.5" customHeight="1"/>
    <row r="1734" ht="16.5" customHeight="1"/>
    <row r="1735" ht="16.5" customHeight="1"/>
    <row r="1736" ht="16.5" customHeight="1"/>
    <row r="1737" ht="16.5" customHeight="1"/>
    <row r="1738" ht="16.5" customHeight="1"/>
    <row r="1739" ht="16.5" customHeight="1"/>
    <row r="1740" ht="16.5" customHeight="1"/>
    <row r="1741" ht="16.5" customHeight="1"/>
    <row r="1742" ht="16.5" customHeight="1"/>
    <row r="1743" ht="16.5" customHeight="1"/>
    <row r="1744" ht="16.5" customHeight="1"/>
    <row r="1745" ht="16.5" customHeight="1"/>
    <row r="1746" ht="16.5" customHeight="1"/>
    <row r="1747" ht="16.5" customHeight="1"/>
    <row r="1748" ht="16.5" customHeight="1"/>
    <row r="1749" ht="16.5" customHeight="1"/>
    <row r="1750" ht="16.5" customHeight="1"/>
    <row r="1751" ht="16.5" customHeight="1"/>
    <row r="1752" ht="16.5" customHeight="1"/>
    <row r="1753" ht="16.5" customHeight="1"/>
    <row r="1754" ht="16.5" customHeight="1"/>
    <row r="1755" ht="16.5" customHeight="1"/>
    <row r="1756" ht="16.5" customHeight="1"/>
    <row r="1757" ht="16.5" customHeight="1"/>
    <row r="1758" ht="16.5" customHeight="1"/>
    <row r="1759" ht="16.5" customHeight="1"/>
    <row r="1760" ht="16.5" customHeight="1"/>
    <row r="1761" ht="16.5" customHeight="1"/>
    <row r="1762" ht="16.5" customHeight="1"/>
    <row r="1763" ht="16.5" customHeight="1"/>
    <row r="1764" ht="16.5" customHeight="1"/>
    <row r="1765" ht="16.5" customHeight="1"/>
    <row r="1766" ht="16.5" customHeight="1"/>
    <row r="1767" ht="16.5" customHeight="1"/>
    <row r="1768" ht="16.5" customHeight="1"/>
    <row r="1769" ht="16.5" customHeight="1"/>
    <row r="1770" ht="16.5" customHeight="1"/>
    <row r="1771" ht="16.5" customHeight="1"/>
    <row r="1772" ht="16.5" customHeight="1"/>
    <row r="1773" ht="16.5" customHeight="1"/>
    <row r="1774" ht="16.5" customHeight="1"/>
    <row r="1775" ht="16.5" customHeight="1"/>
    <row r="1776" ht="16.5" customHeight="1"/>
    <row r="1777" ht="16.5" customHeight="1"/>
    <row r="1778" ht="16.5" customHeight="1"/>
    <row r="1779" ht="16.5" customHeight="1"/>
    <row r="1780" ht="16.5" customHeight="1"/>
    <row r="1781" ht="16.5" customHeight="1"/>
    <row r="1782" ht="16.5" customHeight="1"/>
    <row r="1783" ht="16.5" customHeight="1"/>
    <row r="1784" ht="16.5" customHeight="1"/>
    <row r="1785" ht="16.5" customHeight="1"/>
    <row r="1786" ht="16.5" customHeight="1"/>
    <row r="1787" ht="16.5" customHeight="1"/>
    <row r="1788" ht="16.5" customHeight="1"/>
    <row r="1789" ht="16.5" customHeight="1"/>
    <row r="1790" ht="16.5" customHeight="1"/>
    <row r="1791" ht="16.5" customHeight="1"/>
    <row r="1792" ht="16.5" customHeight="1"/>
    <row r="1793" ht="16.5" customHeight="1"/>
    <row r="1794" ht="16.5" customHeight="1"/>
    <row r="1795" ht="16.5" customHeight="1"/>
    <row r="1796" ht="16.5" customHeight="1"/>
    <row r="1797" ht="16.5" customHeight="1"/>
    <row r="1798" ht="16.5" customHeight="1"/>
    <row r="1799" ht="16.5" customHeight="1"/>
    <row r="1800" ht="16.5" customHeight="1"/>
    <row r="1801" ht="16.5" customHeight="1"/>
    <row r="1802" ht="16.5" customHeight="1"/>
    <row r="1803" ht="16.5" customHeight="1"/>
    <row r="1804" ht="16.5" customHeight="1"/>
    <row r="1805" ht="16.5" customHeight="1"/>
    <row r="1806" ht="16.5" customHeight="1"/>
    <row r="1807" ht="16.5" customHeight="1"/>
    <row r="1808" ht="16.5" customHeight="1"/>
    <row r="1809" ht="16.5" customHeight="1"/>
    <row r="1810" ht="16.5" customHeight="1"/>
    <row r="1811" ht="16.5" customHeight="1"/>
    <row r="1812" ht="16.5" customHeight="1"/>
    <row r="1813" ht="16.5" customHeight="1"/>
    <row r="1814" ht="16.5" customHeight="1"/>
    <row r="1815" ht="16.5" customHeight="1"/>
    <row r="1816" ht="16.5" customHeight="1"/>
    <row r="1817" ht="16.5" customHeight="1"/>
    <row r="1818" ht="16.5" customHeight="1"/>
    <row r="1819" ht="16.5" customHeight="1"/>
    <row r="1820" ht="16.5" customHeight="1"/>
    <row r="1821" ht="16.5" customHeight="1"/>
    <row r="1822" ht="16.5" customHeight="1"/>
    <row r="1823" ht="16.5" customHeight="1"/>
    <row r="1824" ht="16.5" customHeight="1"/>
    <row r="1825" ht="16.5" customHeight="1"/>
    <row r="1826" ht="16.5" customHeight="1"/>
    <row r="1827" ht="16.5" customHeight="1"/>
    <row r="1828" ht="16.5" customHeight="1"/>
    <row r="1829" ht="16.5" customHeight="1"/>
    <row r="1830" ht="16.5" customHeight="1"/>
    <row r="1831" ht="16.5" customHeight="1"/>
    <row r="1832" ht="16.5" customHeight="1"/>
    <row r="1833" ht="16.5" customHeight="1"/>
    <row r="1834" ht="16.5" customHeight="1"/>
    <row r="1835" ht="16.5" customHeight="1"/>
    <row r="1836" ht="16.5" customHeight="1"/>
    <row r="1837" ht="16.5" customHeight="1"/>
    <row r="1838" ht="16.5" customHeight="1"/>
    <row r="1839" ht="16.5" customHeight="1"/>
    <row r="1840" ht="16.5" customHeight="1"/>
    <row r="1841" ht="16.5" customHeight="1"/>
    <row r="1842" ht="16.5" customHeight="1"/>
    <row r="1843" ht="16.5" customHeight="1"/>
    <row r="1844" ht="16.5" customHeight="1"/>
    <row r="1845" ht="16.5" customHeight="1"/>
    <row r="1846" ht="16.5" customHeight="1"/>
    <row r="1847" ht="16.5" customHeight="1"/>
    <row r="1848" ht="16.5" customHeight="1"/>
    <row r="1849" ht="16.5" customHeight="1"/>
    <row r="1850" ht="16.5" customHeight="1"/>
    <row r="1851" ht="16.5" customHeight="1"/>
    <row r="1852" ht="16.5" customHeight="1"/>
    <row r="1853" ht="16.5" customHeight="1"/>
    <row r="1854" ht="16.5" customHeight="1"/>
    <row r="1855" ht="16.5" customHeight="1"/>
    <row r="1856" ht="16.5" customHeight="1"/>
    <row r="1857" ht="16.5" customHeight="1"/>
    <row r="1858" ht="16.5" customHeight="1"/>
    <row r="1859" ht="16.5" customHeight="1"/>
    <row r="1860" ht="16.5" customHeight="1"/>
    <row r="1861" ht="16.5" customHeight="1"/>
    <row r="1862" ht="16.5" customHeight="1"/>
    <row r="1863" ht="16.5" customHeight="1"/>
    <row r="1864" ht="16.5" customHeight="1"/>
    <row r="1865" ht="16.5" customHeight="1"/>
    <row r="1866" ht="16.5" customHeight="1"/>
    <row r="1867" ht="16.5" customHeight="1"/>
    <row r="1868" ht="16.5" customHeight="1"/>
    <row r="1869" ht="16.5" customHeight="1"/>
    <row r="1870" ht="16.5" customHeight="1"/>
    <row r="1871" ht="16.5" customHeight="1"/>
    <row r="1872" ht="16.5" customHeight="1"/>
    <row r="1873" ht="16.5" customHeight="1"/>
    <row r="1874" ht="16.5" customHeight="1"/>
    <row r="1875" ht="16.5" customHeight="1"/>
    <row r="1876" ht="16.5" customHeight="1"/>
    <row r="1877" ht="16.5" customHeight="1"/>
    <row r="1878" ht="16.5" customHeight="1"/>
    <row r="1879" ht="16.5" customHeight="1"/>
    <row r="1880" ht="16.5" customHeight="1"/>
    <row r="1881" ht="16.5" customHeight="1"/>
    <row r="1882" ht="16.5" customHeight="1"/>
    <row r="1883" ht="16.5" customHeight="1"/>
    <row r="1884" ht="16.5" customHeight="1"/>
    <row r="1885" ht="16.5" customHeight="1"/>
    <row r="1886" ht="16.5" customHeight="1"/>
    <row r="1887" ht="16.5" customHeight="1"/>
    <row r="1888" ht="16.5" customHeight="1"/>
    <row r="1889" ht="16.5" customHeight="1"/>
    <row r="1890" ht="16.5" customHeight="1"/>
    <row r="1891" ht="16.5" customHeight="1"/>
    <row r="1892" ht="16.5" customHeight="1"/>
    <row r="1893" ht="16.5" customHeight="1"/>
    <row r="1894" ht="16.5" customHeight="1"/>
    <row r="1895" ht="16.5" customHeight="1"/>
    <row r="1896" ht="16.5" customHeight="1"/>
    <row r="1897" ht="16.5" customHeight="1"/>
    <row r="1898" ht="16.5" customHeight="1"/>
    <row r="1899" ht="16.5" customHeight="1"/>
    <row r="1900" ht="16.5" customHeight="1"/>
    <row r="1901" ht="16.5" customHeight="1"/>
    <row r="1902" ht="16.5" customHeight="1"/>
    <row r="1903" ht="16.5" customHeight="1"/>
    <row r="1904" ht="16.5" customHeight="1"/>
    <row r="1905" ht="16.5" customHeight="1"/>
    <row r="1906" ht="16.5" customHeight="1"/>
    <row r="1907" ht="16.5" customHeight="1"/>
    <row r="1908" ht="16.5" customHeight="1"/>
    <row r="1909" ht="16.5" customHeight="1"/>
    <row r="1910" ht="16.5" customHeight="1"/>
    <row r="1911" ht="16.5" customHeight="1"/>
    <row r="1912" ht="16.5" customHeight="1"/>
    <row r="1913" ht="16.5" customHeight="1"/>
    <row r="1914" ht="16.5" customHeight="1"/>
    <row r="1915" ht="16.5" customHeight="1"/>
    <row r="1916" ht="16.5" customHeight="1"/>
    <row r="1917" ht="16.5" customHeight="1"/>
    <row r="1918" ht="16.5" customHeight="1"/>
    <row r="1919" ht="16.5" customHeight="1"/>
    <row r="1920" ht="16.5" customHeight="1"/>
    <row r="1921" ht="16.5" customHeight="1"/>
    <row r="1922" ht="16.5" customHeight="1"/>
    <row r="1923" ht="16.5" customHeight="1"/>
    <row r="1924" ht="16.5" customHeight="1"/>
    <row r="1925" ht="16.5" customHeight="1"/>
    <row r="1926" ht="16.5" customHeight="1"/>
    <row r="1927" ht="16.5" customHeight="1"/>
    <row r="1928" ht="16.5" customHeight="1"/>
    <row r="1929" ht="16.5" customHeight="1"/>
    <row r="1930" ht="16.5" customHeight="1"/>
    <row r="1931" ht="16.5" customHeight="1"/>
    <row r="1932" ht="16.5" customHeight="1"/>
    <row r="1933" ht="16.5" customHeight="1"/>
    <row r="1934" ht="16.5" customHeight="1"/>
    <row r="1935" ht="16.5" customHeight="1"/>
    <row r="1936" ht="16.5" customHeight="1"/>
    <row r="1937" ht="16.5" customHeight="1"/>
    <row r="1938" ht="16.5" customHeight="1"/>
    <row r="1939" ht="16.5" customHeight="1"/>
    <row r="1940" ht="16.5" customHeight="1"/>
    <row r="1941" ht="16.5" customHeight="1"/>
    <row r="1942" ht="16.5" customHeight="1"/>
    <row r="1943" ht="16.5" customHeight="1"/>
    <row r="1944" ht="16.5" customHeight="1"/>
    <row r="1945" ht="16.5" customHeight="1"/>
    <row r="1946" ht="16.5" customHeight="1"/>
    <row r="1947" ht="16.5" customHeight="1"/>
    <row r="1948" ht="16.5" customHeight="1"/>
    <row r="1949" ht="16.5" customHeight="1"/>
    <row r="1950" ht="16.5" customHeight="1"/>
    <row r="1951" ht="16.5" customHeight="1"/>
    <row r="1952" ht="16.5" customHeight="1"/>
    <row r="1953" ht="16.5" customHeight="1"/>
    <row r="1954" ht="16.5" customHeight="1"/>
    <row r="1955" ht="16.5" customHeight="1"/>
    <row r="1956" ht="16.5" customHeight="1"/>
    <row r="1957" ht="16.5" customHeight="1"/>
    <row r="1958" ht="16.5" customHeight="1"/>
    <row r="1959" ht="16.5" customHeight="1"/>
    <row r="1960" ht="16.5" customHeight="1"/>
    <row r="1961" ht="16.5" customHeight="1"/>
    <row r="1962" ht="16.5" customHeight="1"/>
    <row r="1963" ht="16.5" customHeight="1"/>
    <row r="1964" ht="16.5" customHeight="1"/>
    <row r="1965" ht="16.5" customHeight="1"/>
    <row r="1966" ht="16.5" customHeight="1"/>
    <row r="1967" ht="16.5" customHeight="1"/>
    <row r="1968" ht="16.5" customHeight="1"/>
    <row r="1969" ht="16.5" customHeight="1"/>
    <row r="1970" ht="16.5" customHeight="1"/>
    <row r="1971" ht="16.5" customHeight="1"/>
    <row r="1972" ht="16.5" customHeight="1"/>
    <row r="1973" ht="16.5" customHeight="1"/>
    <row r="1974" ht="16.5" customHeight="1"/>
    <row r="1975" ht="16.5" customHeight="1"/>
    <row r="1976" ht="16.5" customHeight="1"/>
    <row r="1977" ht="16.5" customHeight="1"/>
    <row r="1978" ht="16.5" customHeight="1"/>
    <row r="1979" ht="16.5" customHeight="1"/>
    <row r="1980" ht="16.5" customHeight="1"/>
    <row r="1981" ht="16.5" customHeight="1"/>
    <row r="1982" ht="16.5" customHeight="1"/>
    <row r="1983" ht="16.5" customHeight="1"/>
    <row r="1984" ht="16.5" customHeight="1"/>
    <row r="1985" ht="16.5" customHeight="1"/>
    <row r="1986" ht="16.5" customHeight="1"/>
    <row r="1987" ht="16.5" customHeight="1"/>
    <row r="1988" ht="16.5" customHeight="1"/>
    <row r="1989" ht="16.5" customHeight="1"/>
    <row r="1990" ht="16.5" customHeight="1"/>
    <row r="1991" ht="16.5" customHeight="1"/>
    <row r="1992" ht="16.5" customHeight="1"/>
    <row r="1993" ht="16.5" customHeight="1"/>
    <row r="1994" ht="16.5" customHeight="1"/>
    <row r="1995" ht="16.5" customHeight="1"/>
    <row r="1996" ht="16.5" customHeight="1"/>
    <row r="1997" ht="16.5" customHeight="1"/>
    <row r="1998" ht="16.5" customHeight="1"/>
    <row r="1999" ht="16.5" customHeight="1"/>
    <row r="2000" ht="16.5" customHeight="1"/>
    <row r="2001" ht="16.5" customHeight="1"/>
    <row r="2002" ht="16.5" customHeight="1"/>
    <row r="2003" ht="16.5" customHeight="1"/>
    <row r="2004" ht="16.5" customHeight="1"/>
    <row r="2005" ht="16.5" customHeight="1"/>
    <row r="2006" ht="16.5" customHeight="1"/>
    <row r="2007" ht="16.5" customHeight="1"/>
    <row r="2008" ht="16.5" customHeight="1"/>
    <row r="2009" ht="16.5" customHeight="1"/>
    <row r="2010" ht="16.5" customHeight="1"/>
    <row r="2011" ht="16.5" customHeight="1"/>
    <row r="2012" ht="16.5" customHeight="1"/>
    <row r="2013" ht="16.5" customHeight="1"/>
    <row r="2014" ht="16.5" customHeight="1"/>
    <row r="2015" ht="16.5" customHeight="1"/>
    <row r="2016" ht="16.5" customHeight="1"/>
    <row r="2017" ht="16.5" customHeight="1"/>
    <row r="2018" ht="16.5" customHeight="1"/>
    <row r="2019" ht="16.5" customHeight="1"/>
    <row r="2020" ht="16.5" customHeight="1"/>
    <row r="2021" ht="16.5" customHeight="1"/>
    <row r="2022" ht="16.5" customHeight="1"/>
    <row r="2023" ht="16.5" customHeight="1"/>
    <row r="2024" ht="16.5" customHeight="1"/>
    <row r="2025" ht="16.5" customHeight="1"/>
    <row r="2026" ht="16.5" customHeight="1"/>
    <row r="2027" ht="16.5" customHeight="1"/>
    <row r="2028" ht="16.5" customHeight="1"/>
    <row r="2029" ht="16.5" customHeight="1"/>
    <row r="2030" ht="16.5" customHeight="1"/>
    <row r="2031" ht="16.5" customHeight="1"/>
    <row r="2032" ht="16.5" customHeight="1"/>
    <row r="2033" ht="16.5" customHeight="1"/>
    <row r="2034" ht="16.5" customHeight="1"/>
    <row r="2035" ht="16.5" customHeight="1"/>
    <row r="2036" ht="16.5" customHeight="1"/>
    <row r="2037" ht="16.5" customHeight="1"/>
    <row r="2038" ht="16.5" customHeight="1"/>
    <row r="2039" ht="16.5" customHeight="1"/>
    <row r="2040" ht="16.5" customHeight="1"/>
    <row r="2041" ht="16.5" customHeight="1"/>
    <row r="2042" ht="16.5" customHeight="1"/>
    <row r="2043" ht="16.5" customHeight="1"/>
    <row r="2044" ht="16.5" customHeight="1"/>
    <row r="2045" ht="16.5" customHeight="1"/>
    <row r="2046" ht="16.5" customHeight="1"/>
    <row r="2047" ht="16.5" customHeight="1"/>
    <row r="2048" ht="16.5" customHeight="1"/>
    <row r="2049" ht="16.5" customHeight="1"/>
    <row r="2050" ht="16.5" customHeight="1"/>
    <row r="2051" ht="16.5" customHeight="1"/>
    <row r="2052" ht="16.5" customHeight="1"/>
    <row r="2053" ht="16.5" customHeight="1"/>
    <row r="2054" ht="16.5" customHeight="1"/>
    <row r="2055" ht="16.5" customHeight="1"/>
    <row r="2056" ht="16.5" customHeight="1"/>
    <row r="2057" ht="16.5" customHeight="1"/>
    <row r="2058" ht="16.5" customHeight="1"/>
    <row r="2059" ht="16.5" customHeight="1"/>
    <row r="2060" ht="16.5" customHeight="1"/>
    <row r="2061" ht="16.5" customHeight="1"/>
    <row r="2062" ht="16.5" customHeight="1"/>
    <row r="2063" ht="16.5" customHeight="1"/>
    <row r="2064" ht="16.5" customHeight="1"/>
    <row r="2065" ht="16.5" customHeight="1"/>
    <row r="2066" ht="16.5" customHeight="1"/>
    <row r="2067" ht="16.5" customHeight="1"/>
    <row r="2068" ht="16.5" customHeight="1"/>
    <row r="2069" ht="16.5" customHeight="1"/>
    <row r="2070" ht="16.5" customHeight="1"/>
    <row r="2071" ht="16.5" customHeight="1"/>
    <row r="2072" ht="16.5" customHeight="1"/>
    <row r="2073" ht="16.5" customHeight="1"/>
    <row r="2074" ht="16.5" customHeight="1"/>
    <row r="2075" ht="16.5" customHeight="1"/>
    <row r="2076" ht="16.5" customHeight="1"/>
    <row r="2077" ht="16.5" customHeight="1"/>
    <row r="2078" ht="16.5" customHeight="1"/>
    <row r="2079" ht="16.5" customHeight="1"/>
    <row r="2080" ht="16.5" customHeight="1"/>
    <row r="2081" ht="16.5" customHeight="1"/>
    <row r="2082" ht="16.5" customHeight="1"/>
    <row r="2083" ht="16.5" customHeight="1"/>
    <row r="2084" ht="16.5" customHeight="1"/>
    <row r="2085" ht="16.5" customHeight="1"/>
    <row r="2086" ht="16.5" customHeight="1"/>
    <row r="2087" ht="16.5" customHeight="1"/>
    <row r="2088" ht="16.5" customHeight="1"/>
    <row r="2089" ht="16.5" customHeight="1"/>
    <row r="2090" ht="16.5" customHeight="1"/>
    <row r="2091" ht="16.5" customHeight="1"/>
    <row r="2092" ht="16.5" customHeight="1"/>
    <row r="2093" ht="16.5" customHeight="1"/>
    <row r="2094" ht="16.5" customHeight="1"/>
    <row r="2095" ht="16.5" customHeight="1"/>
    <row r="2096" ht="16.5" customHeight="1"/>
    <row r="2097" ht="16.5" customHeight="1"/>
    <row r="2098" ht="16.5" customHeight="1"/>
    <row r="2099" ht="16.5" customHeight="1"/>
    <row r="2100" ht="16.5" customHeight="1"/>
    <row r="2101" ht="16.5" customHeight="1"/>
    <row r="2102" ht="16.5" customHeight="1"/>
    <row r="2103" ht="16.5" customHeight="1"/>
    <row r="2104" ht="16.5" customHeight="1"/>
    <row r="2105" ht="16.5" customHeight="1"/>
    <row r="2106" ht="16.5" customHeight="1"/>
    <row r="2107" ht="16.5" customHeight="1"/>
    <row r="2108" ht="16.5" customHeight="1"/>
    <row r="2109" ht="16.5" customHeight="1"/>
    <row r="2110" ht="16.5" customHeight="1"/>
    <row r="2111" ht="16.5" customHeight="1"/>
    <row r="2112" ht="16.5" customHeight="1"/>
    <row r="2113" ht="16.5" customHeight="1"/>
    <row r="2114" ht="16.5" customHeight="1"/>
    <row r="2115" ht="16.5" customHeight="1"/>
    <row r="2116" ht="16.5" customHeight="1"/>
    <row r="2117" ht="16.5" customHeight="1"/>
    <row r="2118" ht="16.5" customHeight="1"/>
    <row r="2119" ht="16.5" customHeight="1"/>
    <row r="2120" ht="16.5" customHeight="1"/>
    <row r="2121" ht="16.5" customHeight="1"/>
    <row r="2122" ht="16.5" customHeight="1"/>
    <row r="2123" ht="16.5" customHeight="1"/>
    <row r="2124" ht="16.5" customHeight="1"/>
    <row r="2125" ht="16.5" customHeight="1"/>
    <row r="2126" ht="16.5" customHeight="1"/>
    <row r="2127" ht="16.5" customHeight="1"/>
    <row r="2128" ht="16.5" customHeight="1"/>
    <row r="2129" ht="16.5" customHeight="1"/>
    <row r="2130" ht="16.5" customHeight="1"/>
    <row r="2131" ht="16.5" customHeight="1"/>
    <row r="2132" ht="16.5" customHeight="1"/>
    <row r="2133" ht="16.5" customHeight="1"/>
    <row r="2134" ht="16.5" customHeight="1"/>
    <row r="2135" ht="16.5" customHeight="1"/>
    <row r="2136" ht="16.5" customHeight="1"/>
    <row r="2137" ht="16.5" customHeight="1"/>
    <row r="2138" ht="16.5" customHeight="1"/>
    <row r="2139" ht="16.5" customHeight="1"/>
    <row r="2140" ht="16.5" customHeight="1"/>
    <row r="2141" ht="16.5" customHeight="1"/>
    <row r="2142" ht="16.5" customHeight="1"/>
    <row r="2143" ht="16.5" customHeight="1"/>
    <row r="2144" ht="16.5" customHeight="1"/>
    <row r="2145" ht="16.5" customHeight="1"/>
    <row r="2146" ht="16.5" customHeight="1"/>
    <row r="2147" ht="16.5" customHeight="1"/>
    <row r="2148" ht="16.5" customHeight="1"/>
    <row r="2149" ht="16.5" customHeight="1"/>
    <row r="2150" ht="16.5" customHeight="1"/>
    <row r="2151" ht="16.5" customHeight="1"/>
    <row r="2152" ht="16.5" customHeight="1"/>
    <row r="2153" ht="16.5" customHeight="1"/>
    <row r="2154" ht="16.5" customHeight="1"/>
    <row r="2155" ht="16.5" customHeight="1"/>
    <row r="2156" ht="16.5" customHeight="1"/>
    <row r="2157" ht="16.5" customHeight="1"/>
    <row r="2158" ht="16.5" customHeight="1"/>
    <row r="2159" ht="16.5" customHeight="1"/>
    <row r="2160" ht="16.5" customHeight="1"/>
    <row r="2161" ht="16.5" customHeight="1"/>
    <row r="2162" ht="16.5" customHeight="1"/>
    <row r="2163" ht="16.5" customHeight="1"/>
    <row r="2164" ht="16.5" customHeight="1"/>
    <row r="2165" ht="16.5" customHeight="1"/>
    <row r="2166" ht="16.5" customHeight="1"/>
    <row r="2167" ht="16.5" customHeight="1"/>
    <row r="2168" ht="16.5" customHeight="1"/>
    <row r="2169" ht="16.5" customHeight="1"/>
    <row r="2170" ht="16.5" customHeight="1"/>
    <row r="2171" ht="16.5" customHeight="1"/>
    <row r="2172" ht="16.5" customHeight="1"/>
    <row r="2173" ht="16.5" customHeight="1"/>
    <row r="2174" ht="16.5" customHeight="1"/>
    <row r="2175" ht="16.5" customHeight="1"/>
    <row r="2176" ht="16.5" customHeight="1"/>
    <row r="2177" ht="16.5" customHeight="1"/>
    <row r="2178" ht="16.5" customHeight="1"/>
    <row r="2179" ht="16.5" customHeight="1"/>
    <row r="2180" ht="16.5" customHeight="1"/>
    <row r="2181" ht="16.5" customHeight="1"/>
    <row r="2182" ht="16.5" customHeight="1"/>
    <row r="2183" ht="16.5" customHeight="1"/>
    <row r="2184" ht="16.5" customHeight="1"/>
    <row r="2185" ht="16.5" customHeight="1"/>
    <row r="2186" ht="16.5" customHeight="1"/>
    <row r="2187" ht="16.5" customHeight="1"/>
    <row r="2188" ht="16.5" customHeight="1"/>
    <row r="2189" ht="16.5" customHeight="1"/>
    <row r="2190" ht="16.5" customHeight="1"/>
    <row r="2191" ht="16.5" customHeight="1"/>
    <row r="2192" ht="16.5" customHeight="1"/>
    <row r="2193" ht="16.5" customHeight="1"/>
    <row r="2194" ht="16.5" customHeight="1"/>
    <row r="2195" ht="16.5" customHeight="1"/>
    <row r="2196" ht="16.5" customHeight="1"/>
    <row r="2197" ht="16.5" customHeight="1"/>
    <row r="2198" ht="16.5" customHeight="1"/>
    <row r="2199" ht="16.5" customHeight="1"/>
    <row r="2200" ht="16.5" customHeight="1"/>
    <row r="2201" ht="16.5" customHeight="1"/>
    <row r="2202" ht="16.5" customHeight="1"/>
    <row r="2203" ht="16.5" customHeight="1"/>
    <row r="2204" ht="16.5" customHeight="1"/>
    <row r="2205" ht="16.5" customHeight="1"/>
    <row r="2206" ht="16.5" customHeight="1"/>
    <row r="2207" ht="16.5" customHeight="1"/>
    <row r="2208" ht="16.5" customHeight="1"/>
    <row r="2209" ht="16.5" customHeight="1"/>
    <row r="2210" ht="16.5" customHeight="1"/>
    <row r="2211" ht="16.5" customHeight="1"/>
    <row r="2212" ht="16.5" customHeight="1"/>
    <row r="2213" ht="16.5" customHeight="1"/>
    <row r="2214" ht="16.5" customHeight="1"/>
    <row r="2215" ht="16.5" customHeight="1"/>
    <row r="2216" ht="16.5" customHeight="1"/>
    <row r="2217" ht="16.5" customHeight="1"/>
    <row r="2218" ht="16.5" customHeight="1"/>
    <row r="2219" ht="16.5" customHeight="1"/>
    <row r="2220" ht="16.5" customHeight="1"/>
    <row r="2221" ht="16.5" customHeight="1"/>
    <row r="2222" ht="16.5" customHeight="1"/>
    <row r="2223" ht="16.5" customHeight="1"/>
    <row r="2224" ht="16.5" customHeight="1"/>
    <row r="2225" ht="16.5" customHeight="1"/>
    <row r="2226" ht="16.5" customHeight="1"/>
    <row r="2227" ht="16.5" customHeight="1"/>
    <row r="2228" ht="16.5" customHeight="1"/>
    <row r="2229" ht="16.5" customHeight="1"/>
    <row r="2230" ht="16.5" customHeight="1"/>
    <row r="2231" ht="16.5" customHeight="1"/>
    <row r="2232" ht="16.5" customHeight="1"/>
    <row r="2233" ht="16.5" customHeight="1"/>
    <row r="2234" ht="16.5" customHeight="1"/>
    <row r="2235" ht="16.5" customHeight="1"/>
    <row r="2236" ht="16.5" customHeight="1"/>
    <row r="2237" ht="16.5" customHeight="1"/>
    <row r="2238" ht="16.5" customHeight="1"/>
    <row r="2239" ht="16.5" customHeight="1"/>
    <row r="2240" ht="16.5" customHeight="1"/>
    <row r="2241" ht="16.5" customHeight="1"/>
    <row r="2242" ht="16.5" customHeight="1"/>
    <row r="2243" ht="16.5" customHeight="1"/>
    <row r="2244" ht="16.5" customHeight="1"/>
    <row r="2245" ht="16.5" customHeight="1"/>
    <row r="2246" ht="16.5" customHeight="1"/>
    <row r="2247" ht="16.5" customHeight="1"/>
    <row r="2248" ht="16.5" customHeight="1"/>
    <row r="2249" ht="16.5" customHeight="1"/>
    <row r="2250" ht="16.5" customHeight="1"/>
    <row r="2251" ht="16.5" customHeight="1"/>
    <row r="2252" ht="16.5" customHeight="1"/>
    <row r="2253" ht="16.5" customHeight="1"/>
    <row r="2254" ht="16.5" customHeight="1"/>
    <row r="2255" ht="16.5" customHeight="1"/>
    <row r="2256" ht="16.5" customHeight="1"/>
    <row r="2257" ht="16.5" customHeight="1"/>
    <row r="2258" ht="16.5" customHeight="1"/>
    <row r="2259" ht="16.5" customHeight="1"/>
    <row r="2260" ht="16.5" customHeight="1"/>
    <row r="2261" ht="16.5" customHeight="1"/>
    <row r="2262" ht="16.5" customHeight="1"/>
    <row r="2263" ht="16.5" customHeight="1"/>
    <row r="2264" ht="16.5" customHeight="1"/>
    <row r="2265" ht="16.5" customHeight="1"/>
    <row r="2266" ht="16.5" customHeight="1"/>
    <row r="2267" ht="16.5" customHeight="1"/>
    <row r="2268" ht="16.5" customHeight="1"/>
    <row r="2269" ht="16.5" customHeight="1"/>
    <row r="2270" ht="16.5" customHeight="1"/>
    <row r="2271" ht="16.5" customHeight="1"/>
    <row r="2272" ht="16.5" customHeight="1"/>
    <row r="2273" ht="16.5" customHeight="1"/>
    <row r="2274" ht="16.5" customHeight="1"/>
    <row r="2275" ht="16.5" customHeight="1"/>
    <row r="2276" ht="16.5" customHeight="1"/>
    <row r="2277" ht="16.5" customHeight="1"/>
    <row r="2278" ht="16.5" customHeight="1"/>
    <row r="2279" ht="16.5" customHeight="1"/>
    <row r="2280" ht="16.5" customHeight="1"/>
    <row r="2281" ht="16.5" customHeight="1"/>
    <row r="2282" ht="16.5" customHeight="1"/>
    <row r="2283" ht="16.5" customHeight="1"/>
    <row r="2284" ht="16.5" customHeight="1"/>
    <row r="2285" ht="16.5" customHeight="1"/>
    <row r="2286" ht="16.5" customHeight="1"/>
    <row r="2287" ht="16.5" customHeight="1"/>
    <row r="2288" ht="16.5" customHeight="1"/>
    <row r="2289" ht="16.5" customHeight="1"/>
    <row r="2290" ht="16.5" customHeight="1"/>
    <row r="2291" ht="16.5" customHeight="1"/>
    <row r="2292" ht="16.5" customHeight="1"/>
    <row r="2293" ht="16.5" customHeight="1"/>
    <row r="2294" ht="16.5" customHeight="1"/>
    <row r="2295" ht="16.5" customHeight="1"/>
    <row r="2296" ht="16.5" customHeight="1"/>
    <row r="2297" ht="16.5" customHeight="1"/>
    <row r="2298" ht="16.5" customHeight="1"/>
    <row r="2299" ht="16.5" customHeight="1"/>
    <row r="2300" ht="16.5" customHeight="1"/>
    <row r="2301" ht="16.5" customHeight="1"/>
    <row r="2302" ht="16.5" customHeight="1"/>
    <row r="2303" ht="16.5" customHeight="1"/>
    <row r="2304" ht="16.5" customHeight="1"/>
    <row r="2305" ht="16.5" customHeight="1"/>
    <row r="2306" ht="16.5" customHeight="1"/>
    <row r="2307" ht="16.5" customHeight="1"/>
    <row r="2308" ht="16.5" customHeight="1"/>
    <row r="2309" ht="16.5" customHeight="1"/>
    <row r="2310" ht="16.5" customHeight="1"/>
    <row r="2311" ht="16.5" customHeight="1"/>
    <row r="2312" ht="16.5" customHeight="1"/>
    <row r="2313" ht="16.5" customHeight="1"/>
    <row r="2314" ht="16.5" customHeight="1"/>
    <row r="2315" ht="16.5" customHeight="1"/>
    <row r="2316" ht="16.5" customHeight="1"/>
    <row r="2317" ht="16.5" customHeight="1"/>
    <row r="2318" ht="16.5" customHeight="1"/>
    <row r="2319" ht="16.5" customHeight="1"/>
    <row r="2320" ht="16.5" customHeight="1"/>
    <row r="2321" ht="16.5" customHeight="1"/>
    <row r="2322" ht="16.5" customHeight="1"/>
    <row r="2323" ht="16.5" customHeight="1"/>
    <row r="2324" ht="16.5" customHeight="1"/>
    <row r="2325" ht="16.5" customHeight="1"/>
    <row r="2326" ht="16.5" customHeight="1"/>
    <row r="2327" ht="16.5" customHeight="1"/>
    <row r="2328" ht="16.5" customHeight="1"/>
    <row r="2329" ht="16.5" customHeight="1"/>
    <row r="2330" ht="16.5" customHeight="1"/>
    <row r="2331" ht="16.5" customHeight="1"/>
    <row r="2332" ht="16.5" customHeight="1"/>
    <row r="2333" ht="16.5" customHeight="1"/>
    <row r="2334" ht="16.5" customHeight="1"/>
    <row r="2335" ht="16.5" customHeight="1"/>
    <row r="2336" ht="16.5" customHeight="1"/>
    <row r="2337" ht="16.5" customHeight="1"/>
    <row r="2338" ht="16.5" customHeight="1"/>
    <row r="2339" ht="16.5" customHeight="1"/>
    <row r="2340" ht="16.5" customHeight="1"/>
    <row r="2341" ht="16.5" customHeight="1"/>
    <row r="2342" ht="16.5" customHeight="1"/>
    <row r="2343" ht="16.5" customHeight="1"/>
    <row r="2344" ht="16.5" customHeight="1"/>
    <row r="2345" ht="16.5" customHeight="1"/>
    <row r="2346" ht="16.5" customHeight="1"/>
    <row r="2347" ht="16.5" customHeight="1"/>
    <row r="2348" ht="16.5" customHeight="1"/>
    <row r="2349" ht="16.5" customHeight="1"/>
    <row r="2350" ht="16.5" customHeight="1"/>
    <row r="2351" ht="16.5" customHeight="1"/>
    <row r="2352" ht="16.5" customHeight="1"/>
    <row r="2353" ht="16.5" customHeight="1"/>
    <row r="2354" ht="16.5" customHeight="1"/>
    <row r="2355" ht="16.5" customHeight="1"/>
    <row r="2356" ht="16.5" customHeight="1"/>
    <row r="2357" ht="16.5" customHeight="1"/>
    <row r="2358" ht="16.5" customHeight="1"/>
    <row r="2359" ht="16.5" customHeight="1"/>
    <row r="2360" ht="16.5" customHeight="1"/>
    <row r="2361" ht="16.5" customHeight="1"/>
    <row r="2362" ht="16.5" customHeight="1"/>
    <row r="2363" ht="16.5" customHeight="1"/>
    <row r="2364" ht="16.5" customHeight="1"/>
    <row r="2365" ht="16.5" customHeight="1"/>
    <row r="2366" ht="16.5" customHeight="1"/>
    <row r="2367" ht="16.5" customHeight="1"/>
    <row r="2368" ht="16.5" customHeight="1"/>
    <row r="2369" ht="16.5" customHeight="1"/>
    <row r="2370" ht="16.5" customHeight="1"/>
    <row r="2371" ht="16.5" customHeight="1"/>
    <row r="2372" ht="16.5" customHeight="1"/>
    <row r="2373" ht="16.5" customHeight="1"/>
    <row r="2374" ht="16.5" customHeight="1"/>
    <row r="2375" ht="16.5" customHeight="1"/>
    <row r="2376" ht="16.5" customHeight="1"/>
    <row r="2377" ht="16.5" customHeight="1"/>
    <row r="2378" ht="16.5" customHeight="1"/>
    <row r="2379" ht="16.5" customHeight="1"/>
    <row r="2380" ht="16.5" customHeight="1"/>
    <row r="2381" ht="16.5" customHeight="1"/>
    <row r="2382" ht="16.5" customHeight="1"/>
    <row r="2383" ht="16.5" customHeight="1"/>
    <row r="2384" ht="16.5" customHeight="1"/>
    <row r="2385" ht="16.5" customHeight="1"/>
    <row r="2386" ht="16.5" customHeight="1"/>
    <row r="2387" ht="16.5" customHeight="1"/>
    <row r="2388" ht="16.5" customHeight="1"/>
    <row r="2389" ht="16.5" customHeight="1"/>
    <row r="2390" ht="16.5" customHeight="1"/>
    <row r="2391" ht="16.5" customHeight="1"/>
    <row r="2392" ht="16.5" customHeight="1"/>
    <row r="2393" ht="16.5" customHeight="1"/>
    <row r="2394" ht="16.5" customHeight="1"/>
    <row r="2395" ht="16.5" customHeight="1"/>
    <row r="2396" ht="16.5" customHeight="1"/>
    <row r="2397" ht="16.5" customHeight="1"/>
    <row r="2398" ht="16.5" customHeight="1"/>
    <row r="2399" ht="16.5" customHeight="1"/>
    <row r="2400" ht="16.5" customHeight="1"/>
    <row r="2401" ht="16.5" customHeight="1"/>
    <row r="2402" ht="16.5" customHeight="1"/>
    <row r="2403" ht="16.5" customHeight="1"/>
    <row r="2404" ht="16.5" customHeight="1"/>
    <row r="2405" ht="16.5" customHeight="1"/>
    <row r="2406" ht="16.5" customHeight="1"/>
    <row r="2407" ht="16.5" customHeight="1"/>
    <row r="2408" ht="16.5" customHeight="1"/>
    <row r="2409" ht="16.5" customHeight="1"/>
    <row r="2410" ht="16.5" customHeight="1"/>
    <row r="2411" ht="16.5" customHeight="1"/>
    <row r="2412" ht="16.5" customHeight="1"/>
    <row r="2413" ht="16.5" customHeight="1"/>
    <row r="2414" ht="16.5" customHeight="1"/>
    <row r="2415" ht="16.5" customHeight="1"/>
    <row r="2416" ht="16.5" customHeight="1"/>
    <row r="2417" ht="16.5" customHeight="1"/>
    <row r="2418" ht="16.5" customHeight="1"/>
    <row r="2419" ht="16.5" customHeight="1"/>
    <row r="2420" ht="16.5" customHeight="1"/>
    <row r="2421" ht="16.5" customHeight="1"/>
    <row r="2422" ht="16.5" customHeight="1"/>
    <row r="2423" ht="16.5" customHeight="1"/>
    <row r="2424" ht="16.5" customHeight="1"/>
    <row r="2425" ht="16.5" customHeight="1"/>
    <row r="2426" ht="16.5" customHeight="1"/>
    <row r="2427" ht="16.5" customHeight="1"/>
    <row r="2428" ht="16.5" customHeight="1"/>
    <row r="2429" ht="16.5" customHeight="1"/>
    <row r="2430" ht="16.5" customHeight="1"/>
    <row r="2431" ht="16.5" customHeight="1"/>
    <row r="2432" ht="16.5" customHeight="1"/>
    <row r="2433" ht="16.5" customHeight="1"/>
    <row r="2434" ht="16.5" customHeight="1"/>
    <row r="2435" ht="16.5" customHeight="1"/>
    <row r="2436" ht="16.5" customHeight="1"/>
    <row r="2437" ht="16.5" customHeight="1"/>
    <row r="2438" ht="16.5" customHeight="1"/>
    <row r="2439" ht="16.5" customHeight="1"/>
    <row r="2440" ht="16.5" customHeight="1"/>
    <row r="2441" ht="16.5" customHeight="1"/>
    <row r="2442" ht="16.5" customHeight="1"/>
    <row r="2443" ht="16.5" customHeight="1"/>
    <row r="2444" ht="16.5" customHeight="1"/>
    <row r="2445" ht="16.5" customHeight="1"/>
    <row r="2446" ht="16.5" customHeight="1"/>
    <row r="2447" ht="16.5" customHeight="1"/>
    <row r="2448" ht="16.5" customHeight="1"/>
    <row r="2449" ht="16.5" customHeight="1"/>
    <row r="2450" ht="16.5" customHeight="1"/>
    <row r="2451" ht="16.5" customHeight="1"/>
    <row r="2452" ht="16.5" customHeight="1"/>
    <row r="2453" ht="16.5" customHeight="1"/>
    <row r="2454" ht="16.5" customHeight="1"/>
    <row r="2455" ht="16.5" customHeight="1"/>
    <row r="2456" ht="16.5" customHeight="1"/>
    <row r="2457" ht="16.5" customHeight="1"/>
    <row r="2458" ht="16.5" customHeight="1"/>
    <row r="2459" ht="16.5" customHeight="1"/>
    <row r="2460" ht="16.5" customHeight="1"/>
    <row r="2461" ht="16.5" customHeight="1"/>
    <row r="2462" ht="16.5" customHeight="1"/>
    <row r="2463" ht="16.5" customHeight="1"/>
    <row r="2464" ht="16.5" customHeight="1"/>
    <row r="2465" ht="16.5" customHeight="1"/>
    <row r="2466" ht="16.5" customHeight="1"/>
    <row r="2467" ht="16.5" customHeight="1"/>
    <row r="2468" ht="16.5" customHeight="1"/>
    <row r="2469" ht="16.5" customHeight="1"/>
    <row r="2470" ht="16.5" customHeight="1"/>
    <row r="2471" ht="16.5" customHeight="1"/>
    <row r="2472" ht="16.5" customHeight="1"/>
    <row r="2473" ht="16.5" customHeight="1"/>
    <row r="2474" ht="16.5" customHeight="1"/>
    <row r="2475" ht="16.5" customHeight="1"/>
    <row r="2476" ht="16.5" customHeight="1"/>
    <row r="2477" ht="16.5" customHeight="1"/>
    <row r="2478" ht="16.5" customHeight="1"/>
    <row r="2479" ht="16.5" customHeight="1"/>
    <row r="2480" ht="16.5" customHeight="1"/>
    <row r="2481" ht="16.5" customHeight="1"/>
    <row r="2482" ht="16.5" customHeight="1"/>
    <row r="2483" ht="16.5" customHeight="1"/>
    <row r="2484" ht="16.5" customHeight="1"/>
    <row r="2485" ht="16.5" customHeight="1"/>
    <row r="2486" ht="16.5" customHeight="1"/>
    <row r="2487" ht="16.5" customHeight="1"/>
    <row r="2488" ht="16.5" customHeight="1"/>
    <row r="2489" ht="16.5" customHeight="1"/>
    <row r="2490" ht="16.5" customHeight="1"/>
    <row r="2491" ht="16.5" customHeight="1"/>
    <row r="2492" ht="16.5" customHeight="1"/>
    <row r="2493" ht="16.5" customHeight="1"/>
    <row r="2494" ht="16.5" customHeight="1"/>
    <row r="2495" ht="16.5" customHeight="1"/>
    <row r="2496" ht="16.5" customHeight="1"/>
    <row r="2497" ht="16.5" customHeight="1"/>
    <row r="2498" ht="16.5" customHeight="1"/>
    <row r="2499" ht="16.5" customHeight="1"/>
    <row r="2500" ht="16.5" customHeight="1"/>
    <row r="2501" ht="16.5" customHeight="1"/>
    <row r="2502" ht="16.5" customHeight="1"/>
    <row r="2503" ht="16.5" customHeight="1"/>
    <row r="2504" ht="16.5" customHeight="1"/>
    <row r="2505" ht="16.5" customHeight="1"/>
    <row r="2506" ht="16.5" customHeight="1"/>
    <row r="2507" ht="16.5" customHeight="1"/>
    <row r="2508" ht="16.5" customHeight="1"/>
    <row r="2509" ht="16.5" customHeight="1"/>
    <row r="2510" ht="16.5" customHeight="1"/>
    <row r="2511" ht="16.5" customHeight="1"/>
    <row r="2512" ht="16.5" customHeight="1"/>
    <row r="2513" ht="16.5" customHeight="1"/>
    <row r="2514" ht="16.5" customHeight="1"/>
    <row r="2515" ht="16.5" customHeight="1"/>
    <row r="2516" ht="16.5" customHeight="1"/>
    <row r="2517" ht="16.5" customHeight="1"/>
    <row r="2518" ht="16.5" customHeight="1"/>
    <row r="2519" ht="16.5" customHeight="1"/>
    <row r="2520" ht="16.5" customHeight="1"/>
    <row r="2521" ht="16.5" customHeight="1"/>
    <row r="2522" ht="16.5" customHeight="1"/>
    <row r="2523" ht="16.5" customHeight="1"/>
    <row r="2524" ht="16.5" customHeight="1"/>
    <row r="2525" ht="16.5" customHeight="1"/>
    <row r="2526" ht="16.5" customHeight="1"/>
    <row r="2527" ht="16.5" customHeight="1"/>
    <row r="2528" ht="16.5" customHeight="1"/>
    <row r="2529" ht="16.5" customHeight="1"/>
    <row r="2530" ht="16.5" customHeight="1"/>
    <row r="2531" ht="16.5" customHeight="1"/>
    <row r="2532" ht="16.5" customHeight="1"/>
    <row r="2533" ht="16.5" customHeight="1"/>
    <row r="2534" ht="16.5" customHeight="1"/>
    <row r="2535" ht="16.5" customHeight="1"/>
    <row r="2536" ht="16.5" customHeight="1"/>
    <row r="2537" ht="16.5" customHeight="1"/>
    <row r="2538" ht="16.5" customHeight="1"/>
    <row r="2539" ht="16.5" customHeight="1"/>
    <row r="2540" ht="16.5" customHeight="1"/>
    <row r="2541" ht="16.5" customHeight="1"/>
    <row r="2542" ht="16.5" customHeight="1"/>
    <row r="2543" ht="16.5" customHeight="1"/>
    <row r="2544" ht="16.5" customHeight="1"/>
    <row r="2545" ht="16.5" customHeight="1"/>
    <row r="2546" ht="16.5" customHeight="1"/>
    <row r="2547" ht="16.5" customHeight="1"/>
    <row r="2548" ht="16.5" customHeight="1"/>
    <row r="2549" ht="16.5" customHeight="1"/>
    <row r="2550" ht="16.5" customHeight="1"/>
    <row r="2551" ht="16.5" customHeight="1"/>
    <row r="2552" ht="16.5" customHeight="1"/>
    <row r="2553" ht="16.5" customHeight="1"/>
    <row r="2554" ht="16.5" customHeight="1"/>
    <row r="2555" ht="16.5" customHeight="1"/>
    <row r="2556" ht="16.5" customHeight="1"/>
    <row r="2557" ht="16.5" customHeight="1"/>
    <row r="2558" ht="16.5" customHeight="1"/>
    <row r="2559" ht="16.5" customHeight="1"/>
    <row r="2560" ht="16.5" customHeight="1"/>
    <row r="2561" ht="16.5" customHeight="1"/>
    <row r="2562" ht="16.5" customHeight="1"/>
    <row r="2563" ht="16.5" customHeight="1"/>
    <row r="2564" ht="16.5" customHeight="1"/>
    <row r="2565" ht="16.5" customHeight="1"/>
    <row r="2566" ht="16.5" customHeight="1"/>
    <row r="2567" ht="16.5" customHeight="1"/>
    <row r="2568" ht="16.5" customHeight="1"/>
    <row r="2569" ht="16.5" customHeight="1"/>
    <row r="2570" ht="16.5" customHeight="1"/>
    <row r="2571" ht="16.5" customHeight="1"/>
    <row r="2572" ht="16.5" customHeight="1"/>
    <row r="2573" ht="16.5" customHeight="1"/>
    <row r="2574" ht="16.5" customHeight="1"/>
    <row r="2575" ht="16.5" customHeight="1"/>
    <row r="2576" ht="16.5" customHeight="1"/>
    <row r="2577" ht="16.5" customHeight="1"/>
    <row r="2578" ht="16.5" customHeight="1"/>
    <row r="2579" ht="16.5" customHeight="1"/>
    <row r="2580" ht="16.5" customHeight="1"/>
    <row r="2581" ht="16.5" customHeight="1"/>
    <row r="2582" ht="16.5" customHeight="1"/>
    <row r="2583" ht="16.5" customHeight="1"/>
    <row r="2584" ht="16.5" customHeight="1"/>
    <row r="2585" ht="16.5" customHeight="1"/>
    <row r="2586" ht="16.5" customHeight="1"/>
    <row r="2587" ht="16.5" customHeight="1"/>
    <row r="2588" ht="16.5" customHeight="1"/>
    <row r="2589" ht="16.5" customHeight="1"/>
    <row r="2590" ht="16.5" customHeight="1"/>
    <row r="2591" ht="16.5" customHeight="1"/>
    <row r="2592" ht="16.5" customHeight="1"/>
    <row r="2593" ht="16.5" customHeight="1"/>
    <row r="2594" ht="16.5" customHeight="1"/>
    <row r="2595" ht="16.5" customHeight="1"/>
    <row r="2596" ht="16.5" customHeight="1"/>
    <row r="2597" ht="16.5" customHeight="1"/>
    <row r="2598" ht="16.5" customHeight="1"/>
    <row r="2599" ht="16.5" customHeight="1"/>
    <row r="2600" ht="16.5" customHeight="1"/>
    <row r="2601" ht="16.5" customHeight="1"/>
    <row r="2602" ht="16.5" customHeight="1"/>
    <row r="2603" ht="16.5" customHeight="1"/>
    <row r="2604" ht="16.5" customHeight="1"/>
    <row r="2605" ht="16.5" customHeight="1"/>
    <row r="2606" ht="16.5" customHeight="1"/>
    <row r="2607" ht="16.5" customHeight="1"/>
    <row r="2608" ht="16.5" customHeight="1"/>
    <row r="2609" ht="16.5" customHeight="1"/>
    <row r="2610" ht="16.5" customHeight="1"/>
    <row r="2611" ht="16.5" customHeight="1"/>
    <row r="2612" ht="16.5" customHeight="1"/>
    <row r="2613" ht="16.5" customHeight="1"/>
    <row r="2614" ht="16.5" customHeight="1"/>
    <row r="2615" ht="16.5" customHeight="1"/>
    <row r="2616" ht="16.5" customHeight="1"/>
    <row r="2617" ht="16.5" customHeight="1"/>
    <row r="2618" ht="16.5" customHeight="1"/>
    <row r="2619" ht="16.5" customHeight="1"/>
    <row r="2620" ht="16.5" customHeight="1"/>
    <row r="2621" ht="16.5" customHeight="1"/>
    <row r="2622" ht="16.5" customHeight="1"/>
    <row r="2623" ht="16.5" customHeight="1"/>
    <row r="2624" ht="16.5" customHeight="1"/>
    <row r="2625" ht="16.5" customHeight="1"/>
    <row r="2626" ht="16.5" customHeight="1"/>
    <row r="2627" ht="16.5" customHeight="1"/>
    <row r="2628" ht="16.5" customHeight="1"/>
    <row r="2629" ht="16.5" customHeight="1"/>
    <row r="2630" ht="16.5" customHeight="1"/>
    <row r="2631" ht="16.5" customHeight="1"/>
    <row r="2632" ht="16.5" customHeight="1"/>
    <row r="2633" ht="16.5" customHeight="1"/>
    <row r="2634" ht="16.5" customHeight="1"/>
    <row r="2635" ht="16.5" customHeight="1"/>
    <row r="2636" ht="16.5" customHeight="1"/>
    <row r="2637" ht="16.5" customHeight="1"/>
    <row r="2638" ht="16.5" customHeight="1"/>
    <row r="2639" ht="16.5" customHeight="1"/>
    <row r="2640" ht="16.5" customHeight="1"/>
    <row r="2641" ht="16.5" customHeight="1"/>
    <row r="2642" ht="16.5" customHeight="1"/>
    <row r="2643" ht="16.5" customHeight="1"/>
    <row r="2644" ht="16.5" customHeight="1"/>
    <row r="2645" ht="16.5" customHeight="1"/>
    <row r="2646" ht="16.5" customHeight="1"/>
    <row r="2647" ht="16.5" customHeight="1"/>
    <row r="2648" ht="16.5" customHeight="1"/>
    <row r="2649" ht="16.5" customHeight="1"/>
    <row r="2650" ht="16.5" customHeight="1"/>
    <row r="2651" ht="16.5" customHeight="1"/>
    <row r="2652" ht="16.5" customHeight="1"/>
    <row r="2653" ht="16.5" customHeight="1"/>
    <row r="2654" ht="16.5" customHeight="1"/>
    <row r="2655" ht="16.5" customHeight="1"/>
    <row r="2656" ht="16.5" customHeight="1"/>
    <row r="2657" ht="16.5" customHeight="1"/>
    <row r="2658" ht="16.5" customHeight="1"/>
    <row r="2659" ht="16.5" customHeight="1"/>
    <row r="2660" ht="16.5" customHeight="1"/>
    <row r="2661" ht="16.5" customHeight="1"/>
    <row r="2662" ht="16.5" customHeight="1"/>
    <row r="2663" ht="16.5" customHeight="1"/>
    <row r="2664" ht="16.5" customHeight="1"/>
    <row r="2665" ht="16.5" customHeight="1"/>
    <row r="2666" ht="16.5" customHeight="1"/>
    <row r="2667" ht="16.5" customHeight="1"/>
    <row r="2668" ht="16.5" customHeight="1"/>
    <row r="2669" ht="16.5" customHeight="1"/>
    <row r="2670" ht="16.5" customHeight="1"/>
    <row r="2671" ht="16.5" customHeight="1"/>
    <row r="2672" ht="16.5" customHeight="1"/>
    <row r="2673" ht="16.5" customHeight="1"/>
    <row r="2674" ht="16.5" customHeight="1"/>
    <row r="2675" ht="16.5" customHeight="1"/>
    <row r="2676" ht="16.5" customHeight="1"/>
    <row r="2677" ht="16.5" customHeight="1"/>
    <row r="2678" ht="16.5" customHeight="1"/>
    <row r="2679" ht="16.5" customHeight="1"/>
    <row r="2680" ht="16.5" customHeight="1"/>
    <row r="2681" ht="16.5" customHeight="1"/>
    <row r="2682" ht="16.5" customHeight="1"/>
    <row r="2683" ht="16.5" customHeight="1"/>
    <row r="2684" ht="16.5" customHeight="1"/>
    <row r="2685" ht="16.5" customHeight="1"/>
    <row r="2686" ht="16.5" customHeight="1"/>
    <row r="2687" ht="16.5" customHeight="1"/>
    <row r="2688" ht="16.5" customHeight="1"/>
    <row r="2689" ht="16.5" customHeight="1"/>
    <row r="2690" ht="16.5" customHeight="1"/>
    <row r="2691" ht="16.5" customHeight="1"/>
    <row r="2692" ht="16.5" customHeight="1"/>
    <row r="2693" ht="16.5" customHeight="1"/>
    <row r="2694" ht="16.5" customHeight="1"/>
    <row r="2695" ht="16.5" customHeight="1"/>
    <row r="2696" ht="16.5" customHeight="1"/>
    <row r="2697" ht="16.5" customHeight="1"/>
    <row r="2698" ht="16.5" customHeight="1"/>
    <row r="2699" ht="16.5" customHeight="1"/>
    <row r="2700" ht="16.5" customHeight="1"/>
    <row r="2701" ht="16.5" customHeight="1"/>
    <row r="2702" ht="16.5" customHeight="1"/>
    <row r="2703" ht="16.5" customHeight="1"/>
    <row r="2704" ht="16.5" customHeight="1"/>
    <row r="2705" ht="16.5" customHeight="1"/>
    <row r="2706" ht="16.5" customHeight="1"/>
    <row r="2707" ht="16.5" customHeight="1"/>
    <row r="2708" ht="16.5" customHeight="1"/>
    <row r="2709" ht="16.5" customHeight="1"/>
    <row r="2710" ht="16.5" customHeight="1"/>
    <row r="2711" ht="16.5" customHeight="1"/>
    <row r="2712" ht="16.5" customHeight="1"/>
    <row r="2713" ht="16.5" customHeight="1"/>
    <row r="2714" ht="16.5" customHeight="1"/>
    <row r="2715" ht="16.5" customHeight="1"/>
    <row r="2716" ht="16.5" customHeight="1"/>
    <row r="2717" ht="16.5" customHeight="1"/>
    <row r="2718" ht="16.5" customHeight="1"/>
    <row r="2719" ht="16.5" customHeight="1"/>
    <row r="2720" ht="16.5" customHeight="1"/>
    <row r="2721" ht="16.5" customHeight="1"/>
    <row r="2722" ht="16.5" customHeight="1"/>
    <row r="2723" ht="16.5" customHeight="1"/>
    <row r="2724" ht="16.5" customHeight="1"/>
    <row r="2725" ht="16.5" customHeight="1"/>
    <row r="2726" ht="16.5" customHeight="1"/>
    <row r="2727" ht="16.5" customHeight="1"/>
    <row r="2728" ht="16.5" customHeight="1"/>
    <row r="2729" ht="16.5" customHeight="1"/>
    <row r="2730" ht="16.5" customHeight="1"/>
    <row r="2731" ht="16.5" customHeight="1"/>
    <row r="2732" ht="16.5" customHeight="1"/>
    <row r="2733" ht="16.5" customHeight="1"/>
    <row r="2734" ht="16.5" customHeight="1"/>
    <row r="2735" ht="16.5" customHeight="1"/>
    <row r="2736" ht="16.5" customHeight="1"/>
    <row r="2737" ht="16.5" customHeight="1"/>
    <row r="2738" ht="16.5" customHeight="1"/>
    <row r="2739" ht="16.5" customHeight="1"/>
    <row r="2740" ht="16.5" customHeight="1"/>
    <row r="2741" ht="16.5" customHeight="1"/>
    <row r="2742" ht="16.5" customHeight="1"/>
    <row r="2743" ht="16.5" customHeight="1"/>
    <row r="2744" ht="16.5" customHeight="1"/>
    <row r="2745" ht="16.5" customHeight="1"/>
    <row r="2746" ht="16.5" customHeight="1"/>
    <row r="2747" ht="16.5" customHeight="1"/>
    <row r="2748" ht="16.5" customHeight="1"/>
    <row r="2749" ht="16.5" customHeight="1"/>
    <row r="2750" ht="16.5" customHeight="1"/>
    <row r="2751" ht="16.5" customHeight="1"/>
    <row r="2752" ht="16.5" customHeight="1"/>
    <row r="2753" ht="16.5" customHeight="1"/>
    <row r="2754" ht="16.5" customHeight="1"/>
    <row r="2755" ht="16.5" customHeight="1"/>
    <row r="2756" ht="16.5" customHeight="1"/>
    <row r="2757" ht="16.5" customHeight="1"/>
    <row r="2758" ht="16.5" customHeight="1"/>
    <row r="2759" ht="16.5" customHeight="1"/>
    <row r="2760" ht="16.5" customHeight="1"/>
    <row r="2761" ht="16.5" customHeight="1"/>
    <row r="2762" ht="16.5" customHeight="1"/>
    <row r="2763" ht="16.5" customHeight="1"/>
    <row r="2764" ht="16.5" customHeight="1"/>
    <row r="2765" ht="16.5" customHeight="1"/>
    <row r="2766" ht="16.5" customHeight="1"/>
    <row r="2767" ht="16.5" customHeight="1"/>
    <row r="2768" ht="16.5" customHeight="1"/>
    <row r="2769" ht="16.5" customHeight="1"/>
    <row r="2770" ht="16.5" customHeight="1"/>
    <row r="2771" ht="16.5" customHeight="1"/>
    <row r="2772" ht="16.5" customHeight="1"/>
    <row r="2773" ht="16.5" customHeight="1"/>
    <row r="2774" ht="16.5" customHeight="1"/>
    <row r="2775" ht="16.5" customHeight="1"/>
    <row r="2776" ht="16.5" customHeight="1"/>
    <row r="2777" ht="16.5" customHeight="1"/>
    <row r="2778" ht="16.5" customHeight="1"/>
    <row r="2779" ht="16.5" customHeight="1"/>
    <row r="2780" ht="16.5" customHeight="1"/>
    <row r="2781" ht="16.5" customHeight="1"/>
    <row r="2782" ht="16.5" customHeight="1"/>
    <row r="2783" ht="16.5" customHeight="1"/>
    <row r="2784" ht="16.5" customHeight="1"/>
    <row r="2785" ht="16.5" customHeight="1"/>
    <row r="2786" ht="16.5" customHeight="1"/>
    <row r="2787" ht="16.5" customHeight="1"/>
    <row r="2788" ht="16.5" customHeight="1"/>
    <row r="2789" ht="16.5" customHeight="1"/>
    <row r="2790" ht="16.5" customHeight="1"/>
    <row r="2791" ht="16.5" customHeight="1"/>
    <row r="2792" ht="16.5" customHeight="1"/>
    <row r="2793" ht="16.5" customHeight="1"/>
    <row r="2794" ht="16.5" customHeight="1"/>
    <row r="2795" ht="16.5" customHeight="1"/>
    <row r="2796" ht="16.5" customHeight="1"/>
    <row r="2797" ht="16.5" customHeight="1"/>
    <row r="2798" ht="16.5" customHeight="1"/>
    <row r="2799" ht="16.5" customHeight="1"/>
    <row r="2800" ht="16.5" customHeight="1"/>
    <row r="2801" ht="16.5" customHeight="1"/>
    <row r="2802" ht="16.5" customHeight="1"/>
    <row r="2803" ht="16.5" customHeight="1"/>
    <row r="2804" ht="16.5" customHeight="1"/>
    <row r="2805" ht="16.5" customHeight="1"/>
    <row r="2806" ht="16.5" customHeight="1"/>
    <row r="2807" ht="16.5" customHeight="1"/>
    <row r="2808" ht="16.5" customHeight="1"/>
    <row r="2809" ht="16.5" customHeight="1"/>
    <row r="2810" ht="16.5" customHeight="1"/>
    <row r="2811" ht="16.5" customHeight="1"/>
    <row r="2812" ht="16.5" customHeight="1"/>
    <row r="2813" ht="16.5" customHeight="1"/>
    <row r="2814" ht="16.5" customHeight="1"/>
    <row r="2815" ht="16.5" customHeight="1"/>
    <row r="2816" ht="16.5" customHeight="1"/>
    <row r="2817" ht="16.5" customHeight="1"/>
    <row r="2818" ht="16.5" customHeight="1"/>
    <row r="2819" ht="16.5" customHeight="1"/>
    <row r="2820" ht="16.5" customHeight="1"/>
    <row r="2821" ht="16.5" customHeight="1"/>
    <row r="2822" ht="16.5" customHeight="1"/>
    <row r="2823" ht="16.5" customHeight="1"/>
    <row r="2824" ht="16.5" customHeight="1"/>
    <row r="2825" ht="16.5" customHeight="1"/>
    <row r="2826" ht="16.5" customHeight="1"/>
    <row r="2827" ht="16.5" customHeight="1"/>
    <row r="2828" ht="16.5" customHeight="1"/>
    <row r="2829" ht="16.5" customHeight="1"/>
    <row r="2830" ht="16.5" customHeight="1"/>
    <row r="2831" ht="16.5" customHeight="1"/>
    <row r="2832" ht="16.5" customHeight="1"/>
    <row r="2833" ht="16.5" customHeight="1"/>
    <row r="2834" ht="16.5" customHeight="1"/>
    <row r="2835" ht="16.5" customHeight="1"/>
    <row r="2836" ht="16.5" customHeight="1"/>
    <row r="2837" ht="16.5" customHeight="1"/>
    <row r="2838" ht="16.5" customHeight="1"/>
    <row r="2839" ht="16.5" customHeight="1"/>
    <row r="2840" ht="16.5" customHeight="1"/>
    <row r="2841" ht="16.5" customHeight="1"/>
    <row r="2842" ht="16.5" customHeight="1"/>
    <row r="2843" ht="16.5" customHeight="1"/>
    <row r="2844" ht="16.5" customHeight="1"/>
    <row r="2845" ht="16.5" customHeight="1"/>
    <row r="2846" ht="16.5" customHeight="1"/>
    <row r="2847" ht="16.5" customHeight="1"/>
    <row r="2848" ht="16.5" customHeight="1"/>
    <row r="2849" ht="16.5" customHeight="1"/>
    <row r="2850" ht="16.5" customHeight="1"/>
    <row r="2851" ht="16.5" customHeight="1"/>
    <row r="2852" ht="16.5" customHeight="1"/>
    <row r="2853" ht="16.5" customHeight="1"/>
    <row r="2854" ht="16.5" customHeight="1"/>
    <row r="2855" ht="16.5" customHeight="1"/>
    <row r="2856" ht="16.5" customHeight="1"/>
    <row r="2857" ht="16.5" customHeight="1"/>
    <row r="2858" ht="16.5" customHeight="1"/>
    <row r="2859" ht="16.5" customHeight="1"/>
    <row r="2860" ht="16.5" customHeight="1"/>
    <row r="2861" ht="16.5" customHeight="1"/>
    <row r="2862" ht="16.5" customHeight="1"/>
    <row r="2863" ht="16.5" customHeight="1"/>
    <row r="2864" ht="16.5" customHeight="1"/>
    <row r="2865" ht="16.5" customHeight="1"/>
    <row r="2866" ht="16.5" customHeight="1"/>
    <row r="2867" ht="16.5" customHeight="1"/>
    <row r="2868" ht="16.5" customHeight="1"/>
    <row r="2869" ht="16.5" customHeight="1"/>
    <row r="2870" ht="16.5" customHeight="1"/>
    <row r="2871" ht="16.5" customHeight="1"/>
    <row r="2872" ht="16.5" customHeight="1"/>
    <row r="2873" ht="16.5" customHeight="1"/>
    <row r="2874" ht="16.5" customHeight="1"/>
    <row r="2875" ht="16.5" customHeight="1"/>
    <row r="2876" ht="16.5" customHeight="1"/>
    <row r="2877" ht="16.5" customHeight="1"/>
    <row r="2878" ht="16.5" customHeight="1"/>
    <row r="2879" ht="16.5" customHeight="1"/>
    <row r="2880" ht="16.5" customHeight="1"/>
    <row r="2881" ht="16.5" customHeight="1"/>
    <row r="2882" ht="16.5" customHeight="1"/>
    <row r="2883" ht="16.5" customHeight="1"/>
    <row r="2884" ht="16.5" customHeight="1"/>
    <row r="2885" ht="16.5" customHeight="1"/>
    <row r="2886" ht="16.5" customHeight="1"/>
    <row r="2887" ht="16.5" customHeight="1"/>
    <row r="2888" ht="16.5" customHeight="1"/>
    <row r="2889" ht="16.5" customHeight="1"/>
    <row r="2890" ht="16.5" customHeight="1"/>
    <row r="2891" ht="16.5" customHeight="1"/>
    <row r="2892" ht="16.5" customHeight="1"/>
    <row r="2893" ht="16.5" customHeight="1"/>
    <row r="2894" ht="16.5" customHeight="1"/>
    <row r="2895" ht="16.5" customHeight="1"/>
    <row r="2896" ht="16.5" customHeight="1"/>
    <row r="2897" ht="16.5" customHeight="1"/>
    <row r="2898" ht="16.5" customHeight="1"/>
    <row r="2899" ht="16.5" customHeight="1"/>
    <row r="2900" ht="16.5" customHeight="1"/>
    <row r="2901" ht="16.5" customHeight="1"/>
    <row r="2902" ht="16.5" customHeight="1"/>
    <row r="2903" ht="16.5" customHeight="1"/>
    <row r="2904" ht="16.5" customHeight="1"/>
    <row r="2905" ht="16.5" customHeight="1"/>
    <row r="2906" ht="16.5" customHeight="1"/>
    <row r="2907" ht="16.5" customHeight="1"/>
    <row r="2908" ht="16.5" customHeight="1"/>
    <row r="2909" ht="16.5" customHeight="1"/>
    <row r="2910" ht="16.5" customHeight="1"/>
    <row r="2911" ht="16.5" customHeight="1"/>
    <row r="2912" ht="16.5" customHeight="1"/>
    <row r="2913" ht="16.5" customHeight="1"/>
    <row r="2914" ht="16.5" customHeight="1"/>
    <row r="2915" ht="16.5" customHeight="1"/>
    <row r="2916" ht="16.5" customHeight="1"/>
    <row r="2917" ht="16.5" customHeight="1"/>
    <row r="2918" ht="16.5" customHeight="1"/>
    <row r="2919" ht="16.5" customHeight="1"/>
    <row r="2920" ht="16.5" customHeight="1"/>
    <row r="2921" ht="16.5" customHeight="1"/>
    <row r="2922" ht="16.5" customHeight="1"/>
    <row r="2923" ht="16.5" customHeight="1"/>
    <row r="2924" ht="16.5" customHeight="1"/>
    <row r="2925" ht="16.5" customHeight="1"/>
    <row r="2926" ht="16.5" customHeight="1"/>
    <row r="2927" ht="16.5" customHeight="1"/>
    <row r="2928" ht="16.5" customHeight="1"/>
    <row r="2929" ht="16.5" customHeight="1"/>
    <row r="2930" ht="16.5" customHeight="1"/>
    <row r="2931" ht="16.5" customHeight="1"/>
    <row r="2932" ht="16.5" customHeight="1"/>
    <row r="2933" ht="16.5" customHeight="1"/>
    <row r="2934" ht="16.5" customHeight="1"/>
    <row r="2935" ht="16.5" customHeight="1"/>
    <row r="2936" ht="16.5" customHeight="1"/>
    <row r="2937" ht="16.5" customHeight="1"/>
    <row r="2938" ht="16.5" customHeight="1"/>
    <row r="2939" ht="16.5" customHeight="1"/>
    <row r="2940" ht="16.5" customHeight="1"/>
    <row r="2941" ht="16.5" customHeight="1"/>
    <row r="2942" ht="16.5" customHeight="1"/>
    <row r="2943" ht="16.5" customHeight="1"/>
    <row r="2944" ht="16.5" customHeight="1"/>
    <row r="2945" ht="16.5" customHeight="1"/>
    <row r="2946" ht="16.5" customHeight="1"/>
    <row r="2947" ht="16.5" customHeight="1"/>
    <row r="2948" ht="16.5" customHeight="1"/>
    <row r="2949" ht="16.5" customHeight="1"/>
    <row r="2950" ht="16.5" customHeight="1"/>
    <row r="2951" ht="16.5" customHeight="1"/>
    <row r="2952" ht="16.5" customHeight="1"/>
    <row r="2953" ht="16.5" customHeight="1"/>
    <row r="2954" ht="16.5" customHeight="1"/>
    <row r="2955" ht="16.5" customHeight="1"/>
    <row r="2956" ht="16.5" customHeight="1"/>
    <row r="2957" ht="16.5" customHeight="1"/>
    <row r="2958" ht="16.5" customHeight="1"/>
    <row r="2959" ht="16.5" customHeight="1"/>
    <row r="2960" ht="16.5" customHeight="1"/>
    <row r="2961" ht="16.5" customHeight="1"/>
    <row r="2962" ht="16.5" customHeight="1"/>
    <row r="2963" ht="16.5" customHeight="1"/>
    <row r="2964" ht="16.5" customHeight="1"/>
    <row r="2965" ht="16.5" customHeight="1"/>
    <row r="2966" ht="16.5" customHeight="1"/>
    <row r="2967" ht="16.5" customHeight="1"/>
    <row r="2968" ht="16.5" customHeight="1"/>
    <row r="2969" ht="16.5" customHeight="1"/>
    <row r="2970" ht="16.5" customHeight="1"/>
    <row r="2971" ht="16.5" customHeight="1"/>
    <row r="2972" ht="16.5" customHeight="1"/>
    <row r="2973" ht="16.5" customHeight="1"/>
    <row r="2974" ht="16.5" customHeight="1"/>
    <row r="2975" ht="16.5" customHeight="1"/>
    <row r="2976" ht="16.5" customHeight="1"/>
    <row r="2977" ht="16.5" customHeight="1"/>
    <row r="2978" ht="16.5" customHeight="1"/>
    <row r="2979" ht="16.5" customHeight="1"/>
    <row r="2980" ht="16.5" customHeight="1"/>
    <row r="2981" ht="16.5" customHeight="1"/>
    <row r="2982" ht="16.5" customHeight="1"/>
    <row r="2983" ht="16.5" customHeight="1"/>
    <row r="2984" ht="16.5" customHeight="1"/>
    <row r="2985" ht="16.5" customHeight="1"/>
    <row r="2986" ht="16.5" customHeight="1"/>
    <row r="2987" ht="16.5" customHeight="1"/>
    <row r="2988" ht="16.5" customHeight="1"/>
    <row r="2989" ht="16.5" customHeight="1"/>
    <row r="2990" ht="16.5" customHeight="1"/>
    <row r="2991" ht="16.5" customHeight="1"/>
    <row r="2992" ht="16.5" customHeight="1"/>
    <row r="2993" ht="16.5" customHeight="1"/>
    <row r="2994" ht="16.5" customHeight="1"/>
    <row r="2995" ht="16.5" customHeight="1"/>
    <row r="2996" ht="16.5" customHeight="1"/>
    <row r="2997" ht="16.5" customHeight="1"/>
    <row r="2998" ht="16.5" customHeight="1"/>
    <row r="2999" ht="16.5" customHeight="1"/>
    <row r="3000" ht="16.5" customHeight="1"/>
    <row r="3001" ht="16.5" customHeight="1"/>
    <row r="3002" ht="16.5" customHeight="1"/>
    <row r="3003" ht="16.5" customHeight="1"/>
    <row r="3004" ht="16.5" customHeight="1"/>
    <row r="3005" ht="16.5" customHeight="1"/>
    <row r="3006" ht="16.5" customHeight="1"/>
    <row r="3007" ht="16.5" customHeight="1"/>
    <row r="3008" ht="16.5" customHeight="1"/>
    <row r="3009" ht="16.5" customHeight="1"/>
    <row r="3010" ht="16.5" customHeight="1"/>
    <row r="3011" ht="16.5" customHeight="1"/>
    <row r="3012" ht="16.5" customHeight="1"/>
    <row r="3013" ht="16.5" customHeight="1"/>
    <row r="3014" ht="16.5" customHeight="1"/>
    <row r="3015" ht="16.5" customHeight="1"/>
    <row r="3016" ht="16.5" customHeight="1"/>
    <row r="3017" ht="16.5" customHeight="1"/>
    <row r="3018" ht="16.5" customHeight="1"/>
    <row r="3019" ht="16.5" customHeight="1"/>
    <row r="3020" ht="16.5" customHeight="1"/>
    <row r="3021" ht="16.5" customHeight="1"/>
    <row r="3022" ht="16.5" customHeight="1"/>
    <row r="3023" ht="16.5" customHeight="1"/>
    <row r="3024" ht="16.5" customHeight="1"/>
    <row r="3025" ht="16.5" customHeight="1"/>
    <row r="3026" ht="16.5" customHeight="1"/>
    <row r="3027" ht="16.5" customHeight="1"/>
    <row r="3028" ht="16.5" customHeight="1"/>
    <row r="3029" ht="16.5" customHeight="1"/>
    <row r="3030" ht="16.5" customHeight="1"/>
    <row r="3031" ht="16.5" customHeight="1"/>
    <row r="3032" ht="16.5" customHeight="1"/>
    <row r="3033" ht="16.5" customHeight="1"/>
    <row r="3034" ht="16.5" customHeight="1"/>
    <row r="3035" ht="16.5" customHeight="1"/>
    <row r="3036" ht="16.5" customHeight="1"/>
    <row r="3037" ht="16.5" customHeight="1"/>
    <row r="3038" ht="16.5" customHeight="1"/>
    <row r="3039" ht="16.5" customHeight="1"/>
    <row r="3040" ht="16.5" customHeight="1"/>
    <row r="3041" ht="16.5" customHeight="1"/>
    <row r="3042" ht="16.5" customHeight="1"/>
    <row r="3043" ht="16.5" customHeight="1"/>
    <row r="3044" ht="16.5" customHeight="1"/>
    <row r="3045" ht="16.5" customHeight="1"/>
    <row r="3046" ht="16.5" customHeight="1"/>
    <row r="3047" ht="16.5" customHeight="1"/>
    <row r="3048" ht="16.5" customHeight="1"/>
    <row r="3049" ht="16.5" customHeight="1"/>
    <row r="3050" ht="16.5" customHeight="1"/>
    <row r="3051" ht="16.5" customHeight="1"/>
    <row r="3052" ht="16.5" customHeight="1"/>
    <row r="3053" ht="16.5" customHeight="1"/>
    <row r="3054" ht="16.5" customHeight="1"/>
    <row r="3055" ht="16.5" customHeight="1"/>
    <row r="3056" ht="16.5" customHeight="1"/>
    <row r="3057" ht="16.5" customHeight="1"/>
    <row r="3058" ht="16.5" customHeight="1"/>
    <row r="3059" ht="16.5" customHeight="1"/>
    <row r="3060" ht="16.5" customHeight="1"/>
    <row r="3061" ht="16.5" customHeight="1"/>
    <row r="3062" ht="16.5" customHeight="1"/>
    <row r="3063" ht="16.5" customHeight="1"/>
    <row r="3064" ht="16.5" customHeight="1"/>
    <row r="3065" ht="16.5" customHeight="1"/>
    <row r="3066" ht="16.5" customHeight="1"/>
    <row r="3067" ht="16.5" customHeight="1"/>
    <row r="3068" ht="16.5" customHeight="1"/>
    <row r="3069" ht="16.5" customHeight="1"/>
    <row r="3070" ht="16.5" customHeight="1"/>
    <row r="3071" ht="16.5" customHeight="1"/>
    <row r="3072" ht="16.5" customHeight="1"/>
    <row r="3073" ht="16.5" customHeight="1"/>
    <row r="3074" ht="16.5" customHeight="1"/>
    <row r="3075" ht="16.5" customHeight="1"/>
    <row r="3076" ht="16.5" customHeight="1"/>
    <row r="3077" ht="16.5" customHeight="1"/>
    <row r="3078" ht="16.5" customHeight="1"/>
    <row r="3079" ht="16.5" customHeight="1"/>
    <row r="3080" ht="16.5" customHeight="1"/>
    <row r="3081" ht="16.5" customHeight="1"/>
    <row r="3082" ht="16.5" customHeight="1"/>
    <row r="3083" ht="16.5" customHeight="1"/>
    <row r="3084" ht="16.5" customHeight="1"/>
    <row r="3085" ht="16.5" customHeight="1"/>
    <row r="3086" ht="16.5" customHeight="1"/>
    <row r="3087" ht="16.5" customHeight="1"/>
    <row r="3088" ht="16.5" customHeight="1"/>
    <row r="3089" ht="16.5" customHeight="1"/>
    <row r="3090" ht="16.5" customHeight="1"/>
    <row r="3091" ht="16.5" customHeight="1"/>
    <row r="3092" ht="16.5" customHeight="1"/>
    <row r="3093" ht="16.5" customHeight="1"/>
    <row r="3094" ht="16.5" customHeight="1"/>
    <row r="3095" ht="16.5" customHeight="1"/>
    <row r="3096" ht="16.5" customHeight="1"/>
    <row r="3097" ht="16.5" customHeight="1"/>
    <row r="3098" ht="16.5" customHeight="1"/>
    <row r="3099" ht="16.5" customHeight="1"/>
    <row r="3100" ht="16.5" customHeight="1"/>
    <row r="3101" ht="16.5" customHeight="1"/>
    <row r="3102" ht="16.5" customHeight="1"/>
    <row r="3103" ht="16.5" customHeight="1"/>
    <row r="3104" ht="16.5" customHeight="1"/>
    <row r="3105" ht="16.5" customHeight="1"/>
    <row r="3106" ht="16.5" customHeight="1"/>
    <row r="3107" ht="16.5" customHeight="1"/>
    <row r="3108" ht="16.5" customHeight="1"/>
    <row r="3109" ht="16.5" customHeight="1"/>
    <row r="3110" ht="16.5" customHeight="1"/>
    <row r="3111" ht="16.5" customHeight="1"/>
    <row r="3112" ht="16.5" customHeight="1"/>
    <row r="3113" ht="16.5" customHeight="1"/>
    <row r="3114" ht="16.5" customHeight="1"/>
    <row r="3115" ht="16.5" customHeight="1"/>
    <row r="3116" ht="16.5" customHeight="1"/>
    <row r="3117" ht="16.5" customHeight="1"/>
    <row r="3118" ht="16.5" customHeight="1"/>
    <row r="3119" ht="16.5" customHeight="1"/>
    <row r="3120" ht="16.5" customHeight="1"/>
    <row r="3121" ht="16.5" customHeight="1"/>
    <row r="3122" ht="16.5" customHeight="1"/>
    <row r="3123" ht="16.5" customHeight="1"/>
    <row r="3124" ht="16.5" customHeight="1"/>
    <row r="3125" ht="16.5" customHeight="1"/>
    <row r="3126" ht="16.5" customHeight="1"/>
    <row r="3127" ht="16.5" customHeight="1"/>
    <row r="3128" ht="16.5" customHeight="1"/>
    <row r="3129" ht="16.5" customHeight="1"/>
    <row r="3130" ht="16.5" customHeight="1"/>
    <row r="3131" ht="16.5" customHeight="1"/>
    <row r="3132" ht="16.5" customHeight="1"/>
    <row r="3133" ht="16.5" customHeight="1"/>
    <row r="3134" ht="16.5" customHeight="1"/>
    <row r="3135" ht="16.5" customHeight="1"/>
    <row r="3136" ht="16.5" customHeight="1"/>
    <row r="3137" ht="16.5" customHeight="1"/>
    <row r="3138" ht="16.5" customHeight="1"/>
    <row r="3139" ht="16.5" customHeight="1"/>
    <row r="3140" ht="16.5" customHeight="1"/>
    <row r="3141" ht="16.5" customHeight="1"/>
    <row r="3142" ht="16.5" customHeight="1"/>
    <row r="3143" ht="16.5" customHeight="1"/>
    <row r="3144" ht="16.5" customHeight="1"/>
    <row r="3145" ht="16.5" customHeight="1"/>
    <row r="3146" ht="16.5" customHeight="1"/>
    <row r="3147" ht="16.5" customHeight="1"/>
    <row r="3148" ht="16.5" customHeight="1"/>
    <row r="3149" ht="16.5" customHeight="1"/>
    <row r="3150" ht="16.5" customHeight="1"/>
    <row r="3151" ht="16.5" customHeight="1"/>
    <row r="3152" ht="16.5" customHeight="1"/>
    <row r="3153" ht="16.5" customHeight="1"/>
    <row r="3154" ht="16.5" customHeight="1"/>
    <row r="3155" ht="16.5" customHeight="1"/>
    <row r="3156" ht="16.5" customHeight="1"/>
    <row r="3157" ht="16.5" customHeight="1"/>
    <row r="3158" ht="16.5" customHeight="1"/>
    <row r="3159" ht="16.5" customHeight="1"/>
    <row r="3160" ht="16.5" customHeight="1"/>
    <row r="3161" ht="16.5" customHeight="1"/>
    <row r="3162" ht="16.5" customHeight="1"/>
    <row r="3163" ht="16.5" customHeight="1"/>
    <row r="3164" ht="16.5" customHeight="1"/>
    <row r="3165" ht="16.5" customHeight="1"/>
    <row r="3166" ht="16.5" customHeight="1"/>
    <row r="3167" ht="16.5" customHeight="1"/>
    <row r="3168" ht="16.5" customHeight="1"/>
    <row r="3169" ht="16.5" customHeight="1"/>
    <row r="3170" ht="16.5" customHeight="1"/>
    <row r="3171" ht="16.5" customHeight="1"/>
    <row r="3172" ht="16.5" customHeight="1"/>
    <row r="3173" ht="16.5" customHeight="1"/>
    <row r="3174" ht="16.5" customHeight="1"/>
    <row r="3175" ht="16.5" customHeight="1"/>
    <row r="3176" ht="16.5" customHeight="1"/>
    <row r="3177" ht="16.5" customHeight="1"/>
    <row r="3178" ht="16.5" customHeight="1"/>
    <row r="3179" ht="16.5" customHeight="1"/>
    <row r="3180" ht="16.5" customHeight="1"/>
    <row r="3181" ht="16.5" customHeight="1"/>
    <row r="3182" ht="16.5" customHeight="1"/>
    <row r="3183" ht="16.5" customHeight="1"/>
    <row r="3184" ht="16.5" customHeight="1"/>
    <row r="3185" ht="16.5" customHeight="1"/>
    <row r="3186" ht="16.5" customHeight="1"/>
    <row r="3187" ht="16.5" customHeight="1"/>
    <row r="3188" ht="16.5" customHeight="1"/>
    <row r="3189" ht="16.5" customHeight="1"/>
    <row r="3190" ht="16.5" customHeight="1"/>
    <row r="3191" ht="16.5" customHeight="1"/>
    <row r="3192" ht="16.5" customHeight="1"/>
    <row r="3193" ht="16.5" customHeight="1"/>
    <row r="3194" ht="16.5" customHeight="1"/>
    <row r="3195" ht="16.5" customHeight="1"/>
    <row r="3196" ht="16.5" customHeight="1"/>
    <row r="3197" ht="16.5" customHeight="1"/>
    <row r="3198" ht="16.5" customHeight="1"/>
    <row r="3199" ht="16.5" customHeight="1"/>
    <row r="3200" ht="16.5" customHeight="1"/>
    <row r="3201" ht="16.5" customHeight="1"/>
    <row r="3202" ht="16.5" customHeight="1"/>
    <row r="3203" ht="16.5" customHeight="1"/>
    <row r="3204" ht="16.5" customHeight="1"/>
    <row r="3205" ht="16.5" customHeight="1"/>
    <row r="3206" ht="16.5" customHeight="1"/>
    <row r="3207" ht="16.5" customHeight="1"/>
    <row r="3208" ht="16.5" customHeight="1"/>
    <row r="3209" ht="16.5" customHeight="1"/>
    <row r="3210" ht="16.5" customHeight="1"/>
    <row r="3211" ht="16.5" customHeight="1"/>
    <row r="3212" ht="16.5" customHeight="1"/>
    <row r="3213" ht="16.5" customHeight="1"/>
    <row r="3214" ht="16.5" customHeight="1"/>
    <row r="3215" ht="16.5" customHeight="1"/>
    <row r="3216" ht="16.5" customHeight="1"/>
    <row r="3217" ht="16.5" customHeight="1"/>
    <row r="3218" ht="16.5" customHeight="1"/>
    <row r="3219" ht="16.5" customHeight="1"/>
    <row r="3220" ht="16.5" customHeight="1"/>
    <row r="3221" ht="16.5" customHeight="1"/>
    <row r="3222" ht="16.5" customHeight="1"/>
    <row r="3223" ht="16.5" customHeight="1"/>
    <row r="3224" ht="16.5" customHeight="1"/>
    <row r="3225" ht="16.5" customHeight="1"/>
    <row r="3226" ht="16.5" customHeight="1"/>
    <row r="3227" ht="16.5" customHeight="1"/>
    <row r="3228" ht="16.5" customHeight="1"/>
    <row r="3229" ht="16.5" customHeight="1"/>
    <row r="3230" ht="16.5" customHeight="1"/>
    <row r="3231" ht="16.5" customHeight="1"/>
    <row r="3232" ht="16.5" customHeight="1"/>
    <row r="3233" ht="16.5" customHeight="1"/>
    <row r="3234" ht="16.5" customHeight="1"/>
    <row r="3235" ht="16.5" customHeight="1"/>
    <row r="3236" ht="16.5" customHeight="1"/>
    <row r="3237" ht="16.5" customHeight="1"/>
    <row r="3238" ht="16.5" customHeight="1"/>
    <row r="3239" ht="16.5" customHeight="1"/>
    <row r="3240" ht="16.5" customHeight="1"/>
    <row r="3241" ht="16.5" customHeight="1"/>
    <row r="3242" ht="16.5" customHeight="1"/>
    <row r="3243" ht="16.5" customHeight="1"/>
    <row r="3244" ht="16.5" customHeight="1"/>
    <row r="3245" ht="16.5" customHeight="1"/>
    <row r="3246" ht="16.5" customHeight="1"/>
    <row r="3247" ht="16.5" customHeight="1"/>
    <row r="3248" ht="16.5" customHeight="1"/>
    <row r="3249" ht="16.5" customHeight="1"/>
    <row r="3250" ht="16.5" customHeight="1"/>
    <row r="3251" ht="16.5" customHeight="1"/>
    <row r="3252" ht="16.5" customHeight="1"/>
    <row r="3253" ht="16.5" customHeight="1"/>
    <row r="3254" ht="16.5" customHeight="1"/>
    <row r="3255" ht="16.5" customHeight="1"/>
    <row r="3256" ht="16.5" customHeight="1"/>
    <row r="3257" ht="16.5" customHeight="1"/>
    <row r="3258" ht="16.5" customHeight="1"/>
    <row r="3259" ht="16.5" customHeight="1"/>
    <row r="3260" ht="16.5" customHeight="1"/>
    <row r="3261" ht="16.5" customHeight="1"/>
    <row r="3262" ht="16.5" customHeight="1"/>
    <row r="3263" ht="16.5" customHeight="1"/>
    <row r="3264" ht="16.5" customHeight="1"/>
    <row r="3265" ht="16.5" customHeight="1"/>
    <row r="3266" ht="16.5" customHeight="1"/>
    <row r="3267" ht="16.5" customHeight="1"/>
    <row r="3268" ht="16.5" customHeight="1"/>
    <row r="3269" ht="16.5" customHeight="1"/>
    <row r="3270" ht="16.5" customHeight="1"/>
    <row r="3271" ht="16.5" customHeight="1"/>
    <row r="3272" ht="16.5" customHeight="1"/>
    <row r="3273" ht="16.5" customHeight="1"/>
    <row r="3274" ht="16.5" customHeight="1"/>
    <row r="3275" ht="16.5" customHeight="1"/>
    <row r="3276" ht="16.5" customHeight="1"/>
    <row r="3277" ht="16.5" customHeight="1"/>
    <row r="3278" ht="16.5" customHeight="1"/>
    <row r="3279" ht="16.5" customHeight="1"/>
    <row r="3280" ht="16.5" customHeight="1"/>
    <row r="3281" ht="16.5" customHeight="1"/>
    <row r="3282" ht="16.5" customHeight="1"/>
    <row r="3283" ht="16.5" customHeight="1"/>
    <row r="3284" ht="16.5" customHeight="1"/>
    <row r="3285" ht="16.5" customHeight="1"/>
    <row r="3286" ht="16.5" customHeight="1"/>
    <row r="3287" ht="16.5" customHeight="1"/>
    <row r="3288" ht="16.5" customHeight="1"/>
    <row r="3289" ht="16.5" customHeight="1"/>
    <row r="3290" ht="16.5" customHeight="1"/>
    <row r="3291" ht="16.5" customHeight="1"/>
    <row r="3292" ht="16.5" customHeight="1"/>
    <row r="3293" ht="16.5" customHeight="1"/>
    <row r="3294" ht="16.5" customHeight="1"/>
    <row r="3295" ht="16.5" customHeight="1"/>
    <row r="3296" ht="16.5" customHeight="1"/>
    <row r="3297" ht="16.5" customHeight="1"/>
    <row r="3298" ht="16.5" customHeight="1"/>
    <row r="3299" ht="16.5" customHeight="1"/>
    <row r="3300" ht="16.5" customHeight="1"/>
    <row r="3301" ht="16.5" customHeight="1"/>
    <row r="3302" ht="16.5" customHeight="1"/>
    <row r="3303" ht="16.5" customHeight="1"/>
    <row r="3304" ht="16.5" customHeight="1"/>
    <row r="3305" ht="16.5" customHeight="1"/>
    <row r="3306" ht="16.5" customHeight="1"/>
    <row r="3307" ht="16.5" customHeight="1"/>
    <row r="3308" ht="16.5" customHeight="1"/>
    <row r="3309" ht="16.5" customHeight="1"/>
    <row r="3310" ht="16.5" customHeight="1"/>
    <row r="3311" ht="16.5" customHeight="1"/>
    <row r="3312" ht="16.5" customHeight="1"/>
    <row r="3313" ht="16.5" customHeight="1"/>
    <row r="3314" ht="16.5" customHeight="1"/>
    <row r="3315" ht="16.5" customHeight="1"/>
    <row r="3316" ht="16.5" customHeight="1"/>
    <row r="3317" ht="16.5" customHeight="1"/>
    <row r="3318" ht="16.5" customHeight="1"/>
    <row r="3319" ht="16.5" customHeight="1"/>
    <row r="3320" ht="16.5" customHeight="1"/>
    <row r="3321" ht="16.5" customHeight="1"/>
    <row r="3322" ht="16.5" customHeight="1"/>
    <row r="3323" ht="16.5" customHeight="1"/>
    <row r="3324" ht="16.5" customHeight="1"/>
    <row r="3325" ht="16.5" customHeight="1"/>
    <row r="3326" ht="16.5" customHeight="1"/>
    <row r="3327" ht="16.5" customHeight="1"/>
    <row r="3328" ht="16.5" customHeight="1"/>
    <row r="3329" ht="16.5" customHeight="1"/>
    <row r="3330" ht="16.5" customHeight="1"/>
    <row r="3331" ht="16.5" customHeight="1"/>
    <row r="3332" ht="16.5" customHeight="1"/>
    <row r="3333" ht="16.5" customHeight="1"/>
    <row r="3334" ht="16.5" customHeight="1"/>
    <row r="3335" ht="16.5" customHeight="1"/>
    <row r="3336" ht="16.5" customHeight="1"/>
    <row r="3337" ht="16.5" customHeight="1"/>
    <row r="3338" ht="16.5" customHeight="1"/>
    <row r="3339" ht="16.5" customHeight="1"/>
    <row r="3340" ht="16.5" customHeight="1"/>
    <row r="3341" ht="16.5" customHeight="1"/>
    <row r="3342" ht="16.5" customHeight="1"/>
    <row r="3343" ht="16.5" customHeight="1"/>
    <row r="3344" ht="16.5" customHeight="1"/>
    <row r="3345" ht="16.5" customHeight="1"/>
    <row r="3346" ht="16.5" customHeight="1"/>
    <row r="3347" ht="16.5" customHeight="1"/>
    <row r="3348" ht="16.5" customHeight="1"/>
    <row r="3349" ht="16.5" customHeight="1"/>
    <row r="3350" ht="16.5" customHeight="1"/>
    <row r="3351" ht="16.5" customHeight="1"/>
    <row r="3352" ht="16.5" customHeight="1"/>
    <row r="3353" ht="16.5" customHeight="1"/>
    <row r="3354" ht="16.5" customHeight="1"/>
    <row r="3355" ht="16.5" customHeight="1"/>
    <row r="3356" ht="16.5" customHeight="1"/>
    <row r="3357" ht="16.5" customHeight="1"/>
    <row r="3358" ht="16.5" customHeight="1"/>
    <row r="3359" ht="16.5" customHeight="1"/>
    <row r="3360" ht="16.5" customHeight="1"/>
    <row r="3361" ht="16.5" customHeight="1"/>
    <row r="3362" ht="16.5" customHeight="1"/>
    <row r="3363" ht="16.5" customHeight="1"/>
    <row r="3364" ht="16.5" customHeight="1"/>
    <row r="3365" ht="16.5" customHeight="1"/>
    <row r="3366" ht="16.5" customHeight="1"/>
    <row r="3367" ht="16.5" customHeight="1"/>
    <row r="3368" ht="16.5" customHeight="1"/>
    <row r="3369" ht="16.5" customHeight="1"/>
    <row r="3370" ht="16.5" customHeight="1"/>
    <row r="3371" ht="16.5" customHeight="1"/>
    <row r="3372" ht="16.5" customHeight="1"/>
    <row r="3373" ht="16.5" customHeight="1"/>
    <row r="3374" ht="16.5" customHeight="1"/>
    <row r="3375" ht="16.5" customHeight="1"/>
    <row r="3376" ht="16.5" customHeight="1"/>
    <row r="3377" ht="16.5" customHeight="1"/>
    <row r="3378" ht="16.5" customHeight="1"/>
    <row r="3379" ht="16.5" customHeight="1"/>
    <row r="3380" ht="16.5" customHeight="1"/>
    <row r="3381" ht="16.5" customHeight="1"/>
    <row r="3382" ht="16.5" customHeight="1"/>
    <row r="3383" ht="16.5" customHeight="1"/>
    <row r="3384" ht="16.5" customHeight="1"/>
    <row r="3385" ht="16.5" customHeight="1"/>
    <row r="3386" ht="16.5" customHeight="1"/>
    <row r="3387" ht="16.5" customHeight="1"/>
    <row r="3388" ht="16.5" customHeight="1"/>
    <row r="3389" ht="16.5" customHeight="1"/>
    <row r="3390" ht="16.5" customHeight="1"/>
    <row r="3391" ht="16.5" customHeight="1"/>
    <row r="3392" ht="16.5" customHeight="1"/>
    <row r="3393" ht="16.5" customHeight="1"/>
    <row r="3394" ht="16.5" customHeight="1"/>
    <row r="3395" ht="16.5" customHeight="1"/>
    <row r="3396" ht="16.5" customHeight="1"/>
    <row r="3397" ht="16.5" customHeight="1"/>
    <row r="3398" ht="16.5" customHeight="1"/>
    <row r="3399" ht="16.5" customHeight="1"/>
    <row r="3400" ht="16.5" customHeight="1"/>
    <row r="3401" ht="16.5" customHeight="1"/>
    <row r="3402" ht="16.5" customHeight="1"/>
    <row r="3403" ht="16.5" customHeight="1"/>
    <row r="3404" ht="16.5" customHeight="1"/>
    <row r="3405" ht="16.5" customHeight="1"/>
    <row r="3406" ht="16.5" customHeight="1"/>
    <row r="3407" ht="16.5" customHeight="1"/>
    <row r="3408" ht="16.5" customHeight="1"/>
    <row r="3409" ht="16.5" customHeight="1"/>
    <row r="3410" ht="16.5" customHeight="1"/>
    <row r="3411" ht="16.5" customHeight="1"/>
    <row r="3412" ht="16.5" customHeight="1"/>
    <row r="3413" ht="16.5" customHeight="1"/>
    <row r="3414" ht="16.5" customHeight="1"/>
    <row r="3415" ht="16.5" customHeight="1"/>
    <row r="3416" ht="16.5" customHeight="1"/>
    <row r="3417" ht="16.5" customHeight="1"/>
    <row r="3418" ht="16.5" customHeight="1"/>
    <row r="3419" ht="16.5" customHeight="1"/>
    <row r="3420" ht="16.5" customHeight="1"/>
    <row r="3421" ht="16.5" customHeight="1"/>
    <row r="3422" ht="16.5" customHeight="1"/>
    <row r="3423" ht="16.5" customHeight="1"/>
    <row r="3424" ht="16.5" customHeight="1"/>
    <row r="3425" ht="16.5" customHeight="1"/>
    <row r="3426" ht="16.5" customHeight="1"/>
    <row r="3427" ht="16.5" customHeight="1"/>
    <row r="3428" ht="16.5" customHeight="1"/>
    <row r="3429" ht="16.5" customHeight="1"/>
    <row r="3430" ht="16.5" customHeight="1"/>
    <row r="3431" ht="16.5" customHeight="1"/>
    <row r="3432" ht="16.5" customHeight="1"/>
    <row r="3433" ht="16.5" customHeight="1"/>
    <row r="3434" ht="16.5" customHeight="1"/>
    <row r="3435" ht="16.5" customHeight="1"/>
    <row r="3436" ht="16.5" customHeight="1"/>
    <row r="3437" ht="16.5" customHeight="1"/>
    <row r="3438" ht="16.5" customHeight="1"/>
    <row r="3439" ht="16.5" customHeight="1"/>
    <row r="3440" ht="16.5" customHeight="1"/>
    <row r="3441" ht="16.5" customHeight="1"/>
    <row r="3442" ht="16.5" customHeight="1"/>
    <row r="3443" ht="16.5" customHeight="1"/>
    <row r="3444" ht="16.5" customHeight="1"/>
    <row r="3445" ht="16.5" customHeight="1"/>
    <row r="3446" ht="16.5" customHeight="1"/>
    <row r="3447" ht="16.5" customHeight="1"/>
    <row r="3448" ht="16.5" customHeight="1"/>
    <row r="3449" ht="16.5" customHeight="1"/>
    <row r="3450" ht="16.5" customHeight="1"/>
    <row r="3451" ht="16.5" customHeight="1"/>
    <row r="3452" ht="16.5" customHeight="1"/>
    <row r="3453" ht="16.5" customHeight="1"/>
    <row r="3454" ht="16.5" customHeight="1"/>
    <row r="3455" ht="16.5" customHeight="1"/>
    <row r="3456" ht="16.5" customHeight="1"/>
    <row r="3457" ht="16.5" customHeight="1"/>
    <row r="3458" ht="16.5" customHeight="1"/>
    <row r="3459" ht="16.5" customHeight="1"/>
    <row r="3460" ht="16.5" customHeight="1"/>
    <row r="3461" ht="16.5" customHeight="1"/>
    <row r="3462" ht="16.5" customHeight="1"/>
    <row r="3463" ht="16.5" customHeight="1"/>
    <row r="3464" ht="16.5" customHeight="1"/>
    <row r="3465" ht="16.5" customHeight="1"/>
    <row r="3466" ht="16.5" customHeight="1"/>
    <row r="3467" ht="16.5" customHeight="1"/>
    <row r="3468" ht="16.5" customHeight="1"/>
    <row r="3469" ht="16.5" customHeight="1"/>
    <row r="3470" ht="16.5" customHeight="1"/>
    <row r="3471" ht="16.5" customHeight="1"/>
    <row r="3472" ht="16.5" customHeight="1"/>
    <row r="3473" ht="16.5" customHeight="1"/>
    <row r="3474" ht="16.5" customHeight="1"/>
    <row r="3475" ht="16.5" customHeight="1"/>
    <row r="3476" ht="16.5" customHeight="1"/>
    <row r="3477" ht="16.5" customHeight="1"/>
    <row r="3478" ht="16.5" customHeight="1"/>
    <row r="3479" ht="16.5" customHeight="1"/>
    <row r="3480" ht="16.5" customHeight="1"/>
    <row r="3481" ht="16.5" customHeight="1"/>
    <row r="3482" ht="16.5" customHeight="1"/>
    <row r="3483" ht="16.5" customHeight="1"/>
    <row r="3484" ht="16.5" customHeight="1"/>
    <row r="3485" ht="16.5" customHeight="1"/>
    <row r="3486" ht="16.5" customHeight="1"/>
    <row r="3487" ht="16.5" customHeight="1"/>
    <row r="3488" ht="16.5" customHeight="1"/>
    <row r="3489" ht="16.5" customHeight="1"/>
    <row r="3490" ht="16.5" customHeight="1"/>
    <row r="3491" ht="16.5" customHeight="1"/>
    <row r="3492" ht="16.5" customHeight="1"/>
    <row r="3493" ht="16.5" customHeight="1"/>
    <row r="3494" ht="16.5" customHeight="1"/>
    <row r="3495" ht="16.5" customHeight="1"/>
    <row r="3496" ht="16.5" customHeight="1"/>
    <row r="3497" ht="16.5" customHeight="1"/>
    <row r="3498" ht="16.5" customHeight="1"/>
    <row r="3499" ht="16.5" customHeight="1"/>
    <row r="3500" ht="16.5" customHeight="1"/>
    <row r="3501" ht="16.5" customHeight="1"/>
    <row r="3502" ht="16.5" customHeight="1"/>
    <row r="3503" ht="16.5" customHeight="1"/>
    <row r="3504" ht="16.5" customHeight="1"/>
    <row r="3505" ht="16.5" customHeight="1"/>
    <row r="3506" ht="16.5" customHeight="1"/>
    <row r="3507" ht="16.5" customHeight="1"/>
    <row r="3508" ht="16.5" customHeight="1"/>
    <row r="3509" ht="16.5" customHeight="1"/>
    <row r="3510" ht="16.5" customHeight="1"/>
    <row r="3511" ht="16.5" customHeight="1"/>
    <row r="3512" ht="16.5" customHeight="1"/>
    <row r="3513" ht="16.5" customHeight="1"/>
    <row r="3514" ht="16.5" customHeight="1"/>
    <row r="3515" ht="16.5" customHeight="1"/>
    <row r="3516" ht="16.5" customHeight="1"/>
    <row r="3517" ht="16.5" customHeight="1"/>
    <row r="3518" ht="16.5" customHeight="1"/>
    <row r="3519" ht="16.5" customHeight="1"/>
    <row r="3520" ht="16.5" customHeight="1"/>
    <row r="3521" ht="16.5" customHeight="1"/>
    <row r="3522" ht="16.5" customHeight="1"/>
    <row r="3523" ht="16.5" customHeight="1"/>
    <row r="3524" ht="16.5" customHeight="1"/>
    <row r="3525" ht="16.5" customHeight="1"/>
    <row r="3526" ht="16.5" customHeight="1"/>
    <row r="3527" ht="16.5" customHeight="1"/>
    <row r="3528" ht="16.5" customHeight="1"/>
    <row r="3529" ht="16.5" customHeight="1"/>
    <row r="3530" ht="16.5" customHeight="1"/>
    <row r="3531" ht="16.5" customHeight="1"/>
    <row r="3532" ht="16.5" customHeight="1"/>
    <row r="3533" ht="16.5" customHeight="1"/>
    <row r="3534" ht="16.5" customHeight="1"/>
    <row r="3535" ht="16.5" customHeight="1"/>
    <row r="3536" ht="16.5" customHeight="1"/>
    <row r="3537" ht="16.5" customHeight="1"/>
    <row r="3538" ht="16.5" customHeight="1"/>
    <row r="3539" ht="16.5" customHeight="1"/>
    <row r="3540" ht="16.5" customHeight="1"/>
    <row r="3541" ht="16.5" customHeight="1"/>
    <row r="3542" ht="16.5" customHeight="1"/>
    <row r="3543" ht="16.5" customHeight="1"/>
    <row r="3544" ht="16.5" customHeight="1"/>
    <row r="3545" ht="16.5" customHeight="1"/>
    <row r="3546" ht="16.5" customHeight="1"/>
    <row r="3547" ht="16.5" customHeight="1"/>
    <row r="3548" ht="16.5" customHeight="1"/>
    <row r="3549" ht="16.5" customHeight="1"/>
    <row r="3550" ht="16.5" customHeight="1"/>
    <row r="3551" ht="16.5" customHeight="1"/>
    <row r="3552" ht="16.5" customHeight="1"/>
    <row r="3553" ht="16.5" customHeight="1"/>
    <row r="3554" ht="16.5" customHeight="1"/>
    <row r="3555" ht="16.5" customHeight="1"/>
    <row r="3556" ht="16.5" customHeight="1"/>
    <row r="3557" ht="16.5" customHeight="1"/>
    <row r="3558" ht="16.5" customHeight="1"/>
    <row r="3559" ht="16.5" customHeight="1"/>
    <row r="3560" ht="16.5" customHeight="1"/>
    <row r="3561" ht="16.5" customHeight="1"/>
    <row r="3562" ht="16.5" customHeight="1"/>
    <row r="3563" ht="16.5" customHeight="1"/>
    <row r="3564" ht="16.5" customHeight="1"/>
    <row r="3565" ht="16.5" customHeight="1"/>
    <row r="3566" ht="16.5" customHeight="1"/>
    <row r="3567" ht="16.5" customHeight="1"/>
    <row r="3568" ht="16.5" customHeight="1"/>
    <row r="3569" ht="16.5" customHeight="1"/>
    <row r="3570" ht="16.5" customHeight="1"/>
    <row r="3571" ht="16.5" customHeight="1"/>
    <row r="3572" ht="16.5" customHeight="1"/>
    <row r="3573" ht="16.5" customHeight="1"/>
    <row r="3574" ht="16.5" customHeight="1"/>
    <row r="3575" ht="16.5" customHeight="1"/>
    <row r="3576" ht="16.5" customHeight="1"/>
    <row r="3577" ht="16.5" customHeight="1"/>
    <row r="3578" ht="16.5" customHeight="1"/>
    <row r="3579" ht="16.5" customHeight="1"/>
    <row r="3580" ht="16.5" customHeight="1"/>
    <row r="3581" ht="16.5" customHeight="1"/>
    <row r="3582" ht="16.5" customHeight="1"/>
    <row r="3583" ht="16.5" customHeight="1"/>
    <row r="3584" ht="16.5" customHeight="1"/>
    <row r="3585" ht="16.5" customHeight="1"/>
    <row r="3586" ht="16.5" customHeight="1"/>
    <row r="3587" ht="16.5" customHeight="1"/>
    <row r="3588" ht="16.5" customHeight="1"/>
    <row r="3589" ht="16.5" customHeight="1"/>
    <row r="3590" ht="16.5" customHeight="1"/>
    <row r="3591" ht="16.5" customHeight="1"/>
    <row r="3592" ht="16.5" customHeight="1"/>
    <row r="3593" ht="16.5" customHeight="1"/>
    <row r="3594" ht="16.5" customHeight="1"/>
    <row r="3595" ht="16.5" customHeight="1"/>
    <row r="3596" ht="16.5" customHeight="1"/>
    <row r="3597" ht="16.5" customHeight="1"/>
    <row r="3598" ht="16.5" customHeight="1"/>
    <row r="3599" ht="16.5" customHeight="1"/>
    <row r="3600" ht="16.5" customHeight="1"/>
    <row r="3601" ht="16.5" customHeight="1"/>
    <row r="3602" ht="16.5" customHeight="1"/>
    <row r="3603" ht="16.5" customHeight="1"/>
    <row r="3604" ht="16.5" customHeight="1"/>
    <row r="3605" ht="16.5" customHeight="1"/>
    <row r="3606" ht="16.5" customHeight="1"/>
    <row r="3607" ht="16.5" customHeight="1"/>
    <row r="3608" ht="16.5" customHeight="1"/>
    <row r="3609" ht="16.5" customHeight="1"/>
    <row r="3610" ht="16.5" customHeight="1"/>
    <row r="3611" ht="16.5" customHeight="1"/>
    <row r="3612" ht="16.5" customHeight="1"/>
    <row r="3613" ht="16.5" customHeight="1"/>
    <row r="3614" ht="16.5" customHeight="1"/>
    <row r="3615" ht="16.5" customHeight="1"/>
    <row r="3616" ht="16.5" customHeight="1"/>
    <row r="3617" ht="16.5" customHeight="1"/>
    <row r="3618" ht="16.5" customHeight="1"/>
    <row r="3619" ht="16.5" customHeight="1"/>
    <row r="3620" ht="16.5" customHeight="1"/>
    <row r="3621" ht="16.5" customHeight="1"/>
    <row r="3622" ht="16.5" customHeight="1"/>
    <row r="3623" ht="16.5" customHeight="1"/>
    <row r="3624" ht="16.5" customHeight="1"/>
    <row r="3625" ht="16.5" customHeight="1"/>
    <row r="3626" ht="16.5" customHeight="1"/>
    <row r="3627" ht="16.5" customHeight="1"/>
    <row r="3628" ht="16.5" customHeight="1"/>
    <row r="3629" ht="16.5" customHeight="1"/>
    <row r="3630" ht="16.5" customHeight="1"/>
    <row r="3631" ht="16.5" customHeight="1"/>
    <row r="3632" ht="16.5" customHeight="1"/>
    <row r="3633" ht="16.5" customHeight="1"/>
    <row r="3634" ht="16.5" customHeight="1"/>
    <row r="3635" ht="16.5" customHeight="1"/>
    <row r="3636" ht="16.5" customHeight="1"/>
    <row r="3637" ht="16.5" customHeight="1"/>
    <row r="3638" ht="16.5" customHeight="1"/>
    <row r="3639" ht="16.5" customHeight="1"/>
    <row r="3640" ht="16.5" customHeight="1"/>
    <row r="3641" ht="16.5" customHeight="1"/>
    <row r="3642" ht="16.5" customHeight="1"/>
    <row r="3643" ht="16.5" customHeight="1"/>
    <row r="3644" ht="16.5" customHeight="1"/>
    <row r="3645" ht="16.5" customHeight="1"/>
    <row r="3646" ht="16.5" customHeight="1"/>
    <row r="3647" ht="16.5" customHeight="1"/>
    <row r="3648" ht="16.5" customHeight="1"/>
    <row r="3649" ht="16.5" customHeight="1"/>
    <row r="3650" ht="16.5" customHeight="1"/>
    <row r="3651" ht="16.5" customHeight="1"/>
    <row r="3652" ht="16.5" customHeight="1"/>
    <row r="3653" ht="16.5" customHeight="1"/>
    <row r="3654" ht="16.5" customHeight="1"/>
    <row r="3655" ht="16.5" customHeight="1"/>
    <row r="3656" ht="16.5" customHeight="1"/>
    <row r="3657" ht="16.5" customHeight="1"/>
    <row r="3658" ht="16.5" customHeight="1"/>
    <row r="3659" ht="16.5" customHeight="1"/>
    <row r="3660" ht="16.5" customHeight="1"/>
    <row r="3661" ht="16.5" customHeight="1"/>
    <row r="3662" ht="16.5" customHeight="1"/>
    <row r="3663" ht="16.5" customHeight="1"/>
    <row r="3664" ht="16.5" customHeight="1"/>
    <row r="3665" ht="16.5" customHeight="1"/>
    <row r="3666" ht="16.5" customHeight="1"/>
    <row r="3667" ht="16.5" customHeight="1"/>
    <row r="3668" ht="16.5" customHeight="1"/>
    <row r="3669" ht="16.5" customHeight="1"/>
    <row r="3670" ht="16.5" customHeight="1"/>
    <row r="3671" ht="16.5" customHeight="1"/>
    <row r="3672" ht="16.5" customHeight="1"/>
    <row r="3673" ht="16.5" customHeight="1"/>
    <row r="3674" ht="16.5" customHeight="1"/>
    <row r="3675" ht="16.5" customHeight="1"/>
    <row r="3676" ht="16.5" customHeight="1"/>
    <row r="3677" ht="16.5" customHeight="1"/>
    <row r="3678" ht="16.5" customHeight="1"/>
    <row r="3679" ht="16.5" customHeight="1"/>
    <row r="3680" ht="16.5" customHeight="1"/>
    <row r="3681" ht="16.5" customHeight="1"/>
    <row r="3682" ht="16.5" customHeight="1"/>
    <row r="3683" ht="16.5" customHeight="1"/>
    <row r="3684" ht="16.5" customHeight="1"/>
    <row r="3685" ht="16.5" customHeight="1"/>
    <row r="3686" ht="16.5" customHeight="1"/>
    <row r="3687" ht="16.5" customHeight="1"/>
    <row r="3688" ht="16.5" customHeight="1"/>
    <row r="3689" ht="16.5" customHeight="1"/>
    <row r="3690" ht="16.5" customHeight="1"/>
    <row r="3691" ht="16.5" customHeight="1"/>
    <row r="3692" ht="16.5" customHeight="1"/>
    <row r="3693" ht="16.5" customHeight="1"/>
    <row r="3694" ht="16.5" customHeight="1"/>
    <row r="3695" ht="16.5" customHeight="1"/>
    <row r="3696" ht="16.5" customHeight="1"/>
    <row r="3697" ht="16.5" customHeight="1"/>
    <row r="3698" ht="16.5" customHeight="1"/>
    <row r="3699" ht="16.5" customHeight="1"/>
    <row r="3700" ht="16.5" customHeight="1"/>
    <row r="3701" ht="16.5" customHeight="1"/>
    <row r="3702" ht="16.5" customHeight="1"/>
    <row r="3703" ht="16.5" customHeight="1"/>
    <row r="3704" ht="16.5" customHeight="1"/>
    <row r="3705" ht="16.5" customHeight="1"/>
    <row r="3706" ht="16.5" customHeight="1"/>
    <row r="3707" ht="16.5" customHeight="1"/>
    <row r="3708" ht="16.5" customHeight="1"/>
    <row r="3709" ht="16.5" customHeight="1"/>
    <row r="3710" ht="16.5" customHeight="1"/>
    <row r="3711" ht="16.5" customHeight="1"/>
    <row r="3712" ht="16.5" customHeight="1"/>
    <row r="3713" ht="16.5" customHeight="1"/>
    <row r="3714" ht="16.5" customHeight="1"/>
    <row r="3715" ht="16.5" customHeight="1"/>
    <row r="3716" ht="16.5" customHeight="1"/>
    <row r="3717" ht="16.5" customHeight="1"/>
    <row r="3718" ht="16.5" customHeight="1"/>
    <row r="3719" ht="16.5" customHeight="1"/>
    <row r="3720" ht="16.5" customHeight="1"/>
    <row r="3721" ht="16.5" customHeight="1"/>
    <row r="3722" ht="16.5" customHeight="1"/>
    <row r="3723" ht="16.5" customHeight="1"/>
    <row r="3724" ht="16.5" customHeight="1"/>
    <row r="3725" ht="16.5" customHeight="1"/>
    <row r="3726" ht="16.5" customHeight="1"/>
    <row r="3727" ht="16.5" customHeight="1"/>
    <row r="3728" ht="16.5" customHeight="1"/>
    <row r="3729" ht="16.5" customHeight="1"/>
    <row r="3730" ht="16.5" customHeight="1"/>
    <row r="3731" ht="16.5" customHeight="1"/>
    <row r="3732" ht="16.5" customHeight="1"/>
    <row r="3733" ht="16.5" customHeight="1"/>
    <row r="3734" ht="16.5" customHeight="1"/>
    <row r="3735" ht="16.5" customHeight="1"/>
    <row r="3736" ht="16.5" customHeight="1"/>
    <row r="3737" ht="16.5" customHeight="1"/>
    <row r="3738" ht="16.5" customHeight="1"/>
    <row r="3739" ht="16.5" customHeight="1"/>
    <row r="3740" ht="16.5" customHeight="1"/>
    <row r="3741" ht="16.5" customHeight="1"/>
    <row r="3742" ht="16.5" customHeight="1"/>
    <row r="3743" ht="16.5" customHeight="1"/>
    <row r="3744" ht="16.5" customHeight="1"/>
    <row r="3745" ht="16.5" customHeight="1"/>
    <row r="3746" ht="16.5" customHeight="1"/>
    <row r="3747" ht="16.5" customHeight="1"/>
    <row r="3748" ht="16.5" customHeight="1"/>
    <row r="3749" ht="16.5" customHeight="1"/>
    <row r="3750" ht="16.5" customHeight="1"/>
    <row r="3751" ht="16.5" customHeight="1"/>
    <row r="3752" ht="16.5" customHeight="1"/>
    <row r="3753" ht="16.5" customHeight="1"/>
    <row r="3754" ht="16.5" customHeight="1"/>
    <row r="3755" ht="16.5" customHeight="1"/>
    <row r="3756" ht="16.5" customHeight="1"/>
    <row r="3757" ht="16.5" customHeight="1"/>
    <row r="3758" ht="16.5" customHeight="1"/>
    <row r="3759" ht="16.5" customHeight="1"/>
    <row r="3760" ht="16.5" customHeight="1"/>
    <row r="3761" ht="16.5" customHeight="1"/>
    <row r="3762" ht="16.5" customHeight="1"/>
    <row r="3763" ht="16.5" customHeight="1"/>
    <row r="3764" ht="16.5" customHeight="1"/>
    <row r="3765" ht="16.5" customHeight="1"/>
    <row r="3766" ht="16.5" customHeight="1"/>
    <row r="3767" ht="16.5" customHeight="1"/>
    <row r="3768" ht="16.5" customHeight="1"/>
    <row r="3769" ht="16.5" customHeight="1"/>
    <row r="3770" ht="16.5" customHeight="1"/>
    <row r="3771" ht="16.5" customHeight="1"/>
    <row r="3772" ht="16.5" customHeight="1"/>
    <row r="3773" ht="16.5" customHeight="1"/>
    <row r="3774" ht="16.5" customHeight="1"/>
    <row r="3775" ht="16.5" customHeight="1"/>
    <row r="3776" ht="16.5" customHeight="1"/>
    <row r="3777" ht="16.5" customHeight="1"/>
    <row r="3778" ht="16.5" customHeight="1"/>
    <row r="3779" ht="16.5" customHeight="1"/>
    <row r="3780" ht="16.5" customHeight="1"/>
    <row r="3781" ht="16.5" customHeight="1"/>
    <row r="3782" ht="16.5" customHeight="1"/>
    <row r="3783" ht="16.5" customHeight="1"/>
    <row r="3784" ht="16.5" customHeight="1"/>
    <row r="3785" ht="16.5" customHeight="1"/>
    <row r="3786" ht="16.5" customHeight="1"/>
    <row r="3787" ht="16.5" customHeight="1"/>
    <row r="3788" ht="16.5" customHeight="1"/>
    <row r="3789" ht="16.5" customHeight="1"/>
    <row r="3790" ht="16.5" customHeight="1"/>
    <row r="3791" ht="16.5" customHeight="1"/>
    <row r="3792" ht="16.5" customHeight="1"/>
    <row r="3793" ht="16.5" customHeight="1"/>
    <row r="3794" ht="16.5" customHeight="1"/>
    <row r="3795" ht="16.5" customHeight="1"/>
    <row r="3796" ht="16.5" customHeight="1"/>
    <row r="3797" ht="16.5" customHeight="1"/>
    <row r="3798" ht="16.5" customHeight="1"/>
    <row r="3799" ht="16.5" customHeight="1"/>
    <row r="3800" ht="16.5" customHeight="1"/>
    <row r="3801" ht="16.5" customHeight="1"/>
    <row r="3802" ht="16.5" customHeight="1"/>
    <row r="3803" ht="16.5" customHeight="1"/>
    <row r="3804" ht="16.5" customHeight="1"/>
    <row r="3805" ht="16.5" customHeight="1"/>
    <row r="3806" ht="16.5" customHeight="1"/>
    <row r="3807" ht="16.5" customHeight="1"/>
    <row r="3808" ht="16.5" customHeight="1"/>
    <row r="3809" ht="16.5" customHeight="1"/>
    <row r="3810" ht="16.5" customHeight="1"/>
    <row r="3811" ht="16.5" customHeight="1"/>
    <row r="3812" ht="16.5" customHeight="1"/>
    <row r="3813" ht="16.5" customHeight="1"/>
    <row r="3814" ht="16.5" customHeight="1"/>
    <row r="3815" ht="16.5" customHeight="1"/>
    <row r="3816" ht="16.5" customHeight="1"/>
    <row r="3817" ht="16.5" customHeight="1"/>
    <row r="3818" ht="16.5" customHeight="1"/>
    <row r="3819" ht="16.5" customHeight="1"/>
    <row r="3820" ht="16.5" customHeight="1"/>
    <row r="3821" ht="16.5" customHeight="1"/>
    <row r="3822" ht="16.5" customHeight="1"/>
    <row r="3823" ht="16.5" customHeight="1"/>
    <row r="3824" ht="16.5" customHeight="1"/>
    <row r="3825" ht="16.5" customHeight="1"/>
    <row r="3826" ht="16.5" customHeight="1"/>
    <row r="3827" ht="16.5" customHeight="1"/>
    <row r="3828" ht="16.5" customHeight="1"/>
    <row r="3829" ht="16.5" customHeight="1"/>
    <row r="3830" ht="16.5" customHeight="1"/>
    <row r="3831" ht="16.5" customHeight="1"/>
    <row r="3832" ht="16.5" customHeight="1"/>
    <row r="3833" ht="16.5" customHeight="1"/>
    <row r="3834" ht="16.5" customHeight="1"/>
    <row r="3835" ht="16.5" customHeight="1"/>
    <row r="3836" ht="16.5" customHeight="1"/>
    <row r="3837" ht="16.5" customHeight="1"/>
    <row r="3838" ht="16.5" customHeight="1"/>
    <row r="3839" ht="16.5" customHeight="1"/>
    <row r="3840" ht="16.5" customHeight="1"/>
    <row r="3841" ht="16.5" customHeight="1"/>
    <row r="3842" ht="16.5" customHeight="1"/>
    <row r="3843" ht="16.5" customHeight="1"/>
    <row r="3844" ht="16.5" customHeight="1"/>
    <row r="3845" ht="16.5" customHeight="1"/>
    <row r="3846" ht="16.5" customHeight="1"/>
    <row r="3847" ht="16.5" customHeight="1"/>
    <row r="3848" ht="16.5" customHeight="1"/>
    <row r="3849" ht="16.5" customHeight="1"/>
    <row r="3850" ht="16.5" customHeight="1"/>
    <row r="3851" ht="16.5" customHeight="1"/>
    <row r="3852" ht="16.5" customHeight="1"/>
    <row r="3853" ht="16.5" customHeight="1"/>
    <row r="3854" ht="16.5" customHeight="1"/>
    <row r="3855" ht="16.5" customHeight="1"/>
    <row r="3856" ht="16.5" customHeight="1"/>
    <row r="3857" ht="16.5" customHeight="1"/>
    <row r="3858" ht="16.5" customHeight="1"/>
    <row r="3859" ht="16.5" customHeight="1"/>
    <row r="3860" ht="16.5" customHeight="1"/>
    <row r="3861" ht="16.5" customHeight="1"/>
    <row r="3862" ht="16.5" customHeight="1"/>
    <row r="3863" ht="16.5" customHeight="1"/>
    <row r="3864" ht="16.5" customHeight="1"/>
    <row r="3865" ht="16.5" customHeight="1"/>
    <row r="3866" ht="16.5" customHeight="1"/>
    <row r="3867" ht="16.5" customHeight="1"/>
    <row r="3868" ht="16.5" customHeight="1"/>
    <row r="3869" ht="16.5" customHeight="1"/>
    <row r="3870" ht="16.5" customHeight="1"/>
    <row r="3871" ht="16.5" customHeight="1"/>
    <row r="3872" ht="16.5" customHeight="1"/>
    <row r="3873" ht="16.5" customHeight="1"/>
    <row r="3874" ht="16.5" customHeight="1"/>
    <row r="3875" ht="16.5" customHeight="1"/>
    <row r="3876" ht="16.5" customHeight="1"/>
    <row r="3877" ht="16.5" customHeight="1"/>
    <row r="3878" ht="16.5" customHeight="1"/>
    <row r="3879" ht="16.5" customHeight="1"/>
    <row r="3880" ht="16.5" customHeight="1"/>
    <row r="3881" ht="16.5" customHeight="1"/>
    <row r="3882" ht="16.5" customHeight="1"/>
    <row r="3883" ht="16.5" customHeight="1"/>
    <row r="3884" ht="16.5" customHeight="1"/>
    <row r="3885" ht="16.5" customHeight="1"/>
    <row r="3886" ht="16.5" customHeight="1"/>
    <row r="3887" ht="16.5" customHeight="1"/>
    <row r="3888" ht="16.5" customHeight="1"/>
    <row r="3889" ht="16.5" customHeight="1"/>
    <row r="3890" ht="16.5" customHeight="1"/>
    <row r="3891" ht="16.5" customHeight="1"/>
    <row r="3892" ht="16.5" customHeight="1"/>
    <row r="3893" ht="16.5" customHeight="1"/>
    <row r="3894" ht="16.5" customHeight="1"/>
    <row r="3895" ht="16.5" customHeight="1"/>
    <row r="3896" ht="16.5" customHeight="1"/>
    <row r="3897" ht="16.5" customHeight="1"/>
    <row r="3898" ht="16.5" customHeight="1"/>
    <row r="3899" ht="16.5" customHeight="1"/>
    <row r="3900" ht="16.5" customHeight="1"/>
    <row r="3901" ht="16.5" customHeight="1"/>
    <row r="3902" ht="16.5" customHeight="1"/>
    <row r="3903" ht="16.5" customHeight="1"/>
    <row r="3904" ht="16.5" customHeight="1"/>
    <row r="3905" ht="16.5" customHeight="1"/>
    <row r="3906" ht="16.5" customHeight="1"/>
    <row r="3907" ht="16.5" customHeight="1"/>
    <row r="3908" ht="16.5" customHeight="1"/>
    <row r="3909" ht="16.5" customHeight="1"/>
    <row r="3910" ht="16.5" customHeight="1"/>
    <row r="3911" ht="16.5" customHeight="1"/>
    <row r="3912" ht="16.5" customHeight="1"/>
    <row r="3913" ht="16.5" customHeight="1"/>
    <row r="3914" ht="16.5" customHeight="1"/>
    <row r="3915" ht="16.5" customHeight="1"/>
    <row r="3916" ht="16.5" customHeight="1"/>
    <row r="3917" ht="16.5" customHeight="1"/>
    <row r="3918" ht="16.5" customHeight="1"/>
    <row r="3919" ht="16.5" customHeight="1"/>
    <row r="3920" ht="16.5" customHeight="1"/>
    <row r="3921" ht="16.5" customHeight="1"/>
    <row r="3922" ht="16.5" customHeight="1"/>
    <row r="3923" ht="16.5" customHeight="1"/>
    <row r="3924" ht="16.5" customHeight="1"/>
    <row r="3925" ht="16.5" customHeight="1"/>
    <row r="3926" ht="16.5" customHeight="1"/>
    <row r="3927" ht="16.5" customHeight="1"/>
    <row r="3928" ht="16.5" customHeight="1"/>
    <row r="3929" ht="16.5" customHeight="1"/>
    <row r="3930" ht="16.5" customHeight="1"/>
    <row r="3931" ht="16.5" customHeight="1"/>
    <row r="3932" ht="16.5" customHeight="1"/>
    <row r="3933" ht="16.5" customHeight="1"/>
    <row r="3934" ht="16.5" customHeight="1"/>
    <row r="3935" ht="16.5" customHeight="1"/>
    <row r="3936" ht="16.5" customHeight="1"/>
    <row r="3937" ht="16.5" customHeight="1"/>
    <row r="3938" ht="16.5" customHeight="1"/>
    <row r="3939" ht="16.5" customHeight="1"/>
    <row r="3940" ht="16.5" customHeight="1"/>
    <row r="3941" ht="16.5" customHeight="1"/>
    <row r="3942" ht="16.5" customHeight="1"/>
    <row r="3943" ht="16.5" customHeight="1"/>
    <row r="3944" ht="16.5" customHeight="1"/>
    <row r="3945" ht="16.5" customHeight="1"/>
    <row r="3946" ht="16.5" customHeight="1"/>
    <row r="3947" ht="16.5" customHeight="1"/>
    <row r="3948" ht="16.5" customHeight="1"/>
    <row r="3949" ht="16.5" customHeight="1"/>
    <row r="3950" ht="16.5" customHeight="1"/>
    <row r="3951" ht="16.5" customHeight="1"/>
    <row r="3952" ht="16.5" customHeight="1"/>
    <row r="3953" ht="16.5" customHeight="1"/>
    <row r="3954" ht="16.5" customHeight="1"/>
    <row r="3955" ht="16.5" customHeight="1"/>
    <row r="3956" ht="16.5" customHeight="1"/>
    <row r="3957" ht="16.5" customHeight="1"/>
    <row r="3958" ht="16.5" customHeight="1"/>
    <row r="3959" ht="16.5" customHeight="1"/>
    <row r="3960" ht="16.5" customHeight="1"/>
    <row r="3961" ht="16.5" customHeight="1"/>
    <row r="3962" ht="16.5" customHeight="1"/>
    <row r="3963" ht="16.5" customHeight="1"/>
    <row r="3964" ht="16.5" customHeight="1"/>
    <row r="3965" ht="16.5" customHeight="1"/>
    <row r="3966" ht="16.5" customHeight="1"/>
    <row r="3967" ht="16.5" customHeight="1"/>
    <row r="3968" ht="16.5" customHeight="1"/>
    <row r="3969" ht="16.5" customHeight="1"/>
    <row r="3970" ht="16.5" customHeight="1"/>
    <row r="3971" ht="16.5" customHeight="1"/>
    <row r="3972" ht="16.5" customHeight="1"/>
    <row r="3973" ht="16.5" customHeight="1"/>
    <row r="3974" ht="16.5" customHeight="1"/>
    <row r="3975" ht="16.5" customHeight="1"/>
    <row r="3976" ht="16.5" customHeight="1"/>
    <row r="3977" ht="16.5" customHeight="1"/>
    <row r="3978" ht="16.5" customHeight="1"/>
    <row r="3979" ht="16.5" customHeight="1"/>
    <row r="3980" ht="16.5" customHeight="1"/>
    <row r="3981" ht="16.5" customHeight="1"/>
    <row r="3982" ht="16.5" customHeight="1"/>
    <row r="3983" ht="16.5" customHeight="1"/>
    <row r="3984" ht="16.5" customHeight="1"/>
    <row r="3985" ht="16.5" customHeight="1"/>
    <row r="3986" ht="16.5" customHeight="1"/>
    <row r="3987" ht="16.5" customHeight="1"/>
    <row r="3988" ht="16.5" customHeight="1"/>
    <row r="3989" ht="16.5" customHeight="1"/>
    <row r="3990" ht="16.5" customHeight="1"/>
    <row r="3991" ht="16.5" customHeight="1"/>
    <row r="3992" ht="16.5" customHeight="1"/>
    <row r="3993" ht="16.5" customHeight="1"/>
    <row r="3994" ht="16.5" customHeight="1"/>
    <row r="3995" ht="16.5" customHeight="1"/>
    <row r="3996" ht="16.5" customHeight="1"/>
    <row r="3997" ht="16.5" customHeight="1"/>
    <row r="3998" ht="16.5" customHeight="1"/>
    <row r="3999" ht="16.5" customHeight="1"/>
    <row r="4000" ht="16.5" customHeight="1"/>
    <row r="4001" ht="16.5" customHeight="1"/>
    <row r="4002" ht="16.5" customHeight="1"/>
    <row r="4003" ht="16.5" customHeight="1"/>
    <row r="4004" ht="16.5" customHeight="1"/>
    <row r="4005" ht="16.5" customHeight="1"/>
    <row r="4006" ht="16.5" customHeight="1"/>
    <row r="4007" ht="16.5" customHeight="1"/>
    <row r="4008" ht="16.5" customHeight="1"/>
    <row r="4009" ht="16.5" customHeight="1"/>
    <row r="4010" ht="16.5" customHeight="1"/>
    <row r="4011" ht="16.5" customHeight="1"/>
    <row r="4012" ht="16.5" customHeight="1"/>
    <row r="4013" ht="16.5" customHeight="1"/>
    <row r="4014" ht="16.5" customHeight="1"/>
    <row r="4015" ht="16.5" customHeight="1"/>
    <row r="4016" ht="16.5" customHeight="1"/>
    <row r="4017" ht="16.5" customHeight="1"/>
    <row r="4018" ht="16.5" customHeight="1"/>
    <row r="4019" ht="16.5" customHeight="1"/>
    <row r="4020" ht="16.5" customHeight="1"/>
    <row r="4021" ht="16.5" customHeight="1"/>
    <row r="4022" ht="16.5" customHeight="1"/>
    <row r="4023" ht="16.5" customHeight="1"/>
    <row r="4024" ht="16.5" customHeight="1"/>
    <row r="4025" ht="16.5" customHeight="1"/>
    <row r="4026" ht="16.5" customHeight="1"/>
    <row r="4027" ht="16.5" customHeight="1"/>
    <row r="4028" ht="16.5" customHeight="1"/>
    <row r="4029" ht="16.5" customHeight="1"/>
    <row r="4030" ht="16.5" customHeight="1"/>
    <row r="4031" ht="16.5" customHeight="1"/>
    <row r="4032" ht="16.5" customHeight="1"/>
    <row r="4033" ht="16.5" customHeight="1"/>
    <row r="4034" ht="16.5" customHeight="1"/>
    <row r="4035" ht="16.5" customHeight="1"/>
    <row r="4036" ht="16.5" customHeight="1"/>
    <row r="4037" ht="16.5" customHeight="1"/>
    <row r="4038" ht="16.5" customHeight="1"/>
    <row r="4039" ht="16.5" customHeight="1"/>
    <row r="4040" ht="16.5" customHeight="1"/>
    <row r="4041" ht="16.5" customHeight="1"/>
    <row r="4042" ht="16.5" customHeight="1"/>
    <row r="4043" ht="16.5" customHeight="1"/>
    <row r="4044" ht="16.5" customHeight="1"/>
    <row r="4045" ht="16.5" customHeight="1"/>
    <row r="4046" ht="16.5" customHeight="1"/>
    <row r="4047" ht="16.5" customHeight="1"/>
    <row r="4048" ht="16.5" customHeight="1"/>
    <row r="4049" ht="16.5" customHeight="1"/>
    <row r="4050" ht="16.5" customHeight="1"/>
    <row r="4051" ht="16.5" customHeight="1"/>
    <row r="4052" ht="16.5" customHeight="1"/>
    <row r="4053" ht="16.5" customHeight="1"/>
    <row r="4054" ht="16.5" customHeight="1"/>
    <row r="4055" ht="16.5" customHeight="1"/>
    <row r="4056" ht="16.5" customHeight="1"/>
    <row r="4057" ht="16.5" customHeight="1"/>
    <row r="4058" ht="16.5" customHeight="1"/>
    <row r="4059" ht="16.5" customHeight="1"/>
    <row r="4060" ht="16.5" customHeight="1"/>
    <row r="4061" ht="16.5" customHeight="1"/>
    <row r="4062" ht="16.5" customHeight="1"/>
    <row r="4063" ht="16.5" customHeight="1"/>
    <row r="4064" ht="16.5" customHeight="1"/>
    <row r="4065" ht="16.5" customHeight="1"/>
    <row r="4066" ht="16.5" customHeight="1"/>
    <row r="4067" ht="16.5" customHeight="1"/>
    <row r="4068" ht="16.5" customHeight="1"/>
    <row r="4069" ht="16.5" customHeight="1"/>
    <row r="4070" ht="16.5" customHeight="1"/>
    <row r="4071" ht="16.5" customHeight="1"/>
    <row r="4072" ht="16.5" customHeight="1"/>
    <row r="4073" ht="16.5" customHeight="1"/>
    <row r="4074" ht="16.5" customHeight="1"/>
    <row r="4075" ht="16.5" customHeight="1"/>
    <row r="4076" ht="16.5" customHeight="1"/>
    <row r="4077" ht="16.5" customHeight="1"/>
    <row r="4078" ht="16.5" customHeight="1"/>
    <row r="4079" ht="16.5" customHeight="1"/>
    <row r="4080" ht="16.5" customHeight="1"/>
    <row r="4081" ht="16.5" customHeight="1"/>
    <row r="4082" ht="16.5" customHeight="1"/>
    <row r="4083" ht="16.5" customHeight="1"/>
    <row r="4084" ht="16.5" customHeight="1"/>
    <row r="4085" ht="16.5" customHeight="1"/>
    <row r="4086" ht="16.5" customHeight="1"/>
    <row r="4087" ht="16.5" customHeight="1"/>
    <row r="4088" ht="16.5" customHeight="1"/>
    <row r="4089" ht="16.5" customHeight="1"/>
    <row r="4090" ht="16.5" customHeight="1"/>
    <row r="4091" ht="16.5" customHeight="1"/>
    <row r="4092" ht="16.5" customHeight="1"/>
    <row r="4093" ht="16.5" customHeight="1"/>
    <row r="4094" ht="16.5" customHeight="1"/>
    <row r="4095" ht="16.5" customHeight="1"/>
    <row r="4096" ht="16.5" customHeight="1"/>
    <row r="4097" ht="16.5" customHeight="1"/>
    <row r="4098" ht="16.5" customHeight="1"/>
    <row r="4099" ht="16.5" customHeight="1"/>
    <row r="4100" ht="16.5" customHeight="1"/>
    <row r="4101" ht="16.5" customHeight="1"/>
    <row r="4102" ht="16.5" customHeight="1"/>
    <row r="4103" ht="16.5" customHeight="1"/>
    <row r="4104" ht="16.5" customHeight="1"/>
    <row r="4105" ht="16.5" customHeight="1"/>
    <row r="4106" ht="16.5" customHeight="1"/>
    <row r="4107" ht="16.5" customHeight="1"/>
    <row r="4108" ht="16.5" customHeight="1"/>
    <row r="4109" ht="16.5" customHeight="1"/>
    <row r="4110" ht="16.5" customHeight="1"/>
    <row r="4111" ht="16.5" customHeight="1"/>
    <row r="4112" ht="16.5" customHeight="1"/>
    <row r="4113" ht="16.5" customHeight="1"/>
    <row r="4114" ht="16.5" customHeight="1"/>
    <row r="4115" ht="16.5" customHeight="1"/>
    <row r="4116" ht="16.5" customHeight="1"/>
    <row r="4117" ht="16.5" customHeight="1"/>
    <row r="4118" ht="16.5" customHeight="1"/>
    <row r="4119" ht="16.5" customHeight="1"/>
    <row r="4120" ht="16.5" customHeight="1"/>
    <row r="4121" ht="16.5" customHeight="1"/>
    <row r="4122" ht="16.5" customHeight="1"/>
    <row r="4123" ht="16.5" customHeight="1"/>
    <row r="4124" ht="16.5" customHeight="1"/>
    <row r="4125" ht="16.5" customHeight="1"/>
    <row r="4126" ht="16.5" customHeight="1"/>
    <row r="4127" ht="16.5" customHeight="1"/>
    <row r="4128" ht="16.5" customHeight="1"/>
    <row r="4129" ht="16.5" customHeight="1"/>
    <row r="4130" ht="16.5" customHeight="1"/>
    <row r="4131" ht="16.5" customHeight="1"/>
    <row r="4132" ht="16.5" customHeight="1"/>
    <row r="4133" ht="16.5" customHeight="1"/>
    <row r="4134" ht="16.5" customHeight="1"/>
    <row r="4135" ht="16.5" customHeight="1"/>
    <row r="4136" ht="16.5" customHeight="1"/>
    <row r="4137" ht="16.5" customHeight="1"/>
    <row r="4138" ht="16.5" customHeight="1"/>
    <row r="4139" ht="16.5" customHeight="1"/>
    <row r="4140" ht="16.5" customHeight="1"/>
    <row r="4141" ht="16.5" customHeight="1"/>
    <row r="4142" ht="16.5" customHeight="1"/>
    <row r="4143" ht="16.5" customHeight="1"/>
    <row r="4144" ht="16.5" customHeight="1"/>
    <row r="4145" ht="16.5" customHeight="1"/>
    <row r="4146" ht="16.5" customHeight="1"/>
    <row r="4147" ht="16.5" customHeight="1"/>
    <row r="4148" ht="16.5" customHeight="1"/>
    <row r="4149" ht="16.5" customHeight="1"/>
    <row r="4150" ht="16.5" customHeight="1"/>
    <row r="4151" ht="16.5" customHeight="1"/>
    <row r="4152" ht="16.5" customHeight="1"/>
    <row r="4153" ht="16.5" customHeight="1"/>
    <row r="4154" ht="16.5" customHeight="1"/>
    <row r="4155" ht="16.5" customHeight="1"/>
    <row r="4156" ht="16.5" customHeight="1"/>
    <row r="4157" ht="16.5" customHeight="1"/>
    <row r="4158" ht="16.5" customHeight="1"/>
    <row r="4159" ht="16.5" customHeight="1"/>
    <row r="4160" ht="16.5" customHeight="1"/>
    <row r="4161" ht="16.5" customHeight="1"/>
    <row r="4162" ht="16.5" customHeight="1"/>
    <row r="4163" ht="16.5" customHeight="1"/>
    <row r="4164" ht="16.5" customHeight="1"/>
    <row r="4165" ht="16.5" customHeight="1"/>
    <row r="4166" ht="16.5" customHeight="1"/>
    <row r="4167" ht="16.5" customHeight="1"/>
    <row r="4168" ht="16.5" customHeight="1"/>
    <row r="4169" ht="16.5" customHeight="1"/>
    <row r="4170" ht="16.5" customHeight="1"/>
    <row r="4171" ht="16.5" customHeight="1"/>
    <row r="4172" ht="16.5" customHeight="1"/>
    <row r="4173" ht="16.5" customHeight="1"/>
    <row r="4174" ht="16.5" customHeight="1"/>
    <row r="4175" ht="16.5" customHeight="1"/>
    <row r="4176" ht="16.5" customHeight="1"/>
    <row r="4177" ht="16.5" customHeight="1"/>
    <row r="4178" ht="16.5" customHeight="1"/>
    <row r="4179" ht="16.5" customHeight="1"/>
    <row r="4180" ht="16.5" customHeight="1"/>
    <row r="4181" ht="16.5" customHeight="1"/>
    <row r="4182" ht="16.5" customHeight="1"/>
    <row r="4183" ht="16.5" customHeight="1"/>
    <row r="4184" ht="16.5" customHeight="1"/>
    <row r="4185" ht="16.5" customHeight="1"/>
    <row r="4186" ht="16.5" customHeight="1"/>
    <row r="4187" ht="16.5" customHeight="1"/>
    <row r="4188" ht="16.5" customHeight="1"/>
    <row r="4189" ht="16.5" customHeight="1"/>
    <row r="4190" ht="16.5" customHeight="1"/>
    <row r="4191" ht="16.5" customHeight="1"/>
    <row r="4192" ht="16.5" customHeight="1"/>
    <row r="4193" ht="16.5" customHeight="1"/>
    <row r="4194" ht="16.5" customHeight="1"/>
    <row r="4195" ht="16.5" customHeight="1"/>
    <row r="4196" ht="16.5" customHeight="1"/>
    <row r="4197" ht="16.5" customHeight="1"/>
    <row r="4198" ht="16.5" customHeight="1"/>
    <row r="4199" ht="16.5" customHeight="1"/>
    <row r="4200" ht="16.5" customHeight="1"/>
    <row r="4201" ht="16.5" customHeight="1"/>
    <row r="4202" ht="16.5" customHeight="1"/>
    <row r="4203" ht="16.5" customHeight="1"/>
    <row r="4204" ht="16.5" customHeight="1"/>
    <row r="4205" ht="16.5" customHeight="1"/>
    <row r="4206" ht="16.5" customHeight="1"/>
    <row r="4207" ht="16.5" customHeight="1"/>
    <row r="4208" ht="16.5" customHeight="1"/>
    <row r="4209" ht="16.5" customHeight="1"/>
    <row r="4210" ht="16.5" customHeight="1"/>
    <row r="4211" ht="16.5" customHeight="1"/>
    <row r="4212" ht="16.5" customHeight="1"/>
    <row r="4213" ht="16.5" customHeight="1"/>
    <row r="4214" ht="16.5" customHeight="1"/>
    <row r="4215" ht="16.5" customHeight="1"/>
    <row r="4216" ht="16.5" customHeight="1"/>
    <row r="4217" ht="16.5" customHeight="1"/>
    <row r="4218" ht="16.5" customHeight="1"/>
    <row r="4219" ht="16.5" customHeight="1"/>
    <row r="4220" ht="16.5" customHeight="1"/>
    <row r="4221" ht="16.5" customHeight="1"/>
    <row r="4222" ht="16.5" customHeight="1"/>
    <row r="4223" ht="16.5" customHeight="1"/>
    <row r="4224" ht="16.5" customHeight="1"/>
    <row r="4225" ht="16.5" customHeight="1"/>
    <row r="4226" ht="16.5" customHeight="1"/>
    <row r="4227" ht="16.5" customHeight="1"/>
    <row r="4228" ht="16.5" customHeight="1"/>
    <row r="4229" ht="16.5" customHeight="1"/>
    <row r="4230" ht="16.5" customHeight="1"/>
    <row r="4231" ht="16.5" customHeight="1"/>
    <row r="4232" ht="16.5" customHeight="1"/>
    <row r="4233" ht="16.5" customHeight="1"/>
    <row r="4234" ht="16.5" customHeight="1"/>
    <row r="4235" ht="16.5" customHeight="1"/>
    <row r="4236" ht="16.5" customHeight="1"/>
    <row r="4237" ht="16.5" customHeight="1"/>
    <row r="4238" ht="16.5" customHeight="1"/>
    <row r="4239" ht="16.5" customHeight="1"/>
    <row r="4240" ht="16.5" customHeight="1"/>
    <row r="4241" ht="16.5" customHeight="1"/>
    <row r="4242" ht="16.5" customHeight="1"/>
    <row r="4243" ht="16.5" customHeight="1"/>
    <row r="4244" ht="16.5" customHeight="1"/>
    <row r="4245" ht="16.5" customHeight="1"/>
    <row r="4246" ht="16.5" customHeight="1"/>
    <row r="4247" ht="16.5" customHeight="1"/>
    <row r="4248" ht="16.5" customHeight="1"/>
    <row r="4249" ht="16.5" customHeight="1"/>
    <row r="4250" ht="16.5" customHeight="1"/>
    <row r="4251" ht="16.5" customHeight="1"/>
    <row r="4252" ht="16.5" customHeight="1"/>
    <row r="4253" ht="16.5" customHeight="1"/>
    <row r="4254" ht="16.5" customHeight="1"/>
    <row r="4255" ht="16.5" customHeight="1"/>
    <row r="4256" ht="16.5" customHeight="1"/>
    <row r="4257" ht="16.5" customHeight="1"/>
    <row r="4258" ht="16.5" customHeight="1"/>
    <row r="4259" ht="16.5" customHeight="1"/>
    <row r="4260" ht="16.5" customHeight="1"/>
    <row r="4261" ht="16.5" customHeight="1"/>
    <row r="4262" ht="16.5" customHeight="1"/>
    <row r="4263" ht="16.5" customHeight="1"/>
    <row r="4264" ht="16.5" customHeight="1"/>
    <row r="4265" ht="16.5" customHeight="1"/>
    <row r="4266" ht="16.5" customHeight="1"/>
    <row r="4267" ht="16.5" customHeight="1"/>
    <row r="4268" ht="16.5" customHeight="1"/>
    <row r="4269" ht="16.5" customHeight="1"/>
    <row r="4270" ht="16.5" customHeight="1"/>
    <row r="4271" ht="16.5" customHeight="1"/>
    <row r="4272" ht="16.5" customHeight="1"/>
    <row r="4273" ht="16.5" customHeight="1"/>
    <row r="4274" ht="16.5" customHeight="1"/>
    <row r="4275" ht="16.5" customHeight="1"/>
    <row r="4276" ht="16.5" customHeight="1"/>
    <row r="4277" ht="16.5" customHeight="1"/>
    <row r="4278" ht="16.5" customHeight="1"/>
    <row r="4279" ht="16.5" customHeight="1"/>
    <row r="4280" ht="16.5" customHeight="1"/>
    <row r="4281" ht="16.5" customHeight="1"/>
    <row r="4282" ht="16.5" customHeight="1"/>
    <row r="4283" ht="16.5" customHeight="1"/>
    <row r="4284" ht="16.5" customHeight="1"/>
    <row r="4285" ht="16.5" customHeight="1"/>
    <row r="4286" ht="16.5" customHeight="1"/>
    <row r="4287" ht="16.5" customHeight="1"/>
    <row r="4288" ht="16.5" customHeight="1"/>
    <row r="4289" ht="16.5" customHeight="1"/>
    <row r="4290" ht="16.5" customHeight="1"/>
    <row r="4291" ht="16.5" customHeight="1"/>
    <row r="4292" ht="16.5" customHeight="1"/>
    <row r="4293" ht="16.5" customHeight="1"/>
    <row r="4294" ht="16.5" customHeight="1"/>
    <row r="4295" ht="16.5" customHeight="1"/>
    <row r="4296" ht="16.5" customHeight="1"/>
    <row r="4297" ht="16.5" customHeight="1"/>
    <row r="4298" ht="16.5" customHeight="1"/>
    <row r="4299" ht="16.5" customHeight="1"/>
    <row r="4300" ht="16.5" customHeight="1"/>
    <row r="4301" ht="16.5" customHeight="1"/>
    <row r="4302" ht="16.5" customHeight="1"/>
    <row r="4303" ht="16.5" customHeight="1"/>
    <row r="4304" ht="16.5" customHeight="1"/>
    <row r="4305" ht="16.5" customHeight="1"/>
    <row r="4306" ht="16.5" customHeight="1"/>
    <row r="4307" ht="16.5" customHeight="1"/>
    <row r="4308" ht="16.5" customHeight="1"/>
    <row r="4309" ht="16.5" customHeight="1"/>
    <row r="4310" ht="16.5" customHeight="1"/>
    <row r="4311" ht="16.5" customHeight="1"/>
    <row r="4312" ht="16.5" customHeight="1"/>
    <row r="4313" ht="16.5" customHeight="1"/>
    <row r="4314" ht="16.5" customHeight="1"/>
    <row r="4315" ht="16.5" customHeight="1"/>
    <row r="4316" ht="16.5" customHeight="1"/>
    <row r="4317" ht="16.5" customHeight="1"/>
    <row r="4318" ht="16.5" customHeight="1"/>
    <row r="4319" ht="16.5" customHeight="1"/>
    <row r="4320" ht="16.5" customHeight="1"/>
    <row r="4321" ht="16.5" customHeight="1"/>
    <row r="4322" ht="16.5" customHeight="1"/>
    <row r="4323" ht="16.5" customHeight="1"/>
    <row r="4324" ht="16.5" customHeight="1"/>
    <row r="4325" ht="16.5" customHeight="1"/>
    <row r="4326" ht="16.5" customHeight="1"/>
    <row r="4327" ht="16.5" customHeight="1"/>
    <row r="4328" ht="16.5" customHeight="1"/>
    <row r="4329" ht="16.5" customHeight="1"/>
    <row r="4330" ht="16.5" customHeight="1"/>
    <row r="4331" ht="16.5" customHeight="1"/>
    <row r="4332" ht="16.5" customHeight="1"/>
    <row r="4333" ht="16.5" customHeight="1"/>
    <row r="4334" ht="16.5" customHeight="1"/>
    <row r="4335" ht="16.5" customHeight="1"/>
    <row r="4336" ht="16.5" customHeight="1"/>
    <row r="4337" ht="16.5" customHeight="1"/>
    <row r="4338" ht="16.5" customHeight="1"/>
    <row r="4339" ht="16.5" customHeight="1"/>
    <row r="4340" ht="16.5" customHeight="1"/>
    <row r="4341" ht="16.5" customHeight="1"/>
    <row r="4342" ht="16.5" customHeight="1"/>
    <row r="4343" ht="16.5" customHeight="1"/>
    <row r="4344" ht="16.5" customHeight="1"/>
    <row r="4345" ht="16.5" customHeight="1"/>
    <row r="4346" ht="16.5" customHeight="1"/>
    <row r="4347" ht="16.5" customHeight="1"/>
    <row r="4348" ht="16.5" customHeight="1"/>
    <row r="4349" ht="16.5" customHeight="1"/>
    <row r="4350" ht="16.5" customHeight="1"/>
    <row r="4351" ht="16.5" customHeight="1"/>
    <row r="4352" ht="16.5" customHeight="1"/>
    <row r="4353" ht="16.5" customHeight="1"/>
    <row r="4354" ht="16.5" customHeight="1"/>
    <row r="4355" ht="16.5" customHeight="1"/>
    <row r="4356" ht="16.5" customHeight="1"/>
    <row r="4357" ht="16.5" customHeight="1"/>
    <row r="4358" ht="16.5" customHeight="1"/>
    <row r="4359" ht="16.5" customHeight="1"/>
    <row r="4360" ht="16.5" customHeight="1"/>
    <row r="4361" ht="16.5" customHeight="1"/>
    <row r="4362" ht="16.5" customHeight="1"/>
    <row r="4363" ht="16.5" customHeight="1"/>
    <row r="4364" ht="16.5" customHeight="1"/>
    <row r="4365" ht="16.5" customHeight="1"/>
    <row r="4366" ht="16.5" customHeight="1"/>
    <row r="4367" ht="16.5" customHeight="1"/>
    <row r="4368" ht="16.5" customHeight="1"/>
    <row r="4369" ht="16.5" customHeight="1"/>
    <row r="4370" ht="16.5" customHeight="1"/>
    <row r="4371" ht="16.5" customHeight="1"/>
    <row r="4372" ht="16.5" customHeight="1"/>
    <row r="4373" ht="16.5" customHeight="1"/>
    <row r="4374" ht="16.5" customHeight="1"/>
    <row r="4375" ht="16.5" customHeight="1"/>
    <row r="4376" ht="16.5" customHeight="1"/>
    <row r="4377" ht="16.5" customHeight="1"/>
    <row r="4378" ht="16.5" customHeight="1"/>
    <row r="4379" ht="16.5" customHeight="1"/>
    <row r="4380" ht="16.5" customHeight="1"/>
    <row r="4381" ht="16.5" customHeight="1"/>
    <row r="4382" ht="16.5" customHeight="1"/>
    <row r="4383" ht="16.5" customHeight="1"/>
    <row r="4384" ht="16.5" customHeight="1"/>
    <row r="4385" ht="16.5" customHeight="1"/>
    <row r="4386" ht="16.5" customHeight="1"/>
    <row r="4387" ht="16.5" customHeight="1"/>
    <row r="4388" ht="16.5" customHeight="1"/>
    <row r="4389" ht="16.5" customHeight="1"/>
    <row r="4390" ht="16.5" customHeight="1"/>
    <row r="4391" ht="16.5" customHeight="1"/>
    <row r="4392" ht="16.5" customHeight="1"/>
    <row r="4393" ht="16.5" customHeight="1"/>
    <row r="4394" ht="16.5" customHeight="1"/>
    <row r="4395" ht="16.5" customHeight="1"/>
    <row r="4396" ht="16.5" customHeight="1"/>
    <row r="4397" ht="16.5" customHeight="1"/>
    <row r="4398" ht="16.5" customHeight="1"/>
    <row r="4399" ht="16.5" customHeight="1"/>
    <row r="4400" ht="16.5" customHeight="1"/>
    <row r="4401" ht="16.5" customHeight="1"/>
    <row r="4402" ht="16.5" customHeight="1"/>
    <row r="4403" ht="16.5" customHeight="1"/>
    <row r="4404" ht="16.5" customHeight="1"/>
    <row r="4405" ht="16.5" customHeight="1"/>
    <row r="4406" ht="16.5" customHeight="1"/>
    <row r="4407" ht="16.5" customHeight="1"/>
    <row r="4408" ht="16.5" customHeight="1"/>
    <row r="4409" ht="16.5" customHeight="1"/>
    <row r="4410" ht="16.5" customHeight="1"/>
    <row r="4411" ht="16.5" customHeight="1"/>
    <row r="4412" ht="16.5" customHeight="1"/>
    <row r="4413" ht="16.5" customHeight="1"/>
    <row r="4414" ht="16.5" customHeight="1"/>
    <row r="4415" ht="16.5" customHeight="1"/>
    <row r="4416" ht="16.5" customHeight="1"/>
    <row r="4417" ht="16.5" customHeight="1"/>
    <row r="4418" ht="16.5" customHeight="1"/>
    <row r="4419" ht="16.5" customHeight="1"/>
    <row r="4420" ht="16.5" customHeight="1"/>
    <row r="4421" ht="16.5" customHeight="1"/>
    <row r="4422" ht="16.5" customHeight="1"/>
    <row r="4423" ht="16.5" customHeight="1"/>
    <row r="4424" ht="16.5" customHeight="1"/>
    <row r="4425" ht="16.5" customHeight="1"/>
    <row r="4426" ht="16.5" customHeight="1"/>
    <row r="4427" ht="16.5" customHeight="1"/>
    <row r="4428" ht="16.5" customHeight="1"/>
    <row r="4429" ht="16.5" customHeight="1"/>
    <row r="4430" ht="16.5" customHeight="1"/>
    <row r="4431" ht="16.5" customHeight="1"/>
    <row r="4432" ht="16.5" customHeight="1"/>
    <row r="4433" ht="16.5" customHeight="1"/>
    <row r="4434" ht="16.5" customHeight="1"/>
    <row r="4435" ht="16.5" customHeight="1"/>
    <row r="4436" ht="16.5" customHeight="1"/>
    <row r="4437" ht="16.5" customHeight="1"/>
    <row r="4438" ht="16.5" customHeight="1"/>
    <row r="4439" ht="16.5" customHeight="1"/>
    <row r="4440" ht="16.5" customHeight="1"/>
    <row r="4441" ht="16.5" customHeight="1"/>
    <row r="4442" ht="16.5" customHeight="1"/>
    <row r="4443" ht="16.5" customHeight="1"/>
    <row r="4444" ht="16.5" customHeight="1"/>
    <row r="4445" ht="16.5" customHeight="1"/>
    <row r="4446" ht="16.5" customHeight="1"/>
    <row r="4447" ht="16.5" customHeight="1"/>
    <row r="4448" ht="16.5" customHeight="1"/>
    <row r="4449" ht="16.5" customHeight="1"/>
    <row r="4450" ht="16.5" customHeight="1"/>
    <row r="4451" ht="16.5" customHeight="1"/>
    <row r="4452" ht="16.5" customHeight="1"/>
    <row r="4453" ht="16.5" customHeight="1"/>
    <row r="4454" ht="16.5" customHeight="1"/>
    <row r="4455" ht="16.5" customHeight="1"/>
    <row r="4456" ht="16.5" customHeight="1"/>
    <row r="4457" ht="16.5" customHeight="1"/>
    <row r="4458" ht="16.5" customHeight="1"/>
    <row r="4459" ht="16.5" customHeight="1"/>
    <row r="4460" ht="16.5" customHeight="1"/>
    <row r="4461" ht="16.5" customHeight="1"/>
    <row r="4462" ht="16.5" customHeight="1"/>
    <row r="4463" ht="16.5" customHeight="1"/>
    <row r="4464" ht="16.5" customHeight="1"/>
    <row r="4465" ht="16.5" customHeight="1"/>
    <row r="4466" ht="16.5" customHeight="1"/>
    <row r="4467" ht="16.5" customHeight="1"/>
    <row r="4468" ht="16.5" customHeight="1"/>
    <row r="4469" ht="16.5" customHeight="1"/>
    <row r="4470" ht="16.5" customHeight="1"/>
    <row r="4471" ht="16.5" customHeight="1"/>
    <row r="4472" ht="16.5" customHeight="1"/>
    <row r="4473" ht="16.5" customHeight="1"/>
    <row r="4474" ht="16.5" customHeight="1"/>
    <row r="4475" ht="16.5" customHeight="1"/>
    <row r="4476" ht="16.5" customHeight="1"/>
    <row r="4477" ht="16.5" customHeight="1"/>
    <row r="4478" ht="16.5" customHeight="1"/>
    <row r="4479" ht="16.5" customHeight="1"/>
    <row r="4480" ht="16.5" customHeight="1"/>
    <row r="4481" ht="16.5" customHeight="1"/>
    <row r="4482" ht="16.5" customHeight="1"/>
    <row r="4483" ht="16.5" customHeight="1"/>
    <row r="4484" ht="16.5" customHeight="1"/>
    <row r="4485" ht="16.5" customHeight="1"/>
    <row r="4486" ht="16.5" customHeight="1"/>
    <row r="4487" ht="16.5" customHeight="1"/>
    <row r="4488" ht="16.5" customHeight="1"/>
    <row r="4489" ht="16.5" customHeight="1"/>
    <row r="4490" ht="16.5" customHeight="1"/>
    <row r="4491" ht="16.5" customHeight="1"/>
    <row r="4492" ht="16.5" customHeight="1"/>
    <row r="4493" ht="16.5" customHeight="1"/>
    <row r="4494" ht="16.5" customHeight="1"/>
    <row r="4495" ht="16.5" customHeight="1"/>
    <row r="4496" ht="16.5" customHeight="1"/>
    <row r="4497" ht="16.5" customHeight="1"/>
    <row r="4498" ht="16.5" customHeight="1"/>
    <row r="4499" ht="16.5" customHeight="1"/>
    <row r="4500" ht="16.5" customHeight="1"/>
    <row r="4501" ht="16.5" customHeight="1"/>
    <row r="4502" ht="16.5" customHeight="1"/>
    <row r="4503" ht="16.5" customHeight="1"/>
    <row r="4504" ht="16.5" customHeight="1"/>
    <row r="4505" ht="16.5" customHeight="1"/>
    <row r="4506" ht="16.5" customHeight="1"/>
    <row r="4507" ht="16.5" customHeight="1"/>
    <row r="4508" ht="16.5" customHeight="1"/>
    <row r="4509" ht="16.5" customHeight="1"/>
    <row r="4510" ht="16.5" customHeight="1"/>
    <row r="4511" ht="16.5" customHeight="1"/>
    <row r="4512" ht="16.5" customHeight="1"/>
    <row r="4513" ht="16.5" customHeight="1"/>
    <row r="4514" ht="16.5" customHeight="1"/>
    <row r="4515" ht="16.5" customHeight="1"/>
    <row r="4516" ht="16.5" customHeight="1"/>
    <row r="4517" ht="16.5" customHeight="1"/>
    <row r="4518" ht="16.5" customHeight="1"/>
    <row r="4519" ht="16.5" customHeight="1"/>
    <row r="4520" ht="16.5" customHeight="1"/>
    <row r="4521" ht="16.5" customHeight="1"/>
    <row r="4522" ht="16.5" customHeight="1"/>
    <row r="4523" ht="16.5" customHeight="1"/>
    <row r="4524" ht="16.5" customHeight="1"/>
    <row r="4525" ht="16.5" customHeight="1"/>
    <row r="4526" ht="16.5" customHeight="1"/>
    <row r="4527" ht="16.5" customHeight="1"/>
    <row r="4528" ht="16.5" customHeight="1"/>
    <row r="4529" ht="16.5" customHeight="1"/>
    <row r="4530" ht="16.5" customHeight="1"/>
    <row r="4531" ht="16.5" customHeight="1"/>
    <row r="4532" ht="16.5" customHeight="1"/>
    <row r="4533" ht="16.5" customHeight="1"/>
    <row r="4534" ht="16.5" customHeight="1"/>
    <row r="4535" ht="16.5" customHeight="1"/>
    <row r="4536" ht="16.5" customHeight="1"/>
    <row r="4537" ht="16.5" customHeight="1"/>
    <row r="4538" ht="16.5" customHeight="1"/>
    <row r="4539" ht="16.5" customHeight="1"/>
    <row r="4540" ht="16.5" customHeight="1"/>
    <row r="4541" ht="16.5" customHeight="1"/>
    <row r="4542" ht="16.5" customHeight="1"/>
    <row r="4543" ht="16.5" customHeight="1"/>
    <row r="4544" ht="16.5" customHeight="1"/>
    <row r="4545" ht="16.5" customHeight="1"/>
    <row r="4546" ht="16.5" customHeight="1"/>
    <row r="4547" ht="16.5" customHeight="1"/>
    <row r="4548" ht="16.5" customHeight="1"/>
    <row r="4549" ht="16.5" customHeight="1"/>
    <row r="4550" ht="16.5" customHeight="1"/>
    <row r="4551" ht="16.5" customHeight="1"/>
    <row r="4552" ht="16.5" customHeight="1"/>
    <row r="4553" ht="16.5" customHeight="1"/>
    <row r="4554" ht="16.5" customHeight="1"/>
    <row r="4555" ht="16.5" customHeight="1"/>
    <row r="4556" ht="16.5" customHeight="1"/>
    <row r="4557" ht="16.5" customHeight="1"/>
    <row r="4558" ht="16.5" customHeight="1"/>
    <row r="4559" ht="16.5" customHeight="1"/>
    <row r="4560" ht="16.5" customHeight="1"/>
    <row r="4561" ht="16.5" customHeight="1"/>
    <row r="4562" ht="16.5" customHeight="1"/>
    <row r="4563" ht="16.5" customHeight="1"/>
    <row r="4564" ht="16.5" customHeight="1"/>
    <row r="4565" ht="16.5" customHeight="1"/>
    <row r="4566" ht="16.5" customHeight="1"/>
    <row r="4567" ht="16.5" customHeight="1"/>
    <row r="4568" ht="16.5" customHeight="1"/>
    <row r="4569" ht="16.5" customHeight="1"/>
    <row r="4570" ht="16.5" customHeight="1"/>
    <row r="4571" ht="16.5" customHeight="1"/>
    <row r="4572" ht="16.5" customHeight="1"/>
    <row r="4573" ht="16.5" customHeight="1"/>
    <row r="4574" ht="16.5" customHeight="1"/>
    <row r="4575" ht="16.5" customHeight="1"/>
    <row r="4576" ht="16.5" customHeight="1"/>
    <row r="4577" ht="16.5" customHeight="1"/>
    <row r="4578" ht="16.5" customHeight="1"/>
    <row r="4579" ht="16.5" customHeight="1"/>
    <row r="4580" ht="16.5" customHeight="1"/>
    <row r="4581" ht="16.5" customHeight="1"/>
    <row r="4582" ht="16.5" customHeight="1"/>
    <row r="4583" ht="16.5" customHeight="1"/>
    <row r="4584" ht="16.5" customHeight="1"/>
    <row r="4585" ht="16.5" customHeight="1"/>
    <row r="4586" ht="16.5" customHeight="1"/>
    <row r="4587" ht="16.5" customHeight="1"/>
    <row r="4588" ht="16.5" customHeight="1"/>
    <row r="4589" ht="16.5" customHeight="1"/>
    <row r="4590" ht="16.5" customHeight="1"/>
    <row r="4591" ht="16.5" customHeight="1"/>
    <row r="4592" ht="16.5" customHeight="1"/>
    <row r="4593" ht="16.5" customHeight="1"/>
    <row r="4594" ht="16.5" customHeight="1"/>
    <row r="4595" ht="16.5" customHeight="1"/>
    <row r="4596" ht="16.5" customHeight="1"/>
    <row r="4597" ht="16.5" customHeight="1"/>
    <row r="4598" ht="16.5" customHeight="1"/>
    <row r="4599" ht="16.5" customHeight="1"/>
    <row r="4600" ht="16.5" customHeight="1"/>
    <row r="4601" ht="16.5" customHeight="1"/>
    <row r="4602" ht="16.5" customHeight="1"/>
    <row r="4603" ht="16.5" customHeight="1"/>
    <row r="4604" ht="16.5" customHeight="1"/>
    <row r="4605" ht="16.5" customHeight="1"/>
    <row r="4606" ht="16.5" customHeight="1"/>
    <row r="4607" ht="16.5" customHeight="1"/>
    <row r="4608" ht="16.5" customHeight="1"/>
    <row r="4609" ht="16.5" customHeight="1"/>
    <row r="4610" ht="16.5" customHeight="1"/>
    <row r="4611" ht="16.5" customHeight="1"/>
    <row r="4612" ht="16.5" customHeight="1"/>
    <row r="4613" ht="16.5" customHeight="1"/>
    <row r="4614" ht="16.5" customHeight="1"/>
    <row r="4615" ht="16.5" customHeight="1"/>
    <row r="4616" ht="16.5" customHeight="1"/>
    <row r="4617" ht="16.5" customHeight="1"/>
    <row r="4618" ht="16.5" customHeight="1"/>
    <row r="4619" ht="16.5" customHeight="1"/>
    <row r="4620" ht="16.5" customHeight="1"/>
    <row r="4621" ht="16.5" customHeight="1"/>
    <row r="4622" ht="16.5" customHeight="1"/>
    <row r="4623" ht="16.5" customHeight="1"/>
    <row r="4624" ht="16.5" customHeight="1"/>
    <row r="4625" ht="16.5" customHeight="1"/>
    <row r="4626" ht="16.5" customHeight="1"/>
    <row r="4627" ht="16.5" customHeight="1"/>
    <row r="4628" ht="16.5" customHeight="1"/>
    <row r="4629" ht="16.5" customHeight="1"/>
    <row r="4630" ht="16.5" customHeight="1"/>
    <row r="4631" ht="16.5" customHeight="1"/>
    <row r="4632" ht="16.5" customHeight="1"/>
    <row r="4633" ht="16.5" customHeight="1"/>
    <row r="4634" ht="16.5" customHeight="1"/>
    <row r="4635" ht="16.5" customHeight="1"/>
    <row r="4636" ht="16.5" customHeight="1"/>
    <row r="4637" ht="16.5" customHeight="1"/>
    <row r="4638" ht="16.5" customHeight="1"/>
    <row r="4639" ht="16.5" customHeight="1"/>
    <row r="4640" ht="16.5" customHeight="1"/>
    <row r="4641" ht="16.5" customHeight="1"/>
    <row r="4642" ht="16.5" customHeight="1"/>
    <row r="4643" ht="16.5" customHeight="1"/>
    <row r="4644" ht="16.5" customHeight="1"/>
    <row r="4645" ht="16.5" customHeight="1"/>
    <row r="4646" ht="16.5" customHeight="1"/>
    <row r="4647" ht="16.5" customHeight="1"/>
    <row r="4648" ht="16.5" customHeight="1"/>
    <row r="4649" ht="16.5" customHeight="1"/>
    <row r="4650" ht="16.5" customHeight="1"/>
    <row r="4651" ht="16.5" customHeight="1"/>
    <row r="4652" ht="16.5" customHeight="1"/>
    <row r="4653" ht="16.5" customHeight="1"/>
    <row r="4654" ht="16.5" customHeight="1"/>
    <row r="4655" ht="16.5" customHeight="1"/>
    <row r="4656" ht="16.5" customHeight="1"/>
    <row r="4657" ht="16.5" customHeight="1"/>
    <row r="4658" ht="16.5" customHeight="1"/>
    <row r="4659" ht="16.5" customHeight="1"/>
    <row r="4660" ht="16.5" customHeight="1"/>
    <row r="4661" ht="16.5" customHeight="1"/>
    <row r="4662" ht="16.5" customHeight="1"/>
    <row r="4663" ht="16.5" customHeight="1"/>
    <row r="4664" ht="16.5" customHeight="1"/>
    <row r="4665" ht="16.5" customHeight="1"/>
    <row r="4666" ht="16.5" customHeight="1"/>
    <row r="4667" ht="16.5" customHeight="1"/>
    <row r="4668" ht="16.5" customHeight="1"/>
    <row r="4669" ht="16.5" customHeight="1"/>
    <row r="4670" ht="16.5" customHeight="1"/>
    <row r="4671" ht="16.5" customHeight="1"/>
    <row r="4672" ht="16.5" customHeight="1"/>
    <row r="4673" ht="16.5" customHeight="1"/>
    <row r="4674" ht="16.5" customHeight="1"/>
    <row r="4675" ht="16.5" customHeight="1"/>
    <row r="4676" ht="16.5" customHeight="1"/>
    <row r="4677" ht="16.5" customHeight="1"/>
    <row r="4678" ht="16.5" customHeight="1"/>
    <row r="4679" ht="16.5" customHeight="1"/>
    <row r="4680" ht="16.5" customHeight="1"/>
    <row r="4681" ht="16.5" customHeight="1"/>
    <row r="4682" ht="16.5" customHeight="1"/>
    <row r="4683" ht="16.5" customHeight="1"/>
    <row r="4684" ht="16.5" customHeight="1"/>
    <row r="4685" ht="16.5" customHeight="1"/>
    <row r="4686" ht="16.5" customHeight="1"/>
    <row r="4687" ht="16.5" customHeight="1"/>
    <row r="4688" ht="16.5" customHeight="1"/>
    <row r="4689" ht="16.5" customHeight="1"/>
    <row r="4690" ht="16.5" customHeight="1"/>
    <row r="4691" ht="16.5" customHeight="1"/>
    <row r="4692" ht="16.5" customHeight="1"/>
    <row r="4693" ht="16.5" customHeight="1"/>
    <row r="4694" ht="16.5" customHeight="1"/>
    <row r="4695" ht="16.5" customHeight="1"/>
    <row r="4696" ht="16.5" customHeight="1"/>
    <row r="4697" ht="16.5" customHeight="1"/>
    <row r="4698" ht="16.5" customHeight="1"/>
    <row r="4699" ht="16.5" customHeight="1"/>
    <row r="4700" ht="16.5" customHeight="1"/>
    <row r="4701" ht="16.5" customHeight="1"/>
    <row r="4702" ht="16.5" customHeight="1"/>
    <row r="4703" ht="16.5" customHeight="1"/>
    <row r="4704" ht="16.5" customHeight="1"/>
    <row r="4705" ht="16.5" customHeight="1"/>
    <row r="4706" ht="16.5" customHeight="1"/>
    <row r="4707" ht="16.5" customHeight="1"/>
    <row r="4708" ht="16.5" customHeight="1"/>
    <row r="4709" ht="16.5" customHeight="1"/>
    <row r="4710" ht="16.5" customHeight="1"/>
    <row r="4711" ht="16.5" customHeight="1"/>
    <row r="4712" ht="16.5" customHeight="1"/>
    <row r="4713" ht="16.5" customHeight="1"/>
    <row r="4714" ht="16.5" customHeight="1"/>
    <row r="4715" ht="16.5" customHeight="1"/>
    <row r="4716" ht="16.5" customHeight="1"/>
    <row r="4717" ht="16.5" customHeight="1"/>
    <row r="4718" ht="16.5" customHeight="1"/>
    <row r="4719" ht="16.5" customHeight="1"/>
    <row r="4720" ht="16.5" customHeight="1"/>
    <row r="4721" ht="16.5" customHeight="1"/>
    <row r="4722" ht="16.5" customHeight="1"/>
    <row r="4723" ht="16.5" customHeight="1"/>
    <row r="4724" ht="16.5" customHeight="1"/>
    <row r="4725" ht="16.5" customHeight="1"/>
    <row r="4726" ht="16.5" customHeight="1"/>
    <row r="4727" ht="16.5" customHeight="1"/>
    <row r="4728" ht="16.5" customHeight="1"/>
    <row r="4729" ht="16.5" customHeight="1"/>
    <row r="4730" ht="16.5" customHeight="1"/>
    <row r="4731" ht="16.5" customHeight="1"/>
    <row r="4732" ht="16.5" customHeight="1"/>
    <row r="4733" ht="16.5" customHeight="1"/>
    <row r="4734" ht="16.5" customHeight="1"/>
    <row r="4735" ht="16.5" customHeight="1"/>
    <row r="4736" ht="16.5" customHeight="1"/>
    <row r="4737" ht="16.5" customHeight="1"/>
    <row r="4738" ht="16.5" customHeight="1"/>
    <row r="4739" ht="16.5" customHeight="1"/>
    <row r="4740" ht="16.5" customHeight="1"/>
    <row r="4741" ht="16.5" customHeight="1"/>
    <row r="4742" ht="16.5" customHeight="1"/>
    <row r="4743" ht="16.5" customHeight="1"/>
    <row r="4744" ht="16.5" customHeight="1"/>
    <row r="4745" ht="16.5" customHeight="1"/>
    <row r="4746" ht="16.5" customHeight="1"/>
    <row r="4747" ht="16.5" customHeight="1"/>
    <row r="4748" ht="16.5" customHeight="1"/>
    <row r="4749" ht="16.5" customHeight="1"/>
    <row r="4750" ht="16.5" customHeight="1"/>
    <row r="4751" ht="16.5" customHeight="1"/>
    <row r="4752" ht="16.5" customHeight="1"/>
    <row r="4753" ht="16.5" customHeight="1"/>
    <row r="4754" ht="16.5" customHeight="1"/>
    <row r="4755" ht="16.5" customHeight="1"/>
    <row r="4756" ht="16.5" customHeight="1"/>
    <row r="4757" ht="16.5" customHeight="1"/>
    <row r="4758" ht="16.5" customHeight="1"/>
    <row r="4759" ht="16.5" customHeight="1"/>
    <row r="4760" ht="16.5" customHeight="1"/>
    <row r="4761" ht="16.5" customHeight="1"/>
    <row r="4762" ht="16.5" customHeight="1"/>
    <row r="4763" ht="16.5" customHeight="1"/>
    <row r="4764" ht="16.5" customHeight="1"/>
    <row r="4765" ht="16.5" customHeight="1"/>
    <row r="4766" ht="16.5" customHeight="1"/>
    <row r="4767" ht="16.5" customHeight="1"/>
    <row r="4768" ht="16.5" customHeight="1"/>
    <row r="4769" ht="16.5" customHeight="1"/>
    <row r="4770" ht="16.5" customHeight="1"/>
    <row r="4771" ht="16.5" customHeight="1"/>
    <row r="4772" ht="16.5" customHeight="1"/>
    <row r="4773" ht="16.5" customHeight="1"/>
    <row r="4774" ht="16.5" customHeight="1"/>
    <row r="4775" ht="16.5" customHeight="1"/>
    <row r="4776" ht="16.5" customHeight="1"/>
    <row r="4777" ht="16.5" customHeight="1"/>
    <row r="4778" ht="16.5" customHeight="1"/>
    <row r="4779" ht="16.5" customHeight="1"/>
    <row r="4780" ht="16.5" customHeight="1"/>
    <row r="4781" ht="16.5" customHeight="1"/>
    <row r="4782" ht="16.5" customHeight="1"/>
    <row r="4783" ht="16.5" customHeight="1"/>
    <row r="4784" ht="16.5" customHeight="1"/>
    <row r="4785" ht="16.5" customHeight="1"/>
    <row r="4786" ht="16.5" customHeight="1"/>
    <row r="4787" ht="16.5" customHeight="1"/>
    <row r="4788" ht="16.5" customHeight="1"/>
    <row r="4789" ht="16.5" customHeight="1"/>
    <row r="4790" ht="16.5" customHeight="1"/>
    <row r="4791" ht="16.5" customHeight="1"/>
    <row r="4792" ht="16.5" customHeight="1"/>
    <row r="4793" ht="16.5" customHeight="1"/>
    <row r="4794" ht="16.5" customHeight="1"/>
    <row r="4795" ht="16.5" customHeight="1"/>
    <row r="4796" ht="16.5" customHeight="1"/>
    <row r="4797" ht="16.5" customHeight="1"/>
    <row r="4798" ht="16.5" customHeight="1"/>
    <row r="4799" ht="16.5" customHeight="1"/>
    <row r="4800" ht="16.5" customHeight="1"/>
    <row r="4801" ht="16.5" customHeight="1"/>
    <row r="4802" ht="16.5" customHeight="1"/>
    <row r="4803" ht="16.5" customHeight="1"/>
    <row r="4804" ht="16.5" customHeight="1"/>
    <row r="4805" ht="16.5" customHeight="1"/>
    <row r="4806" ht="16.5" customHeight="1"/>
    <row r="4807" ht="16.5" customHeight="1"/>
    <row r="4808" ht="16.5" customHeight="1"/>
    <row r="4809" ht="16.5" customHeight="1"/>
    <row r="4810" ht="16.5" customHeight="1"/>
    <row r="4811" ht="16.5" customHeight="1"/>
    <row r="4812" ht="16.5" customHeight="1"/>
    <row r="4813" ht="16.5" customHeight="1"/>
    <row r="4814" ht="16.5" customHeight="1"/>
    <row r="4815" ht="16.5" customHeight="1"/>
    <row r="4816" ht="16.5" customHeight="1"/>
    <row r="4817" ht="16.5" customHeight="1"/>
    <row r="4818" ht="16.5" customHeight="1"/>
    <row r="4819" ht="16.5" customHeight="1"/>
    <row r="4820" ht="16.5" customHeight="1"/>
    <row r="4821" ht="16.5" customHeight="1"/>
    <row r="4822" ht="16.5" customHeight="1"/>
    <row r="4823" ht="16.5" customHeight="1"/>
    <row r="4824" ht="16.5" customHeight="1"/>
    <row r="4825" ht="16.5" customHeight="1"/>
    <row r="4826" ht="16.5" customHeight="1"/>
    <row r="4827" ht="16.5" customHeight="1"/>
    <row r="4828" ht="16.5" customHeight="1"/>
    <row r="4829" ht="16.5" customHeight="1"/>
    <row r="4830" ht="16.5" customHeight="1"/>
    <row r="4831" ht="16.5" customHeight="1"/>
    <row r="4832" ht="16.5" customHeight="1"/>
    <row r="4833" ht="16.5" customHeight="1"/>
    <row r="4834" ht="16.5" customHeight="1"/>
    <row r="4835" ht="16.5" customHeight="1"/>
    <row r="4836" ht="16.5" customHeight="1"/>
    <row r="4837" ht="16.5" customHeight="1"/>
    <row r="4838" ht="16.5" customHeight="1"/>
    <row r="4839" ht="16.5" customHeight="1"/>
    <row r="4840" ht="16.5" customHeight="1"/>
    <row r="4841" ht="16.5" customHeight="1"/>
    <row r="4842" ht="16.5" customHeight="1"/>
    <row r="4843" ht="16.5" customHeight="1"/>
    <row r="4844" ht="16.5" customHeight="1"/>
    <row r="4845" ht="16.5" customHeight="1"/>
    <row r="4846" ht="16.5" customHeight="1"/>
    <row r="4847" ht="16.5" customHeight="1"/>
    <row r="4848" ht="16.5" customHeight="1"/>
    <row r="4849" ht="16.5" customHeight="1"/>
    <row r="4850" ht="16.5" customHeight="1"/>
    <row r="4851" ht="16.5" customHeight="1"/>
    <row r="4852" ht="16.5" customHeight="1"/>
    <row r="4853" ht="16.5" customHeight="1"/>
    <row r="4854" ht="16.5" customHeight="1"/>
    <row r="4855" ht="16.5" customHeight="1"/>
    <row r="4856" ht="16.5" customHeight="1"/>
    <row r="4857" ht="16.5" customHeight="1"/>
    <row r="4858" ht="16.5" customHeight="1"/>
    <row r="4859" ht="16.5" customHeight="1"/>
    <row r="4860" ht="16.5" customHeight="1"/>
    <row r="4861" ht="16.5" customHeight="1"/>
    <row r="4862" ht="16.5" customHeight="1"/>
    <row r="4863" ht="16.5" customHeight="1"/>
    <row r="4864" ht="16.5" customHeight="1"/>
    <row r="4865" ht="16.5" customHeight="1"/>
    <row r="4866" ht="16.5" customHeight="1"/>
    <row r="4867" ht="16.5" customHeight="1"/>
    <row r="4868" ht="16.5" customHeight="1"/>
    <row r="4869" ht="16.5" customHeight="1"/>
    <row r="4870" ht="16.5" customHeight="1"/>
    <row r="4871" ht="16.5" customHeight="1"/>
    <row r="4872" ht="16.5" customHeight="1"/>
    <row r="4873" ht="16.5" customHeight="1"/>
    <row r="4874" ht="16.5" customHeight="1"/>
    <row r="4875" ht="16.5" customHeight="1"/>
    <row r="4876" ht="16.5" customHeight="1"/>
    <row r="4877" ht="16.5" customHeight="1"/>
    <row r="4878" ht="16.5" customHeight="1"/>
    <row r="4879" ht="16.5" customHeight="1"/>
    <row r="4880" ht="16.5" customHeight="1"/>
    <row r="4881" ht="16.5" customHeight="1"/>
    <row r="4882" ht="16.5" customHeight="1"/>
    <row r="4883" ht="16.5" customHeight="1"/>
    <row r="4884" ht="16.5" customHeight="1"/>
    <row r="4885" ht="16.5" customHeight="1"/>
    <row r="4886" ht="16.5" customHeight="1"/>
    <row r="4887" ht="16.5" customHeight="1"/>
    <row r="4888" ht="16.5" customHeight="1"/>
    <row r="4889" ht="16.5" customHeight="1"/>
    <row r="4890" ht="16.5" customHeight="1"/>
    <row r="4891" ht="16.5" customHeight="1"/>
    <row r="4892" ht="16.5" customHeight="1"/>
    <row r="4893" ht="16.5" customHeight="1"/>
    <row r="4894" ht="16.5" customHeight="1"/>
    <row r="4895" ht="16.5" customHeight="1"/>
    <row r="4896" ht="16.5" customHeight="1"/>
    <row r="4897" ht="16.5" customHeight="1"/>
    <row r="4898" ht="16.5" customHeight="1"/>
    <row r="4899" ht="16.5" customHeight="1"/>
    <row r="4900" ht="16.5" customHeight="1"/>
    <row r="4901" ht="16.5" customHeight="1"/>
    <row r="4902" ht="16.5" customHeight="1"/>
    <row r="4903" ht="16.5" customHeight="1"/>
    <row r="4904" ht="16.5" customHeight="1"/>
    <row r="4905" ht="16.5" customHeight="1"/>
    <row r="4906" ht="16.5" customHeight="1"/>
    <row r="4907" ht="16.5" customHeight="1"/>
    <row r="4908" ht="16.5" customHeight="1"/>
    <row r="4909" ht="16.5" customHeight="1"/>
    <row r="4910" ht="16.5" customHeight="1"/>
    <row r="4911" ht="16.5" customHeight="1"/>
    <row r="4912" ht="16.5" customHeight="1"/>
    <row r="4913" ht="16.5" customHeight="1"/>
    <row r="4914" ht="16.5" customHeight="1"/>
    <row r="4915" ht="16.5" customHeight="1"/>
    <row r="4916" ht="16.5" customHeight="1"/>
    <row r="4917" ht="16.5" customHeight="1"/>
    <row r="4918" ht="16.5" customHeight="1"/>
    <row r="4919" ht="16.5" customHeight="1"/>
    <row r="4920" ht="16.5" customHeight="1"/>
    <row r="4921" ht="16.5" customHeight="1"/>
    <row r="4922" ht="16.5" customHeight="1"/>
    <row r="4923" ht="16.5" customHeight="1"/>
    <row r="4924" ht="16.5" customHeight="1"/>
    <row r="4925" ht="16.5" customHeight="1"/>
    <row r="4926" ht="16.5" customHeight="1"/>
    <row r="4927" ht="16.5" customHeight="1"/>
    <row r="4928" ht="16.5" customHeight="1"/>
    <row r="4929" ht="16.5" customHeight="1"/>
    <row r="4930" ht="16.5" customHeight="1"/>
    <row r="4931" ht="16.5" customHeight="1"/>
    <row r="4932" ht="16.5" customHeight="1"/>
    <row r="4933" ht="16.5" customHeight="1"/>
    <row r="4934" ht="16.5" customHeight="1"/>
    <row r="4935" ht="16.5" customHeight="1"/>
    <row r="4936" ht="16.5" customHeight="1"/>
    <row r="4937" ht="16.5" customHeight="1"/>
    <row r="4938" ht="16.5" customHeight="1"/>
    <row r="4939" ht="16.5" customHeight="1"/>
    <row r="4940" ht="16.5" customHeight="1"/>
    <row r="4941" ht="16.5" customHeight="1"/>
    <row r="4942" ht="16.5" customHeight="1"/>
    <row r="4943" ht="16.5" customHeight="1"/>
    <row r="4944" ht="16.5" customHeight="1"/>
    <row r="4945" ht="16.5" customHeight="1"/>
    <row r="4946" ht="16.5" customHeight="1"/>
    <row r="4947" ht="16.5" customHeight="1"/>
    <row r="4948" ht="16.5" customHeight="1"/>
    <row r="4949" ht="16.5" customHeight="1"/>
    <row r="4950" ht="16.5" customHeight="1"/>
    <row r="4951" ht="16.5" customHeight="1"/>
    <row r="4952" ht="16.5" customHeight="1"/>
    <row r="4953" ht="16.5" customHeight="1"/>
    <row r="4954" ht="16.5" customHeight="1"/>
    <row r="4955" ht="16.5" customHeight="1"/>
    <row r="4956" ht="16.5" customHeight="1"/>
    <row r="4957" ht="16.5" customHeight="1"/>
    <row r="4958" ht="16.5" customHeight="1"/>
    <row r="4959" ht="16.5" customHeight="1"/>
    <row r="4960" ht="16.5" customHeight="1"/>
    <row r="4961" ht="16.5" customHeight="1"/>
    <row r="4962" ht="16.5" customHeight="1"/>
    <row r="4963" ht="16.5" customHeight="1"/>
    <row r="4964" ht="16.5" customHeight="1"/>
    <row r="4965" ht="16.5" customHeight="1"/>
    <row r="4966" ht="16.5" customHeight="1"/>
    <row r="4967" ht="16.5" customHeight="1"/>
    <row r="4968" ht="16.5" customHeight="1"/>
    <row r="4969" ht="16.5" customHeight="1"/>
    <row r="4970" ht="16.5" customHeight="1"/>
    <row r="4971" ht="16.5" customHeight="1"/>
    <row r="4972" ht="16.5" customHeight="1"/>
    <row r="4973" ht="16.5" customHeight="1"/>
    <row r="4974" ht="16.5" customHeight="1"/>
    <row r="4975" ht="16.5" customHeight="1"/>
    <row r="4976" ht="16.5" customHeight="1"/>
    <row r="4977" ht="16.5" customHeight="1"/>
    <row r="4978" ht="16.5" customHeight="1"/>
    <row r="4979" ht="16.5" customHeight="1"/>
    <row r="4980" ht="16.5" customHeight="1"/>
    <row r="4981" ht="16.5" customHeight="1"/>
    <row r="4982" ht="16.5" customHeight="1"/>
    <row r="4983" ht="16.5" customHeight="1"/>
    <row r="4984" ht="16.5" customHeight="1"/>
    <row r="4985" ht="16.5" customHeight="1"/>
    <row r="4986" ht="16.5" customHeight="1"/>
    <row r="4987" ht="16.5" customHeight="1"/>
    <row r="4988" ht="16.5" customHeight="1"/>
    <row r="4989" ht="16.5" customHeight="1"/>
    <row r="4990" ht="16.5" customHeight="1"/>
    <row r="4991" ht="16.5" customHeight="1"/>
    <row r="4992" ht="16.5" customHeight="1"/>
    <row r="4993" ht="16.5" customHeight="1"/>
    <row r="4994" ht="16.5" customHeight="1"/>
    <row r="4995" ht="16.5" customHeight="1"/>
    <row r="4996" ht="16.5" customHeight="1"/>
    <row r="4997" ht="16.5" customHeight="1"/>
    <row r="4998" ht="16.5" customHeight="1"/>
    <row r="4999" ht="16.5" customHeight="1"/>
    <row r="5000" ht="16.5" customHeight="1"/>
    <row r="5001" ht="16.5" customHeight="1"/>
    <row r="5002" ht="16.5" customHeight="1"/>
    <row r="5003" ht="16.5" customHeight="1"/>
    <row r="5004" ht="16.5" customHeight="1"/>
    <row r="5005" ht="16.5" customHeight="1"/>
    <row r="5006" ht="16.5" customHeight="1"/>
    <row r="5007" ht="16.5" customHeight="1"/>
    <row r="5008" ht="16.5" customHeight="1"/>
    <row r="5009" ht="16.5" customHeight="1"/>
    <row r="5010" ht="16.5" customHeight="1"/>
    <row r="5011" ht="16.5" customHeight="1"/>
    <row r="5012" ht="16.5" customHeight="1"/>
    <row r="5013" ht="16.5" customHeight="1"/>
    <row r="5014" ht="16.5" customHeight="1"/>
    <row r="5015" ht="16.5" customHeight="1"/>
    <row r="5016" ht="16.5" customHeight="1"/>
    <row r="5017" ht="16.5" customHeight="1"/>
    <row r="5018" ht="16.5" customHeight="1"/>
    <row r="5019" ht="16.5" customHeight="1"/>
    <row r="5020" ht="16.5" customHeight="1"/>
    <row r="5021" ht="16.5" customHeight="1"/>
    <row r="5022" ht="16.5" customHeight="1"/>
    <row r="5023" ht="16.5" customHeight="1"/>
    <row r="5024" ht="16.5" customHeight="1"/>
    <row r="5025" ht="16.5" customHeight="1"/>
    <row r="5026" ht="16.5" customHeight="1"/>
    <row r="5027" ht="16.5" customHeight="1"/>
    <row r="5028" ht="16.5" customHeight="1"/>
    <row r="5029" ht="16.5" customHeight="1"/>
    <row r="5030" ht="16.5" customHeight="1"/>
    <row r="5031" ht="16.5" customHeight="1"/>
    <row r="5032" ht="16.5" customHeight="1"/>
    <row r="5033" ht="16.5" customHeight="1"/>
    <row r="5034" ht="16.5" customHeight="1"/>
    <row r="5035" ht="16.5" customHeight="1"/>
    <row r="5036" ht="16.5" customHeight="1"/>
    <row r="5037" ht="16.5" customHeight="1"/>
    <row r="5038" ht="16.5" customHeight="1"/>
    <row r="5039" ht="16.5" customHeight="1"/>
    <row r="5040" ht="16.5" customHeight="1"/>
    <row r="5041" ht="16.5" customHeight="1"/>
    <row r="5042" ht="16.5" customHeight="1"/>
    <row r="5043" ht="16.5" customHeight="1"/>
    <row r="5044" ht="16.5" customHeight="1"/>
    <row r="5045" ht="16.5" customHeight="1"/>
    <row r="5046" ht="16.5" customHeight="1"/>
    <row r="5047" ht="16.5" customHeight="1"/>
    <row r="5048" ht="16.5" customHeight="1"/>
    <row r="5049" ht="16.5" customHeight="1"/>
    <row r="5050" ht="16.5" customHeight="1"/>
    <row r="5051" ht="16.5" customHeight="1"/>
    <row r="5052" ht="16.5" customHeight="1"/>
    <row r="5053" ht="16.5" customHeight="1"/>
    <row r="5054" ht="16.5" customHeight="1"/>
    <row r="5055" ht="16.5" customHeight="1"/>
    <row r="5056" ht="16.5" customHeight="1"/>
    <row r="5057" ht="16.5" customHeight="1"/>
    <row r="5058" ht="16.5" customHeight="1"/>
    <row r="5059" ht="16.5" customHeight="1"/>
    <row r="5060" ht="16.5" customHeight="1"/>
    <row r="5061" ht="16.5" customHeight="1"/>
    <row r="5062" ht="16.5" customHeight="1"/>
    <row r="5063" ht="16.5" customHeight="1"/>
    <row r="5064" ht="16.5" customHeight="1"/>
    <row r="5065" ht="16.5" customHeight="1"/>
    <row r="5066" ht="16.5" customHeight="1"/>
    <row r="5067" ht="16.5" customHeight="1"/>
    <row r="5068" ht="16.5" customHeight="1"/>
    <row r="5069" ht="16.5" customHeight="1"/>
    <row r="5070" ht="16.5" customHeight="1"/>
    <row r="5071" ht="16.5" customHeight="1"/>
    <row r="5072" ht="16.5" customHeight="1"/>
    <row r="5073" ht="16.5" customHeight="1"/>
    <row r="5074" ht="16.5" customHeight="1"/>
    <row r="5075" ht="16.5" customHeight="1"/>
    <row r="5076" ht="16.5" customHeight="1"/>
    <row r="5077" ht="16.5" customHeight="1"/>
    <row r="5078" ht="16.5" customHeight="1"/>
    <row r="5079" ht="16.5" customHeight="1"/>
    <row r="5080" ht="16.5" customHeight="1"/>
    <row r="5081" ht="16.5" customHeight="1"/>
    <row r="5082" ht="16.5" customHeight="1"/>
    <row r="5083" ht="16.5" customHeight="1"/>
    <row r="5084" ht="16.5" customHeight="1"/>
    <row r="5085" ht="16.5" customHeight="1"/>
    <row r="5086" ht="16.5" customHeight="1"/>
    <row r="5087" ht="16.5" customHeight="1"/>
    <row r="5088" ht="16.5" customHeight="1"/>
    <row r="5089" ht="16.5" customHeight="1"/>
    <row r="5090" ht="16.5" customHeight="1"/>
    <row r="5091" ht="16.5" customHeight="1"/>
    <row r="5092" ht="16.5" customHeight="1"/>
    <row r="5093" ht="16.5" customHeight="1"/>
    <row r="5094" ht="16.5" customHeight="1"/>
    <row r="5095" ht="16.5" customHeight="1"/>
    <row r="5096" ht="16.5" customHeight="1"/>
    <row r="5097" ht="16.5" customHeight="1"/>
    <row r="5098" ht="16.5" customHeight="1"/>
    <row r="5099" ht="16.5" customHeight="1"/>
    <row r="5100" ht="16.5" customHeight="1"/>
    <row r="5101" ht="16.5" customHeight="1"/>
    <row r="5102" ht="16.5" customHeight="1"/>
    <row r="5103" ht="16.5" customHeight="1"/>
    <row r="5104" ht="16.5" customHeight="1"/>
    <row r="5105" ht="16.5" customHeight="1"/>
    <row r="5106" ht="16.5" customHeight="1"/>
    <row r="5107" ht="16.5" customHeight="1"/>
    <row r="5108" ht="16.5" customHeight="1"/>
    <row r="5109" ht="16.5" customHeight="1"/>
    <row r="5110" ht="16.5" customHeight="1"/>
    <row r="5111" ht="16.5" customHeight="1"/>
    <row r="5112" ht="16.5" customHeight="1"/>
    <row r="5113" ht="16.5" customHeight="1"/>
    <row r="5114" ht="16.5" customHeight="1"/>
    <row r="5115" ht="16.5" customHeight="1"/>
    <row r="5116" ht="16.5" customHeight="1"/>
    <row r="5117" ht="16.5" customHeight="1"/>
    <row r="5118" ht="16.5" customHeight="1"/>
    <row r="5119" ht="16.5" customHeight="1"/>
    <row r="5120" ht="16.5" customHeight="1"/>
    <row r="5121" ht="16.5" customHeight="1"/>
    <row r="5122" ht="16.5" customHeight="1"/>
    <row r="5123" ht="16.5" customHeight="1"/>
    <row r="5124" ht="16.5" customHeight="1"/>
    <row r="5125" ht="16.5" customHeight="1"/>
    <row r="5126" ht="16.5" customHeight="1"/>
    <row r="5127" ht="16.5" customHeight="1"/>
    <row r="5128" ht="16.5" customHeight="1"/>
    <row r="5129" ht="16.5" customHeight="1"/>
    <row r="5130" ht="16.5" customHeight="1"/>
    <row r="5131" ht="16.5" customHeight="1"/>
    <row r="5132" ht="16.5" customHeight="1"/>
    <row r="5133" ht="16.5" customHeight="1"/>
    <row r="5134" ht="16.5" customHeight="1"/>
    <row r="5135" ht="16.5" customHeight="1"/>
    <row r="5136" ht="16.5" customHeight="1"/>
    <row r="5137" ht="16.5" customHeight="1"/>
    <row r="5138" ht="16.5" customHeight="1"/>
    <row r="5139" ht="16.5" customHeight="1"/>
    <row r="5140" ht="16.5" customHeight="1"/>
    <row r="5141" ht="16.5" customHeight="1"/>
    <row r="5142" ht="16.5" customHeight="1"/>
    <row r="5143" ht="16.5" customHeight="1"/>
    <row r="5144" ht="16.5" customHeight="1"/>
    <row r="5145" ht="16.5" customHeight="1"/>
    <row r="5146" ht="16.5" customHeight="1"/>
    <row r="5147" ht="16.5" customHeight="1"/>
    <row r="5148" ht="16.5" customHeight="1"/>
    <row r="5149" ht="16.5" customHeight="1"/>
    <row r="5150" ht="16.5" customHeight="1"/>
    <row r="5151" ht="16.5" customHeight="1"/>
    <row r="5152" ht="16.5" customHeight="1"/>
    <row r="5153" ht="16.5" customHeight="1"/>
    <row r="5154" ht="16.5" customHeight="1"/>
    <row r="5155" ht="16.5" customHeight="1"/>
    <row r="5156" ht="16.5" customHeight="1"/>
    <row r="5157" ht="16.5" customHeight="1"/>
    <row r="5158" ht="16.5" customHeight="1"/>
    <row r="5159" ht="16.5" customHeight="1"/>
    <row r="5160" ht="16.5" customHeight="1"/>
    <row r="5161" ht="16.5" customHeight="1"/>
    <row r="5162" ht="16.5" customHeight="1"/>
    <row r="5163" ht="16.5" customHeight="1"/>
    <row r="5164" ht="16.5" customHeight="1"/>
    <row r="5165" ht="16.5" customHeight="1"/>
    <row r="5166" ht="16.5" customHeight="1"/>
    <row r="5167" ht="16.5" customHeight="1"/>
    <row r="5168" ht="16.5" customHeight="1"/>
    <row r="5169" ht="16.5" customHeight="1"/>
    <row r="5170" ht="16.5" customHeight="1"/>
    <row r="5171" ht="16.5" customHeight="1"/>
    <row r="5172" ht="16.5" customHeight="1"/>
    <row r="5173" ht="16.5" customHeight="1"/>
    <row r="5174" ht="16.5" customHeight="1"/>
    <row r="5175" ht="16.5" customHeight="1"/>
    <row r="5176" ht="16.5" customHeight="1"/>
    <row r="5177" ht="16.5" customHeight="1"/>
    <row r="5178" ht="16.5" customHeight="1"/>
    <row r="5179" ht="16.5" customHeight="1"/>
    <row r="5180" ht="16.5" customHeight="1"/>
    <row r="5181" ht="16.5" customHeight="1"/>
    <row r="5182" ht="16.5" customHeight="1"/>
    <row r="5183" ht="16.5" customHeight="1"/>
    <row r="5184" ht="16.5" customHeight="1"/>
    <row r="5185" ht="16.5" customHeight="1"/>
    <row r="5186" ht="16.5" customHeight="1"/>
    <row r="5187" ht="16.5" customHeight="1"/>
    <row r="5188" ht="16.5" customHeight="1"/>
    <row r="5189" ht="16.5" customHeight="1"/>
    <row r="5190" ht="16.5" customHeight="1"/>
    <row r="5191" ht="16.5" customHeight="1"/>
    <row r="5192" ht="16.5" customHeight="1"/>
    <row r="5193" ht="16.5" customHeight="1"/>
    <row r="5194" ht="16.5" customHeight="1"/>
    <row r="5195" ht="16.5" customHeight="1"/>
    <row r="5196" ht="16.5" customHeight="1"/>
    <row r="5197" ht="16.5" customHeight="1"/>
    <row r="5198" ht="16.5" customHeight="1"/>
    <row r="5199" ht="16.5" customHeight="1"/>
    <row r="5200" ht="16.5" customHeight="1"/>
    <row r="5201" ht="16.5" customHeight="1"/>
    <row r="5202" ht="16.5" customHeight="1"/>
    <row r="5203" ht="16.5" customHeight="1"/>
    <row r="5204" ht="16.5" customHeight="1"/>
    <row r="5205" ht="16.5" customHeight="1"/>
    <row r="5206" ht="16.5" customHeight="1"/>
    <row r="5207" ht="16.5" customHeight="1"/>
    <row r="5208" ht="16.5" customHeight="1"/>
    <row r="5209" ht="16.5" customHeight="1"/>
    <row r="5210" ht="16.5" customHeight="1"/>
    <row r="5211" ht="16.5" customHeight="1"/>
    <row r="5212" ht="16.5" customHeight="1"/>
    <row r="5213" ht="16.5" customHeight="1"/>
    <row r="5214" ht="16.5" customHeight="1"/>
    <row r="5215" ht="16.5" customHeight="1"/>
    <row r="5216" ht="16.5" customHeight="1"/>
    <row r="5217" ht="16.5" customHeight="1"/>
    <row r="5218" ht="16.5" customHeight="1"/>
    <row r="5219" ht="16.5" customHeight="1"/>
    <row r="5220" ht="16.5" customHeight="1"/>
    <row r="5221" ht="16.5" customHeight="1"/>
    <row r="5222" ht="16.5" customHeight="1"/>
    <row r="5223" ht="16.5" customHeight="1"/>
    <row r="5224" ht="16.5" customHeight="1"/>
    <row r="5225" ht="16.5" customHeight="1"/>
    <row r="5226" ht="16.5" customHeight="1"/>
    <row r="5227" ht="16.5" customHeight="1"/>
    <row r="5228" ht="16.5" customHeight="1"/>
    <row r="5229" ht="16.5" customHeight="1"/>
    <row r="5230" ht="16.5" customHeight="1"/>
    <row r="5231" ht="16.5" customHeight="1"/>
    <row r="5232" ht="16.5" customHeight="1"/>
    <row r="5233" ht="16.5" customHeight="1"/>
    <row r="5234" ht="16.5" customHeight="1"/>
    <row r="5235" ht="16.5" customHeight="1"/>
    <row r="5236" ht="16.5" customHeight="1"/>
    <row r="5237" ht="16.5" customHeight="1"/>
    <row r="5238" ht="16.5" customHeight="1"/>
    <row r="5239" ht="16.5" customHeight="1"/>
    <row r="5240" ht="16.5" customHeight="1"/>
    <row r="5241" ht="16.5" customHeight="1"/>
    <row r="5242" ht="16.5" customHeight="1"/>
    <row r="5243" ht="16.5" customHeight="1"/>
    <row r="5244" ht="16.5" customHeight="1"/>
    <row r="5245" ht="16.5" customHeight="1"/>
    <row r="5246" ht="16.5" customHeight="1"/>
    <row r="5247" ht="16.5" customHeight="1"/>
    <row r="5248" ht="16.5" customHeight="1"/>
    <row r="5249" ht="16.5" customHeight="1"/>
    <row r="5250" ht="16.5" customHeight="1"/>
    <row r="5251" ht="16.5" customHeight="1"/>
    <row r="5252" ht="16.5" customHeight="1"/>
    <row r="5253" ht="16.5" customHeight="1"/>
    <row r="5254" ht="16.5" customHeight="1"/>
    <row r="5255" ht="16.5" customHeight="1"/>
    <row r="5256" ht="16.5" customHeight="1"/>
    <row r="5257" ht="16.5" customHeight="1"/>
    <row r="5258" ht="16.5" customHeight="1"/>
    <row r="5259" ht="16.5" customHeight="1"/>
    <row r="5260" ht="16.5" customHeight="1"/>
    <row r="5261" ht="16.5" customHeight="1"/>
    <row r="5262" ht="16.5" customHeight="1"/>
    <row r="5263" ht="16.5" customHeight="1"/>
    <row r="5264" ht="16.5" customHeight="1"/>
    <row r="5265" ht="16.5" customHeight="1"/>
    <row r="5266" ht="16.5" customHeight="1"/>
    <row r="5267" ht="16.5" customHeight="1"/>
    <row r="5268" ht="16.5" customHeight="1"/>
    <row r="5269" ht="16.5" customHeight="1"/>
    <row r="5270" ht="16.5" customHeight="1"/>
    <row r="5271" ht="16.5" customHeight="1"/>
    <row r="5272" ht="16.5" customHeight="1"/>
    <row r="5273" ht="16.5" customHeight="1"/>
    <row r="5274" ht="16.5" customHeight="1"/>
    <row r="5275" ht="16.5" customHeight="1"/>
    <row r="5276" ht="16.5" customHeight="1"/>
    <row r="5277" ht="16.5" customHeight="1"/>
    <row r="5278" ht="16.5" customHeight="1"/>
    <row r="5279" ht="16.5" customHeight="1"/>
    <row r="5280" ht="16.5" customHeight="1"/>
    <row r="5281" ht="16.5" customHeight="1"/>
    <row r="5282" ht="16.5" customHeight="1"/>
    <row r="5283" ht="16.5" customHeight="1"/>
    <row r="5284" ht="16.5" customHeight="1"/>
    <row r="5285" ht="16.5" customHeight="1"/>
    <row r="5286" ht="16.5" customHeight="1"/>
    <row r="5287" ht="16.5" customHeight="1"/>
    <row r="5288" ht="16.5" customHeight="1"/>
    <row r="5289" ht="16.5" customHeight="1"/>
    <row r="5290" ht="16.5" customHeight="1"/>
    <row r="5291" ht="16.5" customHeight="1"/>
    <row r="5292" ht="16.5" customHeight="1"/>
    <row r="5293" ht="16.5" customHeight="1"/>
    <row r="5294" ht="16.5" customHeight="1"/>
    <row r="5295" ht="16.5" customHeight="1"/>
    <row r="5296" ht="16.5" customHeight="1"/>
    <row r="5297" ht="16.5" customHeight="1"/>
    <row r="5298" ht="16.5" customHeight="1"/>
    <row r="5299" ht="16.5" customHeight="1"/>
    <row r="5300" ht="16.5" customHeight="1"/>
    <row r="5301" ht="16.5" customHeight="1"/>
    <row r="5302" ht="16.5" customHeight="1"/>
    <row r="5303" ht="16.5" customHeight="1"/>
    <row r="5304" ht="16.5" customHeight="1"/>
    <row r="5305" ht="16.5" customHeight="1"/>
    <row r="5306" ht="16.5" customHeight="1"/>
    <row r="5307" ht="16.5" customHeight="1"/>
    <row r="5308" ht="16.5" customHeight="1"/>
    <row r="5309" ht="16.5" customHeight="1"/>
    <row r="5310" ht="16.5" customHeight="1"/>
    <row r="5311" ht="16.5" customHeight="1"/>
    <row r="5312" ht="16.5" customHeight="1"/>
    <row r="5313" ht="16.5" customHeight="1"/>
    <row r="5314" ht="16.5" customHeight="1"/>
    <row r="5315" ht="16.5" customHeight="1"/>
    <row r="5316" ht="16.5" customHeight="1"/>
    <row r="5317" ht="16.5" customHeight="1"/>
    <row r="5318" ht="16.5" customHeight="1"/>
    <row r="5319" ht="16.5" customHeight="1"/>
    <row r="5320" ht="16.5" customHeight="1"/>
    <row r="5321" ht="16.5" customHeight="1"/>
    <row r="5322" ht="16.5" customHeight="1"/>
    <row r="5323" ht="16.5" customHeight="1"/>
    <row r="5324" ht="16.5" customHeight="1"/>
    <row r="5325" ht="16.5" customHeight="1"/>
    <row r="5326" ht="16.5" customHeight="1"/>
    <row r="5327" ht="16.5" customHeight="1"/>
    <row r="5328" ht="16.5" customHeight="1"/>
    <row r="5329" ht="16.5" customHeight="1"/>
    <row r="5330" ht="16.5" customHeight="1"/>
    <row r="5331" ht="16.5" customHeight="1"/>
    <row r="5332" ht="16.5" customHeight="1"/>
    <row r="5333" ht="16.5" customHeight="1"/>
    <row r="5334" ht="16.5" customHeight="1"/>
    <row r="5335" ht="16.5" customHeight="1"/>
    <row r="5336" ht="16.5" customHeight="1"/>
    <row r="5337" ht="16.5" customHeight="1"/>
    <row r="5338" ht="16.5" customHeight="1"/>
    <row r="5339" ht="16.5" customHeight="1"/>
    <row r="5340" ht="16.5" customHeight="1"/>
    <row r="5341" ht="16.5" customHeight="1"/>
    <row r="5342" ht="16.5" customHeight="1"/>
    <row r="5343" ht="16.5" customHeight="1"/>
    <row r="5344" ht="16.5" customHeight="1"/>
    <row r="5345" ht="16.5" customHeight="1"/>
    <row r="5346" ht="16.5" customHeight="1"/>
    <row r="5347" ht="16.5" customHeight="1"/>
    <row r="5348" ht="16.5" customHeight="1"/>
    <row r="5349" ht="16.5" customHeight="1"/>
    <row r="5350" ht="16.5" customHeight="1"/>
    <row r="5351" ht="16.5" customHeight="1"/>
    <row r="5352" ht="16.5" customHeight="1"/>
    <row r="5353" ht="16.5" customHeight="1"/>
    <row r="5354" ht="16.5" customHeight="1"/>
    <row r="5355" ht="16.5" customHeight="1"/>
    <row r="5356" ht="16.5" customHeight="1"/>
    <row r="5357" ht="16.5" customHeight="1"/>
    <row r="5358" ht="16.5" customHeight="1"/>
    <row r="5359" ht="16.5" customHeight="1"/>
    <row r="5360" ht="16.5" customHeight="1"/>
    <row r="5361" ht="16.5" customHeight="1"/>
    <row r="5362" ht="16.5" customHeight="1"/>
    <row r="5363" ht="16.5" customHeight="1"/>
    <row r="5364" ht="16.5" customHeight="1"/>
    <row r="5365" ht="16.5" customHeight="1"/>
    <row r="5366" ht="16.5" customHeight="1"/>
    <row r="5367" ht="16.5" customHeight="1"/>
    <row r="5368" ht="16.5" customHeight="1"/>
    <row r="5369" ht="16.5" customHeight="1"/>
    <row r="5370" ht="16.5" customHeight="1"/>
    <row r="5371" ht="16.5" customHeight="1"/>
    <row r="5372" ht="16.5" customHeight="1"/>
    <row r="5373" ht="16.5" customHeight="1"/>
    <row r="5374" ht="16.5" customHeight="1"/>
    <row r="5375" ht="16.5" customHeight="1"/>
    <row r="5376" ht="16.5" customHeight="1"/>
    <row r="5377" ht="16.5" customHeight="1"/>
    <row r="5378" ht="16.5" customHeight="1"/>
    <row r="5379" ht="16.5" customHeight="1"/>
    <row r="5380" ht="16.5" customHeight="1"/>
    <row r="5381" ht="16.5" customHeight="1"/>
    <row r="5382" ht="16.5" customHeight="1"/>
    <row r="5383" ht="16.5" customHeight="1"/>
    <row r="5384" ht="16.5" customHeight="1"/>
    <row r="5385" ht="16.5" customHeight="1"/>
    <row r="5386" ht="16.5" customHeight="1"/>
    <row r="5387" ht="16.5" customHeight="1"/>
    <row r="5388" ht="16.5" customHeight="1"/>
    <row r="5389" ht="16.5" customHeight="1"/>
    <row r="5390" ht="16.5" customHeight="1"/>
    <row r="5391" ht="16.5" customHeight="1"/>
    <row r="5392" ht="16.5" customHeight="1"/>
    <row r="5393" ht="16.5" customHeight="1"/>
    <row r="5394" ht="16.5" customHeight="1"/>
    <row r="5395" ht="16.5" customHeight="1"/>
    <row r="5396" ht="16.5" customHeight="1"/>
    <row r="5397" ht="16.5" customHeight="1"/>
    <row r="5398" ht="16.5" customHeight="1"/>
    <row r="5399" ht="16.5" customHeight="1"/>
    <row r="5400" ht="16.5" customHeight="1"/>
    <row r="5401" ht="16.5" customHeight="1"/>
    <row r="5402" ht="16.5" customHeight="1"/>
    <row r="5403" ht="16.5" customHeight="1"/>
    <row r="5404" ht="16.5" customHeight="1"/>
    <row r="5405" ht="16.5" customHeight="1"/>
    <row r="5406" ht="16.5" customHeight="1"/>
    <row r="5407" ht="16.5" customHeight="1"/>
    <row r="5408" ht="16.5" customHeight="1"/>
    <row r="5409" ht="16.5" customHeight="1"/>
    <row r="5410" ht="16.5" customHeight="1"/>
    <row r="5411" ht="16.5" customHeight="1"/>
    <row r="5412" ht="16.5" customHeight="1"/>
    <row r="5413" ht="16.5" customHeight="1"/>
    <row r="5414" ht="16.5" customHeight="1"/>
    <row r="5415" ht="16.5" customHeight="1"/>
    <row r="5416" ht="16.5" customHeight="1"/>
    <row r="5417" ht="16.5" customHeight="1"/>
    <row r="5418" ht="16.5" customHeight="1"/>
    <row r="5419" ht="16.5" customHeight="1"/>
    <row r="5420" ht="16.5" customHeight="1"/>
    <row r="5421" ht="16.5" customHeight="1"/>
    <row r="5422" ht="16.5" customHeight="1"/>
    <row r="5423" ht="16.5" customHeight="1"/>
    <row r="5424" ht="16.5" customHeight="1"/>
    <row r="5425" ht="16.5" customHeight="1"/>
    <row r="5426" ht="16.5" customHeight="1"/>
    <row r="5427" ht="16.5" customHeight="1"/>
    <row r="5428" ht="16.5" customHeight="1"/>
    <row r="5429" ht="16.5" customHeight="1"/>
    <row r="5430" ht="16.5" customHeight="1"/>
    <row r="5431" ht="16.5" customHeight="1"/>
    <row r="5432" ht="16.5" customHeight="1"/>
    <row r="5433" ht="16.5" customHeight="1"/>
    <row r="5434" ht="16.5" customHeight="1"/>
    <row r="5435" ht="16.5" customHeight="1"/>
    <row r="5436" ht="16.5" customHeight="1"/>
    <row r="5437" ht="16.5" customHeight="1"/>
    <row r="5438" ht="16.5" customHeight="1"/>
    <row r="5439" ht="16.5" customHeight="1"/>
    <row r="5440" ht="16.5" customHeight="1"/>
    <row r="5441" ht="16.5" customHeight="1"/>
    <row r="5442" ht="16.5" customHeight="1"/>
    <row r="5443" ht="16.5" customHeight="1"/>
    <row r="5444" ht="16.5" customHeight="1"/>
    <row r="5445" ht="16.5" customHeight="1"/>
    <row r="5446" ht="16.5" customHeight="1"/>
    <row r="5447" ht="16.5" customHeight="1"/>
    <row r="5448" ht="16.5" customHeight="1"/>
    <row r="5449" ht="16.5" customHeight="1"/>
    <row r="5450" ht="16.5" customHeight="1"/>
    <row r="5451" ht="16.5" customHeight="1"/>
    <row r="5452" ht="16.5" customHeight="1"/>
    <row r="5453" ht="16.5" customHeight="1"/>
    <row r="5454" ht="16.5" customHeight="1"/>
    <row r="5455" ht="16.5" customHeight="1"/>
    <row r="5456" ht="16.5" customHeight="1"/>
    <row r="5457" ht="16.5" customHeight="1"/>
    <row r="5458" ht="16.5" customHeight="1"/>
    <row r="5459" ht="16.5" customHeight="1"/>
    <row r="5460" ht="16.5" customHeight="1"/>
    <row r="5461" ht="16.5" customHeight="1"/>
    <row r="5462" ht="16.5" customHeight="1"/>
    <row r="5463" ht="16.5" customHeight="1"/>
    <row r="5464" ht="16.5" customHeight="1"/>
    <row r="5465" ht="16.5" customHeight="1"/>
    <row r="5466" ht="16.5" customHeight="1"/>
    <row r="5467" ht="16.5" customHeight="1"/>
    <row r="5468" ht="16.5" customHeight="1"/>
    <row r="5469" ht="16.5" customHeight="1"/>
    <row r="5470" ht="16.5" customHeight="1"/>
    <row r="5471" ht="16.5" customHeight="1"/>
    <row r="5472" ht="16.5" customHeight="1"/>
    <row r="5473" ht="16.5" customHeight="1"/>
    <row r="5474" ht="16.5" customHeight="1"/>
    <row r="5475" ht="16.5" customHeight="1"/>
    <row r="5476" ht="16.5" customHeight="1"/>
    <row r="5477" ht="16.5" customHeight="1"/>
    <row r="5478" ht="16.5" customHeight="1"/>
    <row r="5479" ht="16.5" customHeight="1"/>
    <row r="5480" ht="16.5" customHeight="1"/>
    <row r="5481" ht="16.5" customHeight="1"/>
    <row r="5482" ht="16.5" customHeight="1"/>
    <row r="5483" ht="16.5" customHeight="1"/>
    <row r="5484" ht="16.5" customHeight="1"/>
    <row r="5485" ht="16.5" customHeight="1"/>
    <row r="5486" ht="16.5" customHeight="1"/>
    <row r="5487" ht="16.5" customHeight="1"/>
    <row r="5488" ht="16.5" customHeight="1"/>
    <row r="5489" ht="16.5" customHeight="1"/>
    <row r="5490" ht="16.5" customHeight="1"/>
    <row r="5491" ht="16.5" customHeight="1"/>
    <row r="5492" ht="16.5" customHeight="1"/>
    <row r="5493" ht="16.5" customHeight="1"/>
    <row r="5494" ht="16.5" customHeight="1"/>
    <row r="5495" ht="16.5" customHeight="1"/>
    <row r="5496" ht="16.5" customHeight="1"/>
    <row r="5497" ht="16.5" customHeight="1"/>
    <row r="5498" ht="16.5" customHeight="1"/>
    <row r="5499" ht="16.5" customHeight="1"/>
    <row r="5500" ht="16.5" customHeight="1"/>
    <row r="5501" ht="16.5" customHeight="1"/>
    <row r="5502" ht="16.5" customHeight="1"/>
    <row r="5503" ht="16.5" customHeight="1"/>
    <row r="5504" ht="16.5" customHeight="1"/>
    <row r="5505" ht="16.5" customHeight="1"/>
    <row r="5506" ht="16.5" customHeight="1"/>
    <row r="5507" ht="16.5" customHeight="1"/>
    <row r="5508" ht="16.5" customHeight="1"/>
    <row r="5509" ht="16.5" customHeight="1"/>
    <row r="5510" ht="16.5" customHeight="1"/>
    <row r="5511" ht="16.5" customHeight="1"/>
    <row r="5512" ht="16.5" customHeight="1"/>
    <row r="5513" ht="16.5" customHeight="1"/>
    <row r="5514" ht="16.5" customHeight="1"/>
    <row r="5515" ht="16.5" customHeight="1"/>
    <row r="5516" ht="16.5" customHeight="1"/>
    <row r="5517" ht="16.5" customHeight="1"/>
    <row r="5518" ht="16.5" customHeight="1"/>
    <row r="5519" ht="16.5" customHeight="1"/>
    <row r="5520" ht="16.5" customHeight="1"/>
    <row r="5521" ht="16.5" customHeight="1"/>
    <row r="5522" ht="16.5" customHeight="1"/>
    <row r="5523" ht="16.5" customHeight="1"/>
    <row r="5524" ht="16.5" customHeight="1"/>
    <row r="5525" ht="16.5" customHeight="1"/>
    <row r="5526" ht="16.5" customHeight="1"/>
    <row r="5527" ht="16.5" customHeight="1"/>
    <row r="5528" ht="16.5" customHeight="1"/>
    <row r="5529" ht="16.5" customHeight="1"/>
    <row r="5530" ht="16.5" customHeight="1"/>
    <row r="5531" ht="16.5" customHeight="1"/>
    <row r="5532" ht="16.5" customHeight="1"/>
    <row r="5533" ht="16.5" customHeight="1"/>
    <row r="5534" ht="16.5" customHeight="1"/>
    <row r="5535" ht="16.5" customHeight="1"/>
    <row r="5536" ht="16.5" customHeight="1"/>
    <row r="5537" ht="16.5" customHeight="1"/>
    <row r="5538" ht="16.5" customHeight="1"/>
    <row r="5539" ht="16.5" customHeight="1"/>
    <row r="5540" ht="16.5" customHeight="1"/>
    <row r="5541" ht="16.5" customHeight="1"/>
    <row r="5542" ht="16.5" customHeight="1"/>
    <row r="5543" ht="16.5" customHeight="1"/>
    <row r="5544" ht="16.5" customHeight="1"/>
    <row r="5545" ht="16.5" customHeight="1"/>
    <row r="5546" ht="16.5" customHeight="1"/>
    <row r="5547" ht="16.5" customHeight="1"/>
    <row r="5548" ht="16.5" customHeight="1"/>
    <row r="5549" ht="16.5" customHeight="1"/>
    <row r="5550" ht="16.5" customHeight="1"/>
    <row r="5551" ht="16.5" customHeight="1"/>
    <row r="5552" ht="16.5" customHeight="1"/>
    <row r="5553" ht="16.5" customHeight="1"/>
    <row r="5554" ht="16.5" customHeight="1"/>
    <row r="5555" ht="16.5" customHeight="1"/>
    <row r="5556" ht="16.5" customHeight="1"/>
    <row r="5557" ht="16.5" customHeight="1"/>
    <row r="5558" ht="16.5" customHeight="1"/>
    <row r="5559" ht="16.5" customHeight="1"/>
    <row r="5560" ht="16.5" customHeight="1"/>
    <row r="5561" ht="16.5" customHeight="1"/>
    <row r="5562" ht="16.5" customHeight="1"/>
    <row r="5563" ht="16.5" customHeight="1"/>
    <row r="5564" ht="16.5" customHeight="1"/>
    <row r="5565" ht="16.5" customHeight="1"/>
    <row r="5566" ht="16.5" customHeight="1"/>
    <row r="5567" ht="16.5" customHeight="1"/>
    <row r="5568" ht="16.5" customHeight="1"/>
    <row r="5569" ht="16.5" customHeight="1"/>
    <row r="5570" ht="16.5" customHeight="1"/>
    <row r="5571" ht="16.5" customHeight="1"/>
    <row r="5572" ht="16.5" customHeight="1"/>
    <row r="5573" ht="16.5" customHeight="1"/>
    <row r="5574" ht="16.5" customHeight="1"/>
    <row r="5575" ht="16.5" customHeight="1"/>
    <row r="5576" ht="16.5" customHeight="1"/>
    <row r="5577" ht="16.5" customHeight="1"/>
    <row r="5578" ht="16.5" customHeight="1"/>
    <row r="5579" ht="16.5" customHeight="1"/>
    <row r="5580" ht="16.5" customHeight="1"/>
    <row r="5581" ht="16.5" customHeight="1"/>
    <row r="5582" ht="16.5" customHeight="1"/>
    <row r="5583" ht="16.5" customHeight="1"/>
    <row r="5584" ht="16.5" customHeight="1"/>
    <row r="5585" ht="16.5" customHeight="1"/>
    <row r="5586" ht="16.5" customHeight="1"/>
    <row r="5587" ht="16.5" customHeight="1"/>
    <row r="5588" ht="16.5" customHeight="1"/>
    <row r="5589" ht="16.5" customHeight="1"/>
    <row r="5590" ht="16.5" customHeight="1"/>
    <row r="5591" ht="16.5" customHeight="1"/>
    <row r="5592" ht="16.5" customHeight="1"/>
    <row r="5593" ht="16.5" customHeight="1"/>
    <row r="5594" ht="16.5" customHeight="1"/>
    <row r="5595" ht="16.5" customHeight="1"/>
    <row r="5596" ht="16.5" customHeight="1"/>
    <row r="5597" ht="16.5" customHeight="1"/>
    <row r="5598" ht="16.5" customHeight="1"/>
    <row r="5599" ht="16.5" customHeight="1"/>
    <row r="5600" ht="16.5" customHeight="1"/>
    <row r="5601" ht="16.5" customHeight="1"/>
    <row r="5602" ht="16.5" customHeight="1"/>
    <row r="5603" ht="16.5" customHeight="1"/>
    <row r="5604" ht="16.5" customHeight="1"/>
    <row r="5605" ht="16.5" customHeight="1"/>
    <row r="5606" ht="16.5" customHeight="1"/>
    <row r="5607" ht="16.5" customHeight="1"/>
    <row r="5608" ht="16.5" customHeight="1"/>
    <row r="5609" ht="16.5" customHeight="1"/>
    <row r="5610" ht="16.5" customHeight="1"/>
    <row r="5611" ht="16.5" customHeight="1"/>
    <row r="5612" ht="16.5" customHeight="1"/>
    <row r="5613" ht="16.5" customHeight="1"/>
    <row r="5614" ht="16.5" customHeight="1"/>
    <row r="5615" ht="16.5" customHeight="1"/>
    <row r="5616" ht="16.5" customHeight="1"/>
    <row r="5617" ht="16.5" customHeight="1"/>
    <row r="5618" ht="16.5" customHeight="1"/>
    <row r="5619" ht="16.5" customHeight="1"/>
    <row r="5620" ht="16.5" customHeight="1"/>
    <row r="5621" ht="16.5" customHeight="1"/>
    <row r="5622" ht="16.5" customHeight="1"/>
    <row r="5623" ht="16.5" customHeight="1"/>
    <row r="5624" ht="16.5" customHeight="1"/>
    <row r="5625" ht="16.5" customHeight="1"/>
    <row r="5626" ht="16.5" customHeight="1"/>
    <row r="5627" ht="16.5" customHeight="1"/>
    <row r="5628" ht="16.5" customHeight="1"/>
    <row r="5629" ht="16.5" customHeight="1"/>
    <row r="5630" ht="16.5" customHeight="1"/>
    <row r="5631" ht="16.5" customHeight="1"/>
    <row r="5632" ht="16.5" customHeight="1"/>
    <row r="5633" ht="16.5" customHeight="1"/>
    <row r="5634" ht="16.5" customHeight="1"/>
    <row r="5635" ht="16.5" customHeight="1"/>
    <row r="5636" ht="16.5" customHeight="1"/>
    <row r="5637" ht="16.5" customHeight="1"/>
    <row r="5638" ht="16.5" customHeight="1"/>
    <row r="5639" ht="16.5" customHeight="1"/>
    <row r="5640" ht="16.5" customHeight="1"/>
    <row r="5641" ht="16.5" customHeight="1"/>
    <row r="5642" ht="16.5" customHeight="1"/>
    <row r="5643" ht="16.5" customHeight="1"/>
    <row r="5644" ht="16.5" customHeight="1"/>
    <row r="5645" ht="16.5" customHeight="1"/>
    <row r="5646" ht="16.5" customHeight="1"/>
    <row r="5647" ht="16.5" customHeight="1"/>
    <row r="5648" ht="16.5" customHeight="1"/>
    <row r="5649" ht="16.5" customHeight="1"/>
    <row r="5650" ht="16.5" customHeight="1"/>
    <row r="5651" ht="16.5" customHeight="1"/>
    <row r="5652" ht="16.5" customHeight="1"/>
    <row r="5653" ht="16.5" customHeight="1"/>
    <row r="5654" ht="16.5" customHeight="1"/>
    <row r="5655" ht="16.5" customHeight="1"/>
    <row r="5656" ht="16.5" customHeight="1"/>
    <row r="5657" ht="16.5" customHeight="1"/>
    <row r="5658" ht="16.5" customHeight="1"/>
    <row r="5659" ht="16.5" customHeight="1"/>
    <row r="5660" ht="16.5" customHeight="1"/>
    <row r="5661" ht="16.5" customHeight="1"/>
    <row r="5662" ht="16.5" customHeight="1"/>
    <row r="5663" ht="16.5" customHeight="1"/>
    <row r="5664" ht="16.5" customHeight="1"/>
    <row r="5665" ht="16.5" customHeight="1"/>
    <row r="5666" ht="16.5" customHeight="1"/>
    <row r="5667" ht="16.5" customHeight="1"/>
    <row r="5668" ht="16.5" customHeight="1"/>
    <row r="5669" ht="16.5" customHeight="1"/>
    <row r="5670" ht="16.5" customHeight="1"/>
    <row r="5671" ht="16.5" customHeight="1"/>
    <row r="5672" ht="16.5" customHeight="1"/>
    <row r="5673" ht="16.5" customHeight="1"/>
    <row r="5674" ht="16.5" customHeight="1"/>
    <row r="5675" ht="16.5" customHeight="1"/>
    <row r="5676" ht="16.5" customHeight="1"/>
    <row r="5677" ht="16.5" customHeight="1"/>
    <row r="5678" ht="16.5" customHeight="1"/>
    <row r="5679" ht="16.5" customHeight="1"/>
    <row r="5680" ht="16.5" customHeight="1"/>
    <row r="5681" ht="16.5" customHeight="1"/>
    <row r="5682" ht="16.5" customHeight="1"/>
    <row r="5683" ht="16.5" customHeight="1"/>
    <row r="5684" ht="16.5" customHeight="1"/>
    <row r="5685" ht="16.5" customHeight="1"/>
    <row r="5686" ht="16.5" customHeight="1"/>
    <row r="5687" ht="16.5" customHeight="1"/>
    <row r="5688" ht="16.5" customHeight="1"/>
    <row r="5689" ht="16.5" customHeight="1"/>
    <row r="5690" ht="16.5" customHeight="1"/>
    <row r="5691" ht="16.5" customHeight="1"/>
    <row r="5692" ht="16.5" customHeight="1"/>
    <row r="5693" ht="16.5" customHeight="1"/>
    <row r="5694" ht="16.5" customHeight="1"/>
    <row r="5695" ht="16.5" customHeight="1"/>
    <row r="5696" ht="16.5" customHeight="1"/>
    <row r="5697" ht="16.5" customHeight="1"/>
    <row r="5698" ht="16.5" customHeight="1"/>
    <row r="5699" ht="16.5" customHeight="1"/>
    <row r="5700" ht="16.5" customHeight="1"/>
    <row r="5701" ht="16.5" customHeight="1"/>
    <row r="5702" ht="16.5" customHeight="1"/>
    <row r="5703" ht="16.5" customHeight="1"/>
    <row r="5704" ht="16.5" customHeight="1"/>
    <row r="5705" ht="16.5" customHeight="1"/>
    <row r="5706" ht="16.5" customHeight="1"/>
    <row r="5707" ht="16.5" customHeight="1"/>
    <row r="5708" ht="16.5" customHeight="1"/>
    <row r="5709" ht="16.5" customHeight="1"/>
    <row r="5710" ht="16.5" customHeight="1"/>
    <row r="5711" ht="16.5" customHeight="1"/>
    <row r="5712" ht="16.5" customHeight="1"/>
    <row r="5713" ht="16.5" customHeight="1"/>
    <row r="5714" ht="16.5" customHeight="1"/>
    <row r="5715" ht="16.5" customHeight="1"/>
    <row r="5716" ht="16.5" customHeight="1"/>
    <row r="5717" ht="16.5" customHeight="1"/>
    <row r="5718" ht="16.5" customHeight="1"/>
    <row r="5719" ht="16.5" customHeight="1"/>
    <row r="5720" ht="16.5" customHeight="1"/>
    <row r="5721" ht="16.5" customHeight="1"/>
    <row r="5722" ht="16.5" customHeight="1"/>
    <row r="5723" ht="16.5" customHeight="1"/>
    <row r="5724" ht="16.5" customHeight="1"/>
    <row r="5725" ht="16.5" customHeight="1"/>
    <row r="5726" ht="16.5" customHeight="1"/>
    <row r="5727" ht="16.5" customHeight="1"/>
    <row r="5728" ht="16.5" customHeight="1"/>
    <row r="5729" ht="16.5" customHeight="1"/>
    <row r="5730" ht="16.5" customHeight="1"/>
    <row r="5731" ht="16.5" customHeight="1"/>
    <row r="5732" ht="16.5" customHeight="1"/>
    <row r="5733" ht="16.5" customHeight="1"/>
    <row r="5734" ht="16.5" customHeight="1"/>
    <row r="5735" ht="16.5" customHeight="1"/>
    <row r="5736" ht="16.5" customHeight="1"/>
    <row r="5737" ht="16.5" customHeight="1"/>
    <row r="5738" ht="16.5" customHeight="1"/>
    <row r="5739" ht="16.5" customHeight="1"/>
    <row r="5740" ht="16.5" customHeight="1"/>
    <row r="5741" ht="16.5" customHeight="1"/>
    <row r="5742" ht="16.5" customHeight="1"/>
    <row r="5743" ht="16.5" customHeight="1"/>
    <row r="5744" ht="16.5" customHeight="1"/>
    <row r="5745" ht="16.5" customHeight="1"/>
    <row r="5746" ht="16.5" customHeight="1"/>
    <row r="5747" ht="16.5" customHeight="1"/>
    <row r="5748" ht="16.5" customHeight="1"/>
    <row r="5749" ht="16.5" customHeight="1"/>
    <row r="5750" ht="16.5" customHeight="1"/>
    <row r="5751" ht="16.5" customHeight="1"/>
    <row r="5752" ht="16.5" customHeight="1"/>
    <row r="5753" ht="16.5" customHeight="1"/>
    <row r="5754" ht="16.5" customHeight="1"/>
    <row r="5755" ht="16.5" customHeight="1"/>
    <row r="5756" ht="16.5" customHeight="1"/>
    <row r="5757" ht="16.5" customHeight="1"/>
    <row r="5758" ht="16.5" customHeight="1"/>
    <row r="5759" ht="16.5" customHeight="1"/>
    <row r="5760" ht="16.5" customHeight="1"/>
    <row r="5761" ht="16.5" customHeight="1"/>
    <row r="5762" ht="16.5" customHeight="1"/>
    <row r="5763" ht="16.5" customHeight="1"/>
    <row r="5764" ht="16.5" customHeight="1"/>
    <row r="5765" ht="16.5" customHeight="1"/>
    <row r="5766" ht="16.5" customHeight="1"/>
    <row r="5767" ht="16.5" customHeight="1"/>
    <row r="5768" ht="16.5" customHeight="1"/>
    <row r="5769" ht="16.5" customHeight="1"/>
    <row r="5770" ht="16.5" customHeight="1"/>
    <row r="5771" ht="16.5" customHeight="1"/>
    <row r="5772" ht="16.5" customHeight="1"/>
    <row r="5773" ht="16.5" customHeight="1"/>
    <row r="5774" ht="16.5" customHeight="1"/>
    <row r="5775" ht="16.5" customHeight="1"/>
    <row r="5776" ht="16.5" customHeight="1"/>
    <row r="5777" ht="16.5" customHeight="1"/>
    <row r="5778" ht="16.5" customHeight="1"/>
    <row r="5779" ht="16.5" customHeight="1"/>
    <row r="5780" ht="16.5" customHeight="1"/>
    <row r="5781" ht="16.5" customHeight="1"/>
    <row r="5782" ht="16.5" customHeight="1"/>
    <row r="5783" ht="16.5" customHeight="1"/>
    <row r="5784" ht="16.5" customHeight="1"/>
    <row r="5785" ht="16.5" customHeight="1"/>
    <row r="5786" ht="16.5" customHeight="1"/>
    <row r="5787" ht="16.5" customHeight="1"/>
    <row r="5788" ht="16.5" customHeight="1"/>
    <row r="5789" ht="16.5" customHeight="1"/>
    <row r="5790" ht="16.5" customHeight="1"/>
    <row r="5791" ht="16.5" customHeight="1"/>
    <row r="5792" ht="16.5" customHeight="1"/>
    <row r="5793" ht="16.5" customHeight="1"/>
    <row r="5794" ht="16.5" customHeight="1"/>
    <row r="5795" ht="16.5" customHeight="1"/>
    <row r="5796" ht="16.5" customHeight="1"/>
    <row r="5797" ht="16.5" customHeight="1"/>
    <row r="5798" ht="16.5" customHeight="1"/>
    <row r="5799" ht="16.5" customHeight="1"/>
    <row r="5800" ht="16.5" customHeight="1"/>
    <row r="5801" ht="16.5" customHeight="1"/>
    <row r="5802" ht="16.5" customHeight="1"/>
    <row r="5803" ht="16.5" customHeight="1"/>
    <row r="5804" ht="16.5" customHeight="1"/>
    <row r="5805" ht="16.5" customHeight="1"/>
    <row r="5806" ht="16.5" customHeight="1"/>
    <row r="5807" ht="16.5" customHeight="1"/>
    <row r="5808" ht="16.5" customHeight="1"/>
    <row r="5809" ht="16.5" customHeight="1"/>
    <row r="5810" ht="16.5" customHeight="1"/>
    <row r="5811" ht="16.5" customHeight="1"/>
    <row r="5812" ht="16.5" customHeight="1"/>
    <row r="5813" ht="16.5" customHeight="1"/>
    <row r="5814" ht="16.5" customHeight="1"/>
    <row r="5815" ht="16.5" customHeight="1"/>
    <row r="5816" ht="16.5" customHeight="1"/>
    <row r="5817" ht="16.5" customHeight="1"/>
    <row r="5818" ht="16.5" customHeight="1"/>
    <row r="5819" ht="16.5" customHeight="1"/>
    <row r="5820" ht="16.5" customHeight="1"/>
    <row r="5821" ht="16.5" customHeight="1"/>
    <row r="5822" ht="16.5" customHeight="1"/>
    <row r="5823" ht="16.5" customHeight="1"/>
    <row r="5824" ht="16.5" customHeight="1"/>
    <row r="5825" ht="16.5" customHeight="1"/>
    <row r="5826" ht="16.5" customHeight="1"/>
    <row r="5827" ht="16.5" customHeight="1"/>
    <row r="5828" ht="16.5" customHeight="1"/>
    <row r="5829" ht="16.5" customHeight="1"/>
    <row r="5830" ht="16.5" customHeight="1"/>
    <row r="5831" ht="16.5" customHeight="1"/>
    <row r="5832" ht="16.5" customHeight="1"/>
    <row r="5833" ht="16.5" customHeight="1"/>
    <row r="5834" ht="16.5" customHeight="1"/>
    <row r="5835" ht="16.5" customHeight="1"/>
    <row r="5836" ht="16.5" customHeight="1"/>
    <row r="5837" ht="16.5" customHeight="1"/>
    <row r="5838" ht="16.5" customHeight="1"/>
    <row r="5839" ht="16.5" customHeight="1"/>
    <row r="5840" ht="16.5" customHeight="1"/>
    <row r="5841" ht="16.5" customHeight="1"/>
    <row r="5842" ht="16.5" customHeight="1"/>
    <row r="5843" ht="16.5" customHeight="1"/>
    <row r="5844" ht="16.5" customHeight="1"/>
    <row r="5845" ht="16.5" customHeight="1"/>
    <row r="5846" ht="16.5" customHeight="1"/>
    <row r="5847" ht="16.5" customHeight="1"/>
    <row r="5848" ht="16.5" customHeight="1"/>
    <row r="5849" ht="16.5" customHeight="1"/>
    <row r="5850" ht="16.5" customHeight="1"/>
    <row r="5851" ht="16.5" customHeight="1"/>
    <row r="5852" ht="16.5" customHeight="1"/>
    <row r="5853" ht="16.5" customHeight="1"/>
    <row r="5854" ht="16.5" customHeight="1"/>
    <row r="5855" ht="16.5" customHeight="1"/>
    <row r="5856" ht="16.5" customHeight="1"/>
    <row r="5857" ht="16.5" customHeight="1"/>
    <row r="5858" ht="16.5" customHeight="1"/>
    <row r="5859" ht="16.5" customHeight="1"/>
    <row r="5860" ht="16.5" customHeight="1"/>
    <row r="5861" ht="16.5" customHeight="1"/>
    <row r="5862" ht="16.5" customHeight="1"/>
    <row r="5863" ht="16.5" customHeight="1"/>
    <row r="5864" ht="16.5" customHeight="1"/>
    <row r="5865" ht="16.5" customHeight="1"/>
    <row r="5866" ht="16.5" customHeight="1"/>
    <row r="5867" ht="16.5" customHeight="1"/>
    <row r="5868" ht="16.5" customHeight="1"/>
    <row r="5869" ht="16.5" customHeight="1"/>
    <row r="5870" ht="16.5" customHeight="1"/>
    <row r="5871" ht="16.5" customHeight="1"/>
    <row r="5872" ht="16.5" customHeight="1"/>
    <row r="5873" ht="16.5" customHeight="1"/>
    <row r="5874" ht="16.5" customHeight="1"/>
    <row r="5875" ht="16.5" customHeight="1"/>
    <row r="5876" ht="16.5" customHeight="1"/>
    <row r="5877" ht="16.5" customHeight="1"/>
    <row r="5878" ht="16.5" customHeight="1"/>
    <row r="5879" ht="16.5" customHeight="1"/>
    <row r="5880" ht="16.5" customHeight="1"/>
    <row r="5881" ht="16.5" customHeight="1"/>
    <row r="5882" ht="16.5" customHeight="1"/>
    <row r="5883" ht="16.5" customHeight="1"/>
    <row r="5884" ht="16.5" customHeight="1"/>
    <row r="5885" ht="16.5" customHeight="1"/>
    <row r="5886" ht="16.5" customHeight="1"/>
    <row r="5887" ht="16.5" customHeight="1"/>
    <row r="5888" ht="16.5" customHeight="1"/>
    <row r="5889" ht="16.5" customHeight="1"/>
    <row r="5890" ht="16.5" customHeight="1"/>
    <row r="5891" ht="16.5" customHeight="1"/>
    <row r="5892" ht="16.5" customHeight="1"/>
    <row r="5893" ht="16.5" customHeight="1"/>
    <row r="5894" ht="16.5" customHeight="1"/>
    <row r="5895" ht="16.5" customHeight="1"/>
    <row r="5896" ht="16.5" customHeight="1"/>
    <row r="5897" ht="16.5" customHeight="1"/>
    <row r="5898" ht="16.5" customHeight="1"/>
    <row r="5899" ht="16.5" customHeight="1"/>
    <row r="5900" ht="16.5" customHeight="1"/>
    <row r="5901" ht="16.5" customHeight="1"/>
    <row r="5902" ht="16.5" customHeight="1"/>
    <row r="5903" ht="16.5" customHeight="1"/>
    <row r="5904" ht="16.5" customHeight="1"/>
    <row r="5905" ht="16.5" customHeight="1"/>
    <row r="5906" ht="16.5" customHeight="1"/>
    <row r="5907" ht="16.5" customHeight="1"/>
    <row r="5908" ht="16.5" customHeight="1"/>
    <row r="5909" ht="16.5" customHeight="1"/>
    <row r="5910" ht="16.5" customHeight="1"/>
    <row r="5911" ht="16.5" customHeight="1"/>
    <row r="5912" ht="16.5" customHeight="1"/>
    <row r="5913" ht="16.5" customHeight="1"/>
    <row r="5914" ht="16.5" customHeight="1"/>
    <row r="5915" ht="16.5" customHeight="1"/>
    <row r="5916" ht="16.5" customHeight="1"/>
    <row r="5917" ht="16.5" customHeight="1"/>
    <row r="5918" ht="16.5" customHeight="1"/>
    <row r="5919" ht="16.5" customHeight="1"/>
    <row r="5920" ht="16.5" customHeight="1"/>
    <row r="5921" ht="16.5" customHeight="1"/>
    <row r="5922" ht="16.5" customHeight="1"/>
    <row r="5923" ht="16.5" customHeight="1"/>
    <row r="5924" ht="16.5" customHeight="1"/>
    <row r="5925" ht="16.5" customHeight="1"/>
    <row r="5926" ht="16.5" customHeight="1"/>
    <row r="5927" ht="16.5" customHeight="1"/>
    <row r="5928" ht="16.5" customHeight="1"/>
    <row r="5929" ht="16.5" customHeight="1"/>
    <row r="5930" ht="16.5" customHeight="1"/>
    <row r="5931" ht="16.5" customHeight="1"/>
    <row r="5932" ht="16.5" customHeight="1"/>
    <row r="5933" ht="16.5" customHeight="1"/>
    <row r="5934" ht="16.5" customHeight="1"/>
    <row r="5935" ht="16.5" customHeight="1"/>
    <row r="5936" ht="16.5" customHeight="1"/>
    <row r="5937" ht="16.5" customHeight="1"/>
    <row r="5938" ht="16.5" customHeight="1"/>
    <row r="5939" ht="16.5" customHeight="1"/>
    <row r="5940" ht="16.5" customHeight="1"/>
    <row r="5941" ht="16.5" customHeight="1"/>
    <row r="5942" ht="16.5" customHeight="1"/>
    <row r="5943" ht="16.5" customHeight="1"/>
    <row r="5944" ht="16.5" customHeight="1"/>
    <row r="5945" ht="16.5" customHeight="1"/>
    <row r="5946" ht="16.5" customHeight="1"/>
    <row r="5947" ht="16.5" customHeight="1"/>
    <row r="5948" ht="16.5" customHeight="1"/>
    <row r="5949" ht="16.5" customHeight="1"/>
    <row r="5950" ht="16.5" customHeight="1"/>
    <row r="5951" ht="16.5" customHeight="1"/>
    <row r="5952" ht="16.5" customHeight="1"/>
    <row r="5953" ht="16.5" customHeight="1"/>
    <row r="5954" ht="16.5" customHeight="1"/>
    <row r="5955" ht="16.5" customHeight="1"/>
    <row r="5956" ht="16.5" customHeight="1"/>
    <row r="5957" ht="16.5" customHeight="1"/>
    <row r="5958" ht="16.5" customHeight="1"/>
    <row r="5959" ht="16.5" customHeight="1"/>
    <row r="5960" ht="16.5" customHeight="1"/>
    <row r="5961" ht="16.5" customHeight="1"/>
    <row r="5962" ht="16.5" customHeight="1"/>
    <row r="5963" ht="16.5" customHeight="1"/>
    <row r="5964" ht="16.5" customHeight="1"/>
    <row r="5965" ht="16.5" customHeight="1"/>
    <row r="5966" ht="16.5" customHeight="1"/>
    <row r="5967" ht="16.5" customHeight="1"/>
    <row r="5968" ht="16.5" customHeight="1"/>
    <row r="5969" ht="16.5" customHeight="1"/>
    <row r="5970" ht="16.5" customHeight="1"/>
    <row r="5971" ht="16.5" customHeight="1"/>
    <row r="5972" ht="16.5" customHeight="1"/>
    <row r="5973" ht="16.5" customHeight="1"/>
    <row r="5974" ht="16.5" customHeight="1"/>
    <row r="5975" ht="16.5" customHeight="1"/>
    <row r="5976" ht="16.5" customHeight="1"/>
    <row r="5977" ht="16.5" customHeight="1"/>
    <row r="5978" ht="16.5" customHeight="1"/>
    <row r="5979" ht="16.5" customHeight="1"/>
    <row r="5980" ht="16.5" customHeight="1"/>
    <row r="5981" ht="16.5" customHeight="1"/>
    <row r="5982" ht="16.5" customHeight="1"/>
    <row r="5983" ht="16.5" customHeight="1"/>
    <row r="5984" ht="16.5" customHeight="1"/>
    <row r="5985" ht="16.5" customHeight="1"/>
    <row r="5986" ht="16.5" customHeight="1"/>
    <row r="5987" ht="16.5" customHeight="1"/>
    <row r="5988" ht="16.5" customHeight="1"/>
    <row r="5989" ht="16.5" customHeight="1"/>
    <row r="5990" ht="16.5" customHeight="1"/>
    <row r="5991" ht="16.5" customHeight="1"/>
    <row r="5992" ht="16.5" customHeight="1"/>
    <row r="5993" ht="16.5" customHeight="1"/>
    <row r="5994" ht="16.5" customHeight="1"/>
    <row r="5995" ht="16.5" customHeight="1"/>
    <row r="5996" ht="16.5" customHeight="1"/>
    <row r="5997" ht="16.5" customHeight="1"/>
    <row r="5998" ht="16.5" customHeight="1"/>
    <row r="5999" ht="16.5" customHeight="1"/>
    <row r="6000" ht="16.5" customHeight="1"/>
    <row r="6001" ht="16.5" customHeight="1"/>
    <row r="6002" ht="16.5" customHeight="1"/>
    <row r="6003" ht="16.5" customHeight="1"/>
    <row r="6004" ht="16.5" customHeight="1"/>
    <row r="6005" ht="16.5" customHeight="1"/>
    <row r="6006" ht="16.5" customHeight="1"/>
    <row r="6007" ht="16.5" customHeight="1"/>
    <row r="6008" ht="16.5" customHeight="1"/>
    <row r="6009" ht="16.5" customHeight="1"/>
    <row r="6010" ht="16.5" customHeight="1"/>
    <row r="6011" ht="16.5" customHeight="1"/>
    <row r="6012" ht="16.5" customHeight="1"/>
    <row r="6013" ht="16.5" customHeight="1"/>
    <row r="6014" ht="16.5" customHeight="1"/>
    <row r="6015" ht="16.5" customHeight="1"/>
    <row r="6016" ht="16.5" customHeight="1"/>
    <row r="6017" ht="16.5" customHeight="1"/>
    <row r="6018" ht="16.5" customHeight="1"/>
    <row r="6019" ht="16.5" customHeight="1"/>
    <row r="6020" ht="16.5" customHeight="1"/>
    <row r="6021" ht="16.5" customHeight="1"/>
    <row r="6022" ht="16.5" customHeight="1"/>
    <row r="6023" ht="16.5" customHeight="1"/>
    <row r="6024" ht="16.5" customHeight="1"/>
    <row r="6025" ht="16.5" customHeight="1"/>
    <row r="6026" ht="16.5" customHeight="1"/>
    <row r="6027" ht="16.5" customHeight="1"/>
    <row r="6028" ht="16.5" customHeight="1"/>
    <row r="6029" ht="16.5" customHeight="1"/>
    <row r="6030" ht="16.5" customHeight="1"/>
    <row r="6031" ht="16.5" customHeight="1"/>
    <row r="6032" ht="16.5" customHeight="1"/>
    <row r="6033" ht="16.5" customHeight="1"/>
    <row r="6034" ht="16.5" customHeight="1"/>
    <row r="6035" ht="16.5" customHeight="1"/>
    <row r="6036" ht="16.5" customHeight="1"/>
    <row r="6037" ht="16.5" customHeight="1"/>
    <row r="6038" ht="16.5" customHeight="1"/>
    <row r="6039" ht="16.5" customHeight="1"/>
    <row r="6040" ht="16.5" customHeight="1"/>
    <row r="6041" ht="16.5" customHeight="1"/>
    <row r="6042" ht="16.5" customHeight="1"/>
    <row r="6043" ht="16.5" customHeight="1"/>
    <row r="6044" ht="16.5" customHeight="1"/>
    <row r="6045" ht="16.5" customHeight="1"/>
    <row r="6046" ht="16.5" customHeight="1"/>
    <row r="6047" ht="16.5" customHeight="1"/>
    <row r="6048" ht="16.5" customHeight="1"/>
    <row r="6049" ht="16.5" customHeight="1"/>
    <row r="6050" ht="16.5" customHeight="1"/>
    <row r="6051" ht="16.5" customHeight="1"/>
    <row r="6052" ht="16.5" customHeight="1"/>
    <row r="6053" ht="16.5" customHeight="1"/>
    <row r="6054" ht="16.5" customHeight="1"/>
    <row r="6055" ht="16.5" customHeight="1"/>
    <row r="6056" ht="16.5" customHeight="1"/>
    <row r="6057" ht="16.5" customHeight="1"/>
    <row r="6058" ht="16.5" customHeight="1"/>
    <row r="6059" ht="16.5" customHeight="1"/>
    <row r="6060" ht="16.5" customHeight="1"/>
    <row r="6061" ht="16.5" customHeight="1"/>
    <row r="6062" ht="16.5" customHeight="1"/>
    <row r="6063" ht="16.5" customHeight="1"/>
    <row r="6064" ht="16.5" customHeight="1"/>
    <row r="6065" ht="16.5" customHeight="1"/>
    <row r="6066" ht="16.5" customHeight="1"/>
    <row r="6067" ht="16.5" customHeight="1"/>
    <row r="6068" ht="16.5" customHeight="1"/>
    <row r="6069" ht="16.5" customHeight="1"/>
    <row r="6070" ht="16.5" customHeight="1"/>
    <row r="6071" ht="16.5" customHeight="1"/>
    <row r="6072" ht="16.5" customHeight="1"/>
    <row r="6073" ht="16.5" customHeight="1"/>
    <row r="6074" ht="16.5" customHeight="1"/>
    <row r="6075" ht="16.5" customHeight="1"/>
    <row r="6076" ht="16.5" customHeight="1"/>
    <row r="6077" ht="16.5" customHeight="1"/>
    <row r="6078" ht="16.5" customHeight="1"/>
    <row r="6079" ht="16.5" customHeight="1"/>
    <row r="6080" ht="16.5" customHeight="1"/>
    <row r="6081" ht="16.5" customHeight="1"/>
    <row r="6082" ht="16.5" customHeight="1"/>
    <row r="6083" ht="16.5" customHeight="1"/>
    <row r="6084" ht="16.5" customHeight="1"/>
    <row r="6085" ht="16.5" customHeight="1"/>
    <row r="6086" ht="16.5" customHeight="1"/>
    <row r="6087" ht="16.5" customHeight="1"/>
    <row r="6088" ht="16.5" customHeight="1"/>
    <row r="6089" ht="16.5" customHeight="1"/>
    <row r="6090" ht="16.5" customHeight="1"/>
    <row r="6091" ht="16.5" customHeight="1"/>
    <row r="6092" ht="16.5" customHeight="1"/>
    <row r="6093" ht="16.5" customHeight="1"/>
    <row r="6094" ht="16.5" customHeight="1"/>
    <row r="6095" ht="16.5" customHeight="1"/>
    <row r="6096" ht="16.5" customHeight="1"/>
    <row r="6097" ht="16.5" customHeight="1"/>
    <row r="6098" ht="16.5" customHeight="1"/>
    <row r="6099" ht="16.5" customHeight="1"/>
    <row r="6100" ht="16.5" customHeight="1"/>
    <row r="6101" ht="16.5" customHeight="1"/>
    <row r="6102" ht="16.5" customHeight="1"/>
    <row r="6103" ht="16.5" customHeight="1"/>
    <row r="6104" ht="16.5" customHeight="1"/>
    <row r="6105" ht="16.5" customHeight="1"/>
    <row r="6106" ht="16.5" customHeight="1"/>
    <row r="6107" ht="16.5" customHeight="1"/>
    <row r="6108" ht="16.5" customHeight="1"/>
    <row r="6109" ht="16.5" customHeight="1"/>
    <row r="6110" ht="16.5" customHeight="1"/>
    <row r="6111" ht="16.5" customHeight="1"/>
    <row r="6112" ht="16.5" customHeight="1"/>
    <row r="6113" ht="16.5" customHeight="1"/>
    <row r="6114" ht="16.5" customHeight="1"/>
    <row r="6115" ht="16.5" customHeight="1"/>
    <row r="6116" ht="16.5" customHeight="1"/>
    <row r="6117" ht="16.5" customHeight="1"/>
    <row r="6118" ht="16.5" customHeight="1"/>
    <row r="6119" ht="16.5" customHeight="1"/>
    <row r="6120" ht="16.5" customHeight="1"/>
    <row r="6121" ht="16.5" customHeight="1"/>
    <row r="6122" ht="16.5" customHeight="1"/>
    <row r="6123" ht="16.5" customHeight="1"/>
    <row r="6124" ht="16.5" customHeight="1"/>
    <row r="6125" ht="16.5" customHeight="1"/>
    <row r="6126" ht="16.5" customHeight="1"/>
    <row r="6127" ht="16.5" customHeight="1"/>
    <row r="6128" ht="16.5" customHeight="1"/>
    <row r="6129" ht="16.5" customHeight="1"/>
    <row r="6130" ht="16.5" customHeight="1"/>
    <row r="6131" ht="16.5" customHeight="1"/>
    <row r="6132" ht="16.5" customHeight="1"/>
    <row r="6133" ht="16.5" customHeight="1"/>
    <row r="6134" ht="16.5" customHeight="1"/>
    <row r="6135" ht="16.5" customHeight="1"/>
    <row r="6136" ht="16.5" customHeight="1"/>
    <row r="6137" ht="16.5" customHeight="1"/>
    <row r="6138" ht="16.5" customHeight="1"/>
    <row r="6139" ht="16.5" customHeight="1"/>
    <row r="6140" ht="16.5" customHeight="1"/>
    <row r="6141" ht="16.5" customHeight="1"/>
    <row r="6142" ht="16.5" customHeight="1"/>
    <row r="6143" ht="16.5" customHeight="1"/>
    <row r="6144" ht="16.5" customHeight="1"/>
    <row r="6145" ht="16.5" customHeight="1"/>
    <row r="6146" ht="16.5" customHeight="1"/>
    <row r="6147" ht="16.5" customHeight="1"/>
    <row r="6148" ht="16.5" customHeight="1"/>
    <row r="6149" ht="16.5" customHeight="1"/>
    <row r="6150" ht="16.5" customHeight="1"/>
    <row r="6151" ht="16.5" customHeight="1"/>
    <row r="6152" ht="16.5" customHeight="1"/>
    <row r="6153" ht="16.5" customHeight="1"/>
    <row r="6154" ht="16.5" customHeight="1"/>
    <row r="6155" ht="16.5" customHeight="1"/>
    <row r="6156" ht="16.5" customHeight="1"/>
    <row r="6157" ht="16.5" customHeight="1"/>
    <row r="6158" ht="16.5" customHeight="1"/>
    <row r="6159" ht="16.5" customHeight="1"/>
    <row r="6160" ht="16.5" customHeight="1"/>
    <row r="6161" ht="16.5" customHeight="1"/>
    <row r="6162" ht="16.5" customHeight="1"/>
    <row r="6163" ht="16.5" customHeight="1"/>
    <row r="6164" ht="16.5" customHeight="1"/>
    <row r="6165" ht="16.5" customHeight="1"/>
    <row r="6166" ht="16.5" customHeight="1"/>
    <row r="6167" ht="16.5" customHeight="1"/>
    <row r="6168" ht="16.5" customHeight="1"/>
    <row r="6169" ht="16.5" customHeight="1"/>
    <row r="6170" ht="16.5" customHeight="1"/>
    <row r="6171" ht="16.5" customHeight="1"/>
    <row r="6172" ht="16.5" customHeight="1"/>
    <row r="6173" ht="16.5" customHeight="1"/>
    <row r="6174" ht="16.5" customHeight="1"/>
    <row r="6175" ht="16.5" customHeight="1"/>
    <row r="6176" ht="16.5" customHeight="1"/>
    <row r="6177" ht="16.5" customHeight="1"/>
    <row r="6178" ht="16.5" customHeight="1"/>
    <row r="6179" ht="16.5" customHeight="1"/>
    <row r="6180" ht="16.5" customHeight="1"/>
    <row r="6181" ht="16.5" customHeight="1"/>
    <row r="6182" ht="16.5" customHeight="1"/>
    <row r="6183" ht="16.5" customHeight="1"/>
    <row r="6184" ht="16.5" customHeight="1"/>
    <row r="6185" ht="16.5" customHeight="1"/>
    <row r="6186" ht="16.5" customHeight="1"/>
    <row r="6187" ht="16.5" customHeight="1"/>
    <row r="6188" ht="16.5" customHeight="1"/>
    <row r="6189" ht="16.5" customHeight="1"/>
    <row r="6190" ht="16.5" customHeight="1"/>
    <row r="6191" ht="16.5" customHeight="1"/>
    <row r="6192" ht="16.5" customHeight="1"/>
    <row r="6193" ht="16.5" customHeight="1"/>
    <row r="6194" ht="16.5" customHeight="1"/>
    <row r="6195" ht="16.5" customHeight="1"/>
    <row r="6196" ht="16.5" customHeight="1"/>
    <row r="6197" ht="16.5" customHeight="1"/>
    <row r="6198" ht="16.5" customHeight="1"/>
    <row r="6199" ht="16.5" customHeight="1"/>
    <row r="6200" ht="16.5" customHeight="1"/>
    <row r="6201" ht="16.5" customHeight="1"/>
    <row r="6202" ht="16.5" customHeight="1"/>
    <row r="6203" ht="16.5" customHeight="1"/>
    <row r="6204" ht="16.5" customHeight="1"/>
    <row r="6205" ht="16.5" customHeight="1"/>
    <row r="6206" ht="16.5" customHeight="1"/>
    <row r="6207" ht="16.5" customHeight="1"/>
    <row r="6208" ht="16.5" customHeight="1"/>
    <row r="6209" ht="16.5" customHeight="1"/>
    <row r="6210" ht="16.5" customHeight="1"/>
    <row r="6211" ht="16.5" customHeight="1"/>
    <row r="6212" ht="16.5" customHeight="1"/>
    <row r="6213" ht="16.5" customHeight="1"/>
    <row r="6214" ht="16.5" customHeight="1"/>
    <row r="6215" ht="16.5" customHeight="1"/>
    <row r="6216" ht="16.5" customHeight="1"/>
    <row r="6217" ht="16.5" customHeight="1"/>
    <row r="6218" ht="16.5" customHeight="1"/>
    <row r="6219" ht="16.5" customHeight="1"/>
    <row r="6220" ht="16.5" customHeight="1"/>
    <row r="6221" ht="16.5" customHeight="1"/>
    <row r="6222" ht="16.5" customHeight="1"/>
    <row r="6223" ht="16.5" customHeight="1"/>
    <row r="6224" ht="16.5" customHeight="1"/>
    <row r="6225" ht="16.5" customHeight="1"/>
    <row r="6226" ht="16.5" customHeight="1"/>
    <row r="6227" ht="16.5" customHeight="1"/>
    <row r="6228" ht="16.5" customHeight="1"/>
    <row r="6229" ht="16.5" customHeight="1"/>
    <row r="6230" ht="16.5" customHeight="1"/>
    <row r="6231" ht="16.5" customHeight="1"/>
    <row r="6232" ht="16.5" customHeight="1"/>
    <row r="6233" ht="16.5" customHeight="1"/>
    <row r="6234" ht="16.5" customHeight="1"/>
    <row r="6235" ht="16.5" customHeight="1"/>
    <row r="6236" ht="16.5" customHeight="1"/>
    <row r="6237" ht="16.5" customHeight="1"/>
    <row r="6238" ht="16.5" customHeight="1"/>
    <row r="6239" ht="16.5" customHeight="1"/>
    <row r="6240" ht="16.5" customHeight="1"/>
    <row r="6241" ht="16.5" customHeight="1"/>
    <row r="6242" ht="16.5" customHeight="1"/>
    <row r="6243" ht="16.5" customHeight="1"/>
    <row r="6244" ht="16.5" customHeight="1"/>
    <row r="6245" ht="16.5" customHeight="1"/>
    <row r="6246" ht="16.5" customHeight="1"/>
    <row r="6247" ht="16.5" customHeight="1"/>
    <row r="6248" ht="16.5" customHeight="1"/>
    <row r="6249" ht="16.5" customHeight="1"/>
    <row r="6250" ht="16.5" customHeight="1"/>
    <row r="6251" ht="16.5" customHeight="1"/>
    <row r="6252" ht="16.5" customHeight="1"/>
    <row r="6253" ht="16.5" customHeight="1"/>
    <row r="6254" ht="16.5" customHeight="1"/>
    <row r="6255" ht="16.5" customHeight="1"/>
    <row r="6256" ht="16.5" customHeight="1"/>
    <row r="6257" ht="16.5" customHeight="1"/>
    <row r="6258" ht="16.5" customHeight="1"/>
    <row r="6259" ht="16.5" customHeight="1"/>
    <row r="6260" ht="16.5" customHeight="1"/>
    <row r="6261" ht="16.5" customHeight="1"/>
    <row r="6262" ht="16.5" customHeight="1"/>
    <row r="6263" ht="16.5" customHeight="1"/>
    <row r="6264" ht="16.5" customHeight="1"/>
    <row r="6265" ht="16.5" customHeight="1"/>
    <row r="6266" ht="16.5" customHeight="1"/>
    <row r="6267" ht="16.5" customHeight="1"/>
    <row r="6268" ht="16.5" customHeight="1"/>
    <row r="6269" ht="16.5" customHeight="1"/>
    <row r="6270" ht="16.5" customHeight="1"/>
    <row r="6271" ht="16.5" customHeight="1"/>
    <row r="6272" ht="16.5" customHeight="1"/>
    <row r="6273" ht="16.5" customHeight="1"/>
    <row r="6274" ht="16.5" customHeight="1"/>
    <row r="6275" ht="16.5" customHeight="1"/>
    <row r="6276" ht="16.5" customHeight="1"/>
    <row r="6277" ht="16.5" customHeight="1"/>
    <row r="6278" ht="16.5" customHeight="1"/>
    <row r="6279" ht="16.5" customHeight="1"/>
    <row r="6280" ht="16.5" customHeight="1"/>
    <row r="6281" ht="16.5" customHeight="1"/>
    <row r="6282" ht="16.5" customHeight="1"/>
    <row r="6283" ht="16.5" customHeight="1"/>
    <row r="6284" ht="16.5" customHeight="1"/>
    <row r="6285" ht="16.5" customHeight="1"/>
    <row r="6286" ht="16.5" customHeight="1"/>
    <row r="6287" ht="16.5" customHeight="1"/>
    <row r="6288" ht="16.5" customHeight="1"/>
    <row r="6289" ht="16.5" customHeight="1"/>
    <row r="6290" ht="16.5" customHeight="1"/>
    <row r="6291" ht="16.5" customHeight="1"/>
    <row r="6292" ht="16.5" customHeight="1"/>
    <row r="6293" ht="16.5" customHeight="1"/>
    <row r="6294" ht="16.5" customHeight="1"/>
    <row r="6295" ht="16.5" customHeight="1"/>
    <row r="6296" ht="16.5" customHeight="1"/>
    <row r="6297" ht="16.5" customHeight="1"/>
    <row r="6298" ht="16.5" customHeight="1"/>
    <row r="6299" ht="16.5" customHeight="1"/>
    <row r="6300" ht="16.5" customHeight="1"/>
    <row r="6301" ht="16.5" customHeight="1"/>
    <row r="6302" ht="16.5" customHeight="1"/>
    <row r="6303" ht="16.5" customHeight="1"/>
    <row r="6304" ht="16.5" customHeight="1"/>
    <row r="6305" ht="16.5" customHeight="1"/>
    <row r="6306" ht="16.5" customHeight="1"/>
    <row r="6307" ht="16.5" customHeight="1"/>
    <row r="6308" ht="16.5" customHeight="1"/>
    <row r="6309" ht="16.5" customHeight="1"/>
    <row r="6310" ht="16.5" customHeight="1"/>
    <row r="6311" ht="16.5" customHeight="1"/>
    <row r="6312" ht="16.5" customHeight="1"/>
    <row r="6313" ht="16.5" customHeight="1"/>
    <row r="6314" ht="16.5" customHeight="1"/>
    <row r="6315" ht="16.5" customHeight="1"/>
    <row r="6316" ht="16.5" customHeight="1"/>
    <row r="6317" ht="16.5" customHeight="1"/>
    <row r="6318" ht="16.5" customHeight="1"/>
    <row r="6319" ht="16.5" customHeight="1"/>
    <row r="6320" ht="16.5" customHeight="1"/>
    <row r="6321" ht="16.5" customHeight="1"/>
    <row r="6322" ht="16.5" customHeight="1"/>
    <row r="6323" ht="16.5" customHeight="1"/>
    <row r="6324" ht="16.5" customHeight="1"/>
    <row r="6325" ht="16.5" customHeight="1"/>
    <row r="6326" ht="16.5" customHeight="1"/>
    <row r="6327" ht="16.5" customHeight="1"/>
    <row r="6328" ht="16.5" customHeight="1"/>
    <row r="6329" ht="16.5" customHeight="1"/>
    <row r="6330" ht="16.5" customHeight="1"/>
    <row r="6331" ht="16.5" customHeight="1"/>
    <row r="6332" ht="16.5" customHeight="1"/>
    <row r="6333" ht="16.5" customHeight="1"/>
    <row r="6334" ht="16.5" customHeight="1"/>
    <row r="6335" ht="16.5" customHeight="1"/>
    <row r="6336" ht="16.5" customHeight="1"/>
    <row r="6337" ht="16.5" customHeight="1"/>
    <row r="6338" ht="16.5" customHeight="1"/>
    <row r="6339" ht="16.5" customHeight="1"/>
    <row r="6340" ht="16.5" customHeight="1"/>
    <row r="6341" ht="16.5" customHeight="1"/>
    <row r="6342" ht="16.5" customHeight="1"/>
    <row r="6343" ht="16.5" customHeight="1"/>
    <row r="6344" ht="16.5" customHeight="1"/>
    <row r="6345" ht="16.5" customHeight="1"/>
    <row r="6346" ht="16.5" customHeight="1"/>
    <row r="6347" ht="16.5" customHeight="1"/>
    <row r="6348" ht="16.5" customHeight="1"/>
    <row r="6349" ht="16.5" customHeight="1"/>
    <row r="6350" ht="16.5" customHeight="1"/>
    <row r="6351" ht="16.5" customHeight="1"/>
    <row r="6352" ht="16.5" customHeight="1"/>
    <row r="6353" ht="16.5" customHeight="1"/>
    <row r="6354" ht="16.5" customHeight="1"/>
    <row r="6355" ht="16.5" customHeight="1"/>
    <row r="6356" ht="16.5" customHeight="1"/>
    <row r="6357" ht="16.5" customHeight="1"/>
    <row r="6358" ht="16.5" customHeight="1"/>
    <row r="6359" ht="16.5" customHeight="1"/>
    <row r="6360" ht="16.5" customHeight="1"/>
    <row r="6361" ht="16.5" customHeight="1"/>
    <row r="6362" ht="16.5" customHeight="1"/>
    <row r="6363" ht="16.5" customHeight="1"/>
    <row r="6364" ht="16.5" customHeight="1"/>
    <row r="6365" ht="16.5" customHeight="1"/>
    <row r="6366" ht="16.5" customHeight="1"/>
    <row r="6367" ht="16.5" customHeight="1"/>
    <row r="6368" ht="16.5" customHeight="1"/>
    <row r="6369" ht="16.5" customHeight="1"/>
    <row r="6370" ht="16.5" customHeight="1"/>
    <row r="6371" ht="16.5" customHeight="1"/>
    <row r="6372" ht="16.5" customHeight="1"/>
    <row r="6373" ht="16.5" customHeight="1"/>
    <row r="6374" ht="16.5" customHeight="1"/>
    <row r="6375" ht="16.5" customHeight="1"/>
    <row r="6376" ht="16.5" customHeight="1"/>
    <row r="6377" ht="16.5" customHeight="1"/>
    <row r="6378" ht="16.5" customHeight="1"/>
    <row r="6379" ht="16.5" customHeight="1"/>
    <row r="6380" ht="16.5" customHeight="1"/>
    <row r="6381" ht="16.5" customHeight="1"/>
    <row r="6382" ht="16.5" customHeight="1"/>
    <row r="6383" ht="16.5" customHeight="1"/>
    <row r="6384" ht="16.5" customHeight="1"/>
    <row r="6385" ht="16.5" customHeight="1"/>
    <row r="6386" ht="16.5" customHeight="1"/>
    <row r="6387" ht="16.5" customHeight="1"/>
    <row r="6388" ht="16.5" customHeight="1"/>
    <row r="6389" ht="16.5" customHeight="1"/>
    <row r="6390" ht="16.5" customHeight="1"/>
    <row r="6391" ht="16.5" customHeight="1"/>
    <row r="6392" ht="16.5" customHeight="1"/>
    <row r="6393" ht="16.5" customHeight="1"/>
    <row r="6394" ht="16.5" customHeight="1"/>
    <row r="6395" ht="16.5" customHeight="1"/>
    <row r="6396" ht="16.5" customHeight="1"/>
    <row r="6397" ht="16.5" customHeight="1"/>
    <row r="6398" ht="16.5" customHeight="1"/>
    <row r="6399" ht="16.5" customHeight="1"/>
    <row r="6400" ht="16.5" customHeight="1"/>
    <row r="6401" ht="16.5" customHeight="1"/>
    <row r="6402" ht="16.5" customHeight="1"/>
    <row r="6403" ht="16.5" customHeight="1"/>
    <row r="6404" ht="16.5" customHeight="1"/>
    <row r="6405" ht="16.5" customHeight="1"/>
    <row r="6406" ht="16.5" customHeight="1"/>
    <row r="6407" ht="16.5" customHeight="1"/>
    <row r="6408" ht="16.5" customHeight="1"/>
    <row r="6409" ht="16.5" customHeight="1"/>
    <row r="6410" ht="16.5" customHeight="1"/>
    <row r="6411" ht="16.5" customHeight="1"/>
    <row r="6412" ht="16.5" customHeight="1"/>
    <row r="6413" ht="16.5" customHeight="1"/>
    <row r="6414" ht="16.5" customHeight="1"/>
    <row r="6415" ht="16.5" customHeight="1"/>
    <row r="6416" ht="16.5" customHeight="1"/>
    <row r="6417" ht="16.5" customHeight="1"/>
    <row r="6418" ht="16.5" customHeight="1"/>
    <row r="6419" ht="16.5" customHeight="1"/>
    <row r="6420" ht="16.5" customHeight="1"/>
    <row r="6421" ht="16.5" customHeight="1"/>
    <row r="6422" ht="16.5" customHeight="1"/>
    <row r="6423" ht="16.5" customHeight="1"/>
    <row r="6424" ht="16.5" customHeight="1"/>
    <row r="6425" ht="16.5" customHeight="1"/>
    <row r="6426" ht="16.5" customHeight="1"/>
    <row r="6427" ht="16.5" customHeight="1"/>
    <row r="6428" ht="16.5" customHeight="1"/>
    <row r="6429" ht="16.5" customHeight="1"/>
    <row r="6430" ht="16.5" customHeight="1"/>
    <row r="6431" ht="16.5" customHeight="1"/>
    <row r="6432" ht="16.5" customHeight="1"/>
    <row r="6433" ht="16.5" customHeight="1"/>
    <row r="6434" ht="16.5" customHeight="1"/>
    <row r="6435" ht="16.5" customHeight="1"/>
    <row r="6436" ht="16.5" customHeight="1"/>
    <row r="6437" ht="16.5" customHeight="1"/>
    <row r="6438" ht="16.5" customHeight="1"/>
    <row r="6439" ht="16.5" customHeight="1"/>
    <row r="6440" ht="16.5" customHeight="1"/>
    <row r="6441" ht="16.5" customHeight="1"/>
    <row r="6442" ht="16.5" customHeight="1"/>
    <row r="6443" ht="16.5" customHeight="1"/>
    <row r="6444" ht="16.5" customHeight="1"/>
    <row r="6445" ht="16.5" customHeight="1"/>
    <row r="6446" ht="16.5" customHeight="1"/>
    <row r="6447" ht="16.5" customHeight="1"/>
    <row r="6448" ht="16.5" customHeight="1"/>
    <row r="6449" ht="16.5" customHeight="1"/>
    <row r="6450" ht="16.5" customHeight="1"/>
    <row r="6451" ht="16.5" customHeight="1"/>
    <row r="6452" ht="16.5" customHeight="1"/>
    <row r="6453" ht="16.5" customHeight="1"/>
    <row r="6454" ht="16.5" customHeight="1"/>
    <row r="6455" ht="16.5" customHeight="1"/>
    <row r="6456" ht="16.5" customHeight="1"/>
    <row r="6457" ht="16.5" customHeight="1"/>
    <row r="6458" ht="16.5" customHeight="1"/>
    <row r="6459" ht="16.5" customHeight="1"/>
    <row r="6460" ht="16.5" customHeight="1"/>
    <row r="6461" ht="16.5" customHeight="1"/>
    <row r="6462" ht="16.5" customHeight="1"/>
    <row r="6463" ht="16.5" customHeight="1"/>
    <row r="6464" ht="16.5" customHeight="1"/>
    <row r="6465" ht="16.5" customHeight="1"/>
    <row r="6466" ht="16.5" customHeight="1"/>
    <row r="6467" ht="16.5" customHeight="1"/>
    <row r="6468" ht="16.5" customHeight="1"/>
    <row r="6469" ht="16.5" customHeight="1"/>
    <row r="6470" ht="16.5" customHeight="1"/>
    <row r="6471" ht="16.5" customHeight="1"/>
    <row r="6472" ht="16.5" customHeight="1"/>
    <row r="6473" ht="16.5" customHeight="1"/>
    <row r="6474" ht="16.5" customHeight="1"/>
    <row r="6475" ht="16.5" customHeight="1"/>
    <row r="6476" ht="16.5" customHeight="1"/>
    <row r="6477" ht="16.5" customHeight="1"/>
    <row r="6478" ht="16.5" customHeight="1"/>
    <row r="6479" ht="16.5" customHeight="1"/>
    <row r="6480" ht="16.5" customHeight="1"/>
    <row r="6481" ht="16.5" customHeight="1"/>
    <row r="6482" ht="16.5" customHeight="1"/>
    <row r="6483" ht="16.5" customHeight="1"/>
    <row r="6484" ht="16.5" customHeight="1"/>
    <row r="6485" ht="16.5" customHeight="1"/>
    <row r="6486" ht="16.5" customHeight="1"/>
    <row r="6487" ht="16.5" customHeight="1"/>
    <row r="6488" ht="16.5" customHeight="1"/>
    <row r="6489" ht="16.5" customHeight="1"/>
    <row r="6490" ht="16.5" customHeight="1"/>
    <row r="6491" ht="16.5" customHeight="1"/>
    <row r="6492" ht="16.5" customHeight="1"/>
    <row r="6493" ht="16.5" customHeight="1"/>
    <row r="6494" ht="16.5" customHeight="1"/>
    <row r="6495" ht="16.5" customHeight="1"/>
    <row r="6496" ht="16.5" customHeight="1"/>
    <row r="6497" ht="16.5" customHeight="1"/>
    <row r="6498" ht="16.5" customHeight="1"/>
    <row r="6499" ht="16.5" customHeight="1"/>
    <row r="6500" ht="16.5" customHeight="1"/>
    <row r="6501" ht="16.5" customHeight="1"/>
    <row r="6502" ht="16.5" customHeight="1"/>
    <row r="6503" ht="16.5" customHeight="1"/>
    <row r="6504" ht="16.5" customHeight="1"/>
    <row r="6505" ht="16.5" customHeight="1"/>
    <row r="6506" ht="16.5" customHeight="1"/>
    <row r="6507" ht="16.5" customHeight="1"/>
    <row r="6508" ht="16.5" customHeight="1"/>
    <row r="6509" ht="16.5" customHeight="1"/>
    <row r="6510" ht="16.5" customHeight="1"/>
    <row r="6511" ht="16.5" customHeight="1"/>
    <row r="6512" ht="16.5" customHeight="1"/>
    <row r="6513" ht="16.5" customHeight="1"/>
    <row r="6514" ht="16.5" customHeight="1"/>
    <row r="6515" ht="16.5" customHeight="1"/>
    <row r="6516" ht="16.5" customHeight="1"/>
    <row r="6517" ht="16.5" customHeight="1"/>
    <row r="6518" ht="16.5" customHeight="1"/>
    <row r="6519" ht="16.5" customHeight="1"/>
    <row r="6520" ht="16.5" customHeight="1"/>
    <row r="6521" ht="16.5" customHeight="1"/>
    <row r="6522" ht="16.5" customHeight="1"/>
    <row r="6523" ht="16.5" customHeight="1"/>
    <row r="6524" ht="16.5" customHeight="1"/>
    <row r="6525" ht="16.5" customHeight="1"/>
    <row r="6526" ht="16.5" customHeight="1"/>
    <row r="6527" ht="16.5" customHeight="1"/>
    <row r="6528" ht="16.5" customHeight="1"/>
    <row r="6529" ht="16.5" customHeight="1"/>
    <row r="6530" ht="16.5" customHeight="1"/>
    <row r="6531" ht="16.5" customHeight="1"/>
    <row r="6532" ht="16.5" customHeight="1"/>
    <row r="6533" ht="16.5" customHeight="1"/>
    <row r="6534" ht="16.5" customHeight="1"/>
    <row r="6535" ht="16.5" customHeight="1"/>
    <row r="6536" ht="16.5" customHeight="1"/>
    <row r="6537" ht="16.5" customHeight="1"/>
    <row r="6538" ht="16.5" customHeight="1"/>
    <row r="6539" ht="16.5" customHeight="1"/>
    <row r="6540" ht="16.5" customHeight="1"/>
    <row r="6541" ht="16.5" customHeight="1"/>
    <row r="6542" ht="16.5" customHeight="1"/>
    <row r="6543" ht="16.5" customHeight="1"/>
    <row r="6544" ht="16.5" customHeight="1"/>
    <row r="6545" ht="16.5" customHeight="1"/>
    <row r="6546" ht="16.5" customHeight="1"/>
    <row r="6547" ht="16.5" customHeight="1"/>
    <row r="6548" ht="16.5" customHeight="1"/>
    <row r="6549" ht="16.5" customHeight="1"/>
    <row r="6550" ht="16.5" customHeight="1"/>
    <row r="6551" ht="16.5" customHeight="1"/>
    <row r="6552" ht="16.5" customHeight="1"/>
    <row r="6553" ht="16.5" customHeight="1"/>
    <row r="6554" ht="16.5" customHeight="1"/>
    <row r="6555" ht="16.5" customHeight="1"/>
    <row r="6556" ht="16.5" customHeight="1"/>
    <row r="6557" ht="16.5" customHeight="1"/>
    <row r="6558" ht="16.5" customHeight="1"/>
    <row r="6559" ht="16.5" customHeight="1"/>
    <row r="6560" ht="16.5" customHeight="1"/>
    <row r="6561" ht="16.5" customHeight="1"/>
    <row r="6562" ht="16.5" customHeight="1"/>
    <row r="6563" ht="16.5" customHeight="1"/>
    <row r="6564" ht="16.5" customHeight="1"/>
    <row r="6565" ht="16.5" customHeight="1"/>
    <row r="6566" ht="16.5" customHeight="1"/>
    <row r="6567" ht="16.5" customHeight="1"/>
    <row r="6568" ht="16.5" customHeight="1"/>
    <row r="6569" ht="16.5" customHeight="1"/>
    <row r="6570" ht="16.5" customHeight="1"/>
    <row r="6571" ht="16.5" customHeight="1"/>
    <row r="6572" ht="16.5" customHeight="1"/>
    <row r="6573" ht="16.5" customHeight="1"/>
    <row r="6574" ht="16.5" customHeight="1"/>
    <row r="6575" ht="16.5" customHeight="1"/>
    <row r="6576" ht="16.5" customHeight="1"/>
    <row r="6577" ht="16.5" customHeight="1"/>
    <row r="6578" ht="16.5" customHeight="1"/>
    <row r="6579" ht="16.5" customHeight="1"/>
    <row r="6580" ht="16.5" customHeight="1"/>
    <row r="6581" ht="16.5" customHeight="1"/>
    <row r="6582" ht="16.5" customHeight="1"/>
    <row r="6583" ht="16.5" customHeight="1"/>
    <row r="6584" ht="16.5" customHeight="1"/>
    <row r="6585" ht="16.5" customHeight="1"/>
    <row r="6586" ht="16.5" customHeight="1"/>
    <row r="6587" ht="16.5" customHeight="1"/>
    <row r="6588" ht="16.5" customHeight="1"/>
    <row r="6589" ht="16.5" customHeight="1"/>
    <row r="6590" ht="16.5" customHeight="1"/>
    <row r="6591" ht="16.5" customHeight="1"/>
    <row r="6592" ht="16.5" customHeight="1"/>
    <row r="6593" ht="16.5" customHeight="1"/>
    <row r="6594" ht="16.5" customHeight="1"/>
    <row r="6595" ht="16.5" customHeight="1"/>
    <row r="6596" ht="16.5" customHeight="1"/>
    <row r="6597" ht="16.5" customHeight="1"/>
    <row r="6598" ht="16.5" customHeight="1"/>
    <row r="6599" ht="16.5" customHeight="1"/>
    <row r="6600" ht="16.5" customHeight="1"/>
    <row r="6601" ht="16.5" customHeight="1"/>
    <row r="6602" ht="16.5" customHeight="1"/>
    <row r="6603" ht="16.5" customHeight="1"/>
    <row r="6604" ht="16.5" customHeight="1"/>
    <row r="6605" ht="16.5" customHeight="1"/>
    <row r="6606" ht="16.5" customHeight="1"/>
    <row r="6607" ht="16.5" customHeight="1"/>
    <row r="6608" ht="16.5" customHeight="1"/>
    <row r="6609" ht="16.5" customHeight="1"/>
    <row r="6610" ht="16.5" customHeight="1"/>
    <row r="6611" ht="16.5" customHeight="1"/>
    <row r="6612" ht="16.5" customHeight="1"/>
    <row r="6613" ht="16.5" customHeight="1"/>
    <row r="6614" ht="16.5" customHeight="1"/>
    <row r="6615" ht="16.5" customHeight="1"/>
    <row r="6616" ht="16.5" customHeight="1"/>
    <row r="6617" ht="16.5" customHeight="1"/>
    <row r="6618" ht="16.5" customHeight="1"/>
    <row r="6619" ht="16.5" customHeight="1"/>
    <row r="6620" ht="16.5" customHeight="1"/>
    <row r="6621" ht="16.5" customHeight="1"/>
    <row r="6622" ht="16.5" customHeight="1"/>
    <row r="6623" ht="16.5" customHeight="1"/>
    <row r="6624" ht="16.5" customHeight="1"/>
    <row r="6625" ht="16.5" customHeight="1"/>
    <row r="6626" ht="16.5" customHeight="1"/>
    <row r="6627" ht="16.5" customHeight="1"/>
    <row r="6628" ht="16.5" customHeight="1"/>
    <row r="6629" ht="16.5" customHeight="1"/>
    <row r="6630" ht="16.5" customHeight="1"/>
    <row r="6631" ht="16.5" customHeight="1"/>
    <row r="6632" ht="16.5" customHeight="1"/>
    <row r="6633" ht="16.5" customHeight="1"/>
    <row r="6634" ht="16.5" customHeight="1"/>
    <row r="6635" ht="16.5" customHeight="1"/>
    <row r="6636" ht="16.5" customHeight="1"/>
    <row r="6637" ht="16.5" customHeight="1"/>
    <row r="6638" ht="16.5" customHeight="1"/>
    <row r="6639" ht="16.5" customHeight="1"/>
    <row r="6640" ht="16.5" customHeight="1"/>
    <row r="6641" ht="16.5" customHeight="1"/>
    <row r="6642" ht="16.5" customHeight="1"/>
    <row r="6643" ht="16.5" customHeight="1"/>
    <row r="6644" ht="16.5" customHeight="1"/>
    <row r="6645" ht="16.5" customHeight="1"/>
    <row r="6646" ht="16.5" customHeight="1"/>
    <row r="6647" ht="16.5" customHeight="1"/>
    <row r="6648" ht="16.5" customHeight="1"/>
    <row r="6649" ht="16.5" customHeight="1"/>
    <row r="6650" ht="16.5" customHeight="1"/>
    <row r="6651" ht="16.5" customHeight="1"/>
    <row r="6652" ht="16.5" customHeight="1"/>
    <row r="6653" ht="16.5" customHeight="1"/>
    <row r="6654" ht="16.5" customHeight="1"/>
    <row r="6655" ht="16.5" customHeight="1"/>
    <row r="6656" ht="16.5" customHeight="1"/>
    <row r="6657" ht="16.5" customHeight="1"/>
    <row r="6658" ht="16.5" customHeight="1"/>
    <row r="6659" ht="16.5" customHeight="1"/>
    <row r="6660" ht="16.5" customHeight="1"/>
    <row r="6661" ht="16.5" customHeight="1"/>
    <row r="6662" ht="16.5" customHeight="1"/>
    <row r="6663" ht="16.5" customHeight="1"/>
    <row r="6664" ht="16.5" customHeight="1"/>
    <row r="6665" ht="16.5" customHeight="1"/>
    <row r="6666" ht="16.5" customHeight="1"/>
    <row r="6667" ht="16.5" customHeight="1"/>
    <row r="6668" ht="16.5" customHeight="1"/>
    <row r="6669" ht="16.5" customHeight="1"/>
    <row r="6670" ht="16.5" customHeight="1"/>
    <row r="6671" ht="16.5" customHeight="1"/>
    <row r="6672" ht="16.5" customHeight="1"/>
    <row r="6673" ht="16.5" customHeight="1"/>
    <row r="6674" ht="16.5" customHeight="1"/>
    <row r="6675" ht="16.5" customHeight="1"/>
    <row r="6676" ht="16.5" customHeight="1"/>
    <row r="6677" ht="16.5" customHeight="1"/>
    <row r="6678" ht="16.5" customHeight="1"/>
    <row r="6679" ht="16.5" customHeight="1"/>
    <row r="6680" ht="16.5" customHeight="1"/>
    <row r="6681" ht="16.5" customHeight="1"/>
    <row r="6682" ht="16.5" customHeight="1"/>
    <row r="6683" ht="16.5" customHeight="1"/>
    <row r="6684" ht="16.5" customHeight="1"/>
    <row r="6685" ht="16.5" customHeight="1"/>
    <row r="6686" ht="16.5" customHeight="1"/>
    <row r="6687" ht="16.5" customHeight="1"/>
    <row r="6688" ht="16.5" customHeight="1"/>
    <row r="6689" ht="16.5" customHeight="1"/>
    <row r="6690" ht="16.5" customHeight="1"/>
    <row r="6691" ht="16.5" customHeight="1"/>
    <row r="6692" ht="16.5" customHeight="1"/>
    <row r="6693" ht="16.5" customHeight="1"/>
    <row r="6694" ht="16.5" customHeight="1"/>
    <row r="6695" ht="16.5" customHeight="1"/>
    <row r="6696" ht="16.5" customHeight="1"/>
    <row r="6697" ht="16.5" customHeight="1"/>
    <row r="6698" ht="16.5" customHeight="1"/>
    <row r="6699" ht="16.5" customHeight="1"/>
    <row r="6700" ht="16.5" customHeight="1"/>
    <row r="6701" ht="16.5" customHeight="1"/>
    <row r="6702" ht="16.5" customHeight="1"/>
    <row r="6703" ht="16.5" customHeight="1"/>
    <row r="6704" ht="16.5" customHeight="1"/>
    <row r="6705" ht="16.5" customHeight="1"/>
    <row r="6706" ht="16.5" customHeight="1"/>
    <row r="6707" ht="16.5" customHeight="1"/>
    <row r="6708" ht="16.5" customHeight="1"/>
    <row r="6709" ht="16.5" customHeight="1"/>
    <row r="6710" ht="16.5" customHeight="1"/>
    <row r="6711" ht="16.5" customHeight="1"/>
    <row r="6712" ht="16.5" customHeight="1"/>
    <row r="6713" ht="16.5" customHeight="1"/>
    <row r="6714" ht="16.5" customHeight="1"/>
    <row r="6715" ht="16.5" customHeight="1"/>
    <row r="6716" ht="16.5" customHeight="1"/>
    <row r="6717" ht="16.5" customHeight="1"/>
    <row r="6718" ht="16.5" customHeight="1"/>
    <row r="6719" ht="16.5" customHeight="1"/>
    <row r="6720" ht="16.5" customHeight="1"/>
    <row r="6721" ht="16.5" customHeight="1"/>
    <row r="6722" ht="16.5" customHeight="1"/>
    <row r="6723" ht="16.5" customHeight="1"/>
    <row r="6724" ht="16.5" customHeight="1"/>
    <row r="6725" ht="16.5" customHeight="1"/>
    <row r="6726" ht="16.5" customHeight="1"/>
    <row r="6727" ht="16.5" customHeight="1"/>
    <row r="6728" ht="16.5" customHeight="1"/>
    <row r="6729" ht="16.5" customHeight="1"/>
    <row r="6730" ht="16.5" customHeight="1"/>
    <row r="6731" ht="16.5" customHeight="1"/>
    <row r="6732" ht="16.5" customHeight="1"/>
    <row r="6733" ht="16.5" customHeight="1"/>
    <row r="6734" ht="16.5" customHeight="1"/>
    <row r="6735" ht="16.5" customHeight="1"/>
    <row r="6736" ht="16.5" customHeight="1"/>
    <row r="6737" ht="16.5" customHeight="1"/>
    <row r="6738" ht="16.5" customHeight="1"/>
    <row r="6739" ht="16.5" customHeight="1"/>
    <row r="6740" ht="16.5" customHeight="1"/>
    <row r="6741" ht="16.5" customHeight="1"/>
    <row r="6742" ht="16.5" customHeight="1"/>
    <row r="6743" ht="16.5" customHeight="1"/>
    <row r="6744" ht="16.5" customHeight="1"/>
    <row r="6745" ht="16.5" customHeight="1"/>
    <row r="6746" ht="16.5" customHeight="1"/>
    <row r="6747" ht="16.5" customHeight="1"/>
    <row r="6748" ht="16.5" customHeight="1"/>
    <row r="6749" ht="16.5" customHeight="1"/>
    <row r="6750" ht="16.5" customHeight="1"/>
    <row r="6751" ht="16.5" customHeight="1"/>
    <row r="6752" ht="16.5" customHeight="1"/>
    <row r="6753" ht="16.5" customHeight="1"/>
    <row r="6754" ht="16.5" customHeight="1"/>
    <row r="6755" ht="16.5" customHeight="1"/>
    <row r="6756" ht="16.5" customHeight="1"/>
    <row r="6757" ht="16.5" customHeight="1"/>
    <row r="6758" ht="16.5" customHeight="1"/>
    <row r="6759" ht="16.5" customHeight="1"/>
    <row r="6760" ht="16.5" customHeight="1"/>
    <row r="6761" ht="16.5" customHeight="1"/>
    <row r="6762" ht="16.5" customHeight="1"/>
    <row r="6763" ht="16.5" customHeight="1"/>
    <row r="6764" ht="16.5" customHeight="1"/>
    <row r="6765" ht="16.5" customHeight="1"/>
    <row r="6766" ht="16.5" customHeight="1"/>
    <row r="6767" ht="16.5" customHeight="1"/>
    <row r="6768" ht="16.5" customHeight="1"/>
    <row r="6769" ht="16.5" customHeight="1"/>
    <row r="6770" ht="16.5" customHeight="1"/>
    <row r="6771" ht="16.5" customHeight="1"/>
    <row r="6772" ht="16.5" customHeight="1"/>
    <row r="6773" ht="16.5" customHeight="1"/>
    <row r="6774" ht="16.5" customHeight="1"/>
    <row r="6775" ht="16.5" customHeight="1"/>
    <row r="6776" ht="16.5" customHeight="1"/>
    <row r="6777" ht="16.5" customHeight="1"/>
    <row r="6778" ht="16.5" customHeight="1"/>
    <row r="6779" ht="16.5" customHeight="1"/>
    <row r="6780" ht="16.5" customHeight="1"/>
    <row r="6781" ht="16.5" customHeight="1"/>
    <row r="6782" ht="16.5" customHeight="1"/>
    <row r="6783" ht="16.5" customHeight="1"/>
    <row r="6784" ht="16.5" customHeight="1"/>
    <row r="6785" ht="16.5" customHeight="1"/>
    <row r="6786" ht="16.5" customHeight="1"/>
    <row r="6787" ht="16.5" customHeight="1"/>
    <row r="6788" ht="16.5" customHeight="1"/>
    <row r="6789" ht="16.5" customHeight="1"/>
    <row r="6790" ht="16.5" customHeight="1"/>
    <row r="6791" ht="16.5" customHeight="1"/>
    <row r="6792" ht="16.5" customHeight="1"/>
    <row r="6793" ht="16.5" customHeight="1"/>
    <row r="6794" ht="16.5" customHeight="1"/>
    <row r="6795" ht="16.5" customHeight="1"/>
    <row r="6796" ht="16.5" customHeight="1"/>
    <row r="6797" ht="16.5" customHeight="1"/>
    <row r="6798" ht="16.5" customHeight="1"/>
    <row r="6799" ht="16.5" customHeight="1"/>
    <row r="6800" ht="16.5" customHeight="1"/>
    <row r="6801" ht="16.5" customHeight="1"/>
    <row r="6802" ht="16.5" customHeight="1"/>
    <row r="6803" ht="16.5" customHeight="1"/>
    <row r="6804" ht="16.5" customHeight="1"/>
    <row r="6805" ht="16.5" customHeight="1"/>
    <row r="6806" ht="16.5" customHeight="1"/>
    <row r="6807" ht="16.5" customHeight="1"/>
    <row r="6808" ht="16.5" customHeight="1"/>
    <row r="6809" ht="16.5" customHeight="1"/>
    <row r="6810" ht="16.5" customHeight="1"/>
    <row r="6811" ht="16.5" customHeight="1"/>
    <row r="6812" ht="16.5" customHeight="1"/>
    <row r="6813" ht="16.5" customHeight="1"/>
    <row r="6814" ht="16.5" customHeight="1"/>
    <row r="6815" ht="16.5" customHeight="1"/>
    <row r="6816" ht="16.5" customHeight="1"/>
    <row r="6817" ht="16.5" customHeight="1"/>
    <row r="6818" ht="16.5" customHeight="1"/>
    <row r="6819" ht="16.5" customHeight="1"/>
    <row r="6820" ht="16.5" customHeight="1"/>
    <row r="6821" ht="16.5" customHeight="1"/>
    <row r="6822" ht="16.5" customHeight="1"/>
    <row r="6823" ht="16.5" customHeight="1"/>
    <row r="6824" ht="16.5" customHeight="1"/>
    <row r="6825" ht="16.5" customHeight="1"/>
    <row r="6826" ht="16.5" customHeight="1"/>
    <row r="6827" ht="16.5" customHeight="1"/>
    <row r="6828" ht="16.5" customHeight="1"/>
    <row r="6829" ht="16.5" customHeight="1"/>
    <row r="6830" ht="16.5" customHeight="1"/>
    <row r="6831" ht="16.5" customHeight="1"/>
    <row r="6832" ht="16.5" customHeight="1"/>
    <row r="6833" ht="16.5" customHeight="1"/>
    <row r="6834" ht="16.5" customHeight="1"/>
    <row r="6835" ht="16.5" customHeight="1"/>
    <row r="6836" ht="16.5" customHeight="1"/>
    <row r="6837" ht="16.5" customHeight="1"/>
    <row r="6838" ht="16.5" customHeight="1"/>
    <row r="6839" ht="16.5" customHeight="1"/>
    <row r="6840" ht="16.5" customHeight="1"/>
    <row r="6841" ht="16.5" customHeight="1"/>
    <row r="6842" ht="16.5" customHeight="1"/>
    <row r="6843" ht="16.5" customHeight="1"/>
    <row r="6844" ht="16.5" customHeight="1"/>
    <row r="6845" ht="16.5" customHeight="1"/>
    <row r="6846" ht="16.5" customHeight="1"/>
    <row r="6847" ht="16.5" customHeight="1"/>
    <row r="6848" ht="16.5" customHeight="1"/>
    <row r="6849" ht="16.5" customHeight="1"/>
    <row r="6850" ht="16.5" customHeight="1"/>
    <row r="6851" ht="16.5" customHeight="1"/>
    <row r="6852" ht="16.5" customHeight="1"/>
    <row r="6853" ht="16.5" customHeight="1"/>
    <row r="6854" ht="16.5" customHeight="1"/>
    <row r="6855" ht="16.5" customHeight="1"/>
    <row r="6856" ht="16.5" customHeight="1"/>
    <row r="6857" ht="16.5" customHeight="1"/>
    <row r="6858" ht="16.5" customHeight="1"/>
    <row r="6859" ht="16.5" customHeight="1"/>
    <row r="6860" ht="16.5" customHeight="1"/>
    <row r="6861" ht="16.5" customHeight="1"/>
    <row r="6862" ht="16.5" customHeight="1"/>
    <row r="6863" ht="16.5" customHeight="1"/>
    <row r="6864" ht="16.5" customHeight="1"/>
    <row r="6865" ht="16.5" customHeight="1"/>
    <row r="6866" ht="16.5" customHeight="1"/>
    <row r="6867" ht="16.5" customHeight="1"/>
    <row r="6868" ht="16.5" customHeight="1"/>
    <row r="6869" ht="16.5" customHeight="1"/>
    <row r="6870" ht="16.5" customHeight="1"/>
    <row r="6871" ht="16.5" customHeight="1"/>
    <row r="6872" ht="16.5" customHeight="1"/>
    <row r="6873" ht="16.5" customHeight="1"/>
    <row r="6874" ht="16.5" customHeight="1"/>
    <row r="6875" ht="16.5" customHeight="1"/>
    <row r="6876" ht="16.5" customHeight="1"/>
    <row r="6877" ht="16.5" customHeight="1"/>
    <row r="6878" ht="16.5" customHeight="1"/>
    <row r="6879" ht="16.5" customHeight="1"/>
    <row r="6880" ht="16.5" customHeight="1"/>
    <row r="6881" ht="16.5" customHeight="1"/>
    <row r="6882" ht="16.5" customHeight="1"/>
    <row r="6883" ht="16.5" customHeight="1"/>
    <row r="6884" ht="16.5" customHeight="1"/>
    <row r="6885" ht="16.5" customHeight="1"/>
    <row r="6886" ht="16.5" customHeight="1"/>
    <row r="6887" ht="16.5" customHeight="1"/>
    <row r="6888" ht="16.5" customHeight="1"/>
    <row r="6889" ht="16.5" customHeight="1"/>
    <row r="6890" ht="16.5" customHeight="1"/>
    <row r="6891" ht="16.5" customHeight="1"/>
    <row r="6892" ht="16.5" customHeight="1"/>
    <row r="6893" ht="16.5" customHeight="1"/>
    <row r="6894" ht="16.5" customHeight="1"/>
    <row r="6895" ht="16.5" customHeight="1"/>
    <row r="6896" ht="16.5" customHeight="1"/>
    <row r="6897" ht="16.5" customHeight="1"/>
    <row r="6898" ht="16.5" customHeight="1"/>
    <row r="6899" ht="16.5" customHeight="1"/>
    <row r="6900" ht="16.5" customHeight="1"/>
    <row r="6901" ht="16.5" customHeight="1"/>
    <row r="6902" ht="16.5" customHeight="1"/>
    <row r="6903" ht="16.5" customHeight="1"/>
    <row r="6904" ht="16.5" customHeight="1"/>
    <row r="6905" ht="16.5" customHeight="1"/>
    <row r="6906" ht="16.5" customHeight="1"/>
    <row r="6907" ht="16.5" customHeight="1"/>
    <row r="6908" ht="16.5" customHeight="1"/>
    <row r="6909" ht="16.5" customHeight="1"/>
    <row r="6910" ht="16.5" customHeight="1"/>
    <row r="6911" ht="16.5" customHeight="1"/>
    <row r="6912" ht="16.5" customHeight="1"/>
    <row r="6913" ht="16.5" customHeight="1"/>
    <row r="6914" ht="16.5" customHeight="1"/>
    <row r="6915" ht="16.5" customHeight="1"/>
    <row r="6916" ht="16.5" customHeight="1"/>
    <row r="6917" ht="16.5" customHeight="1"/>
    <row r="6918" ht="16.5" customHeight="1"/>
    <row r="6919" ht="16.5" customHeight="1"/>
    <row r="6920" ht="16.5" customHeight="1"/>
    <row r="6921" ht="16.5" customHeight="1"/>
    <row r="6922" ht="16.5" customHeight="1"/>
    <row r="6923" ht="16.5" customHeight="1"/>
    <row r="6924" ht="16.5" customHeight="1"/>
    <row r="6925" ht="16.5" customHeight="1"/>
    <row r="6926" ht="16.5" customHeight="1"/>
    <row r="6927" ht="16.5" customHeight="1"/>
    <row r="6928" ht="16.5" customHeight="1"/>
    <row r="6929" ht="16.5" customHeight="1"/>
    <row r="6930" ht="16.5" customHeight="1"/>
    <row r="6931" ht="16.5" customHeight="1"/>
    <row r="6932" ht="16.5" customHeight="1"/>
    <row r="6933" ht="16.5" customHeight="1"/>
    <row r="6934" ht="16.5" customHeight="1"/>
    <row r="6935" ht="16.5" customHeight="1"/>
    <row r="6936" ht="16.5" customHeight="1"/>
    <row r="6937" ht="16.5" customHeight="1"/>
    <row r="6938" ht="16.5" customHeight="1"/>
    <row r="6939" ht="16.5" customHeight="1"/>
    <row r="6940" ht="16.5" customHeight="1"/>
    <row r="6941" ht="16.5" customHeight="1"/>
    <row r="6942" ht="16.5" customHeight="1"/>
    <row r="6943" ht="16.5" customHeight="1"/>
    <row r="6944" ht="16.5" customHeight="1"/>
    <row r="6945" ht="16.5" customHeight="1"/>
    <row r="6946" ht="16.5" customHeight="1"/>
    <row r="6947" ht="16.5" customHeight="1"/>
    <row r="6948" ht="16.5" customHeight="1"/>
    <row r="6949" ht="16.5" customHeight="1"/>
    <row r="6950" ht="16.5" customHeight="1"/>
    <row r="6951" ht="16.5" customHeight="1"/>
    <row r="6952" ht="16.5" customHeight="1"/>
    <row r="6953" ht="16.5" customHeight="1"/>
    <row r="6954" ht="16.5" customHeight="1"/>
    <row r="6955" ht="16.5" customHeight="1"/>
    <row r="6956" ht="16.5" customHeight="1"/>
    <row r="6957" ht="16.5" customHeight="1"/>
    <row r="6958" ht="16.5" customHeight="1"/>
    <row r="6959" ht="16.5" customHeight="1"/>
    <row r="6960" ht="16.5" customHeight="1"/>
    <row r="6961" ht="16.5" customHeight="1"/>
    <row r="6962" ht="16.5" customHeight="1"/>
    <row r="6963" ht="16.5" customHeight="1"/>
    <row r="6964" ht="16.5" customHeight="1"/>
    <row r="6965" ht="16.5" customHeight="1"/>
    <row r="6966" ht="16.5" customHeight="1"/>
    <row r="6967" ht="16.5" customHeight="1"/>
    <row r="6968" ht="16.5" customHeight="1"/>
    <row r="6969" ht="16.5" customHeight="1"/>
    <row r="6970" ht="16.5" customHeight="1"/>
    <row r="6971" ht="16.5" customHeight="1"/>
    <row r="6972" ht="16.5" customHeight="1"/>
    <row r="6973" ht="16.5" customHeight="1"/>
    <row r="6974" ht="16.5" customHeight="1"/>
    <row r="6975" ht="16.5" customHeight="1"/>
    <row r="6976" ht="16.5" customHeight="1"/>
    <row r="6977" ht="16.5" customHeight="1"/>
    <row r="6978" ht="16.5" customHeight="1"/>
    <row r="6979" ht="16.5" customHeight="1"/>
    <row r="6980" ht="16.5" customHeight="1"/>
    <row r="6981" ht="16.5" customHeight="1"/>
    <row r="6982" ht="16.5" customHeight="1"/>
    <row r="6983" ht="16.5" customHeight="1"/>
    <row r="6984" ht="16.5" customHeight="1"/>
    <row r="6985" ht="16.5" customHeight="1"/>
    <row r="6986" ht="16.5" customHeight="1"/>
    <row r="6987" ht="16.5" customHeight="1"/>
    <row r="6988" ht="16.5" customHeight="1"/>
    <row r="6989" ht="16.5" customHeight="1"/>
    <row r="6990" ht="16.5" customHeight="1"/>
    <row r="6991" ht="16.5" customHeight="1"/>
    <row r="6992" ht="16.5" customHeight="1"/>
    <row r="6993" ht="16.5" customHeight="1"/>
    <row r="6994" ht="16.5" customHeight="1"/>
    <row r="6995" ht="16.5" customHeight="1"/>
    <row r="6996" ht="16.5" customHeight="1"/>
    <row r="6997" ht="16.5" customHeight="1"/>
    <row r="6998" ht="16.5" customHeight="1"/>
    <row r="6999" ht="16.5" customHeight="1"/>
    <row r="7000" ht="16.5" customHeight="1"/>
    <row r="7001" ht="16.5" customHeight="1"/>
    <row r="7002" ht="16.5" customHeight="1"/>
    <row r="7003" ht="16.5" customHeight="1"/>
    <row r="7004" ht="16.5" customHeight="1"/>
    <row r="7005" ht="16.5" customHeight="1"/>
    <row r="7006" ht="16.5" customHeight="1"/>
    <row r="7007" ht="16.5" customHeight="1"/>
    <row r="7008" ht="16.5" customHeight="1"/>
    <row r="7009" ht="16.5" customHeight="1"/>
    <row r="7010" ht="16.5" customHeight="1"/>
    <row r="7011" ht="16.5" customHeight="1"/>
    <row r="7012" ht="16.5" customHeight="1"/>
    <row r="7013" ht="16.5" customHeight="1"/>
    <row r="7014" ht="16.5" customHeight="1"/>
    <row r="7015" ht="16.5" customHeight="1"/>
    <row r="7016" ht="16.5" customHeight="1"/>
    <row r="7017" ht="16.5" customHeight="1"/>
    <row r="7018" ht="16.5" customHeight="1"/>
    <row r="7019" ht="16.5" customHeight="1"/>
    <row r="7020" ht="16.5" customHeight="1"/>
    <row r="7021" ht="16.5" customHeight="1"/>
    <row r="7022" ht="16.5" customHeight="1"/>
    <row r="7023" ht="16.5" customHeight="1"/>
    <row r="7024" ht="16.5" customHeight="1"/>
    <row r="7025" ht="16.5" customHeight="1"/>
    <row r="7026" ht="16.5" customHeight="1"/>
    <row r="7027" ht="16.5" customHeight="1"/>
    <row r="7028" ht="16.5" customHeight="1"/>
    <row r="7029" ht="16.5" customHeight="1"/>
    <row r="7030" ht="16.5" customHeight="1"/>
    <row r="7031" ht="16.5" customHeight="1"/>
    <row r="7032" ht="16.5" customHeight="1"/>
    <row r="7033" ht="16.5" customHeight="1"/>
    <row r="7034" ht="16.5" customHeight="1"/>
    <row r="7035" ht="16.5" customHeight="1"/>
    <row r="7036" ht="16.5" customHeight="1"/>
    <row r="7037" ht="16.5" customHeight="1"/>
    <row r="7038" ht="16.5" customHeight="1"/>
    <row r="7039" ht="16.5" customHeight="1"/>
    <row r="7040" ht="16.5" customHeight="1"/>
    <row r="7041" ht="16.5" customHeight="1"/>
    <row r="7042" ht="16.5" customHeight="1"/>
    <row r="7043" ht="16.5" customHeight="1"/>
    <row r="7044" ht="16.5" customHeight="1"/>
    <row r="7045" ht="16.5" customHeight="1"/>
    <row r="7046" ht="16.5" customHeight="1"/>
    <row r="7047" ht="16.5" customHeight="1"/>
    <row r="7048" ht="16.5" customHeight="1"/>
    <row r="7049" ht="16.5" customHeight="1"/>
    <row r="7050" ht="16.5" customHeight="1"/>
    <row r="7051" ht="16.5" customHeight="1"/>
    <row r="7052" ht="16.5" customHeight="1"/>
    <row r="7053" ht="16.5" customHeight="1"/>
    <row r="7054" ht="16.5" customHeight="1"/>
    <row r="7055" ht="16.5" customHeight="1"/>
    <row r="7056" ht="16.5" customHeight="1"/>
    <row r="7057" ht="16.5" customHeight="1"/>
    <row r="7058" ht="16.5" customHeight="1"/>
    <row r="7059" ht="16.5" customHeight="1"/>
    <row r="7060" ht="16.5" customHeight="1"/>
    <row r="7061" ht="16.5" customHeight="1"/>
    <row r="7062" ht="16.5" customHeight="1"/>
    <row r="7063" ht="16.5" customHeight="1"/>
    <row r="7064" ht="16.5" customHeight="1"/>
    <row r="7065" ht="16.5" customHeight="1"/>
    <row r="7066" ht="16.5" customHeight="1"/>
    <row r="7067" ht="16.5" customHeight="1"/>
    <row r="7068" ht="16.5" customHeight="1"/>
    <row r="7069" ht="16.5" customHeight="1"/>
    <row r="7070" ht="16.5" customHeight="1"/>
    <row r="7071" ht="16.5" customHeight="1"/>
    <row r="7072" ht="16.5" customHeight="1"/>
    <row r="7073" ht="16.5" customHeight="1"/>
    <row r="7074" ht="16.5" customHeight="1"/>
    <row r="7075" ht="16.5" customHeight="1"/>
    <row r="7076" ht="16.5" customHeight="1"/>
    <row r="7077" ht="16.5" customHeight="1"/>
    <row r="7078" ht="16.5" customHeight="1"/>
    <row r="7079" ht="16.5" customHeight="1"/>
    <row r="7080" ht="16.5" customHeight="1"/>
    <row r="7081" ht="16.5" customHeight="1"/>
    <row r="7082" ht="16.5" customHeight="1"/>
    <row r="7083" ht="16.5" customHeight="1"/>
    <row r="7084" ht="16.5" customHeight="1"/>
    <row r="7085" ht="16.5" customHeight="1"/>
    <row r="7086" ht="16.5" customHeight="1"/>
    <row r="7087" ht="16.5" customHeight="1"/>
    <row r="7088" ht="16.5" customHeight="1"/>
    <row r="7089" ht="16.5" customHeight="1"/>
    <row r="7090" ht="16.5" customHeight="1"/>
    <row r="7091" ht="16.5" customHeight="1"/>
    <row r="7092" ht="16.5" customHeight="1"/>
    <row r="7093" ht="16.5" customHeight="1"/>
    <row r="7094" ht="16.5" customHeight="1"/>
    <row r="7095" ht="16.5" customHeight="1"/>
    <row r="7096" ht="16.5" customHeight="1"/>
    <row r="7097" ht="16.5" customHeight="1"/>
    <row r="7098" ht="16.5" customHeight="1"/>
    <row r="7099" ht="16.5" customHeight="1"/>
    <row r="7100" ht="16.5" customHeight="1"/>
    <row r="7101" ht="16.5" customHeight="1"/>
    <row r="7102" ht="16.5" customHeight="1"/>
    <row r="7103" ht="16.5" customHeight="1"/>
    <row r="7104" ht="16.5" customHeight="1"/>
    <row r="7105" ht="16.5" customHeight="1"/>
    <row r="7106" ht="16.5" customHeight="1"/>
    <row r="7107" ht="16.5" customHeight="1"/>
    <row r="7108" ht="16.5" customHeight="1"/>
    <row r="7109" ht="16.5" customHeight="1"/>
    <row r="7110" ht="16.5" customHeight="1"/>
    <row r="7111" ht="16.5" customHeight="1"/>
    <row r="7112" ht="16.5" customHeight="1"/>
    <row r="7113" ht="16.5" customHeight="1"/>
    <row r="7114" ht="16.5" customHeight="1"/>
    <row r="7115" ht="16.5" customHeight="1"/>
    <row r="7116" ht="16.5" customHeight="1"/>
    <row r="7117" ht="16.5" customHeight="1"/>
    <row r="7118" ht="16.5" customHeight="1"/>
    <row r="7119" ht="16.5" customHeight="1"/>
    <row r="7120" ht="16.5" customHeight="1"/>
    <row r="7121" ht="16.5" customHeight="1"/>
    <row r="7122" ht="16.5" customHeight="1"/>
    <row r="7123" ht="16.5" customHeight="1"/>
    <row r="7124" ht="16.5" customHeight="1"/>
    <row r="7125" ht="16.5" customHeight="1"/>
    <row r="7126" ht="16.5" customHeight="1"/>
    <row r="7127" ht="16.5" customHeight="1"/>
    <row r="7128" ht="16.5" customHeight="1"/>
    <row r="7129" ht="16.5" customHeight="1"/>
    <row r="7130" ht="16.5" customHeight="1"/>
    <row r="7131" ht="16.5" customHeight="1"/>
    <row r="7132" ht="16.5" customHeight="1"/>
    <row r="7133" ht="16.5" customHeight="1"/>
    <row r="7134" ht="16.5" customHeight="1"/>
    <row r="7135" ht="16.5" customHeight="1"/>
    <row r="7136" ht="16.5" customHeight="1"/>
    <row r="7137" ht="16.5" customHeight="1"/>
    <row r="7138" ht="16.5" customHeight="1"/>
    <row r="7139" ht="16.5" customHeight="1"/>
    <row r="7140" ht="16.5" customHeight="1"/>
    <row r="7141" ht="16.5" customHeight="1"/>
    <row r="7142" ht="16.5" customHeight="1"/>
    <row r="7143" ht="16.5" customHeight="1"/>
    <row r="7144" ht="16.5" customHeight="1"/>
    <row r="7145" ht="16.5" customHeight="1"/>
    <row r="7146" ht="16.5" customHeight="1"/>
    <row r="7147" ht="16.5" customHeight="1"/>
    <row r="7148" ht="16.5" customHeight="1"/>
    <row r="7149" ht="16.5" customHeight="1"/>
    <row r="7150" ht="16.5" customHeight="1"/>
    <row r="7151" ht="16.5" customHeight="1"/>
    <row r="7152" ht="16.5" customHeight="1"/>
    <row r="7153" ht="16.5" customHeight="1"/>
    <row r="7154" ht="16.5" customHeight="1"/>
    <row r="7155" ht="16.5" customHeight="1"/>
    <row r="7156" ht="16.5" customHeight="1"/>
    <row r="7157" ht="16.5" customHeight="1"/>
    <row r="7158" ht="16.5" customHeight="1"/>
    <row r="7159" ht="16.5" customHeight="1"/>
    <row r="7160" ht="16.5" customHeight="1"/>
    <row r="7161" ht="16.5" customHeight="1"/>
    <row r="7162" ht="16.5" customHeight="1"/>
    <row r="7163" ht="16.5" customHeight="1"/>
    <row r="7164" ht="16.5" customHeight="1"/>
    <row r="7165" ht="16.5" customHeight="1"/>
    <row r="7166" ht="16.5" customHeight="1"/>
    <row r="7167" ht="16.5" customHeight="1"/>
    <row r="7168" ht="16.5" customHeight="1"/>
    <row r="7169" ht="16.5" customHeight="1"/>
    <row r="7170" ht="16.5" customHeight="1"/>
    <row r="7171" ht="16.5" customHeight="1"/>
    <row r="7172" ht="16.5" customHeight="1"/>
    <row r="7173" ht="16.5" customHeight="1"/>
    <row r="7174" ht="16.5" customHeight="1"/>
    <row r="7175" ht="16.5" customHeight="1"/>
    <row r="7176" ht="16.5" customHeight="1"/>
    <row r="7177" ht="16.5" customHeight="1"/>
    <row r="7178" ht="16.5" customHeight="1"/>
    <row r="7179" ht="16.5" customHeight="1"/>
    <row r="7180" ht="16.5" customHeight="1"/>
    <row r="7181" ht="16.5" customHeight="1"/>
    <row r="7182" ht="16.5" customHeight="1"/>
    <row r="7183" ht="16.5" customHeight="1"/>
    <row r="7184" ht="16.5" customHeight="1"/>
    <row r="7185" ht="16.5" customHeight="1"/>
    <row r="7186" ht="16.5" customHeight="1"/>
    <row r="7187" ht="16.5" customHeight="1"/>
    <row r="7188" ht="16.5" customHeight="1"/>
    <row r="7189" ht="16.5" customHeight="1"/>
    <row r="7190" ht="16.5" customHeight="1"/>
    <row r="7191" ht="16.5" customHeight="1"/>
    <row r="7192" ht="16.5" customHeight="1"/>
    <row r="7193" ht="16.5" customHeight="1"/>
    <row r="7194" ht="16.5" customHeight="1"/>
    <row r="7195" ht="16.5" customHeight="1"/>
    <row r="7196" ht="16.5" customHeight="1"/>
    <row r="7197" ht="16.5" customHeight="1"/>
    <row r="7198" ht="16.5" customHeight="1"/>
    <row r="7199" ht="16.5" customHeight="1"/>
    <row r="7200" ht="16.5" customHeight="1"/>
    <row r="7201" ht="16.5" customHeight="1"/>
    <row r="7202" ht="16.5" customHeight="1"/>
    <row r="7203" ht="16.5" customHeight="1"/>
    <row r="7204" ht="16.5" customHeight="1"/>
    <row r="7205" ht="16.5" customHeight="1"/>
    <row r="7206" ht="16.5" customHeight="1"/>
    <row r="7207" ht="16.5" customHeight="1"/>
    <row r="7208" ht="16.5" customHeight="1"/>
    <row r="7209" ht="16.5" customHeight="1"/>
    <row r="7210" ht="16.5" customHeight="1"/>
    <row r="7211" ht="16.5" customHeight="1"/>
    <row r="7212" ht="16.5" customHeight="1"/>
    <row r="7213" ht="16.5" customHeight="1"/>
    <row r="7214" ht="16.5" customHeight="1"/>
    <row r="7215" ht="16.5" customHeight="1"/>
    <row r="7216" ht="16.5" customHeight="1"/>
    <row r="7217" ht="16.5" customHeight="1"/>
    <row r="7218" ht="16.5" customHeight="1"/>
    <row r="7219" ht="16.5" customHeight="1"/>
    <row r="7220" ht="16.5" customHeight="1"/>
    <row r="7221" ht="16.5" customHeight="1"/>
    <row r="7222" ht="16.5" customHeight="1"/>
    <row r="7223" ht="16.5" customHeight="1"/>
    <row r="7224" ht="16.5" customHeight="1"/>
    <row r="7225" ht="16.5" customHeight="1"/>
    <row r="7226" ht="16.5" customHeight="1"/>
    <row r="7227" ht="16.5" customHeight="1"/>
    <row r="7228" ht="16.5" customHeight="1"/>
    <row r="7229" ht="16.5" customHeight="1"/>
    <row r="7230" ht="16.5" customHeight="1"/>
    <row r="7231" ht="16.5" customHeight="1"/>
    <row r="7232" ht="16.5" customHeight="1"/>
    <row r="7233" ht="16.5" customHeight="1"/>
    <row r="7234" ht="16.5" customHeight="1"/>
    <row r="7235" ht="16.5" customHeight="1"/>
    <row r="7236" ht="16.5" customHeight="1"/>
    <row r="7237" ht="16.5" customHeight="1"/>
    <row r="7238" ht="16.5" customHeight="1"/>
    <row r="7239" ht="16.5" customHeight="1"/>
    <row r="7240" ht="16.5" customHeight="1"/>
    <row r="7241" ht="16.5" customHeight="1"/>
    <row r="7242" ht="16.5" customHeight="1"/>
    <row r="7243" ht="16.5" customHeight="1"/>
    <row r="7244" ht="16.5" customHeight="1"/>
    <row r="7245" ht="16.5" customHeight="1"/>
    <row r="7246" ht="16.5" customHeight="1"/>
    <row r="7247" ht="16.5" customHeight="1"/>
    <row r="7248" ht="16.5" customHeight="1"/>
    <row r="7249" ht="16.5" customHeight="1"/>
    <row r="7250" ht="16.5" customHeight="1"/>
    <row r="7251" ht="16.5" customHeight="1"/>
    <row r="7252" ht="16.5" customHeight="1"/>
    <row r="7253" ht="16.5" customHeight="1"/>
    <row r="7254" ht="16.5" customHeight="1"/>
    <row r="7255" ht="16.5" customHeight="1"/>
    <row r="7256" ht="16.5" customHeight="1"/>
    <row r="7257" ht="16.5" customHeight="1"/>
    <row r="7258" ht="16.5" customHeight="1"/>
    <row r="7259" ht="16.5" customHeight="1"/>
    <row r="7260" ht="16.5" customHeight="1"/>
    <row r="7261" ht="16.5" customHeight="1"/>
    <row r="7262" ht="16.5" customHeight="1"/>
    <row r="7263" ht="16.5" customHeight="1"/>
    <row r="7264" ht="16.5" customHeight="1"/>
    <row r="7265" ht="16.5" customHeight="1"/>
    <row r="7266" ht="16.5" customHeight="1"/>
    <row r="7267" ht="16.5" customHeight="1"/>
    <row r="7268" ht="16.5" customHeight="1"/>
    <row r="7269" ht="16.5" customHeight="1"/>
    <row r="7270" ht="16.5" customHeight="1"/>
    <row r="7271" ht="16.5" customHeight="1"/>
    <row r="7272" ht="16.5" customHeight="1"/>
    <row r="7273" ht="16.5" customHeight="1"/>
    <row r="7274" ht="16.5" customHeight="1"/>
    <row r="7275" ht="16.5" customHeight="1"/>
    <row r="7276" ht="16.5" customHeight="1"/>
    <row r="7277" ht="16.5" customHeight="1"/>
    <row r="7278" ht="16.5" customHeight="1"/>
    <row r="7279" ht="16.5" customHeight="1"/>
    <row r="7280" ht="16.5" customHeight="1"/>
    <row r="7281" ht="16.5" customHeight="1"/>
    <row r="7282" ht="16.5" customHeight="1"/>
    <row r="7283" ht="16.5" customHeight="1"/>
    <row r="7284" ht="16.5" customHeight="1"/>
    <row r="7285" ht="16.5" customHeight="1"/>
    <row r="7286" ht="16.5" customHeight="1"/>
    <row r="7287" ht="16.5" customHeight="1"/>
    <row r="7288" ht="16.5" customHeight="1"/>
    <row r="7289" ht="16.5" customHeight="1"/>
    <row r="7290" ht="16.5" customHeight="1"/>
    <row r="7291" ht="16.5" customHeight="1"/>
    <row r="7292" ht="16.5" customHeight="1"/>
    <row r="7293" ht="16.5" customHeight="1"/>
    <row r="7294" ht="16.5" customHeight="1"/>
    <row r="7295" ht="16.5" customHeight="1"/>
    <row r="7296" ht="16.5" customHeight="1"/>
    <row r="7297" ht="16.5" customHeight="1"/>
    <row r="7298" ht="16.5" customHeight="1"/>
    <row r="7299" ht="16.5" customHeight="1"/>
    <row r="7300" ht="16.5" customHeight="1"/>
    <row r="7301" ht="16.5" customHeight="1"/>
    <row r="7302" ht="16.5" customHeight="1"/>
    <row r="7303" ht="16.5" customHeight="1"/>
    <row r="7304" ht="16.5" customHeight="1"/>
    <row r="7305" ht="16.5" customHeight="1"/>
    <row r="7306" ht="16.5" customHeight="1"/>
    <row r="7307" ht="16.5" customHeight="1"/>
    <row r="7308" ht="16.5" customHeight="1"/>
    <row r="7309" ht="16.5" customHeight="1"/>
    <row r="7310" ht="16.5" customHeight="1"/>
    <row r="7311" ht="16.5" customHeight="1"/>
    <row r="7312" ht="16.5" customHeight="1"/>
    <row r="7313" ht="16.5" customHeight="1"/>
    <row r="7314" ht="16.5" customHeight="1"/>
    <row r="7315" ht="16.5" customHeight="1"/>
    <row r="7316" ht="16.5" customHeight="1"/>
    <row r="7317" ht="16.5" customHeight="1"/>
    <row r="7318" ht="16.5" customHeight="1"/>
    <row r="7319" ht="16.5" customHeight="1"/>
    <row r="7320" ht="16.5" customHeight="1"/>
    <row r="7321" ht="16.5" customHeight="1"/>
    <row r="7322" ht="16.5" customHeight="1"/>
    <row r="7323" ht="16.5" customHeight="1"/>
    <row r="7324" ht="16.5" customHeight="1"/>
    <row r="7325" ht="16.5" customHeight="1"/>
    <row r="7326" ht="16.5" customHeight="1"/>
    <row r="7327" ht="16.5" customHeight="1"/>
    <row r="7328" ht="16.5" customHeight="1"/>
    <row r="7329" ht="16.5" customHeight="1"/>
    <row r="7330" ht="16.5" customHeight="1"/>
    <row r="7331" ht="16.5" customHeight="1"/>
    <row r="7332" ht="16.5" customHeight="1"/>
    <row r="7333" ht="16.5" customHeight="1"/>
    <row r="7334" ht="16.5" customHeight="1"/>
    <row r="7335" ht="16.5" customHeight="1"/>
    <row r="7336" ht="16.5" customHeight="1"/>
    <row r="7337" ht="16.5" customHeight="1"/>
    <row r="7338" ht="16.5" customHeight="1"/>
    <row r="7339" ht="16.5" customHeight="1"/>
    <row r="7340" ht="16.5" customHeight="1"/>
    <row r="7341" ht="16.5" customHeight="1"/>
    <row r="7342" ht="16.5" customHeight="1"/>
    <row r="7343" ht="16.5" customHeight="1"/>
    <row r="7344" ht="16.5" customHeight="1"/>
    <row r="7345" ht="16.5" customHeight="1"/>
    <row r="7346" ht="16.5" customHeight="1"/>
    <row r="7347" ht="16.5" customHeight="1"/>
    <row r="7348" ht="16.5" customHeight="1"/>
    <row r="7349" ht="16.5" customHeight="1"/>
    <row r="7350" ht="16.5" customHeight="1"/>
    <row r="7351" ht="16.5" customHeight="1"/>
    <row r="7352" ht="16.5" customHeight="1"/>
    <row r="7353" ht="16.5" customHeight="1"/>
    <row r="7354" ht="16.5" customHeight="1"/>
    <row r="7355" ht="16.5" customHeight="1"/>
    <row r="7356" ht="16.5" customHeight="1"/>
    <row r="7357" ht="16.5" customHeight="1"/>
    <row r="7358" ht="16.5" customHeight="1"/>
    <row r="7359" ht="16.5" customHeight="1"/>
    <row r="7360" ht="16.5" customHeight="1"/>
    <row r="7361" ht="16.5" customHeight="1"/>
    <row r="7362" ht="16.5" customHeight="1"/>
    <row r="7363" ht="16.5" customHeight="1"/>
    <row r="7364" ht="16.5" customHeight="1"/>
    <row r="7365" ht="16.5" customHeight="1"/>
    <row r="7366" ht="16.5" customHeight="1"/>
    <row r="7367" ht="16.5" customHeight="1"/>
    <row r="7368" ht="16.5" customHeight="1"/>
    <row r="7369" ht="16.5" customHeight="1"/>
    <row r="7370" ht="16.5" customHeight="1"/>
    <row r="7371" ht="16.5" customHeight="1"/>
    <row r="7372" ht="16.5" customHeight="1"/>
    <row r="7373" ht="16.5" customHeight="1"/>
    <row r="7374" ht="16.5" customHeight="1"/>
    <row r="7375" ht="16.5" customHeight="1"/>
    <row r="7376" ht="16.5" customHeight="1"/>
    <row r="7377" ht="16.5" customHeight="1"/>
    <row r="7378" ht="16.5" customHeight="1"/>
    <row r="7379" ht="16.5" customHeight="1"/>
    <row r="7380" ht="16.5" customHeight="1"/>
    <row r="7381" ht="16.5" customHeight="1"/>
    <row r="7382" ht="16.5" customHeight="1"/>
    <row r="7383" ht="16.5" customHeight="1"/>
    <row r="7384" ht="16.5" customHeight="1"/>
    <row r="7385" ht="16.5" customHeight="1"/>
    <row r="7386" ht="16.5" customHeight="1"/>
    <row r="7387" ht="16.5" customHeight="1"/>
    <row r="7388" ht="16.5" customHeight="1"/>
    <row r="7389" ht="16.5" customHeight="1"/>
    <row r="7390" ht="16.5" customHeight="1"/>
    <row r="7391" ht="16.5" customHeight="1"/>
    <row r="7392" ht="16.5" customHeight="1"/>
    <row r="7393" ht="16.5" customHeight="1"/>
    <row r="7394" ht="16.5" customHeight="1"/>
    <row r="7395" ht="16.5" customHeight="1"/>
    <row r="7396" ht="16.5" customHeight="1"/>
    <row r="7397" ht="16.5" customHeight="1"/>
    <row r="7398" ht="16.5" customHeight="1"/>
    <row r="7399" ht="16.5" customHeight="1"/>
    <row r="7400" ht="16.5" customHeight="1"/>
    <row r="7401" ht="16.5" customHeight="1"/>
    <row r="7402" ht="16.5" customHeight="1"/>
    <row r="7403" ht="16.5" customHeight="1"/>
    <row r="7404" ht="16.5" customHeight="1"/>
    <row r="7405" ht="16.5" customHeight="1"/>
    <row r="7406" ht="16.5" customHeight="1"/>
    <row r="7407" ht="16.5" customHeight="1"/>
    <row r="7408" ht="16.5" customHeight="1"/>
    <row r="7409" ht="16.5" customHeight="1"/>
    <row r="7410" ht="16.5" customHeight="1"/>
    <row r="7411" ht="16.5" customHeight="1"/>
    <row r="7412" ht="16.5" customHeight="1"/>
    <row r="7413" ht="16.5" customHeight="1"/>
    <row r="7414" ht="16.5" customHeight="1"/>
    <row r="7415" ht="16.5" customHeight="1"/>
    <row r="7416" ht="16.5" customHeight="1"/>
    <row r="7417" ht="16.5" customHeight="1"/>
    <row r="7418" ht="16.5" customHeight="1"/>
    <row r="7419" ht="16.5" customHeight="1"/>
    <row r="7420" ht="16.5" customHeight="1"/>
    <row r="7421" ht="16.5" customHeight="1"/>
    <row r="7422" ht="16.5" customHeight="1"/>
    <row r="7423" ht="16.5" customHeight="1"/>
    <row r="7424" ht="16.5" customHeight="1"/>
    <row r="7425" ht="16.5" customHeight="1"/>
    <row r="7426" ht="16.5" customHeight="1"/>
    <row r="7427" ht="16.5" customHeight="1"/>
    <row r="7428" ht="16.5" customHeight="1"/>
    <row r="7429" ht="16.5" customHeight="1"/>
    <row r="7430" ht="16.5" customHeight="1"/>
    <row r="7431" ht="16.5" customHeight="1"/>
    <row r="7432" ht="16.5" customHeight="1"/>
    <row r="7433" ht="16.5" customHeight="1"/>
    <row r="7434" ht="16.5" customHeight="1"/>
    <row r="7435" ht="16.5" customHeight="1"/>
    <row r="7436" ht="16.5" customHeight="1"/>
    <row r="7437" ht="16.5" customHeight="1"/>
    <row r="7438" ht="16.5" customHeight="1"/>
    <row r="7439" ht="16.5" customHeight="1"/>
    <row r="7440" ht="16.5" customHeight="1"/>
    <row r="7441" ht="16.5" customHeight="1"/>
    <row r="7442" ht="16.5" customHeight="1"/>
    <row r="7443" ht="16.5" customHeight="1"/>
    <row r="7444" ht="16.5" customHeight="1"/>
    <row r="7445" ht="16.5" customHeight="1"/>
    <row r="7446" ht="16.5" customHeight="1"/>
    <row r="7447" ht="16.5" customHeight="1"/>
    <row r="7448" ht="16.5" customHeight="1"/>
    <row r="7449" ht="16.5" customHeight="1"/>
    <row r="7450" ht="16.5" customHeight="1"/>
    <row r="7451" ht="16.5" customHeight="1"/>
    <row r="7452" ht="16.5" customHeight="1"/>
    <row r="7453" ht="16.5" customHeight="1"/>
    <row r="7454" ht="16.5" customHeight="1"/>
    <row r="7455" ht="16.5" customHeight="1"/>
    <row r="7456" ht="16.5" customHeight="1"/>
    <row r="7457" ht="16.5" customHeight="1"/>
    <row r="7458" ht="16.5" customHeight="1"/>
    <row r="7459" ht="16.5" customHeight="1"/>
    <row r="7460" ht="16.5" customHeight="1"/>
    <row r="7461" ht="16.5" customHeight="1"/>
    <row r="7462" ht="16.5" customHeight="1"/>
    <row r="7463" ht="16.5" customHeight="1"/>
    <row r="7464" ht="16.5" customHeight="1"/>
    <row r="7465" ht="16.5" customHeight="1"/>
    <row r="7466" ht="16.5" customHeight="1"/>
    <row r="7467" ht="16.5" customHeight="1"/>
    <row r="7468" ht="16.5" customHeight="1"/>
    <row r="7469" ht="16.5" customHeight="1"/>
    <row r="7470" ht="16.5" customHeight="1"/>
    <row r="7471" ht="16.5" customHeight="1"/>
    <row r="7472" ht="16.5" customHeight="1"/>
    <row r="7473" ht="16.5" customHeight="1"/>
    <row r="7474" ht="16.5" customHeight="1"/>
    <row r="7475" ht="16.5" customHeight="1"/>
    <row r="7476" ht="16.5" customHeight="1"/>
    <row r="7477" ht="16.5" customHeight="1"/>
    <row r="7478" ht="16.5" customHeight="1"/>
    <row r="7479" ht="16.5" customHeight="1"/>
    <row r="7480" ht="16.5" customHeight="1"/>
    <row r="7481" ht="16.5" customHeight="1"/>
    <row r="7482" ht="16.5" customHeight="1"/>
    <row r="7483" ht="16.5" customHeight="1"/>
    <row r="7484" ht="16.5" customHeight="1"/>
    <row r="7485" ht="16.5" customHeight="1"/>
    <row r="7486" ht="16.5" customHeight="1"/>
    <row r="7487" ht="16.5" customHeight="1"/>
    <row r="7488" ht="16.5" customHeight="1"/>
    <row r="7489" ht="16.5" customHeight="1"/>
    <row r="7490" ht="16.5" customHeight="1"/>
    <row r="7491" ht="16.5" customHeight="1"/>
    <row r="7492" ht="16.5" customHeight="1"/>
    <row r="7493" ht="16.5" customHeight="1"/>
    <row r="7494" ht="16.5" customHeight="1"/>
    <row r="7495" ht="16.5" customHeight="1"/>
    <row r="7496" ht="16.5" customHeight="1"/>
    <row r="7497" ht="16.5" customHeight="1"/>
    <row r="7498" ht="16.5" customHeight="1"/>
    <row r="7499" ht="16.5" customHeight="1"/>
    <row r="7500" ht="16.5" customHeight="1"/>
    <row r="7501" ht="16.5" customHeight="1"/>
    <row r="7502" ht="16.5" customHeight="1"/>
    <row r="7503" ht="16.5" customHeight="1"/>
    <row r="7504" ht="16.5" customHeight="1"/>
    <row r="7505" ht="16.5" customHeight="1"/>
    <row r="7506" ht="16.5" customHeight="1"/>
    <row r="7507" ht="16.5" customHeight="1"/>
    <row r="7508" ht="16.5" customHeight="1"/>
    <row r="7509" ht="16.5" customHeight="1"/>
    <row r="7510" ht="16.5" customHeight="1"/>
    <row r="7511" ht="16.5" customHeight="1"/>
    <row r="7512" ht="16.5" customHeight="1"/>
    <row r="7513" ht="16.5" customHeight="1"/>
    <row r="7514" ht="16.5" customHeight="1"/>
    <row r="7515" ht="16.5" customHeight="1"/>
    <row r="7516" ht="16.5" customHeight="1"/>
    <row r="7517" ht="16.5" customHeight="1"/>
    <row r="7518" ht="16.5" customHeight="1"/>
    <row r="7519" ht="16.5" customHeight="1"/>
    <row r="7520" ht="16.5" customHeight="1"/>
    <row r="7521" ht="16.5" customHeight="1"/>
    <row r="7522" ht="16.5" customHeight="1"/>
    <row r="7523" ht="16.5" customHeight="1"/>
    <row r="7524" ht="16.5" customHeight="1"/>
    <row r="7525" ht="16.5" customHeight="1"/>
    <row r="7526" ht="16.5" customHeight="1"/>
    <row r="7527" ht="16.5" customHeight="1"/>
    <row r="7528" ht="16.5" customHeight="1"/>
    <row r="7529" ht="16.5" customHeight="1"/>
    <row r="7530" ht="16.5" customHeight="1"/>
    <row r="7531" ht="16.5" customHeight="1"/>
    <row r="7532" ht="16.5" customHeight="1"/>
    <row r="7533" ht="16.5" customHeight="1"/>
    <row r="7534" ht="16.5" customHeight="1"/>
    <row r="7535" ht="16.5" customHeight="1"/>
    <row r="7536" ht="16.5" customHeight="1"/>
    <row r="7537" ht="16.5" customHeight="1"/>
    <row r="7538" ht="16.5" customHeight="1"/>
    <row r="7539" ht="16.5" customHeight="1"/>
    <row r="7540" ht="16.5" customHeight="1"/>
    <row r="7541" ht="16.5" customHeight="1"/>
    <row r="7542" ht="16.5" customHeight="1"/>
    <row r="7543" ht="16.5" customHeight="1"/>
    <row r="7544" ht="16.5" customHeight="1"/>
    <row r="7545" ht="16.5" customHeight="1"/>
    <row r="7546" ht="16.5" customHeight="1"/>
    <row r="7547" ht="16.5" customHeight="1"/>
    <row r="7548" ht="16.5" customHeight="1"/>
    <row r="7549" ht="16.5" customHeight="1"/>
    <row r="7550" ht="16.5" customHeight="1"/>
    <row r="7551" ht="16.5" customHeight="1"/>
    <row r="7552" ht="16.5" customHeight="1"/>
    <row r="7553" ht="16.5" customHeight="1"/>
    <row r="7554" ht="16.5" customHeight="1"/>
    <row r="7555" ht="16.5" customHeight="1"/>
    <row r="7556" ht="16.5" customHeight="1"/>
    <row r="7557" ht="16.5" customHeight="1"/>
    <row r="7558" ht="16.5" customHeight="1"/>
    <row r="7559" ht="16.5" customHeight="1"/>
    <row r="7560" ht="16.5" customHeight="1"/>
    <row r="7561" ht="16.5" customHeight="1"/>
    <row r="7562" ht="16.5" customHeight="1"/>
    <row r="7563" ht="16.5" customHeight="1"/>
    <row r="7564" ht="16.5" customHeight="1"/>
    <row r="7565" ht="16.5" customHeight="1"/>
    <row r="7566" ht="16.5" customHeight="1"/>
    <row r="7567" ht="16.5" customHeight="1"/>
    <row r="7568" ht="16.5" customHeight="1"/>
    <row r="7569" ht="16.5" customHeight="1"/>
    <row r="7570" ht="16.5" customHeight="1"/>
    <row r="7571" ht="16.5" customHeight="1"/>
    <row r="7572" ht="16.5" customHeight="1"/>
    <row r="7573" ht="16.5" customHeight="1"/>
    <row r="7574" ht="16.5" customHeight="1"/>
    <row r="7575" ht="16.5" customHeight="1"/>
    <row r="7576" ht="16.5" customHeight="1"/>
    <row r="7577" ht="16.5" customHeight="1"/>
    <row r="7578" ht="16.5" customHeight="1"/>
    <row r="7579" ht="16.5" customHeight="1"/>
    <row r="7580" ht="16.5" customHeight="1"/>
    <row r="7581" ht="16.5" customHeight="1"/>
    <row r="7582" ht="16.5" customHeight="1"/>
    <row r="7583" ht="16.5" customHeight="1"/>
    <row r="7584" ht="16.5" customHeight="1"/>
    <row r="7585" ht="16.5" customHeight="1"/>
    <row r="7586" ht="16.5" customHeight="1"/>
    <row r="7587" ht="16.5" customHeight="1"/>
    <row r="7588" ht="16.5" customHeight="1"/>
    <row r="7589" ht="16.5" customHeight="1"/>
    <row r="7590" ht="16.5" customHeight="1"/>
    <row r="7591" ht="16.5" customHeight="1"/>
    <row r="7592" ht="16.5" customHeight="1"/>
    <row r="7593" ht="16.5" customHeight="1"/>
    <row r="7594" ht="16.5" customHeight="1"/>
    <row r="7595" ht="16.5" customHeight="1"/>
    <row r="7596" ht="16.5" customHeight="1"/>
    <row r="7597" ht="16.5" customHeight="1"/>
    <row r="7598" ht="16.5" customHeight="1"/>
    <row r="7599" ht="16.5" customHeight="1"/>
    <row r="7600" ht="16.5" customHeight="1"/>
    <row r="7601" ht="16.5" customHeight="1"/>
    <row r="7602" ht="16.5" customHeight="1"/>
    <row r="7603" ht="16.5" customHeight="1"/>
    <row r="7604" ht="16.5" customHeight="1"/>
    <row r="7605" ht="16.5" customHeight="1"/>
    <row r="7606" ht="16.5" customHeight="1"/>
    <row r="7607" ht="16.5" customHeight="1"/>
    <row r="7608" ht="16.5" customHeight="1"/>
    <row r="7609" ht="16.5" customHeight="1"/>
    <row r="7610" ht="16.5" customHeight="1"/>
    <row r="7611" ht="16.5" customHeight="1"/>
    <row r="7612" ht="16.5" customHeight="1"/>
    <row r="7613" ht="16.5" customHeight="1"/>
    <row r="7614" ht="16.5" customHeight="1"/>
    <row r="7615" ht="16.5" customHeight="1"/>
    <row r="7616" ht="16.5" customHeight="1"/>
    <row r="7617" ht="16.5" customHeight="1"/>
    <row r="7618" ht="16.5" customHeight="1"/>
    <row r="7619" ht="16.5" customHeight="1"/>
    <row r="7620" ht="16.5" customHeight="1"/>
    <row r="7621" ht="16.5" customHeight="1"/>
    <row r="7622" ht="16.5" customHeight="1"/>
    <row r="7623" ht="16.5" customHeight="1"/>
    <row r="7624" ht="16.5" customHeight="1"/>
    <row r="7625" ht="16.5" customHeight="1"/>
    <row r="7626" ht="16.5" customHeight="1"/>
    <row r="7627" ht="16.5" customHeight="1"/>
    <row r="7628" ht="16.5" customHeight="1"/>
    <row r="7629" ht="16.5" customHeight="1"/>
    <row r="7630" ht="16.5" customHeight="1"/>
    <row r="7631" ht="16.5" customHeight="1"/>
    <row r="7632" ht="16.5" customHeight="1"/>
    <row r="7633" ht="16.5" customHeight="1"/>
    <row r="7634" ht="16.5" customHeight="1"/>
    <row r="7635" ht="16.5" customHeight="1"/>
    <row r="7636" ht="16.5" customHeight="1"/>
    <row r="7637" ht="16.5" customHeight="1"/>
    <row r="7638" ht="16.5" customHeight="1"/>
    <row r="7639" ht="16.5" customHeight="1"/>
    <row r="7640" ht="16.5" customHeight="1"/>
    <row r="7641" ht="16.5" customHeight="1"/>
    <row r="7642" ht="16.5" customHeight="1"/>
    <row r="7643" ht="16.5" customHeight="1"/>
    <row r="7644" ht="16.5" customHeight="1"/>
    <row r="7645" ht="16.5" customHeight="1"/>
    <row r="7646" ht="16.5" customHeight="1"/>
    <row r="7647" ht="16.5" customHeight="1"/>
    <row r="7648" ht="16.5" customHeight="1"/>
    <row r="7649" ht="16.5" customHeight="1"/>
    <row r="7650" ht="16.5" customHeight="1"/>
    <row r="7651" ht="16.5" customHeight="1"/>
    <row r="7652" ht="16.5" customHeight="1"/>
    <row r="7653" ht="16.5" customHeight="1"/>
    <row r="7654" ht="16.5" customHeight="1"/>
    <row r="7655" ht="16.5" customHeight="1"/>
    <row r="7656" ht="16.5" customHeight="1"/>
    <row r="7657" ht="16.5" customHeight="1"/>
    <row r="7658" ht="16.5" customHeight="1"/>
    <row r="7659" ht="16.5" customHeight="1"/>
    <row r="7660" ht="16.5" customHeight="1"/>
    <row r="7661" ht="16.5" customHeight="1"/>
    <row r="7662" ht="16.5" customHeight="1"/>
    <row r="7663" ht="16.5" customHeight="1"/>
    <row r="7664" ht="16.5" customHeight="1"/>
    <row r="7665" ht="16.5" customHeight="1"/>
    <row r="7666" ht="16.5" customHeight="1"/>
    <row r="7667" ht="16.5" customHeight="1"/>
    <row r="7668" ht="16.5" customHeight="1"/>
    <row r="7669" ht="16.5" customHeight="1"/>
    <row r="7670" ht="16.5" customHeight="1"/>
    <row r="7671" ht="16.5" customHeight="1"/>
    <row r="7672" ht="16.5" customHeight="1"/>
    <row r="7673" ht="16.5" customHeight="1"/>
    <row r="7674" ht="16.5" customHeight="1"/>
    <row r="7675" ht="16.5" customHeight="1"/>
    <row r="7676" ht="16.5" customHeight="1"/>
    <row r="7677" ht="16.5" customHeight="1"/>
    <row r="7678" ht="16.5" customHeight="1"/>
    <row r="7679" ht="16.5" customHeight="1"/>
    <row r="7680" ht="16.5" customHeight="1"/>
    <row r="7681" ht="16.5" customHeight="1"/>
    <row r="7682" ht="16.5" customHeight="1"/>
    <row r="7683" ht="16.5" customHeight="1"/>
    <row r="7684" ht="16.5" customHeight="1"/>
    <row r="7685" ht="16.5" customHeight="1"/>
    <row r="7686" ht="16.5" customHeight="1"/>
    <row r="7687" ht="16.5" customHeight="1"/>
    <row r="7688" ht="16.5" customHeight="1"/>
    <row r="7689" ht="16.5" customHeight="1"/>
    <row r="7690" ht="16.5" customHeight="1"/>
    <row r="7691" ht="16.5" customHeight="1"/>
    <row r="7692" ht="16.5" customHeight="1"/>
    <row r="7693" ht="16.5" customHeight="1"/>
    <row r="7694" ht="16.5" customHeight="1"/>
    <row r="7695" ht="16.5" customHeight="1"/>
    <row r="7696" ht="16.5" customHeight="1"/>
    <row r="7697" ht="16.5" customHeight="1"/>
    <row r="7698" ht="16.5" customHeight="1"/>
    <row r="7699" ht="16.5" customHeight="1"/>
    <row r="7700" ht="16.5" customHeight="1"/>
    <row r="7701" ht="16.5" customHeight="1"/>
    <row r="7702" ht="16.5" customHeight="1"/>
    <row r="7703" ht="16.5" customHeight="1"/>
    <row r="7704" ht="16.5" customHeight="1"/>
    <row r="7705" ht="16.5" customHeight="1"/>
    <row r="7706" ht="16.5" customHeight="1"/>
    <row r="7707" ht="16.5" customHeight="1"/>
    <row r="7708" ht="16.5" customHeight="1"/>
    <row r="7709" ht="16.5" customHeight="1"/>
    <row r="7710" ht="16.5" customHeight="1"/>
    <row r="7711" ht="16.5" customHeight="1"/>
    <row r="7712" ht="16.5" customHeight="1"/>
    <row r="7713" ht="16.5" customHeight="1"/>
    <row r="7714" ht="16.5" customHeight="1"/>
    <row r="7715" ht="16.5" customHeight="1"/>
    <row r="7716" ht="16.5" customHeight="1"/>
    <row r="7717" ht="16.5" customHeight="1"/>
    <row r="7718" ht="16.5" customHeight="1"/>
    <row r="7719" ht="16.5" customHeight="1"/>
    <row r="7720" ht="16.5" customHeight="1"/>
    <row r="7721" ht="16.5" customHeight="1"/>
    <row r="7722" ht="16.5" customHeight="1"/>
    <row r="7723" ht="16.5" customHeight="1"/>
    <row r="7724" ht="16.5" customHeight="1"/>
    <row r="7725" ht="16.5" customHeight="1"/>
    <row r="7726" ht="16.5" customHeight="1"/>
    <row r="7727" ht="16.5" customHeight="1"/>
    <row r="7728" ht="16.5" customHeight="1"/>
    <row r="7729" ht="16.5" customHeight="1"/>
    <row r="7730" ht="16.5" customHeight="1"/>
    <row r="7731" ht="16.5" customHeight="1"/>
    <row r="7732" ht="16.5" customHeight="1"/>
    <row r="7733" ht="16.5" customHeight="1"/>
    <row r="7734" ht="16.5" customHeight="1"/>
    <row r="7735" ht="16.5" customHeight="1"/>
    <row r="7736" ht="16.5" customHeight="1"/>
    <row r="7737" ht="16.5" customHeight="1"/>
    <row r="7738" ht="16.5" customHeight="1"/>
    <row r="7739" ht="16.5" customHeight="1"/>
    <row r="7740" ht="16.5" customHeight="1"/>
    <row r="7741" ht="16.5" customHeight="1"/>
    <row r="7742" ht="16.5" customHeight="1"/>
    <row r="7743" ht="16.5" customHeight="1"/>
    <row r="7744" ht="16.5" customHeight="1"/>
    <row r="7745" ht="16.5" customHeight="1"/>
    <row r="7746" ht="16.5" customHeight="1"/>
    <row r="7747" ht="16.5" customHeight="1"/>
    <row r="7748" ht="16.5" customHeight="1"/>
    <row r="7749" ht="16.5" customHeight="1"/>
    <row r="7750" ht="16.5" customHeight="1"/>
    <row r="7751" ht="16.5" customHeight="1"/>
    <row r="7752" ht="16.5" customHeight="1"/>
    <row r="7753" ht="16.5" customHeight="1"/>
    <row r="7754" ht="16.5" customHeight="1"/>
    <row r="7755" ht="16.5" customHeight="1"/>
    <row r="7756" ht="16.5" customHeight="1"/>
    <row r="7757" ht="16.5" customHeight="1"/>
    <row r="7758" ht="16.5" customHeight="1"/>
    <row r="7759" ht="16.5" customHeight="1"/>
    <row r="7760" ht="16.5" customHeight="1"/>
    <row r="7761" ht="16.5" customHeight="1"/>
    <row r="7762" ht="16.5" customHeight="1"/>
    <row r="7763" ht="16.5" customHeight="1"/>
    <row r="7764" ht="16.5" customHeight="1"/>
    <row r="7765" ht="16.5" customHeight="1"/>
    <row r="7766" ht="16.5" customHeight="1"/>
    <row r="7767" ht="16.5" customHeight="1"/>
    <row r="7768" ht="16.5" customHeight="1"/>
    <row r="7769" ht="16.5" customHeight="1"/>
    <row r="7770" ht="16.5" customHeight="1"/>
    <row r="7771" ht="16.5" customHeight="1"/>
    <row r="7772" ht="16.5" customHeight="1"/>
    <row r="7773" ht="16.5" customHeight="1"/>
    <row r="7774" ht="16.5" customHeight="1"/>
    <row r="7775" ht="16.5" customHeight="1"/>
    <row r="7776" ht="16.5" customHeight="1"/>
    <row r="7777" ht="16.5" customHeight="1"/>
    <row r="7778" ht="16.5" customHeight="1"/>
    <row r="7779" ht="16.5" customHeight="1"/>
    <row r="7780" ht="16.5" customHeight="1"/>
    <row r="7781" ht="16.5" customHeight="1"/>
    <row r="7782" ht="16.5" customHeight="1"/>
    <row r="7783" ht="16.5" customHeight="1"/>
    <row r="7784" ht="16.5" customHeight="1"/>
    <row r="7785" ht="16.5" customHeight="1"/>
    <row r="7786" ht="16.5" customHeight="1"/>
    <row r="7787" ht="16.5" customHeight="1"/>
    <row r="7788" ht="16.5" customHeight="1"/>
    <row r="7789" ht="16.5" customHeight="1"/>
    <row r="7790" ht="16.5" customHeight="1"/>
    <row r="7791" ht="16.5" customHeight="1"/>
    <row r="7792" ht="16.5" customHeight="1"/>
    <row r="7793" ht="16.5" customHeight="1"/>
    <row r="7794" ht="16.5" customHeight="1"/>
    <row r="7795" ht="16.5" customHeight="1"/>
    <row r="7796" ht="16.5" customHeight="1"/>
    <row r="7797" ht="16.5" customHeight="1"/>
    <row r="7798" ht="16.5" customHeight="1"/>
    <row r="7799" ht="16.5" customHeight="1"/>
    <row r="7800" ht="16.5" customHeight="1"/>
    <row r="7801" ht="16.5" customHeight="1"/>
    <row r="7802" ht="16.5" customHeight="1"/>
    <row r="7803" ht="16.5" customHeight="1"/>
    <row r="7804" ht="16.5" customHeight="1"/>
    <row r="7805" ht="16.5" customHeight="1"/>
    <row r="7806" ht="16.5" customHeight="1"/>
    <row r="7807" ht="16.5" customHeight="1"/>
    <row r="7808" ht="16.5" customHeight="1"/>
    <row r="7809" ht="16.5" customHeight="1"/>
    <row r="7810" ht="16.5" customHeight="1"/>
    <row r="7811" ht="16.5" customHeight="1"/>
    <row r="7812" ht="16.5" customHeight="1"/>
    <row r="7813" ht="16.5" customHeight="1"/>
    <row r="7814" ht="16.5" customHeight="1"/>
    <row r="7815" ht="16.5" customHeight="1"/>
    <row r="7816" ht="16.5" customHeight="1"/>
    <row r="7817" ht="16.5" customHeight="1"/>
    <row r="7818" ht="16.5" customHeight="1"/>
    <row r="7819" ht="16.5" customHeight="1"/>
    <row r="7820" ht="16.5" customHeight="1"/>
    <row r="7821" ht="16.5" customHeight="1"/>
    <row r="7822" ht="16.5" customHeight="1"/>
    <row r="7823" ht="16.5" customHeight="1"/>
    <row r="7824" ht="16.5" customHeight="1"/>
    <row r="7825" ht="16.5" customHeight="1"/>
    <row r="7826" ht="16.5" customHeight="1"/>
    <row r="7827" ht="16.5" customHeight="1"/>
    <row r="7828" ht="16.5" customHeight="1"/>
    <row r="7829" ht="16.5" customHeight="1"/>
    <row r="7830" ht="16.5" customHeight="1"/>
    <row r="7831" ht="16.5" customHeight="1"/>
    <row r="7832" ht="16.5" customHeight="1"/>
    <row r="7833" ht="16.5" customHeight="1"/>
    <row r="7834" ht="16.5" customHeight="1"/>
    <row r="7835" ht="16.5" customHeight="1"/>
    <row r="7836" ht="16.5" customHeight="1"/>
    <row r="7837" ht="16.5" customHeight="1"/>
    <row r="7838" ht="16.5" customHeight="1"/>
    <row r="7839" ht="16.5" customHeight="1"/>
    <row r="7840" ht="16.5" customHeight="1"/>
    <row r="7841" ht="16.5" customHeight="1"/>
    <row r="7842" ht="16.5" customHeight="1"/>
    <row r="7843" ht="16.5" customHeight="1"/>
    <row r="7844" ht="16.5" customHeight="1"/>
    <row r="7845" ht="16.5" customHeight="1"/>
    <row r="7846" ht="16.5" customHeight="1"/>
    <row r="7847" ht="16.5" customHeight="1"/>
    <row r="7848" ht="16.5" customHeight="1"/>
    <row r="7849" ht="16.5" customHeight="1"/>
    <row r="7850" ht="16.5" customHeight="1"/>
    <row r="7851" ht="16.5" customHeight="1"/>
    <row r="7852" ht="16.5" customHeight="1"/>
    <row r="7853" ht="16.5" customHeight="1"/>
    <row r="7854" ht="16.5" customHeight="1"/>
    <row r="7855" ht="16.5" customHeight="1"/>
    <row r="7856" ht="16.5" customHeight="1"/>
    <row r="7857" ht="16.5" customHeight="1"/>
    <row r="7858" ht="16.5" customHeight="1"/>
    <row r="7859" ht="16.5" customHeight="1"/>
    <row r="7860" ht="16.5" customHeight="1"/>
    <row r="7861" ht="16.5" customHeight="1"/>
    <row r="7862" ht="16.5" customHeight="1"/>
    <row r="7863" ht="16.5" customHeight="1"/>
    <row r="7864" ht="16.5" customHeight="1"/>
    <row r="7865" ht="16.5" customHeight="1"/>
    <row r="7866" ht="16.5" customHeight="1"/>
    <row r="7867" ht="16.5" customHeight="1"/>
    <row r="7868" ht="16.5" customHeight="1"/>
    <row r="7869" ht="16.5" customHeight="1"/>
    <row r="7870" ht="16.5" customHeight="1"/>
    <row r="7871" ht="16.5" customHeight="1"/>
    <row r="7872" ht="16.5" customHeight="1"/>
    <row r="7873" ht="16.5" customHeight="1"/>
    <row r="7874" ht="16.5" customHeight="1"/>
    <row r="7875" ht="16.5" customHeight="1"/>
    <row r="7876" ht="16.5" customHeight="1"/>
    <row r="7877" ht="16.5" customHeight="1"/>
    <row r="7878" ht="16.5" customHeight="1"/>
    <row r="7879" ht="16.5" customHeight="1"/>
    <row r="7880" ht="16.5" customHeight="1"/>
    <row r="7881" ht="16.5" customHeight="1"/>
    <row r="7882" ht="16.5" customHeight="1"/>
    <row r="7883" ht="16.5" customHeight="1"/>
    <row r="7884" ht="16.5" customHeight="1"/>
    <row r="7885" ht="16.5" customHeight="1"/>
    <row r="7886" ht="16.5" customHeight="1"/>
    <row r="7887" ht="16.5" customHeight="1"/>
    <row r="7888" ht="16.5" customHeight="1"/>
    <row r="7889" ht="16.5" customHeight="1"/>
    <row r="7890" ht="16.5" customHeight="1"/>
    <row r="7891" ht="16.5" customHeight="1"/>
    <row r="7892" ht="16.5" customHeight="1"/>
    <row r="7893" ht="16.5" customHeight="1"/>
    <row r="7894" ht="16.5" customHeight="1"/>
    <row r="7895" ht="16.5" customHeight="1"/>
    <row r="7896" ht="16.5" customHeight="1"/>
    <row r="7897" ht="16.5" customHeight="1"/>
    <row r="7898" ht="16.5" customHeight="1"/>
    <row r="7899" ht="16.5" customHeight="1"/>
    <row r="7900" ht="16.5" customHeight="1"/>
    <row r="7901" ht="16.5" customHeight="1"/>
    <row r="7902" ht="16.5" customHeight="1"/>
    <row r="7903" ht="16.5" customHeight="1"/>
    <row r="7904" ht="16.5" customHeight="1"/>
    <row r="7905" ht="16.5" customHeight="1"/>
    <row r="7906" ht="16.5" customHeight="1"/>
    <row r="7907" ht="16.5" customHeight="1"/>
    <row r="7908" ht="16.5" customHeight="1"/>
    <row r="7909" ht="16.5" customHeight="1"/>
    <row r="7910" ht="16.5" customHeight="1"/>
    <row r="7911" ht="16.5" customHeight="1"/>
    <row r="7912" ht="16.5" customHeight="1"/>
    <row r="7913" ht="16.5" customHeight="1"/>
    <row r="7914" ht="16.5" customHeight="1"/>
    <row r="7915" ht="16.5" customHeight="1"/>
    <row r="7916" ht="16.5" customHeight="1"/>
    <row r="7917" ht="16.5" customHeight="1"/>
    <row r="7918" ht="16.5" customHeight="1"/>
    <row r="7919" ht="16.5" customHeight="1"/>
    <row r="7920" ht="16.5" customHeight="1"/>
    <row r="7921" ht="16.5" customHeight="1"/>
    <row r="7922" ht="16.5" customHeight="1"/>
    <row r="7923" ht="16.5" customHeight="1"/>
    <row r="7924" ht="16.5" customHeight="1"/>
    <row r="7925" ht="16.5" customHeight="1"/>
    <row r="7926" ht="16.5" customHeight="1"/>
    <row r="7927" ht="16.5" customHeight="1"/>
    <row r="7928" ht="16.5" customHeight="1"/>
    <row r="7929" ht="16.5" customHeight="1"/>
    <row r="7930" ht="16.5" customHeight="1"/>
    <row r="7931" ht="16.5" customHeight="1"/>
    <row r="7932" ht="16.5" customHeight="1"/>
    <row r="7933" ht="16.5" customHeight="1"/>
    <row r="7934" ht="16.5" customHeight="1"/>
    <row r="7935" ht="16.5" customHeight="1"/>
    <row r="7936" ht="16.5" customHeight="1"/>
    <row r="7937" ht="16.5" customHeight="1"/>
    <row r="7938" ht="16.5" customHeight="1"/>
    <row r="7939" ht="16.5" customHeight="1"/>
    <row r="7940" ht="16.5" customHeight="1"/>
    <row r="7941" ht="16.5" customHeight="1"/>
    <row r="7942" ht="16.5" customHeight="1"/>
    <row r="7943" ht="16.5" customHeight="1"/>
    <row r="7944" ht="16.5" customHeight="1"/>
    <row r="7945" ht="16.5" customHeight="1"/>
    <row r="7946" ht="16.5" customHeight="1"/>
    <row r="7947" ht="16.5" customHeight="1"/>
    <row r="7948" ht="16.5" customHeight="1"/>
    <row r="7949" ht="16.5" customHeight="1"/>
    <row r="7950" ht="16.5" customHeight="1"/>
    <row r="7951" ht="16.5" customHeight="1"/>
    <row r="7952" ht="16.5" customHeight="1"/>
    <row r="7953" ht="16.5" customHeight="1"/>
    <row r="7954" ht="16.5" customHeight="1"/>
    <row r="7955" ht="16.5" customHeight="1"/>
    <row r="7956" ht="16.5" customHeight="1"/>
    <row r="7957" ht="16.5" customHeight="1"/>
    <row r="7958" ht="16.5" customHeight="1"/>
    <row r="7959" ht="16.5" customHeight="1"/>
    <row r="7960" ht="16.5" customHeight="1"/>
    <row r="7961" ht="16.5" customHeight="1"/>
    <row r="7962" ht="16.5" customHeight="1"/>
    <row r="7963" ht="16.5" customHeight="1"/>
    <row r="7964" ht="16.5" customHeight="1"/>
    <row r="7965" ht="16.5" customHeight="1"/>
    <row r="7966" ht="16.5" customHeight="1"/>
    <row r="7967" ht="16.5" customHeight="1"/>
    <row r="7968" ht="16.5" customHeight="1"/>
    <row r="7969" ht="16.5" customHeight="1"/>
    <row r="7970" ht="16.5" customHeight="1"/>
    <row r="7971" ht="16.5" customHeight="1"/>
    <row r="7972" ht="16.5" customHeight="1"/>
    <row r="7973" ht="16.5" customHeight="1"/>
    <row r="7974" ht="16.5" customHeight="1"/>
    <row r="7975" ht="16.5" customHeight="1"/>
    <row r="7976" ht="16.5" customHeight="1"/>
    <row r="7977" ht="16.5" customHeight="1"/>
    <row r="7978" ht="16.5" customHeight="1"/>
    <row r="7979" ht="16.5" customHeight="1"/>
    <row r="7980" ht="16.5" customHeight="1"/>
    <row r="7981" ht="16.5" customHeight="1"/>
    <row r="7982" ht="16.5" customHeight="1"/>
    <row r="7983" ht="16.5" customHeight="1"/>
    <row r="7984" ht="16.5" customHeight="1"/>
    <row r="7985" ht="16.5" customHeight="1"/>
    <row r="7986" ht="16.5" customHeight="1"/>
    <row r="7987" ht="16.5" customHeight="1"/>
    <row r="7988" ht="16.5" customHeight="1"/>
    <row r="7989" ht="16.5" customHeight="1"/>
    <row r="7990" ht="16.5" customHeight="1"/>
    <row r="7991" ht="16.5" customHeight="1"/>
    <row r="7992" ht="16.5" customHeight="1"/>
    <row r="7993" ht="16.5" customHeight="1"/>
    <row r="7994" ht="16.5" customHeight="1"/>
    <row r="7995" ht="16.5" customHeight="1"/>
    <row r="7996" ht="16.5" customHeight="1"/>
    <row r="7997" ht="16.5" customHeight="1"/>
    <row r="7998" ht="16.5" customHeight="1"/>
    <row r="7999" ht="16.5" customHeight="1"/>
    <row r="8000" ht="16.5" customHeight="1"/>
    <row r="8001" ht="16.5" customHeight="1"/>
    <row r="8002" ht="16.5" customHeight="1"/>
    <row r="8003" ht="16.5" customHeight="1"/>
    <row r="8004" ht="16.5" customHeight="1"/>
    <row r="8005" ht="16.5" customHeight="1"/>
    <row r="8006" ht="16.5" customHeight="1"/>
    <row r="8007" ht="16.5" customHeight="1"/>
    <row r="8008" ht="16.5" customHeight="1"/>
    <row r="8009" ht="16.5" customHeight="1"/>
    <row r="8010" ht="16.5" customHeight="1"/>
    <row r="8011" ht="16.5" customHeight="1"/>
    <row r="8012" ht="16.5" customHeight="1"/>
    <row r="8013" ht="16.5" customHeight="1"/>
    <row r="8014" ht="16.5" customHeight="1"/>
    <row r="8015" ht="16.5" customHeight="1"/>
    <row r="8016" ht="16.5" customHeight="1"/>
    <row r="8017" ht="16.5" customHeight="1"/>
    <row r="8018" ht="16.5" customHeight="1"/>
    <row r="8019" ht="16.5" customHeight="1"/>
    <row r="8020" ht="16.5" customHeight="1"/>
    <row r="8021" ht="16.5" customHeight="1"/>
    <row r="8022" ht="16.5" customHeight="1"/>
    <row r="8023" ht="16.5" customHeight="1"/>
    <row r="8024" ht="16.5" customHeight="1"/>
    <row r="8025" ht="16.5" customHeight="1"/>
    <row r="8026" ht="16.5" customHeight="1"/>
    <row r="8027" ht="16.5" customHeight="1"/>
    <row r="8028" ht="16.5" customHeight="1"/>
    <row r="8029" ht="16.5" customHeight="1"/>
    <row r="8030" ht="16.5" customHeight="1"/>
    <row r="8031" ht="16.5" customHeight="1"/>
    <row r="8032" ht="16.5" customHeight="1"/>
    <row r="8033" ht="16.5" customHeight="1"/>
    <row r="8034" ht="16.5" customHeight="1"/>
    <row r="8035" ht="16.5" customHeight="1"/>
    <row r="8036" ht="16.5" customHeight="1"/>
    <row r="8037" ht="16.5" customHeight="1"/>
    <row r="8038" ht="16.5" customHeight="1"/>
    <row r="8039" ht="16.5" customHeight="1"/>
    <row r="8040" ht="16.5" customHeight="1"/>
    <row r="8041" ht="16.5" customHeight="1"/>
    <row r="8042" ht="16.5" customHeight="1"/>
    <row r="8043" ht="16.5" customHeight="1"/>
    <row r="8044" ht="16.5" customHeight="1"/>
    <row r="8045" ht="16.5" customHeight="1"/>
    <row r="8046" ht="16.5" customHeight="1"/>
    <row r="8047" ht="16.5" customHeight="1"/>
    <row r="8048" ht="16.5" customHeight="1"/>
    <row r="8049" ht="16.5" customHeight="1"/>
    <row r="8050" ht="16.5" customHeight="1"/>
    <row r="8051" ht="16.5" customHeight="1"/>
    <row r="8052" ht="16.5" customHeight="1"/>
    <row r="8053" ht="16.5" customHeight="1"/>
    <row r="8054" ht="16.5" customHeight="1"/>
    <row r="8055" ht="16.5" customHeight="1"/>
    <row r="8056" ht="16.5" customHeight="1"/>
    <row r="8057" ht="16.5" customHeight="1"/>
    <row r="8058" ht="16.5" customHeight="1"/>
    <row r="8059" ht="16.5" customHeight="1"/>
    <row r="8060" ht="16.5" customHeight="1"/>
    <row r="8061" ht="16.5" customHeight="1"/>
    <row r="8062" ht="16.5" customHeight="1"/>
    <row r="8063" ht="16.5" customHeight="1"/>
    <row r="8064" ht="16.5" customHeight="1"/>
    <row r="8065" ht="16.5" customHeight="1"/>
    <row r="8066" ht="16.5" customHeight="1"/>
    <row r="8067" ht="16.5" customHeight="1"/>
    <row r="8068" ht="16.5" customHeight="1"/>
    <row r="8069" ht="16.5" customHeight="1"/>
    <row r="8070" ht="16.5" customHeight="1"/>
    <row r="8071" ht="16.5" customHeight="1"/>
    <row r="8072" ht="16.5" customHeight="1"/>
    <row r="8073" ht="16.5" customHeight="1"/>
    <row r="8074" ht="16.5" customHeight="1"/>
    <row r="8075" ht="16.5" customHeight="1"/>
    <row r="8076" ht="16.5" customHeight="1"/>
    <row r="8077" ht="16.5" customHeight="1"/>
    <row r="8078" ht="16.5" customHeight="1"/>
    <row r="8079" ht="16.5" customHeight="1"/>
    <row r="8080" ht="16.5" customHeight="1"/>
    <row r="8081" ht="16.5" customHeight="1"/>
    <row r="8082" ht="16.5" customHeight="1"/>
    <row r="8083" ht="16.5" customHeight="1"/>
    <row r="8084" ht="16.5" customHeight="1"/>
    <row r="8085" ht="16.5" customHeight="1"/>
    <row r="8086" ht="16.5" customHeight="1"/>
    <row r="8087" ht="16.5" customHeight="1"/>
    <row r="8088" ht="16.5" customHeight="1"/>
    <row r="8089" ht="16.5" customHeight="1"/>
    <row r="8090" ht="16.5" customHeight="1"/>
    <row r="8091" ht="16.5" customHeight="1"/>
    <row r="8092" ht="16.5" customHeight="1"/>
    <row r="8093" ht="16.5" customHeight="1"/>
    <row r="8094" ht="16.5" customHeight="1"/>
    <row r="8095" ht="16.5" customHeight="1"/>
    <row r="8096" ht="16.5" customHeight="1"/>
    <row r="8097" ht="16.5" customHeight="1"/>
    <row r="8098" ht="16.5" customHeight="1"/>
    <row r="8099" ht="16.5" customHeight="1"/>
    <row r="8100" ht="16.5" customHeight="1"/>
    <row r="8101" ht="16.5" customHeight="1"/>
    <row r="8102" ht="16.5" customHeight="1"/>
    <row r="8103" ht="16.5" customHeight="1"/>
    <row r="8104" ht="16.5" customHeight="1"/>
    <row r="8105" ht="16.5" customHeight="1"/>
    <row r="8106" ht="16.5" customHeight="1"/>
    <row r="8107" ht="16.5" customHeight="1"/>
    <row r="8108" ht="16.5" customHeight="1"/>
    <row r="8109" ht="16.5" customHeight="1"/>
    <row r="8110" ht="16.5" customHeight="1"/>
    <row r="8111" ht="16.5" customHeight="1"/>
    <row r="8112" ht="16.5" customHeight="1"/>
    <row r="8113" ht="16.5" customHeight="1"/>
    <row r="8114" ht="16.5" customHeight="1"/>
    <row r="8115" ht="16.5" customHeight="1"/>
    <row r="8116" ht="16.5" customHeight="1"/>
    <row r="8117" ht="16.5" customHeight="1"/>
    <row r="8118" ht="16.5" customHeight="1"/>
    <row r="8119" ht="16.5" customHeight="1"/>
    <row r="8120" ht="16.5" customHeight="1"/>
    <row r="8121" ht="16.5" customHeight="1"/>
    <row r="8122" ht="16.5" customHeight="1"/>
    <row r="8123" ht="16.5" customHeight="1"/>
    <row r="8124" ht="16.5" customHeight="1"/>
    <row r="8125" ht="16.5" customHeight="1"/>
    <row r="8126" ht="16.5" customHeight="1"/>
    <row r="8127" ht="16.5" customHeight="1"/>
    <row r="8128" ht="16.5" customHeight="1"/>
    <row r="8129" ht="16.5" customHeight="1"/>
    <row r="8130" ht="16.5" customHeight="1"/>
    <row r="8131" ht="16.5" customHeight="1"/>
    <row r="8132" ht="16.5" customHeight="1"/>
    <row r="8133" ht="16.5" customHeight="1"/>
    <row r="8134" ht="16.5" customHeight="1"/>
    <row r="8135" ht="16.5" customHeight="1"/>
    <row r="8136" ht="16.5" customHeight="1"/>
    <row r="8137" ht="16.5" customHeight="1"/>
    <row r="8138" ht="16.5" customHeight="1"/>
    <row r="8139" ht="16.5" customHeight="1"/>
    <row r="8140" ht="16.5" customHeight="1"/>
    <row r="8141" ht="16.5" customHeight="1"/>
    <row r="8142" ht="16.5" customHeight="1"/>
    <row r="8143" ht="16.5" customHeight="1"/>
    <row r="8144" ht="16.5" customHeight="1"/>
    <row r="8145" ht="16.5" customHeight="1"/>
    <row r="8146" ht="16.5" customHeight="1"/>
    <row r="8147" ht="16.5" customHeight="1"/>
    <row r="8148" ht="16.5" customHeight="1"/>
    <row r="8149" ht="16.5" customHeight="1"/>
    <row r="8150" ht="16.5" customHeight="1"/>
    <row r="8151" ht="16.5" customHeight="1"/>
    <row r="8152" ht="16.5" customHeight="1"/>
    <row r="8153" ht="16.5" customHeight="1"/>
    <row r="8154" ht="16.5" customHeight="1"/>
    <row r="8155" ht="16.5" customHeight="1"/>
    <row r="8156" ht="16.5" customHeight="1"/>
    <row r="8157" ht="16.5" customHeight="1"/>
    <row r="8158" ht="16.5" customHeight="1"/>
    <row r="8159" ht="16.5" customHeight="1"/>
    <row r="8160" ht="16.5" customHeight="1"/>
    <row r="8161" ht="16.5" customHeight="1"/>
    <row r="8162" ht="16.5" customHeight="1"/>
    <row r="8163" ht="16.5" customHeight="1"/>
    <row r="8164" ht="16.5" customHeight="1"/>
    <row r="8165" ht="16.5" customHeight="1"/>
    <row r="8166" ht="16.5" customHeight="1"/>
    <row r="8167" ht="16.5" customHeight="1"/>
    <row r="8168" ht="16.5" customHeight="1"/>
    <row r="8169" ht="16.5" customHeight="1"/>
    <row r="8170" ht="16.5" customHeight="1"/>
    <row r="8171" ht="16.5" customHeight="1"/>
    <row r="8172" ht="16.5" customHeight="1"/>
    <row r="8173" ht="16.5" customHeight="1"/>
    <row r="8174" ht="16.5" customHeight="1"/>
    <row r="8175" ht="16.5" customHeight="1"/>
    <row r="8176" ht="16.5" customHeight="1"/>
    <row r="8177" ht="16.5" customHeight="1"/>
    <row r="8178" ht="16.5" customHeight="1"/>
    <row r="8179" ht="16.5" customHeight="1"/>
    <row r="8180" ht="16.5" customHeight="1"/>
    <row r="8181" ht="16.5" customHeight="1"/>
    <row r="8182" ht="16.5" customHeight="1"/>
    <row r="8183" ht="16.5" customHeight="1"/>
    <row r="8184" ht="16.5" customHeight="1"/>
    <row r="8185" ht="16.5" customHeight="1"/>
    <row r="8186" ht="16.5" customHeight="1"/>
    <row r="8187" ht="16.5" customHeight="1"/>
    <row r="8188" ht="16.5" customHeight="1"/>
    <row r="8189" ht="16.5" customHeight="1"/>
    <row r="8190" ht="16.5" customHeight="1"/>
    <row r="8191" ht="16.5" customHeight="1"/>
    <row r="8192" ht="16.5" customHeight="1"/>
    <row r="8193" ht="16.5" customHeight="1"/>
    <row r="8194" ht="16.5" customHeight="1"/>
    <row r="8195" ht="16.5" customHeight="1"/>
    <row r="8196" ht="16.5" customHeight="1"/>
    <row r="8197" ht="16.5" customHeight="1"/>
    <row r="8198" ht="16.5" customHeight="1"/>
    <row r="8199" ht="16.5" customHeight="1"/>
    <row r="8200" ht="16.5" customHeight="1"/>
    <row r="8201" ht="16.5" customHeight="1"/>
    <row r="8202" ht="16.5" customHeight="1"/>
    <row r="8203" ht="16.5" customHeight="1"/>
    <row r="8204" ht="16.5" customHeight="1"/>
    <row r="8205" ht="16.5" customHeight="1"/>
    <row r="8206" ht="16.5" customHeight="1"/>
    <row r="8207" ht="16.5" customHeight="1"/>
    <row r="8208" ht="16.5" customHeight="1"/>
    <row r="8209" ht="16.5" customHeight="1"/>
    <row r="8210" ht="16.5" customHeight="1"/>
    <row r="8211" ht="16.5" customHeight="1"/>
    <row r="8212" ht="16.5" customHeight="1"/>
    <row r="8213" ht="16.5" customHeight="1"/>
    <row r="8214" ht="16.5" customHeight="1"/>
    <row r="8215" ht="16.5" customHeight="1"/>
    <row r="8216" ht="16.5" customHeight="1"/>
    <row r="8217" ht="16.5" customHeight="1"/>
    <row r="8218" ht="16.5" customHeight="1"/>
    <row r="8219" ht="16.5" customHeight="1"/>
    <row r="8220" ht="16.5" customHeight="1"/>
    <row r="8221" ht="16.5" customHeight="1"/>
    <row r="8222" ht="16.5" customHeight="1"/>
    <row r="8223" ht="16.5" customHeight="1"/>
    <row r="8224" ht="16.5" customHeight="1"/>
    <row r="8225" ht="16.5" customHeight="1"/>
    <row r="8226" ht="16.5" customHeight="1"/>
    <row r="8227" ht="16.5" customHeight="1"/>
    <row r="8228" ht="16.5" customHeight="1"/>
    <row r="8229" ht="16.5" customHeight="1"/>
    <row r="8230" ht="16.5" customHeight="1"/>
    <row r="8231" ht="16.5" customHeight="1"/>
    <row r="8232" ht="16.5" customHeight="1"/>
    <row r="8233" ht="16.5" customHeight="1"/>
    <row r="8234" ht="16.5" customHeight="1"/>
    <row r="8235" ht="16.5" customHeight="1"/>
    <row r="8236" ht="16.5" customHeight="1"/>
    <row r="8237" ht="16.5" customHeight="1"/>
    <row r="8238" ht="16.5" customHeight="1"/>
    <row r="8239" ht="16.5" customHeight="1"/>
    <row r="8240" ht="16.5" customHeight="1"/>
    <row r="8241" ht="16.5" customHeight="1"/>
    <row r="8242" ht="16.5" customHeight="1"/>
    <row r="8243" ht="16.5" customHeight="1"/>
    <row r="8244" ht="16.5" customHeight="1"/>
    <row r="8245" ht="16.5" customHeight="1"/>
    <row r="8246" ht="16.5" customHeight="1"/>
    <row r="8247" ht="16.5" customHeight="1"/>
    <row r="8248" ht="16.5" customHeight="1"/>
    <row r="8249" ht="16.5" customHeight="1"/>
    <row r="8250" ht="16.5" customHeight="1"/>
    <row r="8251" ht="16.5" customHeight="1"/>
    <row r="8252" ht="16.5" customHeight="1"/>
    <row r="8253" ht="16.5" customHeight="1"/>
    <row r="8254" ht="16.5" customHeight="1"/>
    <row r="8255" ht="16.5" customHeight="1"/>
    <row r="8256" ht="16.5" customHeight="1"/>
    <row r="8257" ht="16.5" customHeight="1"/>
    <row r="8258" ht="16.5" customHeight="1"/>
    <row r="8259" ht="16.5" customHeight="1"/>
    <row r="8260" ht="16.5" customHeight="1"/>
    <row r="8261" ht="16.5" customHeight="1"/>
    <row r="8262" ht="16.5" customHeight="1"/>
    <row r="8263" ht="16.5" customHeight="1"/>
    <row r="8264" ht="16.5" customHeight="1"/>
    <row r="8265" ht="16.5" customHeight="1"/>
    <row r="8266" ht="16.5" customHeight="1"/>
    <row r="8267" ht="16.5" customHeight="1"/>
    <row r="8268" ht="16.5" customHeight="1"/>
    <row r="8269" ht="16.5" customHeight="1"/>
    <row r="8270" ht="16.5" customHeight="1"/>
    <row r="8271" ht="16.5" customHeight="1"/>
    <row r="8272" ht="16.5" customHeight="1"/>
    <row r="8273" ht="16.5" customHeight="1"/>
    <row r="8274" ht="16.5" customHeight="1"/>
    <row r="8275" ht="16.5" customHeight="1"/>
    <row r="8276" ht="16.5" customHeight="1"/>
    <row r="8277" ht="16.5" customHeight="1"/>
    <row r="8278" ht="16.5" customHeight="1"/>
    <row r="8279" ht="16.5" customHeight="1"/>
    <row r="8280" ht="16.5" customHeight="1"/>
    <row r="8281" ht="16.5" customHeight="1"/>
    <row r="8282" ht="16.5" customHeight="1"/>
    <row r="8283" ht="16.5" customHeight="1"/>
    <row r="8284" ht="16.5" customHeight="1"/>
    <row r="8285" ht="16.5" customHeight="1"/>
    <row r="8286" ht="16.5" customHeight="1"/>
    <row r="8287" ht="16.5" customHeight="1"/>
    <row r="8288" ht="16.5" customHeight="1"/>
    <row r="8289" ht="16.5" customHeight="1"/>
    <row r="8290" ht="16.5" customHeight="1"/>
    <row r="8291" ht="16.5" customHeight="1"/>
    <row r="8292" ht="16.5" customHeight="1"/>
    <row r="8293" ht="16.5" customHeight="1"/>
    <row r="8294" ht="16.5" customHeight="1"/>
    <row r="8295" ht="16.5" customHeight="1"/>
    <row r="8296" ht="16.5" customHeight="1"/>
    <row r="8297" ht="16.5" customHeight="1"/>
    <row r="8298" ht="16.5" customHeight="1"/>
    <row r="8299" ht="16.5" customHeight="1"/>
    <row r="8300" ht="16.5" customHeight="1"/>
    <row r="8301" ht="16.5" customHeight="1"/>
    <row r="8302" ht="16.5" customHeight="1"/>
    <row r="8303" ht="16.5" customHeight="1"/>
    <row r="8304" ht="16.5" customHeight="1"/>
    <row r="8305" ht="16.5" customHeight="1"/>
    <row r="8306" ht="16.5" customHeight="1"/>
    <row r="8307" ht="16.5" customHeight="1"/>
    <row r="8308" ht="16.5" customHeight="1"/>
    <row r="8309" ht="16.5" customHeight="1"/>
    <row r="8310" ht="16.5" customHeight="1"/>
    <row r="8311" ht="16.5" customHeight="1"/>
    <row r="8312" ht="16.5" customHeight="1"/>
    <row r="8313" ht="16.5" customHeight="1"/>
    <row r="8314" ht="16.5" customHeight="1"/>
    <row r="8315" ht="16.5" customHeight="1"/>
    <row r="8316" ht="16.5" customHeight="1"/>
    <row r="8317" ht="16.5" customHeight="1"/>
    <row r="8318" ht="16.5" customHeight="1"/>
    <row r="8319" ht="16.5" customHeight="1"/>
    <row r="8320" ht="16.5" customHeight="1"/>
    <row r="8321" ht="16.5" customHeight="1"/>
    <row r="8322" ht="16.5" customHeight="1"/>
    <row r="8323" ht="16.5" customHeight="1"/>
    <row r="8324" ht="16.5" customHeight="1"/>
    <row r="8325" ht="16.5" customHeight="1"/>
    <row r="8326" ht="16.5" customHeight="1"/>
    <row r="8327" ht="16.5" customHeight="1"/>
    <row r="8328" ht="16.5" customHeight="1"/>
    <row r="8329" ht="16.5" customHeight="1"/>
    <row r="8330" ht="16.5" customHeight="1"/>
    <row r="8331" ht="16.5" customHeight="1"/>
    <row r="8332" ht="16.5" customHeight="1"/>
    <row r="8333" ht="16.5" customHeight="1"/>
    <row r="8334" ht="16.5" customHeight="1"/>
    <row r="8335" ht="16.5" customHeight="1"/>
    <row r="8336" ht="16.5" customHeight="1"/>
    <row r="8337" ht="16.5" customHeight="1"/>
    <row r="8338" ht="16.5" customHeight="1"/>
    <row r="8339" ht="16.5" customHeight="1"/>
    <row r="8340" ht="16.5" customHeight="1"/>
    <row r="8341" ht="16.5" customHeight="1"/>
    <row r="8342" ht="16.5" customHeight="1"/>
    <row r="8343" ht="16.5" customHeight="1"/>
    <row r="8344" ht="16.5" customHeight="1"/>
    <row r="8345" ht="16.5" customHeight="1"/>
    <row r="8346" ht="16.5" customHeight="1"/>
    <row r="8347" ht="16.5" customHeight="1"/>
    <row r="8348" ht="16.5" customHeight="1"/>
    <row r="8349" ht="16.5" customHeight="1"/>
    <row r="8350" ht="16.5" customHeight="1"/>
    <row r="8351" ht="16.5" customHeight="1"/>
    <row r="8352" ht="16.5" customHeight="1"/>
    <row r="8353" ht="16.5" customHeight="1"/>
    <row r="8354" ht="16.5" customHeight="1"/>
    <row r="8355" ht="16.5" customHeight="1"/>
    <row r="8356" ht="16.5" customHeight="1"/>
    <row r="8357" ht="16.5" customHeight="1"/>
    <row r="8358" ht="16.5" customHeight="1"/>
    <row r="8359" ht="16.5" customHeight="1"/>
    <row r="8360" ht="16.5" customHeight="1"/>
    <row r="8361" ht="16.5" customHeight="1"/>
    <row r="8362" ht="16.5" customHeight="1"/>
    <row r="8363" ht="16.5" customHeight="1"/>
    <row r="8364" ht="16.5" customHeight="1"/>
    <row r="8365" ht="16.5" customHeight="1"/>
    <row r="8366" ht="16.5" customHeight="1"/>
    <row r="8367" ht="16.5" customHeight="1"/>
    <row r="8368" ht="16.5" customHeight="1"/>
    <row r="8369" ht="16.5" customHeight="1"/>
    <row r="8370" ht="16.5" customHeight="1"/>
    <row r="8371" ht="16.5" customHeight="1"/>
    <row r="8372" ht="16.5" customHeight="1"/>
    <row r="8373" ht="16.5" customHeight="1"/>
    <row r="8374" ht="16.5" customHeight="1"/>
    <row r="8375" ht="16.5" customHeight="1"/>
    <row r="8376" ht="16.5" customHeight="1"/>
    <row r="8377" ht="16.5" customHeight="1"/>
    <row r="8378" ht="16.5" customHeight="1"/>
    <row r="8379" ht="16.5" customHeight="1"/>
    <row r="8380" ht="16.5" customHeight="1"/>
    <row r="8381" ht="16.5" customHeight="1"/>
    <row r="8382" ht="16.5" customHeight="1"/>
    <row r="8383" ht="16.5" customHeight="1"/>
    <row r="8384" ht="16.5" customHeight="1"/>
    <row r="8385" ht="16.5" customHeight="1"/>
    <row r="8386" ht="16.5" customHeight="1"/>
    <row r="8387" ht="16.5" customHeight="1"/>
    <row r="8388" ht="16.5" customHeight="1"/>
    <row r="8389" ht="16.5" customHeight="1"/>
    <row r="8390" ht="16.5" customHeight="1"/>
    <row r="8391" ht="16.5" customHeight="1"/>
    <row r="8392" ht="16.5" customHeight="1"/>
    <row r="8393" ht="16.5" customHeight="1"/>
    <row r="8394" ht="16.5" customHeight="1"/>
    <row r="8395" ht="16.5" customHeight="1"/>
    <row r="8396" ht="16.5" customHeight="1"/>
    <row r="8397" ht="16.5" customHeight="1"/>
    <row r="8398" ht="16.5" customHeight="1"/>
    <row r="8399" ht="16.5" customHeight="1"/>
    <row r="8400" ht="16.5" customHeight="1"/>
    <row r="8401" ht="16.5" customHeight="1"/>
    <row r="8402" ht="16.5" customHeight="1"/>
    <row r="8403" ht="16.5" customHeight="1"/>
    <row r="8404" ht="16.5" customHeight="1"/>
    <row r="8405" ht="16.5" customHeight="1"/>
    <row r="8406" ht="16.5" customHeight="1"/>
    <row r="8407" ht="16.5" customHeight="1"/>
    <row r="8408" ht="16.5" customHeight="1"/>
    <row r="8409" ht="16.5" customHeight="1"/>
    <row r="8410" ht="16.5" customHeight="1"/>
    <row r="8411" ht="16.5" customHeight="1"/>
    <row r="8412" ht="16.5" customHeight="1"/>
    <row r="8413" ht="16.5" customHeight="1"/>
    <row r="8414" ht="16.5" customHeight="1"/>
    <row r="8415" ht="16.5" customHeight="1"/>
    <row r="8416" ht="16.5" customHeight="1"/>
    <row r="8417" ht="16.5" customHeight="1"/>
    <row r="8418" ht="16.5" customHeight="1"/>
    <row r="8419" ht="16.5" customHeight="1"/>
    <row r="8420" ht="16.5" customHeight="1"/>
    <row r="8421" ht="16.5" customHeight="1"/>
    <row r="8422" ht="16.5" customHeight="1"/>
    <row r="8423" ht="16.5" customHeight="1"/>
    <row r="8424" ht="16.5" customHeight="1"/>
    <row r="8425" ht="16.5" customHeight="1"/>
    <row r="8426" ht="16.5" customHeight="1"/>
    <row r="8427" ht="16.5" customHeight="1"/>
    <row r="8428" ht="16.5" customHeight="1"/>
    <row r="8429" ht="16.5" customHeight="1"/>
    <row r="8430" ht="16.5" customHeight="1"/>
    <row r="8431" ht="16.5" customHeight="1"/>
    <row r="8432" ht="16.5" customHeight="1"/>
    <row r="8433" ht="16.5" customHeight="1"/>
    <row r="8434" ht="16.5" customHeight="1"/>
    <row r="8435" ht="16.5" customHeight="1"/>
    <row r="8436" ht="16.5" customHeight="1"/>
    <row r="8437" ht="16.5" customHeight="1"/>
    <row r="8438" ht="16.5" customHeight="1"/>
    <row r="8439" ht="16.5" customHeight="1"/>
    <row r="8440" ht="16.5" customHeight="1"/>
    <row r="8441" ht="16.5" customHeight="1"/>
    <row r="8442" ht="16.5" customHeight="1"/>
    <row r="8443" ht="16.5" customHeight="1"/>
    <row r="8444" ht="16.5" customHeight="1"/>
    <row r="8445" ht="16.5" customHeight="1"/>
    <row r="8446" ht="16.5" customHeight="1"/>
    <row r="8447" ht="16.5" customHeight="1"/>
    <row r="8448" ht="16.5" customHeight="1"/>
    <row r="8449" ht="16.5" customHeight="1"/>
    <row r="8450" ht="16.5" customHeight="1"/>
    <row r="8451" ht="16.5" customHeight="1"/>
    <row r="8452" ht="16.5" customHeight="1"/>
    <row r="8453" ht="16.5" customHeight="1"/>
    <row r="8454" ht="16.5" customHeight="1"/>
    <row r="8455" ht="16.5" customHeight="1"/>
    <row r="8456" ht="16.5" customHeight="1"/>
    <row r="8457" ht="16.5" customHeight="1"/>
    <row r="8458" ht="16.5" customHeight="1"/>
    <row r="8459" ht="16.5" customHeight="1"/>
    <row r="8460" ht="16.5" customHeight="1"/>
    <row r="8461" ht="16.5" customHeight="1"/>
    <row r="8462" ht="16.5" customHeight="1"/>
    <row r="8463" ht="16.5" customHeight="1"/>
    <row r="8464" ht="16.5" customHeight="1"/>
    <row r="8465" ht="16.5" customHeight="1"/>
    <row r="8466" ht="16.5" customHeight="1"/>
    <row r="8467" ht="16.5" customHeight="1"/>
    <row r="8468" ht="16.5" customHeight="1"/>
    <row r="8469" ht="16.5" customHeight="1"/>
    <row r="8470" ht="16.5" customHeight="1"/>
    <row r="8471" ht="16.5" customHeight="1"/>
    <row r="8472" ht="16.5" customHeight="1"/>
    <row r="8473" ht="16.5" customHeight="1"/>
    <row r="8474" ht="16.5" customHeight="1"/>
    <row r="8475" ht="16.5" customHeight="1"/>
    <row r="8476" ht="16.5" customHeight="1"/>
    <row r="8477" ht="16.5" customHeight="1"/>
    <row r="8478" ht="16.5" customHeight="1"/>
    <row r="8479" ht="16.5" customHeight="1"/>
    <row r="8480" ht="16.5" customHeight="1"/>
    <row r="8481" ht="16.5" customHeight="1"/>
    <row r="8482" ht="16.5" customHeight="1"/>
    <row r="8483" ht="16.5" customHeight="1"/>
    <row r="8484" ht="16.5" customHeight="1"/>
    <row r="8485" ht="16.5" customHeight="1"/>
    <row r="8486" ht="16.5" customHeight="1"/>
    <row r="8487" ht="16.5" customHeight="1"/>
    <row r="8488" ht="16.5" customHeight="1"/>
    <row r="8489" ht="16.5" customHeight="1"/>
    <row r="8490" ht="16.5" customHeight="1"/>
    <row r="8491" ht="16.5" customHeight="1"/>
    <row r="8492" ht="16.5" customHeight="1"/>
    <row r="8493" ht="16.5" customHeight="1"/>
    <row r="8494" ht="16.5" customHeight="1"/>
    <row r="8495" ht="16.5" customHeight="1"/>
    <row r="8496" ht="16.5" customHeight="1"/>
    <row r="8497" ht="16.5" customHeight="1"/>
    <row r="8498" ht="16.5" customHeight="1"/>
    <row r="8499" ht="16.5" customHeight="1"/>
    <row r="8500" ht="16.5" customHeight="1"/>
    <row r="8501" ht="16.5" customHeight="1"/>
    <row r="8502" ht="16.5" customHeight="1"/>
    <row r="8503" ht="16.5" customHeight="1"/>
    <row r="8504" ht="16.5" customHeight="1"/>
    <row r="8505" ht="16.5" customHeight="1"/>
    <row r="8506" ht="16.5" customHeight="1"/>
    <row r="8507" ht="16.5" customHeight="1"/>
    <row r="8508" ht="16.5" customHeight="1"/>
    <row r="8509" ht="16.5" customHeight="1"/>
    <row r="8510" ht="16.5" customHeight="1"/>
    <row r="8511" ht="16.5" customHeight="1"/>
    <row r="8512" ht="16.5" customHeight="1"/>
    <row r="8513" ht="16.5" customHeight="1"/>
    <row r="8514" ht="16.5" customHeight="1"/>
    <row r="8515" ht="16.5" customHeight="1"/>
    <row r="8516" ht="16.5" customHeight="1"/>
    <row r="8517" ht="16.5" customHeight="1"/>
    <row r="8518" ht="16.5" customHeight="1"/>
    <row r="8519" ht="16.5" customHeight="1"/>
    <row r="8520" ht="16.5" customHeight="1"/>
    <row r="8521" ht="16.5" customHeight="1"/>
    <row r="8522" ht="16.5" customHeight="1"/>
    <row r="8523" ht="16.5" customHeight="1"/>
    <row r="8524" ht="16.5" customHeight="1"/>
    <row r="8525" ht="16.5" customHeight="1"/>
    <row r="8526" ht="16.5" customHeight="1"/>
    <row r="8527" ht="16.5" customHeight="1"/>
    <row r="8528" ht="16.5" customHeight="1"/>
    <row r="8529" ht="16.5" customHeight="1"/>
    <row r="8530" ht="16.5" customHeight="1"/>
    <row r="8531" ht="16.5" customHeight="1"/>
    <row r="8532" ht="16.5" customHeight="1"/>
    <row r="8533" ht="16.5" customHeight="1"/>
    <row r="8534" ht="16.5" customHeight="1"/>
    <row r="8535" ht="16.5" customHeight="1"/>
    <row r="8536" ht="16.5" customHeight="1"/>
    <row r="8537" ht="16.5" customHeight="1"/>
    <row r="8538" ht="16.5" customHeight="1"/>
    <row r="8539" ht="16.5" customHeight="1"/>
    <row r="8540" ht="16.5" customHeight="1"/>
    <row r="8541" ht="16.5" customHeight="1"/>
    <row r="8542" ht="16.5" customHeight="1"/>
    <row r="8543" ht="16.5" customHeight="1"/>
    <row r="8544" ht="16.5" customHeight="1"/>
    <row r="8545" ht="16.5" customHeight="1"/>
    <row r="8546" ht="16.5" customHeight="1"/>
    <row r="8547" ht="16.5" customHeight="1"/>
    <row r="8548" ht="16.5" customHeight="1"/>
    <row r="8549" ht="16.5" customHeight="1"/>
    <row r="8550" ht="16.5" customHeight="1"/>
    <row r="8551" ht="16.5" customHeight="1"/>
    <row r="8552" ht="16.5" customHeight="1"/>
    <row r="8553" ht="16.5" customHeight="1"/>
    <row r="8554" ht="16.5" customHeight="1"/>
    <row r="8555" ht="16.5" customHeight="1"/>
    <row r="8556" ht="16.5" customHeight="1"/>
    <row r="8557" ht="16.5" customHeight="1"/>
    <row r="8558" ht="16.5" customHeight="1"/>
    <row r="8559" ht="16.5" customHeight="1"/>
    <row r="8560" ht="16.5" customHeight="1"/>
    <row r="8561" ht="16.5" customHeight="1"/>
    <row r="8562" ht="16.5" customHeight="1"/>
    <row r="8563" ht="16.5" customHeight="1"/>
    <row r="8564" ht="16.5" customHeight="1"/>
    <row r="8565" ht="16.5" customHeight="1"/>
    <row r="8566" ht="16.5" customHeight="1"/>
    <row r="8567" ht="16.5" customHeight="1"/>
    <row r="8568" ht="16.5" customHeight="1"/>
    <row r="8569" ht="16.5" customHeight="1"/>
    <row r="8570" ht="16.5" customHeight="1"/>
    <row r="8571" ht="16.5" customHeight="1"/>
    <row r="8572" ht="16.5" customHeight="1"/>
    <row r="8573" ht="16.5" customHeight="1"/>
    <row r="8574" ht="16.5" customHeight="1"/>
    <row r="8575" ht="16.5" customHeight="1"/>
    <row r="8576" ht="16.5" customHeight="1"/>
    <row r="8577" ht="16.5" customHeight="1"/>
    <row r="8578" ht="16.5" customHeight="1"/>
    <row r="8579" ht="16.5" customHeight="1"/>
    <row r="8580" ht="16.5" customHeight="1"/>
    <row r="8581" ht="16.5" customHeight="1"/>
    <row r="8582" ht="16.5" customHeight="1"/>
    <row r="8583" ht="16.5" customHeight="1"/>
    <row r="8584" ht="16.5" customHeight="1"/>
    <row r="8585" ht="16.5" customHeight="1"/>
    <row r="8586" ht="16.5" customHeight="1"/>
    <row r="8587" ht="16.5" customHeight="1"/>
    <row r="8588" ht="16.5" customHeight="1"/>
    <row r="8589" ht="16.5" customHeight="1"/>
    <row r="8590" ht="16.5" customHeight="1"/>
    <row r="8591" ht="16.5" customHeight="1"/>
    <row r="8592" ht="16.5" customHeight="1"/>
    <row r="8593" ht="16.5" customHeight="1"/>
    <row r="8594" ht="16.5" customHeight="1"/>
    <row r="8595" ht="16.5" customHeight="1"/>
    <row r="8596" ht="16.5" customHeight="1"/>
    <row r="8597" ht="16.5" customHeight="1"/>
    <row r="8598" ht="16.5" customHeight="1"/>
    <row r="8599" ht="16.5" customHeight="1"/>
    <row r="8600" ht="16.5" customHeight="1"/>
    <row r="8601" ht="16.5" customHeight="1"/>
    <row r="8602" ht="16.5" customHeight="1"/>
    <row r="8603" ht="16.5" customHeight="1"/>
    <row r="8604" ht="16.5" customHeight="1"/>
    <row r="8605" ht="16.5" customHeight="1"/>
    <row r="8606" ht="16.5" customHeight="1"/>
    <row r="8607" ht="16.5" customHeight="1"/>
    <row r="8608" ht="16.5" customHeight="1"/>
    <row r="8609" ht="16.5" customHeight="1"/>
    <row r="8610" ht="16.5" customHeight="1"/>
    <row r="8611" ht="16.5" customHeight="1"/>
    <row r="8612" ht="16.5" customHeight="1"/>
    <row r="8613" ht="16.5" customHeight="1"/>
    <row r="8614" ht="16.5" customHeight="1"/>
    <row r="8615" ht="16.5" customHeight="1"/>
    <row r="8616" ht="16.5" customHeight="1"/>
    <row r="8617" ht="16.5" customHeight="1"/>
    <row r="8618" ht="16.5" customHeight="1"/>
    <row r="8619" ht="16.5" customHeight="1"/>
    <row r="8620" ht="16.5" customHeight="1"/>
    <row r="8621" ht="16.5" customHeight="1"/>
    <row r="8622" ht="16.5" customHeight="1"/>
    <row r="8623" ht="16.5" customHeight="1"/>
    <row r="8624" ht="16.5" customHeight="1"/>
    <row r="8625" ht="16.5" customHeight="1"/>
    <row r="8626" ht="16.5" customHeight="1"/>
    <row r="8627" ht="16.5" customHeight="1"/>
    <row r="8628" ht="16.5" customHeight="1"/>
    <row r="8629" ht="16.5" customHeight="1"/>
    <row r="8630" ht="16.5" customHeight="1"/>
    <row r="8631" ht="16.5" customHeight="1"/>
    <row r="8632" ht="16.5" customHeight="1"/>
    <row r="8633" ht="16.5" customHeight="1"/>
    <row r="8634" ht="16.5" customHeight="1"/>
    <row r="8635" ht="16.5" customHeight="1"/>
    <row r="8636" ht="16.5" customHeight="1"/>
    <row r="8637" ht="16.5" customHeight="1"/>
    <row r="8638" ht="16.5" customHeight="1"/>
    <row r="8639" ht="16.5" customHeight="1"/>
    <row r="8640" ht="16.5" customHeight="1"/>
    <row r="8641" ht="16.5" customHeight="1"/>
    <row r="8642" ht="16.5" customHeight="1"/>
    <row r="8643" ht="16.5" customHeight="1"/>
    <row r="8644" ht="16.5" customHeight="1"/>
    <row r="8645" ht="16.5" customHeight="1"/>
    <row r="8646" ht="16.5" customHeight="1"/>
    <row r="8647" ht="16.5" customHeight="1"/>
    <row r="8648" ht="16.5" customHeight="1"/>
    <row r="8649" ht="16.5" customHeight="1"/>
    <row r="8650" ht="16.5" customHeight="1"/>
    <row r="8651" ht="16.5" customHeight="1"/>
    <row r="8652" ht="16.5" customHeight="1"/>
    <row r="8653" ht="16.5" customHeight="1"/>
    <row r="8654" ht="16.5" customHeight="1"/>
    <row r="8655" ht="16.5" customHeight="1"/>
    <row r="8656" ht="16.5" customHeight="1"/>
    <row r="8657" ht="16.5" customHeight="1"/>
    <row r="8658" ht="16.5" customHeight="1"/>
    <row r="8659" ht="16.5" customHeight="1"/>
    <row r="8660" ht="16.5" customHeight="1"/>
    <row r="8661" ht="16.5" customHeight="1"/>
    <row r="8662" ht="16.5" customHeight="1"/>
    <row r="8663" ht="16.5" customHeight="1"/>
    <row r="8664" ht="16.5" customHeight="1"/>
    <row r="8665" ht="16.5" customHeight="1"/>
    <row r="8666" ht="16.5" customHeight="1"/>
    <row r="8667" ht="16.5" customHeight="1"/>
    <row r="8668" ht="16.5" customHeight="1"/>
    <row r="8669" ht="16.5" customHeight="1"/>
    <row r="8670" ht="16.5" customHeight="1"/>
    <row r="8671" ht="16.5" customHeight="1"/>
    <row r="8672" ht="16.5" customHeight="1"/>
    <row r="8673" ht="16.5" customHeight="1"/>
    <row r="8674" ht="16.5" customHeight="1"/>
    <row r="8675" ht="16.5" customHeight="1"/>
    <row r="8676" ht="16.5" customHeight="1"/>
    <row r="8677" ht="16.5" customHeight="1"/>
    <row r="8678" ht="16.5" customHeight="1"/>
    <row r="8679" ht="16.5" customHeight="1"/>
    <row r="8680" ht="16.5" customHeight="1"/>
    <row r="8681" ht="16.5" customHeight="1"/>
    <row r="8682" ht="16.5" customHeight="1"/>
    <row r="8683" ht="16.5" customHeight="1"/>
    <row r="8684" ht="16.5" customHeight="1"/>
    <row r="8685" ht="16.5" customHeight="1"/>
    <row r="8686" ht="16.5" customHeight="1"/>
    <row r="8687" ht="16.5" customHeight="1"/>
    <row r="8688" ht="16.5" customHeight="1"/>
    <row r="8689" ht="16.5" customHeight="1"/>
    <row r="8690" ht="16.5" customHeight="1"/>
    <row r="8691" ht="16.5" customHeight="1"/>
    <row r="8692" ht="16.5" customHeight="1"/>
    <row r="8693" ht="16.5" customHeight="1"/>
    <row r="8694" ht="16.5" customHeight="1"/>
    <row r="8695" ht="16.5" customHeight="1"/>
    <row r="8696" ht="16.5" customHeight="1"/>
    <row r="8697" ht="16.5" customHeight="1"/>
    <row r="8698" ht="16.5" customHeight="1"/>
    <row r="8699" ht="16.5" customHeight="1"/>
    <row r="8700" ht="16.5" customHeight="1"/>
    <row r="8701" ht="16.5" customHeight="1"/>
    <row r="8702" ht="16.5" customHeight="1"/>
    <row r="8703" ht="16.5" customHeight="1"/>
    <row r="8704" ht="16.5" customHeight="1"/>
    <row r="8705" ht="16.5" customHeight="1"/>
    <row r="8706" ht="16.5" customHeight="1"/>
    <row r="8707" ht="16.5" customHeight="1"/>
    <row r="8708" ht="16.5" customHeight="1"/>
    <row r="8709" ht="16.5" customHeight="1"/>
    <row r="8710" ht="16.5" customHeight="1"/>
    <row r="8711" ht="16.5" customHeight="1"/>
    <row r="8712" ht="16.5" customHeight="1"/>
    <row r="8713" ht="16.5" customHeight="1"/>
    <row r="8714" ht="16.5" customHeight="1"/>
    <row r="8715" ht="16.5" customHeight="1"/>
    <row r="8716" ht="16.5" customHeight="1"/>
    <row r="8717" ht="16.5" customHeight="1"/>
    <row r="8718" ht="16.5" customHeight="1"/>
    <row r="8719" ht="16.5" customHeight="1"/>
    <row r="8720" ht="16.5" customHeight="1"/>
    <row r="8721" ht="16.5" customHeight="1"/>
    <row r="8722" ht="16.5" customHeight="1"/>
    <row r="8723" ht="16.5" customHeight="1"/>
    <row r="8724" ht="16.5" customHeight="1"/>
    <row r="8725" ht="16.5" customHeight="1"/>
    <row r="8726" ht="16.5" customHeight="1"/>
    <row r="8727" ht="16.5" customHeight="1"/>
    <row r="8728" ht="16.5" customHeight="1"/>
    <row r="8729" ht="16.5" customHeight="1"/>
    <row r="8730" ht="16.5" customHeight="1"/>
    <row r="8731" ht="16.5" customHeight="1"/>
    <row r="8732" ht="16.5" customHeight="1"/>
    <row r="8733" ht="16.5" customHeight="1"/>
    <row r="8734" ht="16.5" customHeight="1"/>
    <row r="8735" ht="16.5" customHeight="1"/>
    <row r="8736" ht="16.5" customHeight="1"/>
    <row r="8737" ht="16.5" customHeight="1"/>
    <row r="8738" ht="16.5" customHeight="1"/>
    <row r="8739" ht="16.5" customHeight="1"/>
    <row r="8740" ht="16.5" customHeight="1"/>
    <row r="8741" ht="16.5" customHeight="1"/>
    <row r="8742" ht="16.5" customHeight="1"/>
    <row r="8743" ht="16.5" customHeight="1"/>
    <row r="8744" ht="16.5" customHeight="1"/>
    <row r="8745" ht="16.5" customHeight="1"/>
    <row r="8746" ht="16.5" customHeight="1"/>
    <row r="8747" ht="16.5" customHeight="1"/>
    <row r="8748" ht="16.5" customHeight="1"/>
    <row r="8749" ht="16.5" customHeight="1"/>
    <row r="8750" ht="16.5" customHeight="1"/>
    <row r="8751" ht="16.5" customHeight="1"/>
    <row r="8752" ht="16.5" customHeight="1"/>
    <row r="8753" ht="16.5" customHeight="1"/>
    <row r="8754" ht="16.5" customHeight="1"/>
    <row r="8755" ht="16.5" customHeight="1"/>
    <row r="8756" ht="16.5" customHeight="1"/>
    <row r="8757" ht="16.5" customHeight="1"/>
    <row r="8758" ht="16.5" customHeight="1"/>
    <row r="8759" ht="16.5" customHeight="1"/>
    <row r="8760" ht="16.5" customHeight="1"/>
    <row r="8761" ht="16.5" customHeight="1"/>
    <row r="8762" ht="16.5" customHeight="1"/>
    <row r="8763" ht="16.5" customHeight="1"/>
    <row r="8764" ht="16.5" customHeight="1"/>
    <row r="8765" ht="16.5" customHeight="1"/>
    <row r="8766" ht="16.5" customHeight="1"/>
    <row r="8767" ht="16.5" customHeight="1"/>
    <row r="8768" ht="16.5" customHeight="1"/>
    <row r="8769" ht="16.5" customHeight="1"/>
    <row r="8770" ht="16.5" customHeight="1"/>
    <row r="8771" ht="16.5" customHeight="1"/>
    <row r="8772" ht="16.5" customHeight="1"/>
    <row r="8773" ht="16.5" customHeight="1"/>
    <row r="8774" ht="16.5" customHeight="1"/>
    <row r="8775" ht="16.5" customHeight="1"/>
    <row r="8776" ht="16.5" customHeight="1"/>
    <row r="8777" ht="16.5" customHeight="1"/>
    <row r="8778" ht="16.5" customHeight="1"/>
    <row r="8779" ht="16.5" customHeight="1"/>
    <row r="8780" ht="16.5" customHeight="1"/>
    <row r="8781" ht="16.5" customHeight="1"/>
    <row r="8782" ht="16.5" customHeight="1"/>
    <row r="8783" ht="16.5" customHeight="1"/>
    <row r="8784" ht="16.5" customHeight="1"/>
    <row r="8785" ht="16.5" customHeight="1"/>
    <row r="8786" ht="16.5" customHeight="1"/>
    <row r="8787" ht="16.5" customHeight="1"/>
    <row r="8788" ht="16.5" customHeight="1"/>
    <row r="8789" ht="16.5" customHeight="1"/>
    <row r="8790" ht="16.5" customHeight="1"/>
    <row r="8791" ht="16.5" customHeight="1"/>
    <row r="8792" ht="16.5" customHeight="1"/>
    <row r="8793" ht="16.5" customHeight="1"/>
    <row r="8794" ht="16.5" customHeight="1"/>
    <row r="8795" ht="16.5" customHeight="1"/>
    <row r="8796" ht="16.5" customHeight="1"/>
    <row r="8797" ht="16.5" customHeight="1"/>
    <row r="8798" ht="16.5" customHeight="1"/>
    <row r="8799" ht="16.5" customHeight="1"/>
    <row r="8800" ht="16.5" customHeight="1"/>
    <row r="8801" ht="16.5" customHeight="1"/>
    <row r="8802" ht="16.5" customHeight="1"/>
    <row r="8803" ht="16.5" customHeight="1"/>
    <row r="8804" ht="16.5" customHeight="1"/>
    <row r="8805" ht="16.5" customHeight="1"/>
    <row r="8806" ht="16.5" customHeight="1"/>
    <row r="8807" ht="16.5" customHeight="1"/>
    <row r="8808" ht="16.5" customHeight="1"/>
    <row r="8809" ht="16.5" customHeight="1"/>
    <row r="8810" ht="16.5" customHeight="1"/>
    <row r="8811" ht="16.5" customHeight="1"/>
    <row r="8812" ht="16.5" customHeight="1"/>
    <row r="8813" ht="16.5" customHeight="1"/>
    <row r="8814" ht="16.5" customHeight="1"/>
    <row r="8815" ht="16.5" customHeight="1"/>
    <row r="8816" ht="16.5" customHeight="1"/>
    <row r="8817" ht="16.5" customHeight="1"/>
    <row r="8818" ht="16.5" customHeight="1"/>
    <row r="8819" ht="16.5" customHeight="1"/>
    <row r="8820" ht="16.5" customHeight="1"/>
    <row r="8821" ht="16.5" customHeight="1"/>
    <row r="8822" ht="16.5" customHeight="1"/>
    <row r="8823" ht="16.5" customHeight="1"/>
    <row r="8824" ht="16.5" customHeight="1"/>
    <row r="8825" ht="16.5" customHeight="1"/>
    <row r="8826" ht="16.5" customHeight="1"/>
    <row r="8827" ht="16.5" customHeight="1"/>
    <row r="8828" ht="16.5" customHeight="1"/>
    <row r="8829" ht="16.5" customHeight="1"/>
    <row r="8830" ht="16.5" customHeight="1"/>
    <row r="8831" ht="16.5" customHeight="1"/>
    <row r="8832" ht="16.5" customHeight="1"/>
    <row r="8833" ht="16.5" customHeight="1"/>
    <row r="8834" ht="16.5" customHeight="1"/>
    <row r="8835" ht="16.5" customHeight="1"/>
    <row r="8836" ht="16.5" customHeight="1"/>
    <row r="8837" ht="16.5" customHeight="1"/>
    <row r="8838" ht="16.5" customHeight="1"/>
    <row r="8839" ht="16.5" customHeight="1"/>
    <row r="8840" ht="16.5" customHeight="1"/>
    <row r="8841" ht="16.5" customHeight="1"/>
    <row r="8842" ht="16.5" customHeight="1"/>
    <row r="8843" ht="16.5" customHeight="1"/>
    <row r="8844" ht="16.5" customHeight="1"/>
    <row r="8845" ht="16.5" customHeight="1"/>
    <row r="8846" ht="16.5" customHeight="1"/>
    <row r="8847" ht="16.5" customHeight="1"/>
    <row r="8848" ht="16.5" customHeight="1"/>
    <row r="8849" ht="16.5" customHeight="1"/>
    <row r="8850" ht="16.5" customHeight="1"/>
    <row r="8851" ht="16.5" customHeight="1"/>
    <row r="8852" ht="16.5" customHeight="1"/>
    <row r="8853" ht="16.5" customHeight="1"/>
    <row r="8854" ht="16.5" customHeight="1"/>
    <row r="8855" ht="16.5" customHeight="1"/>
    <row r="8856" ht="16.5" customHeight="1"/>
    <row r="8857" ht="16.5" customHeight="1"/>
    <row r="8858" ht="16.5" customHeight="1"/>
    <row r="8859" ht="16.5" customHeight="1"/>
    <row r="8860" ht="16.5" customHeight="1"/>
    <row r="8861" ht="16.5" customHeight="1"/>
    <row r="8862" ht="16.5" customHeight="1"/>
    <row r="8863" ht="16.5" customHeight="1"/>
    <row r="8864" ht="16.5" customHeight="1"/>
    <row r="8865" ht="16.5" customHeight="1"/>
    <row r="8866" ht="16.5" customHeight="1"/>
    <row r="8867" ht="16.5" customHeight="1"/>
    <row r="8868" ht="16.5" customHeight="1"/>
    <row r="8869" ht="16.5" customHeight="1"/>
    <row r="8870" ht="16.5" customHeight="1"/>
    <row r="8871" ht="16.5" customHeight="1"/>
    <row r="8872" ht="16.5" customHeight="1"/>
    <row r="8873" ht="16.5" customHeight="1"/>
    <row r="8874" ht="16.5" customHeight="1"/>
    <row r="8875" ht="16.5" customHeight="1"/>
    <row r="8876" ht="16.5" customHeight="1"/>
    <row r="8877" ht="16.5" customHeight="1"/>
    <row r="8878" ht="16.5" customHeight="1"/>
    <row r="8879" ht="16.5" customHeight="1"/>
    <row r="8880" ht="16.5" customHeight="1"/>
    <row r="8881" ht="16.5" customHeight="1"/>
    <row r="8882" ht="16.5" customHeight="1"/>
    <row r="8883" ht="16.5" customHeight="1"/>
    <row r="8884" ht="16.5" customHeight="1"/>
    <row r="8885" ht="16.5" customHeight="1"/>
    <row r="8886" ht="16.5" customHeight="1"/>
    <row r="8887" ht="16.5" customHeight="1"/>
    <row r="8888" ht="16.5" customHeight="1"/>
    <row r="8889" ht="16.5" customHeight="1"/>
    <row r="8890" ht="16.5" customHeight="1"/>
    <row r="8891" ht="16.5" customHeight="1"/>
    <row r="8892" ht="16.5" customHeight="1"/>
    <row r="8893" ht="16.5" customHeight="1"/>
    <row r="8894" ht="16.5" customHeight="1"/>
    <row r="8895" ht="16.5" customHeight="1"/>
    <row r="8896" ht="16.5" customHeight="1"/>
    <row r="8897" ht="16.5" customHeight="1"/>
    <row r="8898" ht="16.5" customHeight="1"/>
    <row r="8899" ht="16.5" customHeight="1"/>
    <row r="8900" ht="16.5" customHeight="1"/>
    <row r="8901" ht="16.5" customHeight="1"/>
    <row r="8902" ht="16.5" customHeight="1"/>
    <row r="8903" ht="16.5" customHeight="1"/>
    <row r="8904" ht="16.5" customHeight="1"/>
    <row r="8905" ht="16.5" customHeight="1"/>
    <row r="8906" ht="16.5" customHeight="1"/>
    <row r="8907" ht="16.5" customHeight="1"/>
    <row r="8908" ht="16.5" customHeight="1"/>
    <row r="8909" ht="16.5" customHeight="1"/>
    <row r="8910" ht="16.5" customHeight="1"/>
    <row r="8911" ht="16.5" customHeight="1"/>
    <row r="8912" ht="16.5" customHeight="1"/>
    <row r="8913" ht="16.5" customHeight="1"/>
    <row r="8914" ht="16.5" customHeight="1"/>
    <row r="8915" ht="16.5" customHeight="1"/>
    <row r="8916" ht="16.5" customHeight="1"/>
    <row r="8917" ht="16.5" customHeight="1"/>
    <row r="8918" ht="16.5" customHeight="1"/>
    <row r="8919" ht="16.5" customHeight="1"/>
    <row r="8920" ht="16.5" customHeight="1"/>
    <row r="8921" ht="16.5" customHeight="1"/>
    <row r="8922" ht="16.5" customHeight="1"/>
    <row r="8923" ht="16.5" customHeight="1"/>
    <row r="8924" ht="16.5" customHeight="1"/>
    <row r="8925" ht="16.5" customHeight="1"/>
    <row r="8926" ht="16.5" customHeight="1"/>
    <row r="8927" ht="16.5" customHeight="1"/>
    <row r="8928" ht="16.5" customHeight="1"/>
    <row r="8929" ht="16.5" customHeight="1"/>
    <row r="8930" ht="16.5" customHeight="1"/>
    <row r="8931" ht="16.5" customHeight="1"/>
    <row r="8932" ht="16.5" customHeight="1"/>
    <row r="8933" ht="16.5" customHeight="1"/>
    <row r="8934" ht="16.5" customHeight="1"/>
    <row r="8935" ht="16.5" customHeight="1"/>
    <row r="8936" ht="16.5" customHeight="1"/>
    <row r="8937" ht="16.5" customHeight="1"/>
    <row r="8938" ht="16.5" customHeight="1"/>
    <row r="8939" ht="16.5" customHeight="1"/>
    <row r="8940" ht="16.5" customHeight="1"/>
    <row r="8941" ht="16.5" customHeight="1"/>
    <row r="8942" ht="16.5" customHeight="1"/>
    <row r="8943" ht="16.5" customHeight="1"/>
    <row r="8944" ht="16.5" customHeight="1"/>
    <row r="8945" ht="16.5" customHeight="1"/>
    <row r="8946" ht="16.5" customHeight="1"/>
    <row r="8947" ht="16.5" customHeight="1"/>
    <row r="8948" ht="16.5" customHeight="1"/>
    <row r="8949" ht="16.5" customHeight="1"/>
    <row r="8950" ht="16.5" customHeight="1"/>
    <row r="8951" ht="16.5" customHeight="1"/>
    <row r="8952" ht="16.5" customHeight="1"/>
    <row r="8953" ht="16.5" customHeight="1"/>
    <row r="8954" ht="16.5" customHeight="1"/>
    <row r="8955" ht="16.5" customHeight="1"/>
    <row r="8956" ht="16.5" customHeight="1"/>
    <row r="8957" ht="16.5" customHeight="1"/>
    <row r="8958" ht="16.5" customHeight="1"/>
    <row r="8959" ht="16.5" customHeight="1"/>
    <row r="8960" ht="16.5" customHeight="1"/>
    <row r="8961" ht="16.5" customHeight="1"/>
    <row r="8962" ht="16.5" customHeight="1"/>
    <row r="8963" ht="16.5" customHeight="1"/>
    <row r="8964" ht="16.5" customHeight="1"/>
    <row r="8965" ht="16.5" customHeight="1"/>
    <row r="8966" ht="16.5" customHeight="1"/>
    <row r="8967" ht="16.5" customHeight="1"/>
    <row r="8968" ht="16.5" customHeight="1"/>
    <row r="8969" ht="16.5" customHeight="1"/>
    <row r="8970" ht="16.5" customHeight="1"/>
    <row r="8971" ht="16.5" customHeight="1"/>
    <row r="8972" ht="16.5" customHeight="1"/>
    <row r="8973" ht="16.5" customHeight="1"/>
    <row r="8974" ht="16.5" customHeight="1"/>
    <row r="8975" ht="16.5" customHeight="1"/>
    <row r="8976" ht="16.5" customHeight="1"/>
    <row r="8977" ht="16.5" customHeight="1"/>
    <row r="8978" ht="16.5" customHeight="1"/>
    <row r="8979" ht="16.5" customHeight="1"/>
    <row r="8980" ht="16.5" customHeight="1"/>
    <row r="8981" ht="16.5" customHeight="1"/>
    <row r="8982" ht="16.5" customHeight="1"/>
    <row r="8983" ht="16.5" customHeight="1"/>
    <row r="8984" ht="16.5" customHeight="1"/>
    <row r="8985" ht="16.5" customHeight="1"/>
    <row r="8986" ht="16.5" customHeight="1"/>
    <row r="8987" ht="16.5" customHeight="1"/>
    <row r="8988" ht="16.5" customHeight="1"/>
    <row r="8989" ht="16.5" customHeight="1"/>
    <row r="8990" ht="16.5" customHeight="1"/>
    <row r="8991" ht="16.5" customHeight="1"/>
    <row r="8992" ht="16.5" customHeight="1"/>
    <row r="8993" ht="16.5" customHeight="1"/>
    <row r="8994" ht="16.5" customHeight="1"/>
    <row r="8995" ht="16.5" customHeight="1"/>
    <row r="8996" ht="16.5" customHeight="1"/>
    <row r="8997" ht="16.5" customHeight="1"/>
    <row r="8998" ht="16.5" customHeight="1"/>
    <row r="8999" ht="16.5" customHeight="1"/>
    <row r="9000" ht="16.5" customHeight="1"/>
    <row r="9001" ht="16.5" customHeight="1"/>
    <row r="9002" ht="16.5" customHeight="1"/>
    <row r="9003" ht="16.5" customHeight="1"/>
    <row r="9004" ht="16.5" customHeight="1"/>
    <row r="9005" ht="16.5" customHeight="1"/>
    <row r="9006" ht="16.5" customHeight="1"/>
    <row r="9007" ht="16.5" customHeight="1"/>
    <row r="9008" ht="16.5" customHeight="1"/>
    <row r="9009" ht="16.5" customHeight="1"/>
    <row r="9010" ht="16.5" customHeight="1"/>
    <row r="9011" ht="16.5" customHeight="1"/>
    <row r="9012" ht="16.5" customHeight="1"/>
    <row r="9013" ht="16.5" customHeight="1"/>
    <row r="9014" ht="16.5" customHeight="1"/>
    <row r="9015" ht="16.5" customHeight="1"/>
    <row r="9016" ht="16.5" customHeight="1"/>
    <row r="9017" ht="16.5" customHeight="1"/>
    <row r="9018" ht="16.5" customHeight="1"/>
    <row r="9019" ht="16.5" customHeight="1"/>
    <row r="9020" ht="16.5" customHeight="1"/>
    <row r="9021" ht="16.5" customHeight="1"/>
    <row r="9022" ht="16.5" customHeight="1"/>
    <row r="9023" ht="16.5" customHeight="1"/>
    <row r="9024" ht="16.5" customHeight="1"/>
    <row r="9025" ht="16.5" customHeight="1"/>
    <row r="9026" ht="16.5" customHeight="1"/>
    <row r="9027" ht="16.5" customHeight="1"/>
    <row r="9028" ht="16.5" customHeight="1"/>
    <row r="9029" ht="16.5" customHeight="1"/>
    <row r="9030" ht="16.5" customHeight="1"/>
    <row r="9031" ht="16.5" customHeight="1"/>
    <row r="9032" ht="16.5" customHeight="1"/>
    <row r="9033" ht="16.5" customHeight="1"/>
    <row r="9034" ht="16.5" customHeight="1"/>
    <row r="9035" ht="16.5" customHeight="1"/>
    <row r="9036" ht="16.5" customHeight="1"/>
    <row r="9037" ht="16.5" customHeight="1"/>
    <row r="9038" ht="16.5" customHeight="1"/>
    <row r="9039" ht="16.5" customHeight="1"/>
    <row r="9040" ht="16.5" customHeight="1"/>
    <row r="9041" ht="16.5" customHeight="1"/>
    <row r="9042" ht="16.5" customHeight="1"/>
    <row r="9043" ht="16.5" customHeight="1"/>
    <row r="9044" ht="16.5" customHeight="1"/>
    <row r="9045" ht="16.5" customHeight="1"/>
    <row r="9046" ht="16.5" customHeight="1"/>
    <row r="9047" ht="16.5" customHeight="1"/>
    <row r="9048" ht="16.5" customHeight="1"/>
    <row r="9049" ht="16.5" customHeight="1"/>
    <row r="9050" ht="16.5" customHeight="1"/>
    <row r="9051" ht="16.5" customHeight="1"/>
    <row r="9052" ht="16.5" customHeight="1"/>
    <row r="9053" ht="16.5" customHeight="1"/>
    <row r="9054" ht="16.5" customHeight="1"/>
    <row r="9055" ht="16.5" customHeight="1"/>
    <row r="9056" ht="16.5" customHeight="1"/>
    <row r="9057" ht="16.5" customHeight="1"/>
    <row r="9058" ht="16.5" customHeight="1"/>
    <row r="9059" ht="16.5" customHeight="1"/>
    <row r="9060" ht="16.5" customHeight="1"/>
    <row r="9061" ht="16.5" customHeight="1"/>
    <row r="9062" ht="16.5" customHeight="1"/>
    <row r="9063" ht="16.5" customHeight="1"/>
    <row r="9064" ht="16.5" customHeight="1"/>
    <row r="9065" ht="16.5" customHeight="1"/>
    <row r="9066" ht="16.5" customHeight="1"/>
    <row r="9067" ht="16.5" customHeight="1"/>
    <row r="9068" ht="16.5" customHeight="1"/>
    <row r="9069" ht="16.5" customHeight="1"/>
    <row r="9070" ht="16.5" customHeight="1"/>
    <row r="9071" ht="16.5" customHeight="1"/>
    <row r="9072" ht="16.5" customHeight="1"/>
    <row r="9073" ht="16.5" customHeight="1"/>
    <row r="9074" ht="16.5" customHeight="1"/>
    <row r="9075" ht="16.5" customHeight="1"/>
    <row r="9076" ht="16.5" customHeight="1"/>
    <row r="9077" ht="16.5" customHeight="1"/>
    <row r="9078" ht="16.5" customHeight="1"/>
    <row r="9079" ht="16.5" customHeight="1"/>
    <row r="9080" ht="16.5" customHeight="1"/>
    <row r="9081" ht="16.5" customHeight="1"/>
    <row r="9082" ht="16.5" customHeight="1"/>
    <row r="9083" ht="16.5" customHeight="1"/>
    <row r="9084" ht="16.5" customHeight="1"/>
    <row r="9085" ht="16.5" customHeight="1"/>
    <row r="9086" ht="16.5" customHeight="1"/>
    <row r="9087" ht="16.5" customHeight="1"/>
    <row r="9088" ht="16.5" customHeight="1"/>
    <row r="9089" ht="16.5" customHeight="1"/>
    <row r="9090" ht="16.5" customHeight="1"/>
    <row r="9091" ht="16.5" customHeight="1"/>
    <row r="9092" ht="16.5" customHeight="1"/>
    <row r="9093" ht="16.5" customHeight="1"/>
    <row r="9094" ht="16.5" customHeight="1"/>
    <row r="9095" ht="16.5" customHeight="1"/>
    <row r="9096" ht="16.5" customHeight="1"/>
    <row r="9097" ht="16.5" customHeight="1"/>
    <row r="9098" ht="16.5" customHeight="1"/>
    <row r="9099" ht="16.5" customHeight="1"/>
    <row r="9100" ht="16.5" customHeight="1"/>
    <row r="9101" ht="16.5" customHeight="1"/>
    <row r="9102" ht="16.5" customHeight="1"/>
    <row r="9103" ht="16.5" customHeight="1"/>
    <row r="9104" ht="16.5" customHeight="1"/>
    <row r="9105" ht="16.5" customHeight="1"/>
    <row r="9106" ht="16.5" customHeight="1"/>
    <row r="9107" ht="16.5" customHeight="1"/>
    <row r="9108" ht="16.5" customHeight="1"/>
    <row r="9109" ht="16.5" customHeight="1"/>
    <row r="9110" ht="16.5" customHeight="1"/>
    <row r="9111" ht="16.5" customHeight="1"/>
    <row r="9112" ht="16.5" customHeight="1"/>
    <row r="9113" ht="16.5" customHeight="1"/>
    <row r="9114" ht="16.5" customHeight="1"/>
    <row r="9115" ht="16.5" customHeight="1"/>
    <row r="9116" ht="16.5" customHeight="1"/>
    <row r="9117" ht="16.5" customHeight="1"/>
    <row r="9118" ht="16.5" customHeight="1"/>
    <row r="9119" ht="16.5" customHeight="1"/>
    <row r="9120" ht="16.5" customHeight="1"/>
    <row r="9121" ht="16.5" customHeight="1"/>
    <row r="9122" ht="16.5" customHeight="1"/>
    <row r="9123" ht="16.5" customHeight="1"/>
    <row r="9124" ht="16.5" customHeight="1"/>
    <row r="9125" ht="16.5" customHeight="1"/>
    <row r="9126" ht="16.5" customHeight="1"/>
    <row r="9127" ht="16.5" customHeight="1"/>
    <row r="9128" ht="16.5" customHeight="1"/>
    <row r="9129" ht="16.5" customHeight="1"/>
    <row r="9130" ht="16.5" customHeight="1"/>
    <row r="9131" ht="16.5" customHeight="1"/>
    <row r="9132" ht="16.5" customHeight="1"/>
    <row r="9133" ht="16.5" customHeight="1"/>
    <row r="9134" ht="16.5" customHeight="1"/>
    <row r="9135" ht="16.5" customHeight="1"/>
    <row r="9136" ht="16.5" customHeight="1"/>
    <row r="9137" ht="16.5" customHeight="1"/>
    <row r="9138" ht="16.5" customHeight="1"/>
    <row r="9139" ht="16.5" customHeight="1"/>
    <row r="9140" ht="16.5" customHeight="1"/>
    <row r="9141" ht="16.5" customHeight="1"/>
    <row r="9142" ht="16.5" customHeight="1"/>
    <row r="9143" ht="16.5" customHeight="1"/>
    <row r="9144" ht="16.5" customHeight="1"/>
    <row r="9145" ht="16.5" customHeight="1"/>
    <row r="9146" ht="16.5" customHeight="1"/>
    <row r="9147" ht="16.5" customHeight="1"/>
    <row r="9148" ht="16.5" customHeight="1"/>
    <row r="9149" ht="16.5" customHeight="1"/>
    <row r="9150" ht="16.5" customHeight="1"/>
    <row r="9151" ht="16.5" customHeight="1"/>
    <row r="9152" ht="16.5" customHeight="1"/>
    <row r="9153" ht="16.5" customHeight="1"/>
    <row r="9154" ht="16.5" customHeight="1"/>
    <row r="9155" ht="16.5" customHeight="1"/>
    <row r="9156" ht="16.5" customHeight="1"/>
    <row r="9157" ht="16.5" customHeight="1"/>
    <row r="9158" ht="16.5" customHeight="1"/>
    <row r="9159" ht="16.5" customHeight="1"/>
    <row r="9160" ht="16.5" customHeight="1"/>
    <row r="9161" ht="16.5" customHeight="1"/>
    <row r="9162" ht="16.5" customHeight="1"/>
    <row r="9163" ht="16.5" customHeight="1"/>
    <row r="9164" ht="16.5" customHeight="1"/>
    <row r="9165" ht="16.5" customHeight="1"/>
    <row r="9166" ht="16.5" customHeight="1"/>
    <row r="9167" ht="16.5" customHeight="1"/>
    <row r="9168" ht="16.5" customHeight="1"/>
    <row r="9169" ht="16.5" customHeight="1"/>
    <row r="9170" ht="16.5" customHeight="1"/>
    <row r="9171" ht="16.5" customHeight="1"/>
    <row r="9172" ht="16.5" customHeight="1"/>
    <row r="9173" ht="16.5" customHeight="1"/>
    <row r="9174" ht="16.5" customHeight="1"/>
    <row r="9175" ht="16.5" customHeight="1"/>
    <row r="9176" ht="16.5" customHeight="1"/>
    <row r="9177" ht="16.5" customHeight="1"/>
    <row r="9178" ht="16.5" customHeight="1"/>
    <row r="9179" ht="16.5" customHeight="1"/>
    <row r="9180" ht="16.5" customHeight="1"/>
    <row r="9181" ht="16.5" customHeight="1"/>
    <row r="9182" ht="16.5" customHeight="1"/>
    <row r="9183" ht="16.5" customHeight="1"/>
    <row r="9184" ht="16.5" customHeight="1"/>
    <row r="9185" ht="16.5" customHeight="1"/>
    <row r="9186" ht="16.5" customHeight="1"/>
    <row r="9187" ht="16.5" customHeight="1"/>
    <row r="9188" ht="16.5" customHeight="1"/>
    <row r="9189" ht="16.5" customHeight="1"/>
    <row r="9190" ht="16.5" customHeight="1"/>
    <row r="9191" ht="16.5" customHeight="1"/>
    <row r="9192" ht="16.5" customHeight="1"/>
    <row r="9193" ht="16.5" customHeight="1"/>
    <row r="9194" ht="16.5" customHeight="1"/>
    <row r="9195" ht="16.5" customHeight="1"/>
    <row r="9196" ht="16.5" customHeight="1"/>
    <row r="9197" ht="16.5" customHeight="1"/>
    <row r="9198" ht="16.5" customHeight="1"/>
    <row r="9199" ht="16.5" customHeight="1"/>
    <row r="9200" ht="16.5" customHeight="1"/>
    <row r="9201" ht="16.5" customHeight="1"/>
    <row r="9202" ht="16.5" customHeight="1"/>
    <row r="9203" ht="16.5" customHeight="1"/>
    <row r="9204" ht="16.5" customHeight="1"/>
    <row r="9205" ht="16.5" customHeight="1"/>
    <row r="9206" ht="16.5" customHeight="1"/>
    <row r="9207" ht="16.5" customHeight="1"/>
    <row r="9208" ht="16.5" customHeight="1"/>
    <row r="9209" ht="16.5" customHeight="1"/>
    <row r="9210" ht="16.5" customHeight="1"/>
    <row r="9211" ht="16.5" customHeight="1"/>
    <row r="9212" ht="16.5" customHeight="1"/>
    <row r="9213" ht="16.5" customHeight="1"/>
    <row r="9214" ht="16.5" customHeight="1"/>
    <row r="9215" ht="16.5" customHeight="1"/>
    <row r="9216" ht="16.5" customHeight="1"/>
    <row r="9217" ht="16.5" customHeight="1"/>
    <row r="9218" ht="16.5" customHeight="1"/>
    <row r="9219" ht="16.5" customHeight="1"/>
    <row r="9220" ht="16.5" customHeight="1"/>
    <row r="9221" ht="16.5" customHeight="1"/>
    <row r="9222" ht="16.5" customHeight="1"/>
    <row r="9223" ht="16.5" customHeight="1"/>
    <row r="9224" ht="16.5" customHeight="1"/>
    <row r="9225" ht="16.5" customHeight="1"/>
    <row r="9226" ht="16.5" customHeight="1"/>
    <row r="9227" ht="16.5" customHeight="1"/>
    <row r="9228" ht="16.5" customHeight="1"/>
    <row r="9229" ht="16.5" customHeight="1"/>
    <row r="9230" ht="16.5" customHeight="1"/>
    <row r="9231" ht="16.5" customHeight="1"/>
    <row r="9232" ht="16.5" customHeight="1"/>
    <row r="9233" ht="16.5" customHeight="1"/>
    <row r="9234" ht="16.5" customHeight="1"/>
    <row r="9235" ht="16.5" customHeight="1"/>
    <row r="9236" ht="16.5" customHeight="1"/>
    <row r="9237" ht="16.5" customHeight="1"/>
    <row r="9238" ht="16.5" customHeight="1"/>
    <row r="9239" ht="16.5" customHeight="1"/>
    <row r="9240" ht="16.5" customHeight="1"/>
    <row r="9241" ht="16.5" customHeight="1"/>
    <row r="9242" ht="16.5" customHeight="1"/>
    <row r="9243" ht="16.5" customHeight="1"/>
    <row r="9244" ht="16.5" customHeight="1"/>
    <row r="9245" ht="16.5" customHeight="1"/>
    <row r="9246" ht="16.5" customHeight="1"/>
    <row r="9247" ht="16.5" customHeight="1"/>
    <row r="9248" ht="16.5" customHeight="1"/>
    <row r="9249" ht="16.5" customHeight="1"/>
    <row r="9250" ht="16.5" customHeight="1"/>
    <row r="9251" ht="16.5" customHeight="1"/>
    <row r="9252" ht="16.5" customHeight="1"/>
    <row r="9253" ht="16.5" customHeight="1"/>
    <row r="9254" ht="16.5" customHeight="1"/>
    <row r="9255" ht="16.5" customHeight="1"/>
    <row r="9256" ht="16.5" customHeight="1"/>
    <row r="9257" ht="16.5" customHeight="1"/>
    <row r="9258" ht="16.5" customHeight="1"/>
    <row r="9259" ht="16.5" customHeight="1"/>
    <row r="9260" ht="16.5" customHeight="1"/>
    <row r="9261" ht="16.5" customHeight="1"/>
    <row r="9262" ht="16.5" customHeight="1"/>
    <row r="9263" ht="16.5" customHeight="1"/>
    <row r="9264" ht="16.5" customHeight="1"/>
    <row r="9265" ht="16.5" customHeight="1"/>
    <row r="9266" ht="16.5" customHeight="1"/>
    <row r="9267" ht="16.5" customHeight="1"/>
    <row r="9268" ht="16.5" customHeight="1"/>
    <row r="9269" ht="16.5" customHeight="1"/>
    <row r="9270" ht="16.5" customHeight="1"/>
    <row r="9271" ht="16.5" customHeight="1"/>
    <row r="9272" ht="16.5" customHeight="1"/>
    <row r="9273" ht="16.5" customHeight="1"/>
    <row r="9274" ht="16.5" customHeight="1"/>
    <row r="9275" ht="16.5" customHeight="1"/>
    <row r="9276" ht="16.5" customHeight="1"/>
    <row r="9277" ht="16.5" customHeight="1"/>
    <row r="9278" ht="16.5" customHeight="1"/>
    <row r="9279" ht="16.5" customHeight="1"/>
    <row r="9280" ht="16.5" customHeight="1"/>
    <row r="9281" ht="16.5" customHeight="1"/>
    <row r="9282" ht="16.5" customHeight="1"/>
    <row r="9283" ht="16.5" customHeight="1"/>
    <row r="9284" ht="16.5" customHeight="1"/>
    <row r="9285" ht="16.5" customHeight="1"/>
    <row r="9286" ht="16.5" customHeight="1"/>
    <row r="9287" ht="16.5" customHeight="1"/>
    <row r="9288" ht="16.5" customHeight="1"/>
    <row r="9289" ht="16.5" customHeight="1"/>
    <row r="9290" ht="16.5" customHeight="1"/>
    <row r="9291" ht="16.5" customHeight="1"/>
    <row r="9292" ht="16.5" customHeight="1"/>
    <row r="9293" ht="16.5" customHeight="1"/>
    <row r="9294" ht="16.5" customHeight="1"/>
    <row r="9295" ht="16.5" customHeight="1"/>
    <row r="9296" ht="16.5" customHeight="1"/>
    <row r="9297" ht="16.5" customHeight="1"/>
    <row r="9298" ht="16.5" customHeight="1"/>
    <row r="9299" ht="16.5" customHeight="1"/>
    <row r="9300" ht="16.5" customHeight="1"/>
    <row r="9301" ht="16.5" customHeight="1"/>
    <row r="9302" ht="16.5" customHeight="1"/>
    <row r="9303" ht="16.5" customHeight="1"/>
    <row r="9304" ht="16.5" customHeight="1"/>
    <row r="9305" ht="16.5" customHeight="1"/>
    <row r="9306" ht="16.5" customHeight="1"/>
    <row r="9307" ht="16.5" customHeight="1"/>
    <row r="9308" ht="16.5" customHeight="1"/>
    <row r="9309" ht="16.5" customHeight="1"/>
    <row r="9310" ht="16.5" customHeight="1"/>
    <row r="9311" ht="16.5" customHeight="1"/>
    <row r="9312" ht="16.5" customHeight="1"/>
    <row r="9313" ht="16.5" customHeight="1"/>
    <row r="9314" ht="16.5" customHeight="1"/>
    <row r="9315" ht="16.5" customHeight="1"/>
    <row r="9316" ht="16.5" customHeight="1"/>
    <row r="9317" ht="16.5" customHeight="1"/>
    <row r="9318" ht="16.5" customHeight="1"/>
    <row r="9319" ht="16.5" customHeight="1"/>
    <row r="9320" ht="16.5" customHeight="1"/>
    <row r="9321" ht="16.5" customHeight="1"/>
    <row r="9322" ht="16.5" customHeight="1"/>
    <row r="9323" ht="16.5" customHeight="1"/>
    <row r="9324" ht="16.5" customHeight="1"/>
    <row r="9325" ht="16.5" customHeight="1"/>
    <row r="9326" ht="16.5" customHeight="1"/>
    <row r="9327" ht="16.5" customHeight="1"/>
    <row r="9328" ht="16.5" customHeight="1"/>
    <row r="9329" ht="16.5" customHeight="1"/>
    <row r="9330" ht="16.5" customHeight="1"/>
    <row r="9331" ht="16.5" customHeight="1"/>
    <row r="9332" ht="16.5" customHeight="1"/>
    <row r="9333" ht="16.5" customHeight="1"/>
    <row r="9334" ht="16.5" customHeight="1"/>
    <row r="9335" ht="16.5" customHeight="1"/>
    <row r="9336" ht="16.5" customHeight="1"/>
    <row r="9337" ht="16.5" customHeight="1"/>
    <row r="9338" ht="16.5" customHeight="1"/>
    <row r="9339" ht="16.5" customHeight="1"/>
    <row r="9340" ht="16.5" customHeight="1"/>
    <row r="9341" ht="16.5" customHeight="1"/>
    <row r="9342" ht="16.5" customHeight="1"/>
    <row r="9343" ht="16.5" customHeight="1"/>
    <row r="9344" ht="16.5" customHeight="1"/>
    <row r="9345" ht="16.5" customHeight="1"/>
    <row r="9346" ht="16.5" customHeight="1"/>
    <row r="9347" ht="16.5" customHeight="1"/>
    <row r="9348" ht="16.5" customHeight="1"/>
    <row r="9349" ht="16.5" customHeight="1"/>
    <row r="9350" ht="16.5" customHeight="1"/>
    <row r="9351" ht="16.5" customHeight="1"/>
    <row r="9352" ht="16.5" customHeight="1"/>
    <row r="9353" ht="16.5" customHeight="1"/>
    <row r="9354" ht="16.5" customHeight="1"/>
    <row r="9355" ht="16.5" customHeight="1"/>
    <row r="9356" ht="16.5" customHeight="1"/>
    <row r="9357" ht="16.5" customHeight="1"/>
    <row r="9358" ht="16.5" customHeight="1"/>
    <row r="9359" ht="16.5" customHeight="1"/>
    <row r="9360" ht="16.5" customHeight="1"/>
    <row r="9361" ht="16.5" customHeight="1"/>
    <row r="9362" ht="16.5" customHeight="1"/>
    <row r="9363" ht="16.5" customHeight="1"/>
    <row r="9364" ht="16.5" customHeight="1"/>
    <row r="9365" ht="16.5" customHeight="1"/>
    <row r="9366" ht="16.5" customHeight="1"/>
    <row r="9367" ht="16.5" customHeight="1"/>
    <row r="9368" ht="16.5" customHeight="1"/>
    <row r="9369" ht="16.5" customHeight="1"/>
    <row r="9370" ht="16.5" customHeight="1"/>
    <row r="9371" ht="16.5" customHeight="1"/>
    <row r="9372" ht="16.5" customHeight="1"/>
    <row r="9373" ht="16.5" customHeight="1"/>
    <row r="9374" ht="16.5" customHeight="1"/>
    <row r="9375" ht="16.5" customHeight="1"/>
    <row r="9376" ht="16.5" customHeight="1"/>
    <row r="9377" ht="16.5" customHeight="1"/>
    <row r="9378" ht="16.5" customHeight="1"/>
    <row r="9379" ht="16.5" customHeight="1"/>
    <row r="9380" ht="16.5" customHeight="1"/>
    <row r="9381" ht="16.5" customHeight="1"/>
    <row r="9382" ht="16.5" customHeight="1"/>
    <row r="9383" ht="16.5" customHeight="1"/>
    <row r="9384" ht="16.5" customHeight="1"/>
    <row r="9385" ht="16.5" customHeight="1"/>
    <row r="9386" ht="16.5" customHeight="1"/>
    <row r="9387" ht="16.5" customHeight="1"/>
    <row r="9388" ht="16.5" customHeight="1"/>
    <row r="9389" ht="16.5" customHeight="1"/>
    <row r="9390" ht="16.5" customHeight="1"/>
    <row r="9391" ht="16.5" customHeight="1"/>
    <row r="9392" ht="16.5" customHeight="1"/>
    <row r="9393" ht="16.5" customHeight="1"/>
    <row r="9394" ht="16.5" customHeight="1"/>
    <row r="9395" ht="16.5" customHeight="1"/>
    <row r="9396" ht="16.5" customHeight="1"/>
    <row r="9397" ht="16.5" customHeight="1"/>
    <row r="9398" ht="16.5" customHeight="1"/>
    <row r="9399" ht="16.5" customHeight="1"/>
    <row r="9400" ht="16.5" customHeight="1"/>
    <row r="9401" ht="16.5" customHeight="1"/>
    <row r="9402" ht="16.5" customHeight="1"/>
    <row r="9403" ht="16.5" customHeight="1"/>
    <row r="9404" ht="16.5" customHeight="1"/>
    <row r="9405" ht="16.5" customHeight="1"/>
    <row r="9406" ht="16.5" customHeight="1"/>
    <row r="9407" ht="16.5" customHeight="1"/>
    <row r="9408" ht="16.5" customHeight="1"/>
    <row r="9409" ht="16.5" customHeight="1"/>
    <row r="9410" ht="16.5" customHeight="1"/>
    <row r="9411" ht="16.5" customHeight="1"/>
    <row r="9412" ht="16.5" customHeight="1"/>
    <row r="9413" ht="16.5" customHeight="1"/>
    <row r="9414" ht="16.5" customHeight="1"/>
    <row r="9415" ht="16.5" customHeight="1"/>
    <row r="9416" ht="16.5" customHeight="1"/>
    <row r="9417" ht="16.5" customHeight="1"/>
    <row r="9418" ht="16.5" customHeight="1"/>
    <row r="9419" ht="16.5" customHeight="1"/>
    <row r="9420" ht="16.5" customHeight="1"/>
    <row r="9421" ht="16.5" customHeight="1"/>
    <row r="9422" ht="16.5" customHeight="1"/>
    <row r="9423" ht="16.5" customHeight="1"/>
    <row r="9424" ht="16.5" customHeight="1"/>
    <row r="9425" ht="16.5" customHeight="1"/>
    <row r="9426" ht="16.5" customHeight="1"/>
    <row r="9427" ht="16.5" customHeight="1"/>
    <row r="9428" ht="16.5" customHeight="1"/>
    <row r="9429" ht="16.5" customHeight="1"/>
    <row r="9430" ht="16.5" customHeight="1"/>
    <row r="9431" ht="16.5" customHeight="1"/>
    <row r="9432" ht="16.5" customHeight="1"/>
    <row r="9433" ht="16.5" customHeight="1"/>
    <row r="9434" ht="16.5" customHeight="1"/>
    <row r="9435" ht="16.5" customHeight="1"/>
    <row r="9436" ht="16.5" customHeight="1"/>
    <row r="9437" ht="16.5" customHeight="1"/>
    <row r="9438" ht="16.5" customHeight="1"/>
    <row r="9439" ht="16.5" customHeight="1"/>
    <row r="9440" ht="16.5" customHeight="1"/>
    <row r="9441" ht="16.5" customHeight="1"/>
    <row r="9442" ht="16.5" customHeight="1"/>
    <row r="9443" ht="16.5" customHeight="1"/>
    <row r="9444" ht="16.5" customHeight="1"/>
    <row r="9445" ht="16.5" customHeight="1"/>
    <row r="9446" ht="16.5" customHeight="1"/>
    <row r="9447" ht="16.5" customHeight="1"/>
    <row r="9448" ht="16.5" customHeight="1"/>
    <row r="9449" ht="16.5" customHeight="1"/>
    <row r="9450" ht="16.5" customHeight="1"/>
    <row r="9451" ht="16.5" customHeight="1"/>
    <row r="9452" ht="16.5" customHeight="1"/>
    <row r="9453" ht="16.5" customHeight="1"/>
    <row r="9454" ht="16.5" customHeight="1"/>
    <row r="9455" ht="16.5" customHeight="1"/>
    <row r="9456" ht="16.5" customHeight="1"/>
    <row r="9457" ht="16.5" customHeight="1"/>
    <row r="9458" ht="16.5" customHeight="1"/>
    <row r="9459" ht="16.5" customHeight="1"/>
    <row r="9460" ht="16.5" customHeight="1"/>
    <row r="9461" ht="16.5" customHeight="1"/>
    <row r="9462" ht="16.5" customHeight="1"/>
    <row r="9463" ht="16.5" customHeight="1"/>
    <row r="9464" ht="16.5" customHeight="1"/>
    <row r="9465" ht="16.5" customHeight="1"/>
    <row r="9466" ht="16.5" customHeight="1"/>
    <row r="9467" ht="16.5" customHeight="1"/>
    <row r="9468" ht="16.5" customHeight="1"/>
    <row r="9469" ht="16.5" customHeight="1"/>
    <row r="9470" ht="16.5" customHeight="1"/>
    <row r="9471" ht="16.5" customHeight="1"/>
    <row r="9472" ht="16.5" customHeight="1"/>
  </sheetData>
  <printOptions gridLines="1" gridLinesSet="0"/>
  <pageMargins left="0.75" right="0.15" top="0.75" bottom="0.69" header="0.5" footer="0.5"/>
  <pageSetup paperSize="9" scale="96" orientation="portrait" horizontalDpi="180" verticalDpi="180" r:id="rId1"/>
  <headerFooter alignWithMargins="0">
    <oddFooter>&amp;LEstimated by&amp;CChecked by&amp;RApproved by</oddFooter>
  </headerFooter>
  <rowBreaks count="6" manualBreakCount="6">
    <brk id="51" max="16383" man="1"/>
    <brk id="103" max="16383" man="1"/>
    <brk id="153" max="16383" man="1"/>
    <brk id="205" max="16383" man="1"/>
    <brk id="256" max="10" man="1"/>
    <brk id="308" max="10" man="1"/>
  </rowBreaks>
  <colBreaks count="1" manualBreakCount="1">
    <brk id="11" max="1048575" man="1"/>
  </col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709"/>
  <sheetViews>
    <sheetView workbookViewId="0">
      <selection sqref="A1:J1"/>
    </sheetView>
  </sheetViews>
  <sheetFormatPr defaultColWidth="8.85546875" defaultRowHeight="12.75"/>
  <cols>
    <col min="1" max="1" width="3.7109375" style="536" customWidth="1"/>
    <col min="2" max="2" width="27.7109375" style="536" customWidth="1"/>
    <col min="3" max="3" width="5.42578125" style="536" customWidth="1"/>
    <col min="4" max="4" width="7.140625" style="536" customWidth="1"/>
    <col min="5" max="5" width="6.42578125" style="536" customWidth="1"/>
    <col min="6" max="6" width="5.7109375" style="536" customWidth="1"/>
    <col min="7" max="7" width="7.28515625" style="536" customWidth="1"/>
    <col min="8" max="8" width="5.140625" style="536" customWidth="1"/>
    <col min="9" max="9" width="8.7109375" style="536" customWidth="1"/>
    <col min="10" max="10" width="10.7109375" style="536" customWidth="1"/>
    <col min="11" max="16384" width="8.85546875" style="536"/>
  </cols>
  <sheetData>
    <row r="1" spans="1:11" ht="23.25">
      <c r="A1" s="3022" t="s">
        <v>1692</v>
      </c>
      <c r="B1" s="3022"/>
      <c r="C1" s="3022"/>
      <c r="D1" s="3022"/>
      <c r="E1" s="3022"/>
      <c r="F1" s="3022"/>
      <c r="G1" s="3022"/>
      <c r="H1" s="3022"/>
      <c r="I1" s="3022"/>
      <c r="J1" s="3022"/>
    </row>
    <row r="2" spans="1:11">
      <c r="A2" s="1132"/>
      <c r="B2" s="1132"/>
      <c r="C2" s="1132"/>
      <c r="D2" s="1132"/>
      <c r="E2" s="1132"/>
      <c r="F2" s="1132"/>
      <c r="G2" s="1132"/>
      <c r="H2" s="1132"/>
      <c r="I2" s="1042"/>
      <c r="J2" s="1041"/>
    </row>
    <row r="3" spans="1:11" ht="14.25" customHeight="1">
      <c r="A3" s="1133" t="s">
        <v>961</v>
      </c>
      <c r="B3" s="1134" t="s">
        <v>1423</v>
      </c>
      <c r="C3" s="1134" t="s">
        <v>1087</v>
      </c>
      <c r="D3" s="1134" t="s">
        <v>22</v>
      </c>
      <c r="E3" s="1134" t="s">
        <v>23</v>
      </c>
      <c r="F3" s="1134" t="s">
        <v>24</v>
      </c>
      <c r="G3" s="1134" t="s">
        <v>964</v>
      </c>
      <c r="H3" s="1134" t="s">
        <v>1035</v>
      </c>
      <c r="I3" s="1135" t="s">
        <v>97</v>
      </c>
      <c r="J3" s="1136" t="s">
        <v>52</v>
      </c>
    </row>
    <row r="4" spans="1:11" ht="18.75" customHeight="1">
      <c r="A4" s="1137">
        <v>1</v>
      </c>
      <c r="B4" s="1138" t="s">
        <v>129</v>
      </c>
      <c r="C4" s="1139"/>
      <c r="D4" s="1140">
        <v>1.5</v>
      </c>
      <c r="E4" s="1140">
        <v>1.5</v>
      </c>
      <c r="F4" s="1140"/>
      <c r="G4" s="1141">
        <f>D4*E4</f>
        <v>2.25</v>
      </c>
      <c r="H4" s="1140"/>
      <c r="I4" s="1142">
        <f>Rates!F7</f>
        <v>149.5</v>
      </c>
      <c r="J4" s="1143">
        <f>I4*G4</f>
        <v>336.375</v>
      </c>
    </row>
    <row r="5" spans="1:11">
      <c r="A5" s="1144">
        <v>2</v>
      </c>
      <c r="B5" s="1138" t="s">
        <v>1693</v>
      </c>
      <c r="C5" s="1139"/>
      <c r="D5" s="920"/>
      <c r="E5" s="920"/>
      <c r="F5" s="920"/>
      <c r="G5" s="920"/>
      <c r="H5" s="920"/>
      <c r="I5" s="920"/>
      <c r="J5" s="1143"/>
    </row>
    <row r="6" spans="1:11">
      <c r="A6" s="1144"/>
      <c r="B6" s="1138"/>
      <c r="C6" s="1139">
        <v>1</v>
      </c>
      <c r="D6" s="1140">
        <v>1</v>
      </c>
      <c r="E6" s="1140">
        <v>1</v>
      </c>
      <c r="F6" s="1140">
        <v>1.1000000000000001</v>
      </c>
      <c r="G6" s="1140">
        <f>C6*D6*E6*F6</f>
        <v>1.1000000000000001</v>
      </c>
      <c r="H6" s="1145" t="s">
        <v>29</v>
      </c>
      <c r="I6" s="1142">
        <f>Rates!F9</f>
        <v>1480.63</v>
      </c>
      <c r="J6" s="1143">
        <f>I6*G6</f>
        <v>1628.6930000000002</v>
      </c>
    </row>
    <row r="7" spans="1:11">
      <c r="A7" s="1144"/>
      <c r="B7" s="1138"/>
      <c r="C7" s="1139"/>
      <c r="D7" s="920"/>
      <c r="E7" s="920"/>
      <c r="F7" s="920"/>
      <c r="G7" s="920"/>
      <c r="H7" s="920"/>
      <c r="I7" s="920"/>
      <c r="J7" s="1143"/>
    </row>
    <row r="8" spans="1:11">
      <c r="A8" s="1144">
        <v>3</v>
      </c>
      <c r="B8" s="1138" t="s">
        <v>1694</v>
      </c>
      <c r="C8" s="1139">
        <v>1</v>
      </c>
      <c r="D8" s="1140">
        <v>1</v>
      </c>
      <c r="E8" s="1140">
        <v>1</v>
      </c>
      <c r="F8" s="1140">
        <v>0.4</v>
      </c>
      <c r="G8" s="1140">
        <f>C8*D8*E8*F8</f>
        <v>0.4</v>
      </c>
      <c r="H8" s="1145" t="s">
        <v>29</v>
      </c>
      <c r="I8" s="1142">
        <f>Rates!F19</f>
        <v>5523.35</v>
      </c>
      <c r="J8" s="1143">
        <f>I8*G8</f>
        <v>2209.34</v>
      </c>
    </row>
    <row r="9" spans="1:11">
      <c r="A9" s="1144"/>
      <c r="B9" s="920"/>
      <c r="C9" s="1139"/>
      <c r="D9" s="1140"/>
      <c r="E9" s="1140"/>
      <c r="F9" s="1140"/>
      <c r="G9" s="1140"/>
      <c r="H9" s="1140"/>
      <c r="I9" s="920"/>
      <c r="J9" s="1143"/>
    </row>
    <row r="10" spans="1:11">
      <c r="A10" s="1144">
        <v>4</v>
      </c>
      <c r="B10" s="1138" t="s">
        <v>1466</v>
      </c>
      <c r="C10" s="1139">
        <v>1</v>
      </c>
      <c r="D10" s="1140">
        <v>2.6</v>
      </c>
      <c r="E10" s="1140">
        <v>0.35</v>
      </c>
      <c r="F10" s="1140">
        <v>0.6</v>
      </c>
      <c r="G10" s="1140">
        <f>C10*D10*E10*F10</f>
        <v>0.54599999999999993</v>
      </c>
      <c r="H10" s="1145" t="s">
        <v>29</v>
      </c>
      <c r="I10" s="1142">
        <f>Rates!F25</f>
        <v>14917.39</v>
      </c>
      <c r="J10" s="1143">
        <f>I10*G10</f>
        <v>8144.8949399999983</v>
      </c>
    </row>
    <row r="11" spans="1:11" ht="15.75" customHeight="1">
      <c r="A11" s="1144">
        <v>5</v>
      </c>
      <c r="B11" s="1138" t="s">
        <v>1572</v>
      </c>
      <c r="C11" s="1139"/>
      <c r="D11" s="1140"/>
      <c r="E11" s="1140"/>
      <c r="F11" s="1140"/>
      <c r="G11" s="1140"/>
      <c r="H11" s="1140"/>
      <c r="I11" s="920"/>
      <c r="J11" s="1143"/>
    </row>
    <row r="12" spans="1:11">
      <c r="A12" s="1144"/>
      <c r="B12" s="1146" t="s">
        <v>1695</v>
      </c>
      <c r="C12" s="1139">
        <v>1</v>
      </c>
      <c r="D12" s="1140">
        <v>1</v>
      </c>
      <c r="E12" s="1140">
        <v>1</v>
      </c>
      <c r="F12" s="1140">
        <v>0.08</v>
      </c>
      <c r="G12" s="1147">
        <f>C12*D12*E12*F12</f>
        <v>0.08</v>
      </c>
      <c r="H12" s="1140"/>
      <c r="I12" s="920"/>
      <c r="J12" s="1143"/>
    </row>
    <row r="13" spans="1:11">
      <c r="A13" s="1144"/>
      <c r="B13" s="1146" t="s">
        <v>1640</v>
      </c>
      <c r="C13" s="1078" t="s">
        <v>1626</v>
      </c>
      <c r="D13" s="1140">
        <v>0.23</v>
      </c>
      <c r="E13" s="1140">
        <v>0.23</v>
      </c>
      <c r="F13" s="1140">
        <v>0.08</v>
      </c>
      <c r="G13" s="1147">
        <f>-D13*E13*F13*PI()</f>
        <v>-1.3295220109992007E-2</v>
      </c>
      <c r="H13" s="1140"/>
      <c r="I13" s="920"/>
      <c r="J13" s="1143"/>
      <c r="K13" s="1148"/>
    </row>
    <row r="14" spans="1:11">
      <c r="A14" s="1144"/>
      <c r="B14" s="1146" t="s">
        <v>1696</v>
      </c>
      <c r="C14" s="1078" t="s">
        <v>1626</v>
      </c>
      <c r="D14" s="1140">
        <v>0.23</v>
      </c>
      <c r="E14" s="1140">
        <v>0.23</v>
      </c>
      <c r="F14" s="1140">
        <v>0.05</v>
      </c>
      <c r="G14" s="1147">
        <f>D14*E14*F14*PI()</f>
        <v>8.309512568745004E-3</v>
      </c>
      <c r="H14" s="1140"/>
      <c r="I14" s="920"/>
      <c r="J14" s="1143"/>
      <c r="K14" s="1148"/>
    </row>
    <row r="15" spans="1:11">
      <c r="A15" s="1144"/>
      <c r="B15" s="1146" t="s">
        <v>1108</v>
      </c>
      <c r="C15" s="1139"/>
      <c r="D15" s="1140"/>
      <c r="E15" s="1140"/>
      <c r="F15" s="1140"/>
      <c r="G15" s="1147">
        <f>SUM(G12:G14)</f>
        <v>7.501429245875299E-2</v>
      </c>
      <c r="H15" s="1145" t="s">
        <v>29</v>
      </c>
      <c r="I15" s="1142">
        <f>Rates!F32</f>
        <v>16022.87</v>
      </c>
      <c r="J15" s="1143">
        <f>I15*G15</f>
        <v>1201.9442562085796</v>
      </c>
    </row>
    <row r="16" spans="1:11">
      <c r="A16" s="1144">
        <v>6</v>
      </c>
      <c r="B16" s="1138" t="s">
        <v>1697</v>
      </c>
      <c r="C16" s="1139">
        <v>1</v>
      </c>
      <c r="D16" s="1140">
        <v>4</v>
      </c>
      <c r="E16" s="1149" t="s">
        <v>44</v>
      </c>
      <c r="F16" s="1140">
        <v>0.08</v>
      </c>
      <c r="G16" s="1140">
        <f>C16*D16*F16</f>
        <v>0.32</v>
      </c>
      <c r="H16" s="1145" t="s">
        <v>47</v>
      </c>
      <c r="I16" s="1142">
        <f>Rates!F40</f>
        <v>1322.68</v>
      </c>
      <c r="J16" s="1143">
        <f>I16*G16</f>
        <v>423.25760000000002</v>
      </c>
    </row>
    <row r="17" spans="1:10" ht="16.5" customHeight="1">
      <c r="A17" s="1144">
        <v>7</v>
      </c>
      <c r="B17" s="1150" t="s">
        <v>1698</v>
      </c>
      <c r="C17" s="1139">
        <v>1</v>
      </c>
      <c r="D17" s="1140">
        <v>1</v>
      </c>
      <c r="E17" s="1140">
        <v>1</v>
      </c>
      <c r="F17" s="1140">
        <v>0.25</v>
      </c>
      <c r="G17" s="1140">
        <f>C17*D17*E17*F17</f>
        <v>0.25</v>
      </c>
      <c r="H17" s="1145" t="s">
        <v>29</v>
      </c>
      <c r="I17" s="1142">
        <f>Rates!F19</f>
        <v>5523.35</v>
      </c>
      <c r="J17" s="1143">
        <f>I17*G17</f>
        <v>1380.8375000000001</v>
      </c>
    </row>
    <row r="18" spans="1:10" ht="8.25" customHeight="1">
      <c r="A18" s="1144"/>
      <c r="B18" s="920"/>
      <c r="C18" s="1139"/>
      <c r="D18" s="1140"/>
      <c r="E18" s="1140"/>
      <c r="F18" s="1140"/>
      <c r="G18" s="1140"/>
      <c r="H18" s="1140"/>
      <c r="I18" s="920"/>
      <c r="J18" s="1143"/>
    </row>
    <row r="19" spans="1:10">
      <c r="A19" s="1144">
        <v>8</v>
      </c>
      <c r="B19" s="1138" t="s">
        <v>1699</v>
      </c>
      <c r="C19" s="1139"/>
      <c r="D19" s="1139"/>
      <c r="E19" s="1139"/>
      <c r="F19" s="1139"/>
      <c r="G19" s="1139">
        <v>1</v>
      </c>
      <c r="H19" s="1145" t="s">
        <v>949</v>
      </c>
      <c r="I19" s="920">
        <f>MR!$I$43*1.15</f>
        <v>1609.5975000000001</v>
      </c>
      <c r="J19" s="1143">
        <f>I19*G19</f>
        <v>1609.5975000000001</v>
      </c>
    </row>
    <row r="20" spans="1:10" ht="15.75" customHeight="1">
      <c r="A20" s="1144">
        <v>9</v>
      </c>
      <c r="B20" s="1138" t="s">
        <v>1700</v>
      </c>
      <c r="C20" s="1139"/>
      <c r="D20" s="1140"/>
      <c r="E20" s="1140"/>
      <c r="F20" s="1140"/>
      <c r="G20" s="1151">
        <v>1</v>
      </c>
      <c r="H20" s="1140" t="s">
        <v>1154</v>
      </c>
      <c r="I20" s="920">
        <f>Rates!F105</f>
        <v>600</v>
      </c>
      <c r="J20" s="1143">
        <f>I20</f>
        <v>600</v>
      </c>
    </row>
    <row r="21" spans="1:10">
      <c r="A21" s="1152"/>
      <c r="B21" s="1153"/>
      <c r="C21" s="1154"/>
      <c r="D21" s="1155"/>
      <c r="E21" s="1155"/>
      <c r="F21" s="1155"/>
      <c r="G21" s="1155"/>
      <c r="H21" s="1155"/>
      <c r="I21" s="1153"/>
      <c r="J21" s="1156"/>
    </row>
    <row r="22" spans="1:10">
      <c r="A22" s="1047"/>
      <c r="B22" s="1048" t="s">
        <v>1403</v>
      </c>
      <c r="C22" s="1049"/>
      <c r="D22" s="1049"/>
      <c r="E22" s="1049"/>
      <c r="F22" s="1049"/>
      <c r="G22" s="1049"/>
      <c r="H22" s="1050"/>
      <c r="I22" s="1051"/>
      <c r="J22" s="1052">
        <f>SUM(J4:J20)</f>
        <v>17534.939796208579</v>
      </c>
    </row>
    <row r="23" spans="1:10">
      <c r="A23" s="922"/>
      <c r="B23" s="861" t="s">
        <v>1535</v>
      </c>
      <c r="C23" s="923"/>
      <c r="D23" s="923"/>
      <c r="E23" s="923"/>
      <c r="F23" s="923"/>
      <c r="G23" s="923"/>
      <c r="H23" s="924"/>
      <c r="I23" s="925">
        <f>'Entry for Rates'!$F$114</f>
        <v>13</v>
      </c>
      <c r="J23" s="921">
        <f>I23*J22/100</f>
        <v>2279.5421735071154</v>
      </c>
    </row>
    <row r="24" spans="1:10">
      <c r="A24" s="855"/>
      <c r="B24" s="926" t="s">
        <v>1612</v>
      </c>
      <c r="C24" s="927"/>
      <c r="D24" s="928"/>
      <c r="E24" s="928"/>
      <c r="F24" s="928"/>
      <c r="G24" s="928"/>
      <c r="H24" s="928"/>
      <c r="I24" s="926" t="s">
        <v>107</v>
      </c>
      <c r="J24" s="1053">
        <f>+J23+J22</f>
        <v>19814.481969715693</v>
      </c>
    </row>
    <row r="25" spans="1:10">
      <c r="A25" s="746"/>
      <c r="B25" s="754"/>
      <c r="C25" s="1157"/>
      <c r="D25" s="1158"/>
      <c r="E25" s="1158"/>
      <c r="F25" s="1158"/>
      <c r="G25" s="1158"/>
      <c r="H25" s="1158"/>
      <c r="I25" s="754"/>
      <c r="J25" s="1159"/>
    </row>
    <row r="26" spans="1:10" ht="18.75" customHeight="1">
      <c r="A26" s="3022" t="s">
        <v>1624</v>
      </c>
      <c r="B26" s="3022"/>
      <c r="C26" s="3022"/>
      <c r="D26" s="3022"/>
      <c r="E26" s="3022"/>
      <c r="F26" s="3022"/>
      <c r="G26" s="3022"/>
      <c r="H26" s="3022"/>
      <c r="I26" s="3022"/>
      <c r="J26" s="3022"/>
    </row>
    <row r="27" spans="1:10" ht="13.5" customHeight="1">
      <c r="A27" s="1160">
        <f>'Entry for Rates'!F4</f>
        <v>0</v>
      </c>
      <c r="B27" s="1161"/>
      <c r="C27" s="1162"/>
      <c r="D27" s="1162"/>
      <c r="E27" s="1162"/>
      <c r="F27" s="1162"/>
      <c r="G27" s="1162"/>
      <c r="H27" s="1162"/>
      <c r="I27" s="1162"/>
      <c r="J27" s="1163"/>
    </row>
    <row r="28" spans="1:10">
      <c r="A28" s="1042"/>
      <c r="B28" s="1164" t="s">
        <v>1701</v>
      </c>
      <c r="C28" s="1165">
        <v>1</v>
      </c>
      <c r="D28" s="1166" t="s">
        <v>1702</v>
      </c>
      <c r="E28" s="1167">
        <v>0.6</v>
      </c>
      <c r="F28" s="1166" t="s">
        <v>965</v>
      </c>
      <c r="G28" s="1042"/>
      <c r="H28" s="1042"/>
      <c r="I28" s="1042"/>
      <c r="J28" s="1168"/>
    </row>
    <row r="29" spans="1:10" ht="6.75" customHeight="1">
      <c r="A29" s="1042"/>
      <c r="B29" s="1042"/>
      <c r="C29" s="1169"/>
      <c r="D29" s="1169"/>
      <c r="E29" s="1132"/>
      <c r="F29" s="1132"/>
      <c r="G29" s="1132"/>
      <c r="H29" s="1132"/>
      <c r="I29" s="1042"/>
      <c r="J29" s="1168"/>
    </row>
    <row r="30" spans="1:10">
      <c r="A30" s="1133" t="s">
        <v>961</v>
      </c>
      <c r="B30" s="1134" t="s">
        <v>1423</v>
      </c>
      <c r="C30" s="1134" t="s">
        <v>1087</v>
      </c>
      <c r="D30" s="1134" t="s">
        <v>22</v>
      </c>
      <c r="E30" s="1134" t="s">
        <v>23</v>
      </c>
      <c r="F30" s="1134" t="s">
        <v>24</v>
      </c>
      <c r="G30" s="1134" t="s">
        <v>964</v>
      </c>
      <c r="H30" s="1134" t="s">
        <v>1035</v>
      </c>
      <c r="I30" s="1135" t="s">
        <v>97</v>
      </c>
      <c r="J30" s="1136" t="s">
        <v>52</v>
      </c>
    </row>
    <row r="31" spans="1:10" ht="16.5" customHeight="1">
      <c r="A31" s="1137">
        <v>1</v>
      </c>
      <c r="B31" s="1138" t="s">
        <v>26</v>
      </c>
      <c r="C31" s="1170"/>
      <c r="D31" s="1140">
        <v>2</v>
      </c>
      <c r="E31" s="1140">
        <v>2</v>
      </c>
      <c r="F31" s="1140"/>
      <c r="G31" s="1145">
        <f>D31*E31</f>
        <v>4</v>
      </c>
      <c r="H31" s="1140"/>
      <c r="I31" s="1142">
        <f>Rates!F7</f>
        <v>149.5</v>
      </c>
      <c r="J31" s="1143">
        <f>I31*G31</f>
        <v>598</v>
      </c>
    </row>
    <row r="32" spans="1:10" ht="6" customHeight="1">
      <c r="A32" s="1144"/>
      <c r="B32" s="920"/>
      <c r="C32" s="1170"/>
      <c r="D32" s="920"/>
      <c r="E32" s="920"/>
      <c r="F32" s="920"/>
      <c r="G32" s="920"/>
      <c r="H32" s="920"/>
      <c r="I32" s="1142"/>
      <c r="J32" s="1143"/>
    </row>
    <row r="33" spans="1:10">
      <c r="A33" s="1144">
        <v>2</v>
      </c>
      <c r="B33" s="1138" t="s">
        <v>1703</v>
      </c>
      <c r="C33" s="1170"/>
      <c r="D33" s="1140"/>
      <c r="E33" s="1140"/>
      <c r="F33" s="1140"/>
      <c r="G33" s="1140"/>
      <c r="H33" s="1145"/>
      <c r="I33" s="1142"/>
      <c r="J33" s="1143"/>
    </row>
    <row r="34" spans="1:10">
      <c r="A34" s="1144"/>
      <c r="B34" s="1138"/>
      <c r="C34" s="1170">
        <v>1</v>
      </c>
      <c r="D34" s="1140">
        <f>$C$28+0.35*2</f>
        <v>1.7</v>
      </c>
      <c r="E34" s="1140">
        <f>$E$28+0.35*2</f>
        <v>1.2999999999999998</v>
      </c>
      <c r="F34" s="1140">
        <v>1.3</v>
      </c>
      <c r="G34" s="1140">
        <f>C34*D34*E34*F34</f>
        <v>2.8729999999999993</v>
      </c>
      <c r="H34" s="1145" t="s">
        <v>29</v>
      </c>
      <c r="I34" s="1142">
        <f>Rates!F9</f>
        <v>1480.63</v>
      </c>
      <c r="J34" s="1143">
        <f>I34*G34</f>
        <v>4253.8499899999997</v>
      </c>
    </row>
    <row r="35" spans="1:10">
      <c r="A35" s="1144"/>
      <c r="B35" s="920"/>
      <c r="C35" s="1170"/>
      <c r="D35" s="1140"/>
      <c r="E35" s="1140"/>
      <c r="F35" s="1140"/>
      <c r="G35" s="1140"/>
      <c r="H35" s="1140"/>
      <c r="I35" s="1142"/>
      <c r="J35" s="1143"/>
    </row>
    <row r="36" spans="1:10">
      <c r="A36" s="1144">
        <v>3</v>
      </c>
      <c r="B36" s="1138" t="s">
        <v>1494</v>
      </c>
      <c r="C36" s="1170">
        <v>1</v>
      </c>
      <c r="D36" s="1140">
        <f>$C$28+0.35*2</f>
        <v>1.7</v>
      </c>
      <c r="E36" s="1140">
        <f>$E$28+0.35*2</f>
        <v>1.2999999999999998</v>
      </c>
      <c r="F36" s="1140">
        <v>0.15</v>
      </c>
      <c r="G36" s="1140">
        <f>C36*D36*E36*F36</f>
        <v>0.33149999999999991</v>
      </c>
      <c r="H36" s="1145" t="s">
        <v>29</v>
      </c>
      <c r="I36" s="1142">
        <f>Rates!F19</f>
        <v>5523.35</v>
      </c>
      <c r="J36" s="1143">
        <f>I36*G36</f>
        <v>1830.9905249999997</v>
      </c>
    </row>
    <row r="37" spans="1:10" ht="6.75" customHeight="1">
      <c r="A37" s="1144"/>
      <c r="B37" s="920"/>
      <c r="C37" s="1170"/>
      <c r="D37" s="1140"/>
      <c r="E37" s="1140"/>
      <c r="F37" s="1140"/>
      <c r="G37" s="1140"/>
      <c r="H37" s="1140"/>
      <c r="I37" s="1142"/>
      <c r="J37" s="1143"/>
    </row>
    <row r="38" spans="1:10">
      <c r="A38" s="1144">
        <v>4</v>
      </c>
      <c r="B38" s="1138" t="s">
        <v>1704</v>
      </c>
      <c r="C38" s="1170"/>
      <c r="D38" s="1140">
        <f>($C$28+2*0.35)*2+$E$28*2</f>
        <v>4.5999999999999996</v>
      </c>
      <c r="E38" s="1140">
        <v>0.35</v>
      </c>
      <c r="F38" s="1140">
        <v>1</v>
      </c>
      <c r="G38" s="1140">
        <f>D38*E38*F38</f>
        <v>1.6099999999999999</v>
      </c>
      <c r="H38" s="1145" t="s">
        <v>29</v>
      </c>
      <c r="I38" s="1142">
        <f>Rates!F25</f>
        <v>14917.39</v>
      </c>
      <c r="J38" s="1143">
        <f>I38*G38</f>
        <v>24016.997899999998</v>
      </c>
    </row>
    <row r="39" spans="1:10" ht="7.5" customHeight="1">
      <c r="A39" s="1144"/>
      <c r="B39" s="1146"/>
      <c r="C39" s="1170"/>
      <c r="D39" s="1140"/>
      <c r="E39" s="1140"/>
      <c r="F39" s="1140"/>
      <c r="G39" s="1140"/>
      <c r="H39" s="1145"/>
      <c r="I39" s="1142"/>
      <c r="J39" s="1143"/>
    </row>
    <row r="40" spans="1:10">
      <c r="A40" s="1144">
        <v>5</v>
      </c>
      <c r="B40" s="1138" t="s">
        <v>1572</v>
      </c>
      <c r="C40" s="1170"/>
      <c r="D40" s="1140"/>
      <c r="E40" s="1140"/>
      <c r="F40" s="1140"/>
      <c r="G40" s="1140"/>
      <c r="H40" s="1140"/>
      <c r="I40" s="1142"/>
      <c r="J40" s="1143"/>
    </row>
    <row r="41" spans="1:10">
      <c r="A41" s="1144"/>
      <c r="B41" s="1146" t="s">
        <v>1510</v>
      </c>
      <c r="C41" s="1170">
        <v>1</v>
      </c>
      <c r="D41" s="1140">
        <f>D36</f>
        <v>1.7</v>
      </c>
      <c r="E41" s="1140">
        <f>E36</f>
        <v>1.2999999999999998</v>
      </c>
      <c r="F41" s="1147">
        <v>0.1</v>
      </c>
      <c r="G41" s="1147">
        <f>ROUND(C41*D41*E41*F41,2)</f>
        <v>0.22</v>
      </c>
      <c r="H41" s="1140"/>
      <c r="I41" s="1142"/>
      <c r="J41" s="1143"/>
    </row>
    <row r="42" spans="1:10">
      <c r="A42" s="1144"/>
      <c r="B42" s="1146" t="s">
        <v>1705</v>
      </c>
      <c r="C42" s="1078"/>
      <c r="D42" s="1140">
        <v>0.6</v>
      </c>
      <c r="E42" s="1140">
        <v>0.6</v>
      </c>
      <c r="F42" s="1147">
        <f>F41</f>
        <v>0.1</v>
      </c>
      <c r="G42" s="1147">
        <f>-D42*E42*F42*PI()</f>
        <v>-0.11309733552923254</v>
      </c>
      <c r="H42" s="1140"/>
      <c r="I42" s="1142"/>
      <c r="J42" s="1143"/>
    </row>
    <row r="43" spans="1:10">
      <c r="A43" s="1144"/>
      <c r="B43" s="1146" t="s">
        <v>1696</v>
      </c>
      <c r="C43" s="1078"/>
      <c r="D43" s="1140">
        <v>0.6</v>
      </c>
      <c r="E43" s="1140">
        <v>0.6</v>
      </c>
      <c r="F43" s="1140">
        <v>0.05</v>
      </c>
      <c r="G43" s="1147">
        <f>D43*E43*F43*PI()</f>
        <v>5.654866776461627E-2</v>
      </c>
      <c r="H43" s="1140"/>
      <c r="I43" s="1142"/>
      <c r="J43" s="1143"/>
    </row>
    <row r="44" spans="1:10">
      <c r="A44" s="1144"/>
      <c r="B44" s="1146" t="s">
        <v>1108</v>
      </c>
      <c r="C44" s="1170"/>
      <c r="D44" s="1140"/>
      <c r="E44" s="1140"/>
      <c r="F44" s="1140"/>
      <c r="G44" s="1147">
        <f>SUM(G41:G43)</f>
        <v>0.16345133223538372</v>
      </c>
      <c r="H44" s="1145" t="s">
        <v>29</v>
      </c>
      <c r="I44" s="1142">
        <f>Rates!F32</f>
        <v>16022.87</v>
      </c>
      <c r="J44" s="1143">
        <f>I44*G44</f>
        <v>2618.959447734363</v>
      </c>
    </row>
    <row r="45" spans="1:10">
      <c r="A45" s="1144">
        <v>6</v>
      </c>
      <c r="B45" s="1138" t="s">
        <v>1521</v>
      </c>
      <c r="C45" s="1170"/>
      <c r="D45" s="1140"/>
      <c r="E45" s="1140"/>
      <c r="F45" s="1140"/>
      <c r="G45" s="1140"/>
      <c r="H45" s="1140"/>
      <c r="I45" s="1142"/>
      <c r="J45" s="1143"/>
    </row>
    <row r="46" spans="1:10">
      <c r="A46" s="1144"/>
      <c r="B46" s="1138" t="s">
        <v>1706</v>
      </c>
      <c r="C46" s="1170"/>
      <c r="D46" s="1140"/>
      <c r="E46" s="1140"/>
      <c r="F46" s="1140"/>
      <c r="G46" s="1140"/>
      <c r="H46" s="1140"/>
      <c r="I46" s="1142"/>
      <c r="J46" s="1143"/>
    </row>
    <row r="47" spans="1:10">
      <c r="A47" s="1144"/>
      <c r="B47" s="1146" t="s">
        <v>1646</v>
      </c>
      <c r="C47" s="1170">
        <f>ROUND(D41/0.15+1,0)</f>
        <v>12</v>
      </c>
      <c r="D47" s="1140">
        <f>E41</f>
        <v>1.2999999999999998</v>
      </c>
      <c r="E47" s="1036">
        <v>0.39500000000000002</v>
      </c>
      <c r="F47" s="1037"/>
      <c r="G47" s="1140">
        <f>+ROUND(C47*D47*E47,2)</f>
        <v>6.16</v>
      </c>
      <c r="H47" s="1140"/>
      <c r="I47" s="1142"/>
      <c r="J47" s="1143"/>
    </row>
    <row r="48" spans="1:10">
      <c r="A48" s="1144"/>
      <c r="B48" s="1146" t="s">
        <v>1647</v>
      </c>
      <c r="C48" s="1170">
        <f>ROUND(E41/0.15+1,0)</f>
        <v>10</v>
      </c>
      <c r="D48" s="1140">
        <f>D41</f>
        <v>1.7</v>
      </c>
      <c r="E48" s="1036">
        <v>0.39500000000000002</v>
      </c>
      <c r="F48" s="1037"/>
      <c r="G48" s="1140">
        <f>+ROUND(C48*D48*E48,2)</f>
        <v>6.72</v>
      </c>
      <c r="H48" s="1140"/>
      <c r="I48" s="1142"/>
      <c r="J48" s="1143"/>
    </row>
    <row r="49" spans="1:10">
      <c r="A49" s="1144"/>
      <c r="B49" s="1151" t="s">
        <v>1640</v>
      </c>
      <c r="C49" s="1170">
        <v>12</v>
      </c>
      <c r="D49" s="1140">
        <v>0.45</v>
      </c>
      <c r="E49" s="1036">
        <v>0.39500000000000002</v>
      </c>
      <c r="F49" s="1037"/>
      <c r="G49" s="1140">
        <f>-ROUND(C49*D49*E49,2)</f>
        <v>-2.13</v>
      </c>
      <c r="H49" s="1140"/>
      <c r="I49" s="1142"/>
      <c r="J49" s="1143"/>
    </row>
    <row r="50" spans="1:10">
      <c r="A50" s="1144"/>
      <c r="B50" s="1151" t="s">
        <v>1108</v>
      </c>
      <c r="C50" s="1170"/>
      <c r="D50" s="1140"/>
      <c r="E50" s="1140"/>
      <c r="F50" s="1171"/>
      <c r="G50" s="1140">
        <f>SUM(G47:G49)</f>
        <v>10.75</v>
      </c>
      <c r="H50" s="1145" t="s">
        <v>1034</v>
      </c>
      <c r="I50" s="1142">
        <f>Rates!F39</f>
        <v>125.35</v>
      </c>
      <c r="J50" s="1143">
        <f>I50*G50</f>
        <v>1347.5125</v>
      </c>
    </row>
    <row r="51" spans="1:10">
      <c r="A51" s="1144">
        <v>7</v>
      </c>
      <c r="B51" s="1138" t="s">
        <v>1707</v>
      </c>
      <c r="C51" s="1170"/>
      <c r="D51" s="1140"/>
      <c r="E51" s="1140"/>
      <c r="F51" s="1140"/>
      <c r="G51" s="1140"/>
      <c r="H51" s="1140"/>
      <c r="I51" s="1142"/>
      <c r="J51" s="1143"/>
    </row>
    <row r="52" spans="1:10">
      <c r="A52" s="1144"/>
      <c r="B52" s="1151" t="s">
        <v>1708</v>
      </c>
      <c r="C52" s="1170">
        <v>1</v>
      </c>
      <c r="D52" s="1140">
        <f>C28</f>
        <v>1</v>
      </c>
      <c r="E52" s="1140">
        <f>E28</f>
        <v>0.6</v>
      </c>
      <c r="F52" s="1145" t="s">
        <v>44</v>
      </c>
      <c r="G52" s="1140">
        <f>C52*D52*E52</f>
        <v>0.6</v>
      </c>
      <c r="H52" s="1140"/>
      <c r="I52" s="1142"/>
      <c r="J52" s="1143"/>
    </row>
    <row r="53" spans="1:10">
      <c r="A53" s="1144"/>
      <c r="B53" s="1151" t="s">
        <v>798</v>
      </c>
      <c r="C53" s="1170">
        <v>1</v>
      </c>
      <c r="D53" s="1140">
        <f>2*(D41+E41)</f>
        <v>6</v>
      </c>
      <c r="E53" s="1145" t="s">
        <v>44</v>
      </c>
      <c r="F53" s="1140">
        <f>F41</f>
        <v>0.1</v>
      </c>
      <c r="G53" s="1140">
        <f>C53*D53*F53</f>
        <v>0.60000000000000009</v>
      </c>
      <c r="H53" s="1140"/>
      <c r="I53" s="1142"/>
      <c r="J53" s="1143"/>
    </row>
    <row r="54" spans="1:10">
      <c r="A54" s="1144"/>
      <c r="B54" s="1151" t="s">
        <v>1640</v>
      </c>
      <c r="C54" s="1170">
        <v>1</v>
      </c>
      <c r="D54" s="1172">
        <v>0.75</v>
      </c>
      <c r="E54" s="1140">
        <v>0.75</v>
      </c>
      <c r="F54" s="1145" t="s">
        <v>44</v>
      </c>
      <c r="G54" s="1140">
        <f>-C54*D54*E54</f>
        <v>-0.5625</v>
      </c>
      <c r="H54" s="1140"/>
      <c r="I54" s="1142"/>
      <c r="J54" s="1143"/>
    </row>
    <row r="55" spans="1:10">
      <c r="A55" s="1144"/>
      <c r="B55" s="1140"/>
      <c r="C55" s="1170"/>
      <c r="D55" s="1140"/>
      <c r="E55" s="1140"/>
      <c r="F55" s="1140"/>
      <c r="G55" s="1140">
        <f>SUM(G52:G54)</f>
        <v>0.63750000000000018</v>
      </c>
      <c r="H55" s="1145" t="s">
        <v>47</v>
      </c>
      <c r="I55" s="1142">
        <f>Rates!F40</f>
        <v>1322.68</v>
      </c>
      <c r="J55" s="1143">
        <f>I55*G55</f>
        <v>843.2085000000003</v>
      </c>
    </row>
    <row r="56" spans="1:10" ht="8.25" customHeight="1">
      <c r="A56" s="1144"/>
      <c r="B56" s="1140"/>
      <c r="C56" s="1170"/>
      <c r="D56" s="1140"/>
      <c r="E56" s="1140"/>
      <c r="F56" s="1140"/>
      <c r="G56" s="1140"/>
      <c r="H56" s="1140"/>
      <c r="I56" s="1142"/>
      <c r="J56" s="1143"/>
    </row>
    <row r="57" spans="1:10">
      <c r="A57" s="1144">
        <v>8</v>
      </c>
      <c r="B57" s="1138" t="s">
        <v>1709</v>
      </c>
      <c r="C57" s="1170"/>
      <c r="D57" s="1140"/>
      <c r="E57" s="1140"/>
      <c r="F57" s="1140"/>
      <c r="G57" s="1139">
        <v>1</v>
      </c>
      <c r="H57" s="1145" t="s">
        <v>949</v>
      </c>
      <c r="I57" s="920">
        <f>MR!$I$41*1.15</f>
        <v>2112.2624999999998</v>
      </c>
      <c r="J57" s="1143">
        <f>I57*G57</f>
        <v>2112.2624999999998</v>
      </c>
    </row>
    <row r="58" spans="1:10" ht="16.5" customHeight="1">
      <c r="A58" s="1144">
        <v>9</v>
      </c>
      <c r="B58" s="1173" t="s">
        <v>1700</v>
      </c>
      <c r="C58" s="1170"/>
      <c r="D58" s="1140"/>
      <c r="E58" s="1140"/>
      <c r="F58" s="1140"/>
      <c r="G58" s="1151">
        <v>1</v>
      </c>
      <c r="H58" s="1140" t="s">
        <v>1154</v>
      </c>
      <c r="I58" s="1142">
        <f>Rates!F106</f>
        <v>800</v>
      </c>
      <c r="J58" s="1143">
        <f>I58</f>
        <v>800</v>
      </c>
    </row>
    <row r="59" spans="1:10">
      <c r="A59" s="1152"/>
      <c r="B59" s="1174"/>
      <c r="C59" s="1175"/>
      <c r="D59" s="1155"/>
      <c r="E59" s="1155"/>
      <c r="F59" s="1155"/>
      <c r="G59" s="1155"/>
      <c r="H59" s="1155"/>
      <c r="I59" s="1176"/>
      <c r="J59" s="1156"/>
    </row>
    <row r="60" spans="1:10">
      <c r="A60" s="1047"/>
      <c r="B60" s="1048" t="s">
        <v>1403</v>
      </c>
      <c r="C60" s="1049"/>
      <c r="D60" s="1049"/>
      <c r="E60" s="1049"/>
      <c r="F60" s="1049"/>
      <c r="G60" s="1049"/>
      <c r="H60" s="1050"/>
      <c r="I60" s="1051"/>
      <c r="J60" s="1052">
        <f>SUM(J31:J59)</f>
        <v>38421.781362734357</v>
      </c>
    </row>
    <row r="61" spans="1:10">
      <c r="A61" s="922"/>
      <c r="B61" s="861" t="s">
        <v>1535</v>
      </c>
      <c r="C61" s="923"/>
      <c r="D61" s="923"/>
      <c r="E61" s="923"/>
      <c r="F61" s="923"/>
      <c r="G61" s="923"/>
      <c r="H61" s="924"/>
      <c r="I61" s="925">
        <f>'Entry for Rates'!$F$114</f>
        <v>13</v>
      </c>
      <c r="J61" s="921">
        <f>I61*J60/100</f>
        <v>4994.8315771554662</v>
      </c>
    </row>
    <row r="62" spans="1:10">
      <c r="A62" s="855"/>
      <c r="B62" s="926" t="s">
        <v>1612</v>
      </c>
      <c r="C62" s="927"/>
      <c r="D62" s="928"/>
      <c r="E62" s="928"/>
      <c r="F62" s="928"/>
      <c r="G62" s="928"/>
      <c r="H62" s="928"/>
      <c r="I62" s="926" t="s">
        <v>107</v>
      </c>
      <c r="J62" s="1053">
        <f>+J61+J60</f>
        <v>43416.612939889819</v>
      </c>
    </row>
    <row r="63" spans="1:10">
      <c r="H63" s="681"/>
      <c r="I63" s="1177"/>
      <c r="J63" s="1178"/>
    </row>
    <row r="64" spans="1:10">
      <c r="H64" s="681"/>
      <c r="I64" s="1177"/>
      <c r="J64" s="1178"/>
    </row>
    <row r="65" spans="1:11">
      <c r="H65" s="681"/>
      <c r="I65" s="1177"/>
      <c r="J65" s="1178"/>
    </row>
    <row r="66" spans="1:11" ht="15.75">
      <c r="A66" s="1179" t="s">
        <v>1710</v>
      </c>
      <c r="B66" s="1180"/>
      <c r="C66" s="1180"/>
      <c r="D66" s="1180"/>
      <c r="E66" s="1180"/>
      <c r="F66" s="1180"/>
      <c r="G66" s="1180"/>
      <c r="H66" s="1180"/>
      <c r="I66" s="1180"/>
      <c r="J66" s="1181"/>
    </row>
    <row r="67" spans="1:11" ht="15.75">
      <c r="A67" s="1179" t="s">
        <v>1711</v>
      </c>
      <c r="B67" s="745"/>
      <c r="C67" s="745"/>
      <c r="D67" s="745"/>
      <c r="E67" s="745"/>
      <c r="F67" s="745"/>
      <c r="G67" s="745"/>
      <c r="H67" s="745"/>
      <c r="I67" s="745"/>
      <c r="J67" s="1182"/>
    </row>
    <row r="68" spans="1:11" ht="15.75">
      <c r="A68" s="1179"/>
      <c r="B68" s="745"/>
      <c r="C68" s="745"/>
      <c r="D68" s="745"/>
      <c r="E68" s="745"/>
      <c r="F68" s="745"/>
      <c r="G68" s="745"/>
      <c r="H68" s="745"/>
      <c r="I68" s="745"/>
      <c r="J68" s="1182"/>
    </row>
    <row r="69" spans="1:11">
      <c r="A69" s="746"/>
      <c r="B69" s="746" t="s">
        <v>1712</v>
      </c>
      <c r="C69" s="1019">
        <v>0.8</v>
      </c>
      <c r="D69" s="932" t="s">
        <v>1503</v>
      </c>
      <c r="E69" s="1019">
        <v>0.8</v>
      </c>
      <c r="F69" s="3023" t="s">
        <v>1713</v>
      </c>
      <c r="G69" s="3023"/>
      <c r="H69" s="1019">
        <v>0.8</v>
      </c>
      <c r="I69" s="746"/>
      <c r="J69" s="1183"/>
      <c r="K69" s="654"/>
    </row>
    <row r="70" spans="1:11">
      <c r="A70" s="745"/>
      <c r="B70" s="746"/>
      <c r="C70" s="1184"/>
      <c r="D70" s="933"/>
      <c r="E70" s="933"/>
      <c r="F70" s="746"/>
      <c r="G70" s="746"/>
      <c r="H70" s="746"/>
      <c r="I70" s="746"/>
      <c r="J70" s="1183"/>
    </row>
    <row r="71" spans="1:11" ht="18" customHeight="1">
      <c r="A71" s="1185" t="s">
        <v>961</v>
      </c>
      <c r="B71" s="1186" t="s">
        <v>1423</v>
      </c>
      <c r="C71" s="1186" t="s">
        <v>1087</v>
      </c>
      <c r="D71" s="1186" t="s">
        <v>22</v>
      </c>
      <c r="E71" s="1186" t="s">
        <v>23</v>
      </c>
      <c r="F71" s="1186" t="s">
        <v>24</v>
      </c>
      <c r="G71" s="1186" t="s">
        <v>964</v>
      </c>
      <c r="H71" s="1187" t="s">
        <v>1035</v>
      </c>
      <c r="I71" s="747" t="s">
        <v>97</v>
      </c>
      <c r="J71" s="1188" t="s">
        <v>52</v>
      </c>
    </row>
    <row r="72" spans="1:11">
      <c r="A72" s="1189"/>
      <c r="B72" s="1032"/>
      <c r="C72" s="1032"/>
      <c r="D72" s="1032"/>
      <c r="E72" s="1032"/>
      <c r="F72" s="1032"/>
      <c r="G72" s="1032"/>
      <c r="H72" s="1190"/>
      <c r="I72" s="749"/>
      <c r="J72" s="1191"/>
    </row>
    <row r="73" spans="1:11">
      <c r="A73" s="1026">
        <v>1</v>
      </c>
      <c r="B73" s="1027" t="s">
        <v>129</v>
      </c>
      <c r="C73" s="1032"/>
      <c r="D73" s="1028">
        <v>2.5</v>
      </c>
      <c r="E73" s="1028">
        <v>2.5</v>
      </c>
      <c r="F73" s="1032"/>
      <c r="G73" s="1028">
        <f>D73*E73</f>
        <v>6.25</v>
      </c>
      <c r="H73" s="1192" t="s">
        <v>47</v>
      </c>
      <c r="I73" s="1193">
        <f>Rates!F7</f>
        <v>149.5</v>
      </c>
      <c r="J73" s="1191">
        <f>ROUND(G73*I73,2)</f>
        <v>934.38</v>
      </c>
    </row>
    <row r="74" spans="1:11">
      <c r="A74" s="1026">
        <v>2</v>
      </c>
      <c r="B74" s="1027" t="s">
        <v>1455</v>
      </c>
      <c r="C74" s="1035"/>
      <c r="D74" s="1028"/>
      <c r="E74" s="1028"/>
      <c r="F74" s="1029"/>
      <c r="G74" s="1028"/>
      <c r="H74" s="1192"/>
      <c r="I74" s="899"/>
      <c r="J74" s="1191"/>
    </row>
    <row r="75" spans="1:11">
      <c r="A75" s="1026"/>
      <c r="B75" s="1027"/>
      <c r="C75" s="1035">
        <v>1</v>
      </c>
      <c r="D75" s="1028">
        <f>+C69+0.45*2</f>
        <v>1.7000000000000002</v>
      </c>
      <c r="E75" s="1028">
        <f>+E69+0.45*2</f>
        <v>1.7000000000000002</v>
      </c>
      <c r="F75" s="1028">
        <f>H69-0.1</f>
        <v>0.70000000000000007</v>
      </c>
      <c r="G75" s="1028">
        <f>C75*D75*E75*F75</f>
        <v>2.0230000000000006</v>
      </c>
      <c r="H75" s="1192" t="s">
        <v>29</v>
      </c>
      <c r="I75" s="1193">
        <f>Rates!F9</f>
        <v>1480.63</v>
      </c>
      <c r="J75" s="1191">
        <f>ROUND(G75*I75,2)</f>
        <v>2995.31</v>
      </c>
    </row>
    <row r="76" spans="1:11">
      <c r="A76" s="1026"/>
      <c r="B76" s="1027"/>
      <c r="C76" s="1035"/>
      <c r="D76" s="1028"/>
      <c r="E76" s="1028"/>
      <c r="F76" s="1028"/>
      <c r="G76" s="1028"/>
      <c r="H76" s="1192"/>
      <c r="I76" s="899"/>
      <c r="J76" s="1191"/>
    </row>
    <row r="77" spans="1:11">
      <c r="A77" s="1026">
        <v>3</v>
      </c>
      <c r="B77" s="1027" t="s">
        <v>1714</v>
      </c>
      <c r="C77" s="1035">
        <v>1</v>
      </c>
      <c r="D77" s="1028">
        <f>+C69+0.45*2</f>
        <v>1.7000000000000002</v>
      </c>
      <c r="E77" s="1028">
        <f>+E69+0.45*2</f>
        <v>1.7000000000000002</v>
      </c>
      <c r="F77" s="1028">
        <v>0.15</v>
      </c>
      <c r="G77" s="1028">
        <f>C77*D77*E77*F77</f>
        <v>0.43350000000000005</v>
      </c>
      <c r="H77" s="1192" t="s">
        <v>29</v>
      </c>
      <c r="I77" s="1193">
        <f>Rates!F19</f>
        <v>5523.35</v>
      </c>
      <c r="J77" s="1191">
        <f>ROUND(G77*I77,2)</f>
        <v>2394.37</v>
      </c>
    </row>
    <row r="78" spans="1:11">
      <c r="A78" s="1026">
        <v>4</v>
      </c>
      <c r="B78" s="1027" t="s">
        <v>1506</v>
      </c>
      <c r="C78" s="1035"/>
      <c r="D78" s="1028"/>
      <c r="E78" s="1028"/>
      <c r="F78" s="1028"/>
      <c r="G78" s="1028"/>
      <c r="H78" s="1190"/>
      <c r="I78" s="748"/>
      <c r="J78" s="1191"/>
    </row>
    <row r="79" spans="1:11">
      <c r="A79" s="1026"/>
      <c r="B79" s="751" t="s">
        <v>1507</v>
      </c>
      <c r="C79" s="1035">
        <v>1</v>
      </c>
      <c r="D79" s="1028">
        <f>+C69+0.45*2</f>
        <v>1.7000000000000002</v>
      </c>
      <c r="E79" s="1028">
        <f>+E69+0.45*2</f>
        <v>1.7000000000000002</v>
      </c>
      <c r="F79" s="1028">
        <v>0.1</v>
      </c>
      <c r="G79" s="1033">
        <f>C79*D79*E79*F79</f>
        <v>0.28900000000000009</v>
      </c>
      <c r="H79" s="1192"/>
      <c r="I79" s="748"/>
      <c r="J79" s="1191"/>
    </row>
    <row r="80" spans="1:11">
      <c r="A80" s="1026"/>
      <c r="B80" s="751" t="s">
        <v>1508</v>
      </c>
      <c r="C80" s="1035">
        <v>4</v>
      </c>
      <c r="D80" s="1028">
        <v>0.45</v>
      </c>
      <c r="E80" s="1028">
        <v>0.2</v>
      </c>
      <c r="F80" s="1028">
        <v>0.2</v>
      </c>
      <c r="G80" s="1033">
        <f>C80*D80*E80*F80</f>
        <v>7.2000000000000008E-2</v>
      </c>
      <c r="H80" s="1190"/>
      <c r="I80" s="748"/>
      <c r="J80" s="1191"/>
    </row>
    <row r="81" spans="1:10">
      <c r="A81" s="1026"/>
      <c r="B81" s="751" t="s">
        <v>1510</v>
      </c>
      <c r="C81" s="1035">
        <v>1</v>
      </c>
      <c r="D81" s="1028">
        <f>+C69+0.45*2</f>
        <v>1.7000000000000002</v>
      </c>
      <c r="E81" s="1028">
        <f>+E69+0.45*2</f>
        <v>1.7000000000000002</v>
      </c>
      <c r="F81" s="1028">
        <v>0.1</v>
      </c>
      <c r="G81" s="1033">
        <f>C81*D81*E81*F81</f>
        <v>0.28900000000000009</v>
      </c>
      <c r="H81" s="1190"/>
      <c r="I81" s="748"/>
      <c r="J81" s="1191"/>
    </row>
    <row r="82" spans="1:10">
      <c r="A82" s="1026"/>
      <c r="B82" s="751" t="s">
        <v>1511</v>
      </c>
      <c r="C82" s="1035"/>
      <c r="D82" s="1028"/>
      <c r="E82" s="1028"/>
      <c r="F82" s="1028"/>
      <c r="G82" s="1033"/>
      <c r="H82" s="1190"/>
      <c r="I82" s="748"/>
      <c r="J82" s="1191"/>
    </row>
    <row r="83" spans="1:10">
      <c r="A83" s="1026"/>
      <c r="B83" s="751" t="s">
        <v>1512</v>
      </c>
      <c r="C83" s="1035">
        <v>1</v>
      </c>
      <c r="D83" s="1194">
        <v>0.6</v>
      </c>
      <c r="E83" s="1028">
        <v>0.6</v>
      </c>
      <c r="F83" s="1028">
        <v>0.05</v>
      </c>
      <c r="G83" s="1033">
        <f>-C83*D83*E83*F83</f>
        <v>-1.7999999999999999E-2</v>
      </c>
      <c r="H83" s="1190"/>
      <c r="I83" s="748"/>
      <c r="J83" s="1191"/>
    </row>
    <row r="84" spans="1:10">
      <c r="A84" s="1026"/>
      <c r="B84" s="751" t="s">
        <v>1715</v>
      </c>
      <c r="C84" s="1035"/>
      <c r="D84" s="1028"/>
      <c r="E84" s="1028"/>
      <c r="F84" s="1028"/>
      <c r="G84" s="1033">
        <f>SUM(G78:G83)</f>
        <v>0.63200000000000012</v>
      </c>
      <c r="H84" s="1192" t="s">
        <v>29</v>
      </c>
      <c r="I84" s="748">
        <f>Rates!F32</f>
        <v>16022.87</v>
      </c>
      <c r="J84" s="1191">
        <f>ROUND(G84*I84,2)</f>
        <v>10126.450000000001</v>
      </c>
    </row>
    <row r="85" spans="1:10">
      <c r="A85" s="1026">
        <v>5</v>
      </c>
      <c r="B85" s="1027" t="s">
        <v>1513</v>
      </c>
      <c r="C85" s="1035"/>
      <c r="D85" s="1028"/>
      <c r="E85" s="1028"/>
      <c r="F85" s="1028"/>
      <c r="G85" s="1028"/>
      <c r="H85" s="1192"/>
      <c r="I85" s="748"/>
      <c r="J85" s="1191"/>
    </row>
    <row r="86" spans="1:10">
      <c r="A86" s="1026"/>
      <c r="B86" s="751"/>
      <c r="C86" s="1035">
        <v>1</v>
      </c>
      <c r="D86" s="1028">
        <f>2*(C69+0.45*2+E69)</f>
        <v>5</v>
      </c>
      <c r="E86" s="1028">
        <v>0.45</v>
      </c>
      <c r="F86" s="1028">
        <f>H69</f>
        <v>0.8</v>
      </c>
      <c r="G86" s="1028">
        <f>C86*D86*E86*F86</f>
        <v>1.8</v>
      </c>
      <c r="H86" s="1195"/>
      <c r="I86" s="899"/>
      <c r="J86" s="1191"/>
    </row>
    <row r="87" spans="1:10">
      <c r="A87" s="1026"/>
      <c r="B87" s="751" t="s">
        <v>1716</v>
      </c>
      <c r="C87" s="1035">
        <v>4</v>
      </c>
      <c r="D87" s="1028">
        <v>0.45</v>
      </c>
      <c r="E87" s="1028">
        <v>0.2</v>
      </c>
      <c r="F87" s="1028">
        <v>0.2</v>
      </c>
      <c r="G87" s="1028">
        <f>-C87*D87*E87*F87</f>
        <v>-7.2000000000000008E-2</v>
      </c>
      <c r="H87" s="1196"/>
      <c r="I87" s="899"/>
      <c r="J87" s="1191"/>
    </row>
    <row r="88" spans="1:10">
      <c r="A88" s="1026"/>
      <c r="B88" s="751" t="s">
        <v>1715</v>
      </c>
      <c r="C88" s="1035"/>
      <c r="D88" s="1028"/>
      <c r="E88" s="1028"/>
      <c r="F88" s="1028"/>
      <c r="G88" s="1028">
        <f>SUM(G86:G87)</f>
        <v>1.728</v>
      </c>
      <c r="H88" s="1192" t="s">
        <v>29</v>
      </c>
      <c r="I88" s="748">
        <f>Rates!F24</f>
        <v>15619.64</v>
      </c>
      <c r="J88" s="1191">
        <f>ROUND(G88*I88,2)</f>
        <v>26990.74</v>
      </c>
    </row>
    <row r="89" spans="1:10">
      <c r="A89" s="1026">
        <v>6</v>
      </c>
      <c r="B89" s="1027" t="s">
        <v>1717</v>
      </c>
      <c r="C89" s="1035"/>
      <c r="D89" s="1028"/>
      <c r="E89" s="1028"/>
      <c r="F89" s="1028"/>
      <c r="G89" s="1028"/>
      <c r="H89" s="1192"/>
      <c r="I89" s="748"/>
      <c r="J89" s="1191"/>
    </row>
    <row r="90" spans="1:10">
      <c r="A90" s="1026"/>
      <c r="B90" s="751" t="s">
        <v>1718</v>
      </c>
      <c r="C90" s="1035">
        <v>1</v>
      </c>
      <c r="D90" s="1028">
        <f>C69</f>
        <v>0.8</v>
      </c>
      <c r="E90" s="1029">
        <f>E69</f>
        <v>0.8</v>
      </c>
      <c r="F90" s="1028"/>
      <c r="G90" s="1028">
        <f>D90*E90</f>
        <v>0.64000000000000012</v>
      </c>
      <c r="H90" s="1192"/>
      <c r="I90" s="748"/>
      <c r="J90" s="1191"/>
    </row>
    <row r="91" spans="1:10">
      <c r="A91" s="1026"/>
      <c r="B91" s="751" t="s">
        <v>1519</v>
      </c>
      <c r="C91" s="1035">
        <v>1</v>
      </c>
      <c r="D91" s="1028">
        <f>2*(E81+D81)</f>
        <v>6.8000000000000007</v>
      </c>
      <c r="E91" s="1028"/>
      <c r="F91" s="1028">
        <v>0.1</v>
      </c>
      <c r="G91" s="1028">
        <f>+D91*F91</f>
        <v>0.68000000000000016</v>
      </c>
      <c r="H91" s="1192"/>
      <c r="I91" s="748"/>
      <c r="J91" s="1191"/>
    </row>
    <row r="92" spans="1:10">
      <c r="A92" s="1026"/>
      <c r="B92" s="751" t="s">
        <v>1715</v>
      </c>
      <c r="C92" s="1035"/>
      <c r="D92" s="1028"/>
      <c r="E92" s="1028"/>
      <c r="F92" s="1029"/>
      <c r="G92" s="1028">
        <f>SUM(G90:G91)</f>
        <v>1.3200000000000003</v>
      </c>
      <c r="H92" s="1192" t="s">
        <v>47</v>
      </c>
      <c r="I92" s="748">
        <f>Rates!F40</f>
        <v>1322.68</v>
      </c>
      <c r="J92" s="1191">
        <f>ROUND(G92*I92,2)</f>
        <v>1745.94</v>
      </c>
    </row>
    <row r="93" spans="1:10">
      <c r="A93" s="1026"/>
      <c r="B93" s="751"/>
      <c r="C93" s="1035"/>
      <c r="D93" s="1028"/>
      <c r="E93" s="1028"/>
      <c r="F93" s="1029"/>
      <c r="G93" s="1028"/>
      <c r="H93" s="1192"/>
      <c r="I93" s="748"/>
      <c r="J93" s="1191"/>
    </row>
    <row r="94" spans="1:10">
      <c r="A94" s="1026">
        <v>7</v>
      </c>
      <c r="B94" s="1027" t="s">
        <v>1719</v>
      </c>
      <c r="C94" s="1035"/>
      <c r="D94" s="1028"/>
      <c r="E94" s="1197"/>
      <c r="F94" s="1028"/>
      <c r="G94" s="1028"/>
      <c r="H94" s="1192"/>
      <c r="I94" s="748"/>
      <c r="J94" s="1191"/>
    </row>
    <row r="95" spans="1:10">
      <c r="A95" s="1026"/>
      <c r="B95" s="751" t="s">
        <v>1522</v>
      </c>
      <c r="C95" s="1035">
        <f>ROUND(D81/0.15+1,0)</f>
        <v>12</v>
      </c>
      <c r="D95" s="1028">
        <f>E81</f>
        <v>1.7000000000000002</v>
      </c>
      <c r="E95" s="1036">
        <v>0.39500000000000002</v>
      </c>
      <c r="F95" s="1037"/>
      <c r="G95" s="1028">
        <f>C95*D95*E95</f>
        <v>8.0580000000000016</v>
      </c>
      <c r="H95" s="1192"/>
      <c r="I95" s="748"/>
      <c r="J95" s="1191"/>
    </row>
    <row r="96" spans="1:10">
      <c r="A96" s="1026"/>
      <c r="B96" s="749"/>
      <c r="C96" s="1035">
        <f>ROUND(E81/0.15+1,0)</f>
        <v>12</v>
      </c>
      <c r="D96" s="1028">
        <f>D81</f>
        <v>1.7000000000000002</v>
      </c>
      <c r="E96" s="1036">
        <v>0.39500000000000002</v>
      </c>
      <c r="F96" s="1037"/>
      <c r="G96" s="1028">
        <f>C96*D96*E96</f>
        <v>8.0580000000000016</v>
      </c>
      <c r="H96" s="1192"/>
      <c r="I96" s="748"/>
      <c r="J96" s="1191"/>
    </row>
    <row r="97" spans="1:10">
      <c r="A97" s="1026"/>
      <c r="B97" s="751" t="s">
        <v>1540</v>
      </c>
      <c r="C97" s="1035">
        <v>8</v>
      </c>
      <c r="D97" s="1028">
        <v>0.6</v>
      </c>
      <c r="E97" s="1036">
        <v>0.39500000000000002</v>
      </c>
      <c r="F97" s="1037"/>
      <c r="G97" s="1028">
        <f>-C97*D97*E97</f>
        <v>-1.8959999999999999</v>
      </c>
      <c r="H97" s="1192"/>
      <c r="I97" s="748"/>
      <c r="J97" s="1191"/>
    </row>
    <row r="98" spans="1:10">
      <c r="A98" s="1026"/>
      <c r="B98" s="751" t="s">
        <v>1715</v>
      </c>
      <c r="C98" s="1035"/>
      <c r="D98" s="1028"/>
      <c r="E98" s="1028"/>
      <c r="F98" s="1198"/>
      <c r="G98" s="1028">
        <f>SUM(G95:G97)</f>
        <v>14.220000000000002</v>
      </c>
      <c r="H98" s="1192" t="s">
        <v>1034</v>
      </c>
      <c r="I98" s="1193">
        <f>Rates!F39</f>
        <v>125.35</v>
      </c>
      <c r="J98" s="1191">
        <f>ROUND(G98*I98,2)</f>
        <v>1782.48</v>
      </c>
    </row>
    <row r="99" spans="1:10">
      <c r="A99" s="1026"/>
      <c r="B99" s="749"/>
      <c r="C99" s="1035"/>
      <c r="D99" s="1028"/>
      <c r="E99" s="1028"/>
      <c r="F99" s="1198"/>
      <c r="G99" s="1028"/>
      <c r="H99" s="1192"/>
      <c r="I99" s="748"/>
      <c r="J99" s="1191"/>
    </row>
    <row r="100" spans="1:10">
      <c r="A100" s="1026">
        <v>8</v>
      </c>
      <c r="B100" s="1027" t="s">
        <v>1720</v>
      </c>
      <c r="C100" s="1035"/>
      <c r="D100" s="1028"/>
      <c r="E100" s="1028"/>
      <c r="F100" s="1028"/>
      <c r="G100" s="1028"/>
      <c r="H100" s="1192"/>
      <c r="I100" s="748"/>
      <c r="J100" s="1191"/>
    </row>
    <row r="101" spans="1:10">
      <c r="A101" s="1026"/>
      <c r="B101" s="751" t="s">
        <v>1721</v>
      </c>
      <c r="C101" s="1035">
        <v>1</v>
      </c>
      <c r="D101" s="1028">
        <f>C69</f>
        <v>0.8</v>
      </c>
      <c r="E101" s="1029">
        <f>E69</f>
        <v>0.8</v>
      </c>
      <c r="F101" s="1028"/>
      <c r="G101" s="1028">
        <f>ROUND(+C101*D101*E101,2)</f>
        <v>0.64</v>
      </c>
      <c r="H101" s="1192"/>
      <c r="I101" s="748"/>
      <c r="J101" s="1191"/>
    </row>
    <row r="102" spans="1:10">
      <c r="A102" s="1026"/>
      <c r="B102" s="751" t="s">
        <v>1722</v>
      </c>
      <c r="C102" s="1035">
        <v>2</v>
      </c>
      <c r="D102" s="1028">
        <f>D101</f>
        <v>0.8</v>
      </c>
      <c r="E102" s="1029" t="s">
        <v>44</v>
      </c>
      <c r="F102" s="1028">
        <f>H69</f>
        <v>0.8</v>
      </c>
      <c r="G102" s="1028">
        <f>ROUND(+C102*D102*F102,2)</f>
        <v>1.28</v>
      </c>
      <c r="H102" s="1192"/>
      <c r="I102" s="748"/>
      <c r="J102" s="1191"/>
    </row>
    <row r="103" spans="1:10">
      <c r="A103" s="1026"/>
      <c r="B103" s="751"/>
      <c r="C103" s="1035">
        <v>2</v>
      </c>
      <c r="D103" s="1028">
        <f>E101</f>
        <v>0.8</v>
      </c>
      <c r="E103" s="1029" t="s">
        <v>1527</v>
      </c>
      <c r="F103" s="1028">
        <f>H69</f>
        <v>0.8</v>
      </c>
      <c r="G103" s="1028">
        <f>ROUND(+C103*D103*F103,2)</f>
        <v>1.28</v>
      </c>
      <c r="H103" s="1192"/>
      <c r="I103" s="748"/>
      <c r="J103" s="1191"/>
    </row>
    <row r="104" spans="1:10">
      <c r="A104" s="1026"/>
      <c r="B104" s="749" t="s">
        <v>1543</v>
      </c>
      <c r="C104" s="1035">
        <v>1</v>
      </c>
      <c r="D104" s="1028">
        <f>+D91</f>
        <v>6.8000000000000007</v>
      </c>
      <c r="E104" s="1029" t="s">
        <v>44</v>
      </c>
      <c r="F104" s="1028">
        <v>0.35</v>
      </c>
      <c r="G104" s="1028">
        <f>ROUND(+C104*D104*F104,2)</f>
        <v>2.38</v>
      </c>
      <c r="H104" s="1192"/>
      <c r="I104" s="748"/>
      <c r="J104" s="1191"/>
    </row>
    <row r="105" spans="1:10">
      <c r="A105" s="1026"/>
      <c r="B105" s="751" t="s">
        <v>1715</v>
      </c>
      <c r="C105" s="1035"/>
      <c r="D105" s="1028"/>
      <c r="E105" s="1028"/>
      <c r="F105" s="1028"/>
      <c r="G105" s="1028">
        <f>SUM(G100:G104)</f>
        <v>5.58</v>
      </c>
      <c r="H105" s="1192" t="s">
        <v>47</v>
      </c>
      <c r="I105" s="1193">
        <f>Rates!F60</f>
        <v>503.61</v>
      </c>
      <c r="J105" s="1191">
        <f>ROUND(G105*I105,2)</f>
        <v>2810.14</v>
      </c>
    </row>
    <row r="106" spans="1:10">
      <c r="A106" s="1026">
        <v>9</v>
      </c>
      <c r="B106" s="749" t="s">
        <v>1723</v>
      </c>
      <c r="C106" s="1035"/>
      <c r="D106" s="1028"/>
      <c r="E106" s="1028"/>
      <c r="F106" s="1028"/>
      <c r="G106" s="1028"/>
      <c r="H106" s="1192"/>
      <c r="I106" s="748"/>
      <c r="J106" s="1191"/>
    </row>
    <row r="107" spans="1:10">
      <c r="A107" s="1026"/>
      <c r="B107" s="751" t="s">
        <v>1724</v>
      </c>
      <c r="C107" s="1035"/>
      <c r="D107" s="1028"/>
      <c r="E107" s="1028"/>
      <c r="F107" s="1028"/>
      <c r="G107" s="1028">
        <f>G101+G102+G103</f>
        <v>3.2</v>
      </c>
      <c r="H107" s="1192" t="s">
        <v>47</v>
      </c>
      <c r="I107" s="1193">
        <f>Rates!F67</f>
        <v>346.26</v>
      </c>
      <c r="J107" s="1191">
        <f>ROUND(G107*I107,2)</f>
        <v>1108.03</v>
      </c>
    </row>
    <row r="108" spans="1:10">
      <c r="A108" s="1026"/>
      <c r="B108" s="751"/>
      <c r="C108" s="1035"/>
      <c r="D108" s="1028"/>
      <c r="E108" s="1028"/>
      <c r="F108" s="1028"/>
      <c r="G108" s="1028"/>
      <c r="H108" s="1192"/>
      <c r="I108" s="899"/>
      <c r="J108" s="1191"/>
    </row>
    <row r="109" spans="1:10">
      <c r="A109" s="1026">
        <v>10</v>
      </c>
      <c r="B109" s="1027" t="s">
        <v>1725</v>
      </c>
      <c r="C109" s="1035"/>
      <c r="D109" s="1035"/>
      <c r="E109" s="1035"/>
      <c r="F109" s="1035"/>
      <c r="G109" s="1035">
        <v>1</v>
      </c>
      <c r="H109" s="1192" t="s">
        <v>1038</v>
      </c>
      <c r="I109" s="920">
        <f>MR!$I$41*1.15</f>
        <v>2112.2624999999998</v>
      </c>
      <c r="J109" s="1191">
        <f>ROUND(G109*I109,2)</f>
        <v>2112.2600000000002</v>
      </c>
    </row>
    <row r="110" spans="1:10" ht="9" customHeight="1">
      <c r="A110" s="1026"/>
      <c r="B110" s="1027"/>
      <c r="C110" s="1035"/>
      <c r="D110" s="1035"/>
      <c r="E110" s="1035"/>
      <c r="F110" s="1035"/>
      <c r="G110" s="1035"/>
      <c r="H110" s="1192"/>
      <c r="I110" s="899"/>
      <c r="J110" s="1191"/>
    </row>
    <row r="111" spans="1:10" ht="18.75" customHeight="1">
      <c r="A111" s="1199">
        <v>11</v>
      </c>
      <c r="B111" s="1200" t="s">
        <v>1534</v>
      </c>
      <c r="C111" s="1201"/>
      <c r="D111" s="1201"/>
      <c r="E111" s="1201"/>
      <c r="F111" s="1201"/>
      <c r="G111" s="1201">
        <v>1</v>
      </c>
      <c r="H111" s="1202" t="s">
        <v>1154</v>
      </c>
      <c r="I111" s="1203">
        <f>Rates!F104</f>
        <v>800</v>
      </c>
      <c r="J111" s="1204">
        <f>ROUND(G111*I111,2)</f>
        <v>800</v>
      </c>
    </row>
    <row r="112" spans="1:10" ht="18.75" customHeight="1">
      <c r="A112" s="1047"/>
      <c r="B112" s="1048" t="s">
        <v>1403</v>
      </c>
      <c r="C112" s="1049"/>
      <c r="D112" s="1049"/>
      <c r="E112" s="1049"/>
      <c r="F112" s="1049"/>
      <c r="G112" s="1049"/>
      <c r="H112" s="1050"/>
      <c r="I112" s="1051"/>
      <c r="J112" s="1052">
        <f>SUM(J72:J111)</f>
        <v>53800.100000000006</v>
      </c>
    </row>
    <row r="113" spans="1:10">
      <c r="A113" s="922"/>
      <c r="B113" s="861" t="s">
        <v>1535</v>
      </c>
      <c r="C113" s="923"/>
      <c r="D113" s="923"/>
      <c r="E113" s="923"/>
      <c r="F113" s="923"/>
      <c r="G113" s="923"/>
      <c r="H113" s="924"/>
      <c r="I113" s="925">
        <f>'Entry for Rates'!$F$114</f>
        <v>13</v>
      </c>
      <c r="J113" s="921">
        <f>I113*J112/100</f>
        <v>6994.0130000000008</v>
      </c>
    </row>
    <row r="114" spans="1:10">
      <c r="A114" s="855"/>
      <c r="B114" s="926" t="s">
        <v>1612</v>
      </c>
      <c r="C114" s="927"/>
      <c r="D114" s="928"/>
      <c r="E114" s="928"/>
      <c r="F114" s="928"/>
      <c r="G114" s="928"/>
      <c r="H114" s="928"/>
      <c r="I114" s="926" t="s">
        <v>107</v>
      </c>
      <c r="J114" s="1053">
        <f>+J113+J112</f>
        <v>60794.113000000005</v>
      </c>
    </row>
    <row r="115" spans="1:10">
      <c r="J115" s="805"/>
    </row>
    <row r="116" spans="1:10">
      <c r="J116" s="805"/>
    </row>
    <row r="117" spans="1:10">
      <c r="J117" s="805"/>
    </row>
    <row r="118" spans="1:10">
      <c r="J118" s="805"/>
    </row>
    <row r="119" spans="1:10">
      <c r="J119" s="805"/>
    </row>
    <row r="120" spans="1:10">
      <c r="J120" s="805"/>
    </row>
    <row r="121" spans="1:10">
      <c r="J121" s="805"/>
    </row>
    <row r="122" spans="1:10">
      <c r="J122" s="805"/>
    </row>
    <row r="123" spans="1:10">
      <c r="J123" s="805"/>
    </row>
    <row r="124" spans="1:10">
      <c r="J124" s="805"/>
    </row>
    <row r="125" spans="1:10">
      <c r="J125" s="805"/>
    </row>
    <row r="126" spans="1:10">
      <c r="J126" s="805"/>
    </row>
    <row r="127" spans="1:10">
      <c r="J127" s="805"/>
    </row>
    <row r="128" spans="1:10">
      <c r="J128" s="805"/>
    </row>
    <row r="129" spans="10:10">
      <c r="J129" s="805"/>
    </row>
    <row r="130" spans="10:10">
      <c r="J130" s="805"/>
    </row>
    <row r="131" spans="10:10">
      <c r="J131" s="805"/>
    </row>
    <row r="132" spans="10:10">
      <c r="J132" s="805"/>
    </row>
    <row r="133" spans="10:10">
      <c r="J133" s="805"/>
    </row>
    <row r="134" spans="10:10">
      <c r="J134" s="805"/>
    </row>
    <row r="135" spans="10:10">
      <c r="J135" s="805"/>
    </row>
    <row r="136" spans="10:10">
      <c r="J136" s="805"/>
    </row>
    <row r="137" spans="10:10">
      <c r="J137" s="805"/>
    </row>
    <row r="138" spans="10:10">
      <c r="J138" s="805"/>
    </row>
    <row r="139" spans="10:10">
      <c r="J139" s="805"/>
    </row>
    <row r="140" spans="10:10">
      <c r="J140" s="805"/>
    </row>
    <row r="141" spans="10:10">
      <c r="J141" s="805"/>
    </row>
    <row r="142" spans="10:10">
      <c r="J142" s="805"/>
    </row>
    <row r="143" spans="10:10">
      <c r="J143" s="805"/>
    </row>
    <row r="144" spans="10:10">
      <c r="J144" s="805"/>
    </row>
    <row r="145" spans="10:10">
      <c r="J145" s="805"/>
    </row>
    <row r="146" spans="10:10">
      <c r="J146" s="805"/>
    </row>
    <row r="147" spans="10:10">
      <c r="J147" s="805"/>
    </row>
    <row r="148" spans="10:10">
      <c r="J148" s="805"/>
    </row>
    <row r="149" spans="10:10">
      <c r="J149" s="805"/>
    </row>
    <row r="150" spans="10:10">
      <c r="J150" s="805"/>
    </row>
    <row r="151" spans="10:10">
      <c r="J151" s="805"/>
    </row>
    <row r="152" spans="10:10">
      <c r="J152" s="805"/>
    </row>
    <row r="153" spans="10:10">
      <c r="J153" s="805"/>
    </row>
    <row r="154" spans="10:10">
      <c r="J154" s="805"/>
    </row>
    <row r="155" spans="10:10">
      <c r="J155" s="805"/>
    </row>
    <row r="156" spans="10:10">
      <c r="J156" s="805"/>
    </row>
    <row r="157" spans="10:10">
      <c r="J157" s="805"/>
    </row>
    <row r="158" spans="10:10">
      <c r="J158" s="805"/>
    </row>
    <row r="159" spans="10:10">
      <c r="J159" s="805"/>
    </row>
    <row r="160" spans="10:10">
      <c r="J160" s="805"/>
    </row>
    <row r="161" spans="10:10">
      <c r="J161" s="805"/>
    </row>
    <row r="162" spans="10:10">
      <c r="J162" s="805"/>
    </row>
    <row r="163" spans="10:10">
      <c r="J163" s="805"/>
    </row>
    <row r="164" spans="10:10">
      <c r="J164" s="805"/>
    </row>
    <row r="165" spans="10:10">
      <c r="J165" s="805"/>
    </row>
    <row r="166" spans="10:10">
      <c r="J166" s="805"/>
    </row>
    <row r="167" spans="10:10">
      <c r="J167" s="805"/>
    </row>
    <row r="168" spans="10:10">
      <c r="J168" s="805"/>
    </row>
    <row r="169" spans="10:10">
      <c r="J169" s="805"/>
    </row>
    <row r="170" spans="10:10">
      <c r="J170" s="805"/>
    </row>
    <row r="171" spans="10:10">
      <c r="J171" s="805"/>
    </row>
    <row r="172" spans="10:10">
      <c r="J172" s="805"/>
    </row>
    <row r="173" spans="10:10">
      <c r="J173" s="805"/>
    </row>
    <row r="174" spans="10:10">
      <c r="J174" s="805"/>
    </row>
    <row r="175" spans="10:10">
      <c r="J175" s="805"/>
    </row>
    <row r="176" spans="10:10">
      <c r="J176" s="805"/>
    </row>
    <row r="177" spans="10:10">
      <c r="J177" s="805"/>
    </row>
    <row r="178" spans="10:10">
      <c r="J178" s="805"/>
    </row>
    <row r="179" spans="10:10">
      <c r="J179" s="805"/>
    </row>
    <row r="180" spans="10:10">
      <c r="J180" s="805"/>
    </row>
    <row r="181" spans="10:10">
      <c r="J181" s="805"/>
    </row>
    <row r="182" spans="10:10">
      <c r="J182" s="805"/>
    </row>
    <row r="183" spans="10:10">
      <c r="J183" s="805"/>
    </row>
    <row r="184" spans="10:10">
      <c r="J184" s="805"/>
    </row>
    <row r="185" spans="10:10">
      <c r="J185" s="805"/>
    </row>
    <row r="186" spans="10:10">
      <c r="J186" s="805"/>
    </row>
    <row r="187" spans="10:10">
      <c r="J187" s="805"/>
    </row>
    <row r="188" spans="10:10">
      <c r="J188" s="805"/>
    </row>
    <row r="189" spans="10:10">
      <c r="J189" s="805"/>
    </row>
    <row r="190" spans="10:10">
      <c r="J190" s="805"/>
    </row>
    <row r="191" spans="10:10">
      <c r="J191" s="805"/>
    </row>
    <row r="192" spans="10:10">
      <c r="J192" s="805"/>
    </row>
    <row r="193" spans="10:10">
      <c r="J193" s="805"/>
    </row>
    <row r="194" spans="10:10">
      <c r="J194" s="805"/>
    </row>
    <row r="195" spans="10:10">
      <c r="J195" s="805"/>
    </row>
    <row r="196" spans="10:10">
      <c r="J196" s="805"/>
    </row>
    <row r="197" spans="10:10">
      <c r="J197" s="805"/>
    </row>
    <row r="198" spans="10:10">
      <c r="J198" s="805"/>
    </row>
    <row r="199" spans="10:10">
      <c r="J199" s="805"/>
    </row>
    <row r="200" spans="10:10">
      <c r="J200" s="805"/>
    </row>
    <row r="201" spans="10:10">
      <c r="J201" s="805"/>
    </row>
    <row r="202" spans="10:10">
      <c r="J202" s="805"/>
    </row>
    <row r="203" spans="10:10">
      <c r="J203" s="805"/>
    </row>
    <row r="204" spans="10:10">
      <c r="J204" s="805"/>
    </row>
    <row r="205" spans="10:10">
      <c r="J205" s="805"/>
    </row>
    <row r="206" spans="10:10">
      <c r="J206" s="805"/>
    </row>
    <row r="207" spans="10:10">
      <c r="J207" s="805"/>
    </row>
    <row r="208" spans="10:10">
      <c r="J208" s="805"/>
    </row>
    <row r="209" spans="10:10">
      <c r="J209" s="805"/>
    </row>
    <row r="210" spans="10:10">
      <c r="J210" s="805"/>
    </row>
    <row r="211" spans="10:10">
      <c r="J211" s="805"/>
    </row>
    <row r="212" spans="10:10">
      <c r="J212" s="805"/>
    </row>
    <row r="213" spans="10:10">
      <c r="J213" s="805"/>
    </row>
    <row r="214" spans="10:10">
      <c r="J214" s="805"/>
    </row>
    <row r="215" spans="10:10">
      <c r="J215" s="805"/>
    </row>
    <row r="216" spans="10:10">
      <c r="J216" s="805"/>
    </row>
    <row r="217" spans="10:10">
      <c r="J217" s="805"/>
    </row>
    <row r="218" spans="10:10">
      <c r="J218" s="805"/>
    </row>
    <row r="219" spans="10:10">
      <c r="J219" s="805"/>
    </row>
    <row r="220" spans="10:10">
      <c r="J220" s="805"/>
    </row>
    <row r="221" spans="10:10">
      <c r="J221" s="805"/>
    </row>
    <row r="222" spans="10:10">
      <c r="J222" s="805"/>
    </row>
    <row r="223" spans="10:10">
      <c r="J223" s="805"/>
    </row>
    <row r="224" spans="10:10">
      <c r="J224" s="805"/>
    </row>
    <row r="225" spans="10:10">
      <c r="J225" s="805"/>
    </row>
    <row r="226" spans="10:10">
      <c r="J226" s="805"/>
    </row>
    <row r="227" spans="10:10">
      <c r="J227" s="805"/>
    </row>
    <row r="228" spans="10:10">
      <c r="J228" s="805"/>
    </row>
    <row r="229" spans="10:10">
      <c r="J229" s="805"/>
    </row>
    <row r="230" spans="10:10">
      <c r="J230" s="805"/>
    </row>
    <row r="231" spans="10:10">
      <c r="J231" s="805"/>
    </row>
    <row r="232" spans="10:10">
      <c r="J232" s="805"/>
    </row>
    <row r="233" spans="10:10">
      <c r="J233" s="805"/>
    </row>
    <row r="234" spans="10:10">
      <c r="J234" s="805"/>
    </row>
    <row r="235" spans="10:10">
      <c r="J235" s="805"/>
    </row>
    <row r="236" spans="10:10">
      <c r="J236" s="805"/>
    </row>
    <row r="237" spans="10:10">
      <c r="J237" s="805"/>
    </row>
    <row r="238" spans="10:10">
      <c r="J238" s="805"/>
    </row>
    <row r="239" spans="10:10">
      <c r="J239" s="805"/>
    </row>
    <row r="240" spans="10:10">
      <c r="J240" s="805"/>
    </row>
    <row r="241" spans="10:10">
      <c r="J241" s="805"/>
    </row>
    <row r="242" spans="10:10">
      <c r="J242" s="805"/>
    </row>
    <row r="243" spans="10:10">
      <c r="J243" s="805"/>
    </row>
    <row r="244" spans="10:10">
      <c r="J244" s="805"/>
    </row>
    <row r="245" spans="10:10">
      <c r="J245" s="805"/>
    </row>
    <row r="246" spans="10:10">
      <c r="J246" s="805"/>
    </row>
    <row r="247" spans="10:10">
      <c r="J247" s="805"/>
    </row>
    <row r="248" spans="10:10">
      <c r="J248" s="805"/>
    </row>
    <row r="249" spans="10:10">
      <c r="J249" s="805"/>
    </row>
    <row r="250" spans="10:10">
      <c r="J250" s="805"/>
    </row>
    <row r="251" spans="10:10">
      <c r="J251" s="805"/>
    </row>
    <row r="252" spans="10:10">
      <c r="J252" s="805"/>
    </row>
    <row r="253" spans="10:10">
      <c r="J253" s="805"/>
    </row>
    <row r="254" spans="10:10">
      <c r="J254" s="805"/>
    </row>
    <row r="255" spans="10:10">
      <c r="J255" s="805"/>
    </row>
    <row r="256" spans="10:10">
      <c r="J256" s="805"/>
    </row>
    <row r="257" spans="10:10">
      <c r="J257" s="805"/>
    </row>
    <row r="258" spans="10:10">
      <c r="J258" s="805"/>
    </row>
    <row r="259" spans="10:10">
      <c r="J259" s="805"/>
    </row>
    <row r="260" spans="10:10">
      <c r="J260" s="805"/>
    </row>
    <row r="261" spans="10:10">
      <c r="J261" s="805"/>
    </row>
    <row r="262" spans="10:10">
      <c r="J262" s="805"/>
    </row>
    <row r="263" spans="10:10">
      <c r="J263" s="805"/>
    </row>
    <row r="264" spans="10:10">
      <c r="J264" s="805"/>
    </row>
    <row r="265" spans="10:10">
      <c r="J265" s="805"/>
    </row>
    <row r="266" spans="10:10">
      <c r="J266" s="805"/>
    </row>
    <row r="267" spans="10:10">
      <c r="J267" s="805"/>
    </row>
    <row r="268" spans="10:10">
      <c r="J268" s="805"/>
    </row>
    <row r="269" spans="10:10">
      <c r="J269" s="805"/>
    </row>
    <row r="270" spans="10:10">
      <c r="J270" s="805"/>
    </row>
    <row r="271" spans="10:10">
      <c r="J271" s="805"/>
    </row>
    <row r="272" spans="10:10">
      <c r="J272" s="805"/>
    </row>
    <row r="273" spans="10:10">
      <c r="J273" s="805"/>
    </row>
    <row r="274" spans="10:10">
      <c r="J274" s="805"/>
    </row>
    <row r="275" spans="10:10">
      <c r="J275" s="805"/>
    </row>
    <row r="276" spans="10:10">
      <c r="J276" s="805"/>
    </row>
    <row r="277" spans="10:10">
      <c r="J277" s="805"/>
    </row>
    <row r="278" spans="10:10">
      <c r="J278" s="805"/>
    </row>
    <row r="279" spans="10:10">
      <c r="J279" s="805"/>
    </row>
    <row r="280" spans="10:10">
      <c r="J280" s="805"/>
    </row>
    <row r="281" spans="10:10">
      <c r="J281" s="805"/>
    </row>
    <row r="282" spans="10:10">
      <c r="J282" s="805"/>
    </row>
    <row r="283" spans="10:10">
      <c r="J283" s="805"/>
    </row>
    <row r="284" spans="10:10">
      <c r="J284" s="805"/>
    </row>
    <row r="285" spans="10:10">
      <c r="J285" s="805"/>
    </row>
    <row r="286" spans="10:10">
      <c r="J286" s="805"/>
    </row>
    <row r="287" spans="10:10">
      <c r="J287" s="805"/>
    </row>
    <row r="288" spans="10:10">
      <c r="J288" s="805"/>
    </row>
    <row r="289" spans="10:10">
      <c r="J289" s="805"/>
    </row>
    <row r="290" spans="10:10">
      <c r="J290" s="805"/>
    </row>
    <row r="291" spans="10:10">
      <c r="J291" s="805"/>
    </row>
    <row r="292" spans="10:10">
      <c r="J292" s="805"/>
    </row>
    <row r="293" spans="10:10">
      <c r="J293" s="805"/>
    </row>
    <row r="294" spans="10:10">
      <c r="J294" s="805"/>
    </row>
    <row r="295" spans="10:10">
      <c r="J295" s="805"/>
    </row>
    <row r="296" spans="10:10">
      <c r="J296" s="805"/>
    </row>
    <row r="297" spans="10:10">
      <c r="J297" s="805"/>
    </row>
    <row r="298" spans="10:10">
      <c r="J298" s="805"/>
    </row>
    <row r="299" spans="10:10">
      <c r="J299" s="805"/>
    </row>
    <row r="300" spans="10:10">
      <c r="J300" s="805"/>
    </row>
    <row r="301" spans="10:10">
      <c r="J301" s="805"/>
    </row>
    <row r="302" spans="10:10">
      <c r="J302" s="805"/>
    </row>
    <row r="303" spans="10:10">
      <c r="J303" s="805"/>
    </row>
    <row r="304" spans="10:10">
      <c r="J304" s="805"/>
    </row>
    <row r="305" spans="10:10">
      <c r="J305" s="805"/>
    </row>
    <row r="306" spans="10:10">
      <c r="J306" s="805"/>
    </row>
    <row r="307" spans="10:10">
      <c r="J307" s="805"/>
    </row>
    <row r="308" spans="10:10">
      <c r="J308" s="805"/>
    </row>
    <row r="309" spans="10:10">
      <c r="J309" s="805"/>
    </row>
    <row r="310" spans="10:10">
      <c r="J310" s="805"/>
    </row>
    <row r="311" spans="10:10">
      <c r="J311" s="805"/>
    </row>
    <row r="312" spans="10:10">
      <c r="J312" s="805"/>
    </row>
    <row r="313" spans="10:10">
      <c r="J313" s="805"/>
    </row>
    <row r="314" spans="10:10">
      <c r="J314" s="805"/>
    </row>
    <row r="315" spans="10:10">
      <c r="J315" s="805"/>
    </row>
    <row r="316" spans="10:10">
      <c r="J316" s="805"/>
    </row>
    <row r="317" spans="10:10">
      <c r="J317" s="805"/>
    </row>
    <row r="318" spans="10:10">
      <c r="J318" s="805"/>
    </row>
    <row r="319" spans="10:10">
      <c r="J319" s="805"/>
    </row>
    <row r="320" spans="10:10">
      <c r="J320" s="805"/>
    </row>
    <row r="321" spans="10:10">
      <c r="J321" s="805"/>
    </row>
    <row r="322" spans="10:10">
      <c r="J322" s="805"/>
    </row>
    <row r="323" spans="10:10">
      <c r="J323" s="805"/>
    </row>
    <row r="324" spans="10:10">
      <c r="J324" s="805"/>
    </row>
    <row r="325" spans="10:10">
      <c r="J325" s="805"/>
    </row>
    <row r="326" spans="10:10">
      <c r="J326" s="805"/>
    </row>
    <row r="327" spans="10:10">
      <c r="J327" s="805"/>
    </row>
    <row r="328" spans="10:10">
      <c r="J328" s="805"/>
    </row>
    <row r="329" spans="10:10">
      <c r="J329" s="805"/>
    </row>
    <row r="330" spans="10:10">
      <c r="J330" s="805"/>
    </row>
    <row r="331" spans="10:10">
      <c r="J331" s="805"/>
    </row>
    <row r="332" spans="10:10">
      <c r="J332" s="805"/>
    </row>
    <row r="333" spans="10:10">
      <c r="J333" s="805"/>
    </row>
    <row r="334" spans="10:10">
      <c r="J334" s="805"/>
    </row>
    <row r="335" spans="10:10">
      <c r="J335" s="805"/>
    </row>
    <row r="336" spans="10:10">
      <c r="J336" s="805"/>
    </row>
    <row r="337" spans="10:10">
      <c r="J337" s="805"/>
    </row>
    <row r="338" spans="10:10">
      <c r="J338" s="805"/>
    </row>
    <row r="339" spans="10:10">
      <c r="J339" s="805"/>
    </row>
    <row r="340" spans="10:10">
      <c r="J340" s="805"/>
    </row>
    <row r="341" spans="10:10">
      <c r="J341" s="805"/>
    </row>
    <row r="342" spans="10:10">
      <c r="J342" s="805"/>
    </row>
    <row r="343" spans="10:10">
      <c r="J343" s="805"/>
    </row>
    <row r="344" spans="10:10">
      <c r="J344" s="805"/>
    </row>
    <row r="345" spans="10:10">
      <c r="J345" s="805"/>
    </row>
    <row r="346" spans="10:10">
      <c r="J346" s="805"/>
    </row>
    <row r="347" spans="10:10">
      <c r="J347" s="805"/>
    </row>
    <row r="348" spans="10:10">
      <c r="J348" s="805"/>
    </row>
    <row r="349" spans="10:10">
      <c r="J349" s="805"/>
    </row>
    <row r="350" spans="10:10">
      <c r="J350" s="805"/>
    </row>
    <row r="351" spans="10:10">
      <c r="J351" s="805"/>
    </row>
    <row r="352" spans="10:10">
      <c r="J352" s="805"/>
    </row>
    <row r="353" spans="10:10">
      <c r="J353" s="805"/>
    </row>
    <row r="354" spans="10:10">
      <c r="J354" s="805"/>
    </row>
    <row r="355" spans="10:10">
      <c r="J355" s="805"/>
    </row>
    <row r="356" spans="10:10">
      <c r="J356" s="805"/>
    </row>
    <row r="357" spans="10:10">
      <c r="J357" s="805"/>
    </row>
    <row r="358" spans="10:10">
      <c r="J358" s="805"/>
    </row>
    <row r="359" spans="10:10">
      <c r="J359" s="805"/>
    </row>
    <row r="360" spans="10:10">
      <c r="J360" s="805"/>
    </row>
    <row r="361" spans="10:10">
      <c r="J361" s="805"/>
    </row>
    <row r="362" spans="10:10">
      <c r="J362" s="805"/>
    </row>
    <row r="363" spans="10:10">
      <c r="J363" s="805"/>
    </row>
    <row r="364" spans="10:10">
      <c r="J364" s="805"/>
    </row>
    <row r="365" spans="10:10">
      <c r="J365" s="805"/>
    </row>
    <row r="366" spans="10:10">
      <c r="J366" s="805"/>
    </row>
    <row r="367" spans="10:10">
      <c r="J367" s="805"/>
    </row>
    <row r="368" spans="10:10">
      <c r="J368" s="805"/>
    </row>
    <row r="369" spans="10:10">
      <c r="J369" s="805"/>
    </row>
    <row r="370" spans="10:10">
      <c r="J370" s="805"/>
    </row>
    <row r="371" spans="10:10">
      <c r="J371" s="805"/>
    </row>
    <row r="372" spans="10:10">
      <c r="J372" s="805"/>
    </row>
    <row r="373" spans="10:10">
      <c r="J373" s="805"/>
    </row>
    <row r="374" spans="10:10">
      <c r="J374" s="805"/>
    </row>
    <row r="375" spans="10:10">
      <c r="J375" s="805"/>
    </row>
    <row r="376" spans="10:10">
      <c r="J376" s="805"/>
    </row>
    <row r="377" spans="10:10">
      <c r="J377" s="805"/>
    </row>
    <row r="378" spans="10:10">
      <c r="J378" s="805"/>
    </row>
    <row r="379" spans="10:10">
      <c r="J379" s="805"/>
    </row>
    <row r="380" spans="10:10">
      <c r="J380" s="805"/>
    </row>
    <row r="381" spans="10:10">
      <c r="J381" s="805"/>
    </row>
    <row r="382" spans="10:10">
      <c r="J382" s="805"/>
    </row>
    <row r="383" spans="10:10">
      <c r="J383" s="805"/>
    </row>
    <row r="384" spans="10:10">
      <c r="J384" s="805"/>
    </row>
    <row r="385" spans="10:10">
      <c r="J385" s="805"/>
    </row>
    <row r="386" spans="10:10">
      <c r="J386" s="805"/>
    </row>
    <row r="387" spans="10:10">
      <c r="J387" s="805"/>
    </row>
    <row r="388" spans="10:10">
      <c r="J388" s="805"/>
    </row>
    <row r="389" spans="10:10">
      <c r="J389" s="805"/>
    </row>
    <row r="390" spans="10:10">
      <c r="J390" s="805"/>
    </row>
    <row r="391" spans="10:10">
      <c r="J391" s="805"/>
    </row>
    <row r="392" spans="10:10">
      <c r="J392" s="805"/>
    </row>
    <row r="393" spans="10:10">
      <c r="J393" s="805"/>
    </row>
    <row r="394" spans="10:10">
      <c r="J394" s="805"/>
    </row>
    <row r="395" spans="10:10">
      <c r="J395" s="805"/>
    </row>
    <row r="396" spans="10:10">
      <c r="J396" s="805"/>
    </row>
    <row r="397" spans="10:10">
      <c r="J397" s="805"/>
    </row>
    <row r="398" spans="10:10">
      <c r="J398" s="805"/>
    </row>
    <row r="399" spans="10:10">
      <c r="J399" s="805"/>
    </row>
    <row r="400" spans="10:10">
      <c r="J400" s="805"/>
    </row>
    <row r="401" spans="10:10">
      <c r="J401" s="805"/>
    </row>
    <row r="402" spans="10:10">
      <c r="J402" s="805"/>
    </row>
    <row r="403" spans="10:10">
      <c r="J403" s="805"/>
    </row>
    <row r="404" spans="10:10">
      <c r="J404" s="805"/>
    </row>
    <row r="405" spans="10:10">
      <c r="J405" s="805"/>
    </row>
    <row r="406" spans="10:10">
      <c r="J406" s="805"/>
    </row>
    <row r="407" spans="10:10">
      <c r="J407" s="805"/>
    </row>
    <row r="408" spans="10:10">
      <c r="J408" s="805"/>
    </row>
    <row r="409" spans="10:10">
      <c r="J409" s="805"/>
    </row>
    <row r="410" spans="10:10">
      <c r="J410" s="805"/>
    </row>
    <row r="411" spans="10:10">
      <c r="J411" s="805"/>
    </row>
    <row r="412" spans="10:10">
      <c r="J412" s="805"/>
    </row>
    <row r="413" spans="10:10">
      <c r="J413" s="805"/>
    </row>
    <row r="414" spans="10:10">
      <c r="J414" s="805"/>
    </row>
    <row r="415" spans="10:10">
      <c r="J415" s="805"/>
    </row>
    <row r="416" spans="10:10">
      <c r="J416" s="805"/>
    </row>
    <row r="417" spans="10:10">
      <c r="J417" s="805"/>
    </row>
    <row r="418" spans="10:10">
      <c r="J418" s="805"/>
    </row>
    <row r="419" spans="10:10">
      <c r="J419" s="805"/>
    </row>
    <row r="420" spans="10:10">
      <c r="J420" s="805"/>
    </row>
    <row r="421" spans="10:10">
      <c r="J421" s="805"/>
    </row>
    <row r="422" spans="10:10">
      <c r="J422" s="805"/>
    </row>
    <row r="423" spans="10:10">
      <c r="J423" s="805"/>
    </row>
    <row r="424" spans="10:10">
      <c r="J424" s="805"/>
    </row>
    <row r="425" spans="10:10">
      <c r="J425" s="805"/>
    </row>
    <row r="426" spans="10:10">
      <c r="J426" s="805"/>
    </row>
    <row r="427" spans="10:10">
      <c r="J427" s="805"/>
    </row>
    <row r="428" spans="10:10">
      <c r="J428" s="805"/>
    </row>
    <row r="429" spans="10:10">
      <c r="J429" s="805"/>
    </row>
    <row r="430" spans="10:10">
      <c r="J430" s="805"/>
    </row>
    <row r="431" spans="10:10">
      <c r="J431" s="805"/>
    </row>
    <row r="432" spans="10:10">
      <c r="J432" s="805"/>
    </row>
    <row r="433" spans="10:10">
      <c r="J433" s="805"/>
    </row>
    <row r="434" spans="10:10">
      <c r="J434" s="805"/>
    </row>
    <row r="435" spans="10:10">
      <c r="J435" s="805"/>
    </row>
    <row r="436" spans="10:10">
      <c r="J436" s="805"/>
    </row>
    <row r="437" spans="10:10">
      <c r="J437" s="805"/>
    </row>
    <row r="438" spans="10:10">
      <c r="J438" s="805"/>
    </row>
    <row r="439" spans="10:10">
      <c r="J439" s="805"/>
    </row>
    <row r="440" spans="10:10">
      <c r="J440" s="805"/>
    </row>
    <row r="441" spans="10:10">
      <c r="J441" s="805"/>
    </row>
    <row r="442" spans="10:10">
      <c r="J442" s="805"/>
    </row>
    <row r="443" spans="10:10">
      <c r="J443" s="805"/>
    </row>
    <row r="444" spans="10:10">
      <c r="J444" s="805"/>
    </row>
    <row r="445" spans="10:10">
      <c r="J445" s="805"/>
    </row>
    <row r="446" spans="10:10">
      <c r="J446" s="805"/>
    </row>
    <row r="447" spans="10:10">
      <c r="J447" s="805"/>
    </row>
    <row r="448" spans="10:10">
      <c r="J448" s="805"/>
    </row>
    <row r="449" spans="10:10">
      <c r="J449" s="805"/>
    </row>
    <row r="450" spans="10:10">
      <c r="J450" s="805"/>
    </row>
    <row r="451" spans="10:10">
      <c r="J451" s="805"/>
    </row>
    <row r="452" spans="10:10">
      <c r="J452" s="805"/>
    </row>
    <row r="453" spans="10:10">
      <c r="J453" s="805"/>
    </row>
    <row r="454" spans="10:10">
      <c r="J454" s="805"/>
    </row>
    <row r="455" spans="10:10">
      <c r="J455" s="805"/>
    </row>
    <row r="456" spans="10:10">
      <c r="J456" s="805"/>
    </row>
    <row r="457" spans="10:10">
      <c r="J457" s="805"/>
    </row>
    <row r="458" spans="10:10">
      <c r="J458" s="805"/>
    </row>
    <row r="459" spans="10:10">
      <c r="J459" s="805"/>
    </row>
    <row r="460" spans="10:10">
      <c r="J460" s="805"/>
    </row>
    <row r="461" spans="10:10">
      <c r="J461" s="805"/>
    </row>
    <row r="462" spans="10:10">
      <c r="J462" s="805"/>
    </row>
    <row r="463" spans="10:10">
      <c r="J463" s="805"/>
    </row>
    <row r="464" spans="10:10">
      <c r="J464" s="805"/>
    </row>
    <row r="465" spans="10:10">
      <c r="J465" s="805"/>
    </row>
    <row r="466" spans="10:10">
      <c r="J466" s="805"/>
    </row>
    <row r="467" spans="10:10">
      <c r="J467" s="805"/>
    </row>
    <row r="468" spans="10:10">
      <c r="J468" s="805"/>
    </row>
    <row r="469" spans="10:10">
      <c r="J469" s="805"/>
    </row>
    <row r="470" spans="10:10">
      <c r="J470" s="805"/>
    </row>
    <row r="471" spans="10:10">
      <c r="J471" s="805"/>
    </row>
    <row r="472" spans="10:10">
      <c r="J472" s="805"/>
    </row>
    <row r="473" spans="10:10">
      <c r="J473" s="805"/>
    </row>
    <row r="474" spans="10:10">
      <c r="J474" s="805"/>
    </row>
    <row r="475" spans="10:10">
      <c r="J475" s="805"/>
    </row>
    <row r="476" spans="10:10">
      <c r="J476" s="805"/>
    </row>
    <row r="477" spans="10:10">
      <c r="J477" s="805"/>
    </row>
    <row r="478" spans="10:10">
      <c r="J478" s="805"/>
    </row>
    <row r="479" spans="10:10">
      <c r="J479" s="805"/>
    </row>
    <row r="480" spans="10:10">
      <c r="J480" s="805"/>
    </row>
    <row r="481" spans="10:10">
      <c r="J481" s="805"/>
    </row>
    <row r="482" spans="10:10">
      <c r="J482" s="805"/>
    </row>
    <row r="483" spans="10:10">
      <c r="J483" s="805"/>
    </row>
    <row r="484" spans="10:10">
      <c r="J484" s="805"/>
    </row>
    <row r="485" spans="10:10">
      <c r="J485" s="805"/>
    </row>
    <row r="486" spans="10:10">
      <c r="J486" s="805"/>
    </row>
    <row r="487" spans="10:10">
      <c r="J487" s="805"/>
    </row>
    <row r="488" spans="10:10">
      <c r="J488" s="805"/>
    </row>
    <row r="489" spans="10:10">
      <c r="J489" s="805"/>
    </row>
    <row r="490" spans="10:10">
      <c r="J490" s="805"/>
    </row>
    <row r="491" spans="10:10">
      <c r="J491" s="805"/>
    </row>
    <row r="492" spans="10:10">
      <c r="J492" s="805"/>
    </row>
    <row r="493" spans="10:10">
      <c r="J493" s="805"/>
    </row>
    <row r="494" spans="10:10">
      <c r="J494" s="805"/>
    </row>
    <row r="495" spans="10:10">
      <c r="J495" s="805"/>
    </row>
    <row r="496" spans="10:10">
      <c r="J496" s="805"/>
    </row>
    <row r="497" spans="10:10">
      <c r="J497" s="805"/>
    </row>
    <row r="498" spans="10:10">
      <c r="J498" s="805"/>
    </row>
    <row r="499" spans="10:10">
      <c r="J499" s="805"/>
    </row>
    <row r="500" spans="10:10">
      <c r="J500" s="805"/>
    </row>
    <row r="501" spans="10:10">
      <c r="J501" s="805"/>
    </row>
    <row r="502" spans="10:10">
      <c r="J502" s="805"/>
    </row>
    <row r="503" spans="10:10">
      <c r="J503" s="805"/>
    </row>
    <row r="504" spans="10:10">
      <c r="J504" s="805"/>
    </row>
    <row r="505" spans="10:10">
      <c r="J505" s="805"/>
    </row>
    <row r="506" spans="10:10">
      <c r="J506" s="805"/>
    </row>
    <row r="507" spans="10:10">
      <c r="J507" s="805"/>
    </row>
    <row r="508" spans="10:10">
      <c r="J508" s="805"/>
    </row>
    <row r="509" spans="10:10">
      <c r="J509" s="805"/>
    </row>
    <row r="510" spans="10:10">
      <c r="J510" s="805"/>
    </row>
    <row r="511" spans="10:10">
      <c r="J511" s="805"/>
    </row>
    <row r="512" spans="10:10">
      <c r="J512" s="805"/>
    </row>
    <row r="513" spans="10:10">
      <c r="J513" s="805"/>
    </row>
    <row r="514" spans="10:10">
      <c r="J514" s="805"/>
    </row>
    <row r="515" spans="10:10">
      <c r="J515" s="805"/>
    </row>
    <row r="516" spans="10:10">
      <c r="J516" s="805"/>
    </row>
    <row r="517" spans="10:10">
      <c r="J517" s="805"/>
    </row>
    <row r="518" spans="10:10">
      <c r="J518" s="805"/>
    </row>
    <row r="519" spans="10:10">
      <c r="J519" s="805"/>
    </row>
    <row r="520" spans="10:10">
      <c r="J520" s="805"/>
    </row>
    <row r="521" spans="10:10">
      <c r="J521" s="805"/>
    </row>
    <row r="522" spans="10:10">
      <c r="J522" s="805"/>
    </row>
    <row r="523" spans="10:10">
      <c r="J523" s="805"/>
    </row>
    <row r="524" spans="10:10">
      <c r="J524" s="805"/>
    </row>
    <row r="525" spans="10:10">
      <c r="J525" s="805"/>
    </row>
    <row r="526" spans="10:10">
      <c r="J526" s="805"/>
    </row>
    <row r="527" spans="10:10">
      <c r="J527" s="805"/>
    </row>
    <row r="528" spans="10:10">
      <c r="J528" s="805"/>
    </row>
    <row r="529" spans="10:10">
      <c r="J529" s="805"/>
    </row>
    <row r="530" spans="10:10">
      <c r="J530" s="805"/>
    </row>
    <row r="531" spans="10:10">
      <c r="J531" s="805"/>
    </row>
    <row r="532" spans="10:10">
      <c r="J532" s="805"/>
    </row>
    <row r="533" spans="10:10">
      <c r="J533" s="805"/>
    </row>
    <row r="534" spans="10:10">
      <c r="J534" s="805"/>
    </row>
    <row r="535" spans="10:10">
      <c r="J535" s="805"/>
    </row>
    <row r="536" spans="10:10">
      <c r="J536" s="805"/>
    </row>
    <row r="537" spans="10:10">
      <c r="J537" s="805"/>
    </row>
    <row r="538" spans="10:10">
      <c r="J538" s="805"/>
    </row>
    <row r="539" spans="10:10">
      <c r="J539" s="805"/>
    </row>
    <row r="540" spans="10:10">
      <c r="J540" s="805"/>
    </row>
    <row r="541" spans="10:10">
      <c r="J541" s="805"/>
    </row>
    <row r="542" spans="10:10">
      <c r="J542" s="805"/>
    </row>
    <row r="543" spans="10:10">
      <c r="J543" s="805"/>
    </row>
    <row r="544" spans="10:10">
      <c r="J544" s="805"/>
    </row>
    <row r="545" spans="10:10">
      <c r="J545" s="805"/>
    </row>
    <row r="546" spans="10:10">
      <c r="J546" s="805"/>
    </row>
    <row r="547" spans="10:10">
      <c r="J547" s="805"/>
    </row>
    <row r="548" spans="10:10">
      <c r="J548" s="805"/>
    </row>
    <row r="549" spans="10:10">
      <c r="J549" s="805"/>
    </row>
    <row r="550" spans="10:10">
      <c r="J550" s="805"/>
    </row>
    <row r="551" spans="10:10">
      <c r="J551" s="805"/>
    </row>
    <row r="552" spans="10:10">
      <c r="J552" s="805"/>
    </row>
    <row r="553" spans="10:10">
      <c r="J553" s="805"/>
    </row>
    <row r="554" spans="10:10">
      <c r="J554" s="805"/>
    </row>
    <row r="555" spans="10:10">
      <c r="J555" s="805"/>
    </row>
    <row r="556" spans="10:10">
      <c r="J556" s="805"/>
    </row>
    <row r="557" spans="10:10">
      <c r="J557" s="805"/>
    </row>
    <row r="558" spans="10:10">
      <c r="J558" s="805"/>
    </row>
    <row r="559" spans="10:10">
      <c r="J559" s="805"/>
    </row>
    <row r="560" spans="10:10">
      <c r="J560" s="805"/>
    </row>
    <row r="561" spans="10:10">
      <c r="J561" s="805"/>
    </row>
    <row r="562" spans="10:10">
      <c r="J562" s="805"/>
    </row>
    <row r="563" spans="10:10">
      <c r="J563" s="805"/>
    </row>
    <row r="564" spans="10:10">
      <c r="J564" s="805"/>
    </row>
    <row r="565" spans="10:10">
      <c r="J565" s="805"/>
    </row>
    <row r="566" spans="10:10">
      <c r="J566" s="805"/>
    </row>
    <row r="567" spans="10:10">
      <c r="J567" s="805"/>
    </row>
    <row r="568" spans="10:10">
      <c r="J568" s="805"/>
    </row>
    <row r="569" spans="10:10">
      <c r="J569" s="805"/>
    </row>
    <row r="570" spans="10:10">
      <c r="J570" s="805"/>
    </row>
    <row r="571" spans="10:10">
      <c r="J571" s="805"/>
    </row>
    <row r="572" spans="10:10">
      <c r="J572" s="805"/>
    </row>
    <row r="573" spans="10:10">
      <c r="J573" s="805"/>
    </row>
    <row r="574" spans="10:10">
      <c r="J574" s="805"/>
    </row>
    <row r="575" spans="10:10">
      <c r="J575" s="805"/>
    </row>
    <row r="576" spans="10:10">
      <c r="J576" s="805"/>
    </row>
    <row r="577" spans="10:10">
      <c r="J577" s="805"/>
    </row>
    <row r="578" spans="10:10">
      <c r="J578" s="805"/>
    </row>
    <row r="579" spans="10:10">
      <c r="J579" s="805"/>
    </row>
    <row r="580" spans="10:10">
      <c r="J580" s="805"/>
    </row>
    <row r="581" spans="10:10">
      <c r="J581" s="805"/>
    </row>
    <row r="582" spans="10:10">
      <c r="J582" s="805"/>
    </row>
    <row r="583" spans="10:10">
      <c r="J583" s="805"/>
    </row>
    <row r="584" spans="10:10">
      <c r="J584" s="805"/>
    </row>
    <row r="585" spans="10:10">
      <c r="J585" s="805"/>
    </row>
    <row r="586" spans="10:10">
      <c r="J586" s="805"/>
    </row>
    <row r="587" spans="10:10">
      <c r="J587" s="805"/>
    </row>
    <row r="588" spans="10:10">
      <c r="J588" s="805"/>
    </row>
    <row r="589" spans="10:10">
      <c r="J589" s="805"/>
    </row>
    <row r="590" spans="10:10">
      <c r="J590" s="805"/>
    </row>
    <row r="591" spans="10:10">
      <c r="J591" s="805"/>
    </row>
    <row r="592" spans="10:10">
      <c r="J592" s="805"/>
    </row>
    <row r="593" spans="10:10">
      <c r="J593" s="805"/>
    </row>
    <row r="594" spans="10:10">
      <c r="J594" s="805"/>
    </row>
    <row r="595" spans="10:10">
      <c r="J595" s="805"/>
    </row>
    <row r="596" spans="10:10">
      <c r="J596" s="805"/>
    </row>
    <row r="597" spans="10:10">
      <c r="J597" s="805"/>
    </row>
    <row r="598" spans="10:10">
      <c r="J598" s="805"/>
    </row>
    <row r="599" spans="10:10">
      <c r="J599" s="805"/>
    </row>
    <row r="600" spans="10:10">
      <c r="J600" s="805"/>
    </row>
    <row r="601" spans="10:10">
      <c r="J601" s="805"/>
    </row>
    <row r="602" spans="10:10">
      <c r="J602" s="805"/>
    </row>
    <row r="603" spans="10:10">
      <c r="J603" s="805"/>
    </row>
    <row r="604" spans="10:10">
      <c r="J604" s="805"/>
    </row>
    <row r="605" spans="10:10">
      <c r="J605" s="805"/>
    </row>
    <row r="606" spans="10:10">
      <c r="J606" s="805"/>
    </row>
    <row r="607" spans="10:10">
      <c r="J607" s="805"/>
    </row>
    <row r="608" spans="10:10">
      <c r="J608" s="805"/>
    </row>
    <row r="609" spans="10:10">
      <c r="J609" s="805"/>
    </row>
    <row r="610" spans="10:10">
      <c r="J610" s="805"/>
    </row>
    <row r="611" spans="10:10">
      <c r="J611" s="805"/>
    </row>
    <row r="612" spans="10:10">
      <c r="J612" s="805"/>
    </row>
    <row r="613" spans="10:10">
      <c r="J613" s="805"/>
    </row>
    <row r="614" spans="10:10">
      <c r="J614" s="805"/>
    </row>
    <row r="615" spans="10:10">
      <c r="J615" s="805"/>
    </row>
    <row r="616" spans="10:10">
      <c r="J616" s="805"/>
    </row>
    <row r="617" spans="10:10">
      <c r="J617" s="805"/>
    </row>
    <row r="618" spans="10:10">
      <c r="J618" s="805"/>
    </row>
    <row r="619" spans="10:10">
      <c r="J619" s="805"/>
    </row>
    <row r="620" spans="10:10">
      <c r="J620" s="805"/>
    </row>
    <row r="621" spans="10:10">
      <c r="J621" s="805"/>
    </row>
    <row r="622" spans="10:10">
      <c r="J622" s="805"/>
    </row>
    <row r="623" spans="10:10">
      <c r="J623" s="805"/>
    </row>
    <row r="624" spans="10:10">
      <c r="J624" s="805"/>
    </row>
    <row r="625" spans="10:10">
      <c r="J625" s="805"/>
    </row>
    <row r="626" spans="10:10">
      <c r="J626" s="805"/>
    </row>
    <row r="627" spans="10:10">
      <c r="J627" s="805"/>
    </row>
    <row r="628" spans="10:10">
      <c r="J628" s="805"/>
    </row>
    <row r="629" spans="10:10">
      <c r="J629" s="805"/>
    </row>
    <row r="630" spans="10:10">
      <c r="J630" s="805"/>
    </row>
    <row r="631" spans="10:10">
      <c r="J631" s="805"/>
    </row>
    <row r="632" spans="10:10">
      <c r="J632" s="805"/>
    </row>
    <row r="633" spans="10:10">
      <c r="J633" s="805"/>
    </row>
    <row r="634" spans="10:10">
      <c r="J634" s="805"/>
    </row>
    <row r="635" spans="10:10">
      <c r="J635" s="805"/>
    </row>
    <row r="636" spans="10:10">
      <c r="J636" s="805"/>
    </row>
    <row r="637" spans="10:10">
      <c r="J637" s="805"/>
    </row>
    <row r="638" spans="10:10">
      <c r="J638" s="805"/>
    </row>
    <row r="639" spans="10:10">
      <c r="J639" s="805"/>
    </row>
    <row r="640" spans="10:10">
      <c r="J640" s="805"/>
    </row>
    <row r="641" spans="10:10">
      <c r="J641" s="805"/>
    </row>
    <row r="642" spans="10:10">
      <c r="J642" s="805"/>
    </row>
    <row r="643" spans="10:10">
      <c r="J643" s="805"/>
    </row>
    <row r="644" spans="10:10">
      <c r="J644" s="805"/>
    </row>
    <row r="645" spans="10:10">
      <c r="J645" s="805"/>
    </row>
    <row r="646" spans="10:10">
      <c r="J646" s="805"/>
    </row>
    <row r="647" spans="10:10">
      <c r="J647" s="805"/>
    </row>
    <row r="648" spans="10:10">
      <c r="J648" s="805"/>
    </row>
    <row r="649" spans="10:10">
      <c r="J649" s="805"/>
    </row>
    <row r="650" spans="10:10">
      <c r="J650" s="805"/>
    </row>
    <row r="651" spans="10:10">
      <c r="J651" s="805"/>
    </row>
    <row r="652" spans="10:10">
      <c r="J652" s="805"/>
    </row>
    <row r="653" spans="10:10">
      <c r="J653" s="805"/>
    </row>
    <row r="654" spans="10:10">
      <c r="J654" s="805"/>
    </row>
    <row r="655" spans="10:10">
      <c r="J655" s="805"/>
    </row>
    <row r="656" spans="10:10">
      <c r="J656" s="805"/>
    </row>
    <row r="657" spans="10:10">
      <c r="J657" s="805"/>
    </row>
    <row r="658" spans="10:10">
      <c r="J658" s="805"/>
    </row>
    <row r="659" spans="10:10">
      <c r="J659" s="805"/>
    </row>
    <row r="660" spans="10:10">
      <c r="J660" s="805"/>
    </row>
    <row r="661" spans="10:10">
      <c r="J661" s="805"/>
    </row>
    <row r="662" spans="10:10">
      <c r="J662" s="805"/>
    </row>
    <row r="663" spans="10:10">
      <c r="J663" s="805"/>
    </row>
    <row r="664" spans="10:10">
      <c r="J664" s="805"/>
    </row>
    <row r="665" spans="10:10">
      <c r="J665" s="805"/>
    </row>
    <row r="666" spans="10:10">
      <c r="J666" s="805"/>
    </row>
    <row r="667" spans="10:10">
      <c r="J667" s="805"/>
    </row>
    <row r="668" spans="10:10">
      <c r="J668" s="805"/>
    </row>
    <row r="669" spans="10:10">
      <c r="J669" s="805"/>
    </row>
    <row r="670" spans="10:10">
      <c r="J670" s="805"/>
    </row>
    <row r="671" spans="10:10">
      <c r="J671" s="805"/>
    </row>
    <row r="672" spans="10:10">
      <c r="J672" s="805"/>
    </row>
    <row r="673" spans="10:10">
      <c r="J673" s="805"/>
    </row>
    <row r="674" spans="10:10">
      <c r="J674" s="805"/>
    </row>
    <row r="675" spans="10:10">
      <c r="J675" s="805"/>
    </row>
    <row r="676" spans="10:10">
      <c r="J676" s="805"/>
    </row>
    <row r="677" spans="10:10">
      <c r="J677" s="805"/>
    </row>
    <row r="678" spans="10:10">
      <c r="J678" s="805"/>
    </row>
    <row r="679" spans="10:10">
      <c r="J679" s="805"/>
    </row>
    <row r="680" spans="10:10">
      <c r="J680" s="805"/>
    </row>
    <row r="681" spans="10:10">
      <c r="J681" s="805"/>
    </row>
    <row r="682" spans="10:10">
      <c r="J682" s="805"/>
    </row>
    <row r="683" spans="10:10">
      <c r="J683" s="805"/>
    </row>
    <row r="684" spans="10:10">
      <c r="J684" s="805"/>
    </row>
    <row r="685" spans="10:10">
      <c r="J685" s="805"/>
    </row>
    <row r="686" spans="10:10">
      <c r="J686" s="805"/>
    </row>
    <row r="687" spans="10:10">
      <c r="J687" s="805"/>
    </row>
    <row r="688" spans="10:10">
      <c r="J688" s="805"/>
    </row>
    <row r="689" spans="10:10">
      <c r="J689" s="805"/>
    </row>
    <row r="690" spans="10:10">
      <c r="J690" s="805"/>
    </row>
    <row r="691" spans="10:10">
      <c r="J691" s="805"/>
    </row>
    <row r="692" spans="10:10">
      <c r="J692" s="805"/>
    </row>
    <row r="693" spans="10:10">
      <c r="J693" s="805"/>
    </row>
    <row r="694" spans="10:10">
      <c r="J694" s="805"/>
    </row>
    <row r="695" spans="10:10">
      <c r="J695" s="805"/>
    </row>
    <row r="696" spans="10:10">
      <c r="J696" s="805"/>
    </row>
    <row r="697" spans="10:10">
      <c r="J697" s="805"/>
    </row>
    <row r="698" spans="10:10">
      <c r="J698" s="805"/>
    </row>
    <row r="699" spans="10:10">
      <c r="J699" s="805"/>
    </row>
    <row r="700" spans="10:10">
      <c r="J700" s="805"/>
    </row>
    <row r="701" spans="10:10">
      <c r="J701" s="805"/>
    </row>
    <row r="702" spans="10:10">
      <c r="J702" s="805"/>
    </row>
    <row r="703" spans="10:10">
      <c r="J703" s="805"/>
    </row>
    <row r="704" spans="10:10">
      <c r="J704" s="805"/>
    </row>
    <row r="705" spans="10:10">
      <c r="J705" s="805"/>
    </row>
    <row r="706" spans="10:10">
      <c r="J706" s="805"/>
    </row>
    <row r="707" spans="10:10">
      <c r="J707" s="805"/>
    </row>
    <row r="708" spans="10:10">
      <c r="J708" s="805"/>
    </row>
    <row r="709" spans="10:10">
      <c r="J709" s="805"/>
    </row>
  </sheetData>
  <mergeCells count="3">
    <mergeCell ref="A1:J1"/>
    <mergeCell ref="A26:J26"/>
    <mergeCell ref="F69:G69"/>
  </mergeCells>
  <printOptions gridLines="1" gridLinesSet="0"/>
  <pageMargins left="0.7" right="0.7" top="0.75" bottom="0.75" header="0.3" footer="0.3"/>
  <pageSetup paperSize="9" orientation="portrait" horizontalDpi="4294967293" verticalDpi="300" r:id="rId1"/>
  <headerFooter alignWithMargins="0">
    <oddFooter>&amp;LEstimated by&amp;CChecked by&amp;RApproved by</oddFooter>
  </headerFooter>
  <rowBreaks count="2" manualBreakCount="2">
    <brk id="24" max="9" man="1"/>
    <brk id="62" max="9"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0000"/>
  </sheetPr>
  <dimension ref="A1:H41"/>
  <sheetViews>
    <sheetView workbookViewId="0">
      <selection sqref="A1:H1"/>
    </sheetView>
  </sheetViews>
  <sheetFormatPr defaultRowHeight="12.75"/>
  <cols>
    <col min="1" max="1" width="3.140625" style="878" customWidth="1"/>
    <col min="2" max="2" width="27.42578125" style="878" customWidth="1"/>
    <col min="3" max="3" width="4.28515625" style="878" customWidth="1"/>
    <col min="4" max="4" width="3.7109375" style="878" customWidth="1"/>
    <col min="5" max="5" width="8.42578125" style="878" customWidth="1"/>
    <col min="6" max="6" width="8.7109375" style="878" customWidth="1"/>
    <col min="7" max="7" width="10.7109375" style="878" bestFit="1" customWidth="1"/>
    <col min="8" max="8" width="10.7109375" style="878" customWidth="1"/>
    <col min="9" max="256" width="8.85546875" style="878"/>
    <col min="257" max="257" width="3.140625" style="878" customWidth="1"/>
    <col min="258" max="258" width="27.42578125" style="878" customWidth="1"/>
    <col min="259" max="259" width="4.28515625" style="878" customWidth="1"/>
    <col min="260" max="260" width="3.7109375" style="878" customWidth="1"/>
    <col min="261" max="261" width="8.42578125" style="878" customWidth="1"/>
    <col min="262" max="262" width="8.7109375" style="878" customWidth="1"/>
    <col min="263" max="263" width="8.85546875" style="878"/>
    <col min="264" max="264" width="10.7109375" style="878" customWidth="1"/>
    <col min="265" max="512" width="8.85546875" style="878"/>
    <col min="513" max="513" width="3.140625" style="878" customWidth="1"/>
    <col min="514" max="514" width="27.42578125" style="878" customWidth="1"/>
    <col min="515" max="515" width="4.28515625" style="878" customWidth="1"/>
    <col min="516" max="516" width="3.7109375" style="878" customWidth="1"/>
    <col min="517" max="517" width="8.42578125" style="878" customWidth="1"/>
    <col min="518" max="518" width="8.7109375" style="878" customWidth="1"/>
    <col min="519" max="519" width="8.85546875" style="878"/>
    <col min="520" max="520" width="10.7109375" style="878" customWidth="1"/>
    <col min="521" max="768" width="8.85546875" style="878"/>
    <col min="769" max="769" width="3.140625" style="878" customWidth="1"/>
    <col min="770" max="770" width="27.42578125" style="878" customWidth="1"/>
    <col min="771" max="771" width="4.28515625" style="878" customWidth="1"/>
    <col min="772" max="772" width="3.7109375" style="878" customWidth="1"/>
    <col min="773" max="773" width="8.42578125" style="878" customWidth="1"/>
    <col min="774" max="774" width="8.7109375" style="878" customWidth="1"/>
    <col min="775" max="775" width="8.85546875" style="878"/>
    <col min="776" max="776" width="10.7109375" style="878" customWidth="1"/>
    <col min="777" max="1024" width="8.85546875" style="878"/>
    <col min="1025" max="1025" width="3.140625" style="878" customWidth="1"/>
    <col min="1026" max="1026" width="27.42578125" style="878" customWidth="1"/>
    <col min="1027" max="1027" width="4.28515625" style="878" customWidth="1"/>
    <col min="1028" max="1028" width="3.7109375" style="878" customWidth="1"/>
    <col min="1029" max="1029" width="8.42578125" style="878" customWidth="1"/>
    <col min="1030" max="1030" width="8.7109375" style="878" customWidth="1"/>
    <col min="1031" max="1031" width="8.85546875" style="878"/>
    <col min="1032" max="1032" width="10.7109375" style="878" customWidth="1"/>
    <col min="1033" max="1280" width="8.85546875" style="878"/>
    <col min="1281" max="1281" width="3.140625" style="878" customWidth="1"/>
    <col min="1282" max="1282" width="27.42578125" style="878" customWidth="1"/>
    <col min="1283" max="1283" width="4.28515625" style="878" customWidth="1"/>
    <col min="1284" max="1284" width="3.7109375" style="878" customWidth="1"/>
    <col min="1285" max="1285" width="8.42578125" style="878" customWidth="1"/>
    <col min="1286" max="1286" width="8.7109375" style="878" customWidth="1"/>
    <col min="1287" max="1287" width="8.85546875" style="878"/>
    <col min="1288" max="1288" width="10.7109375" style="878" customWidth="1"/>
    <col min="1289" max="1536" width="8.85546875" style="878"/>
    <col min="1537" max="1537" width="3.140625" style="878" customWidth="1"/>
    <col min="1538" max="1538" width="27.42578125" style="878" customWidth="1"/>
    <col min="1539" max="1539" width="4.28515625" style="878" customWidth="1"/>
    <col min="1540" max="1540" width="3.7109375" style="878" customWidth="1"/>
    <col min="1541" max="1541" width="8.42578125" style="878" customWidth="1"/>
    <col min="1542" max="1542" width="8.7109375" style="878" customWidth="1"/>
    <col min="1543" max="1543" width="8.85546875" style="878"/>
    <col min="1544" max="1544" width="10.7109375" style="878" customWidth="1"/>
    <col min="1545" max="1792" width="8.85546875" style="878"/>
    <col min="1793" max="1793" width="3.140625" style="878" customWidth="1"/>
    <col min="1794" max="1794" width="27.42578125" style="878" customWidth="1"/>
    <col min="1795" max="1795" width="4.28515625" style="878" customWidth="1"/>
    <col min="1796" max="1796" width="3.7109375" style="878" customWidth="1"/>
    <col min="1797" max="1797" width="8.42578125" style="878" customWidth="1"/>
    <col min="1798" max="1798" width="8.7109375" style="878" customWidth="1"/>
    <col min="1799" max="1799" width="8.85546875" style="878"/>
    <col min="1800" max="1800" width="10.7109375" style="878" customWidth="1"/>
    <col min="1801" max="2048" width="8.85546875" style="878"/>
    <col min="2049" max="2049" width="3.140625" style="878" customWidth="1"/>
    <col min="2050" max="2050" width="27.42578125" style="878" customWidth="1"/>
    <col min="2051" max="2051" width="4.28515625" style="878" customWidth="1"/>
    <col min="2052" max="2052" width="3.7109375" style="878" customWidth="1"/>
    <col min="2053" max="2053" width="8.42578125" style="878" customWidth="1"/>
    <col min="2054" max="2054" width="8.7109375" style="878" customWidth="1"/>
    <col min="2055" max="2055" width="8.85546875" style="878"/>
    <col min="2056" max="2056" width="10.7109375" style="878" customWidth="1"/>
    <col min="2057" max="2304" width="8.85546875" style="878"/>
    <col min="2305" max="2305" width="3.140625" style="878" customWidth="1"/>
    <col min="2306" max="2306" width="27.42578125" style="878" customWidth="1"/>
    <col min="2307" max="2307" width="4.28515625" style="878" customWidth="1"/>
    <col min="2308" max="2308" width="3.7109375" style="878" customWidth="1"/>
    <col min="2309" max="2309" width="8.42578125" style="878" customWidth="1"/>
    <col min="2310" max="2310" width="8.7109375" style="878" customWidth="1"/>
    <col min="2311" max="2311" width="8.85546875" style="878"/>
    <col min="2312" max="2312" width="10.7109375" style="878" customWidth="1"/>
    <col min="2313" max="2560" width="8.85546875" style="878"/>
    <col min="2561" max="2561" width="3.140625" style="878" customWidth="1"/>
    <col min="2562" max="2562" width="27.42578125" style="878" customWidth="1"/>
    <col min="2563" max="2563" width="4.28515625" style="878" customWidth="1"/>
    <col min="2564" max="2564" width="3.7109375" style="878" customWidth="1"/>
    <col min="2565" max="2565" width="8.42578125" style="878" customWidth="1"/>
    <col min="2566" max="2566" width="8.7109375" style="878" customWidth="1"/>
    <col min="2567" max="2567" width="8.85546875" style="878"/>
    <col min="2568" max="2568" width="10.7109375" style="878" customWidth="1"/>
    <col min="2569" max="2816" width="8.85546875" style="878"/>
    <col min="2817" max="2817" width="3.140625" style="878" customWidth="1"/>
    <col min="2818" max="2818" width="27.42578125" style="878" customWidth="1"/>
    <col min="2819" max="2819" width="4.28515625" style="878" customWidth="1"/>
    <col min="2820" max="2820" width="3.7109375" style="878" customWidth="1"/>
    <col min="2821" max="2821" width="8.42578125" style="878" customWidth="1"/>
    <col min="2822" max="2822" width="8.7109375" style="878" customWidth="1"/>
    <col min="2823" max="2823" width="8.85546875" style="878"/>
    <col min="2824" max="2824" width="10.7109375" style="878" customWidth="1"/>
    <col min="2825" max="3072" width="8.85546875" style="878"/>
    <col min="3073" max="3073" width="3.140625" style="878" customWidth="1"/>
    <col min="3074" max="3074" width="27.42578125" style="878" customWidth="1"/>
    <col min="3075" max="3075" width="4.28515625" style="878" customWidth="1"/>
    <col min="3076" max="3076" width="3.7109375" style="878" customWidth="1"/>
    <col min="3077" max="3077" width="8.42578125" style="878" customWidth="1"/>
    <col min="3078" max="3078" width="8.7109375" style="878" customWidth="1"/>
    <col min="3079" max="3079" width="8.85546875" style="878"/>
    <col min="3080" max="3080" width="10.7109375" style="878" customWidth="1"/>
    <col min="3081" max="3328" width="8.85546875" style="878"/>
    <col min="3329" max="3329" width="3.140625" style="878" customWidth="1"/>
    <col min="3330" max="3330" width="27.42578125" style="878" customWidth="1"/>
    <col min="3331" max="3331" width="4.28515625" style="878" customWidth="1"/>
    <col min="3332" max="3332" width="3.7109375" style="878" customWidth="1"/>
    <col min="3333" max="3333" width="8.42578125" style="878" customWidth="1"/>
    <col min="3334" max="3334" width="8.7109375" style="878" customWidth="1"/>
    <col min="3335" max="3335" width="8.85546875" style="878"/>
    <col min="3336" max="3336" width="10.7109375" style="878" customWidth="1"/>
    <col min="3337" max="3584" width="8.85546875" style="878"/>
    <col min="3585" max="3585" width="3.140625" style="878" customWidth="1"/>
    <col min="3586" max="3586" width="27.42578125" style="878" customWidth="1"/>
    <col min="3587" max="3587" width="4.28515625" style="878" customWidth="1"/>
    <col min="3588" max="3588" width="3.7109375" style="878" customWidth="1"/>
    <col min="3589" max="3589" width="8.42578125" style="878" customWidth="1"/>
    <col min="3590" max="3590" width="8.7109375" style="878" customWidth="1"/>
    <col min="3591" max="3591" width="8.85546875" style="878"/>
    <col min="3592" max="3592" width="10.7109375" style="878" customWidth="1"/>
    <col min="3593" max="3840" width="8.85546875" style="878"/>
    <col min="3841" max="3841" width="3.140625" style="878" customWidth="1"/>
    <col min="3842" max="3842" width="27.42578125" style="878" customWidth="1"/>
    <col min="3843" max="3843" width="4.28515625" style="878" customWidth="1"/>
    <col min="3844" max="3844" width="3.7109375" style="878" customWidth="1"/>
    <col min="3845" max="3845" width="8.42578125" style="878" customWidth="1"/>
    <col min="3846" max="3846" width="8.7109375" style="878" customWidth="1"/>
    <col min="3847" max="3847" width="8.85546875" style="878"/>
    <col min="3848" max="3848" width="10.7109375" style="878" customWidth="1"/>
    <col min="3849" max="4096" width="8.85546875" style="878"/>
    <col min="4097" max="4097" width="3.140625" style="878" customWidth="1"/>
    <col min="4098" max="4098" width="27.42578125" style="878" customWidth="1"/>
    <col min="4099" max="4099" width="4.28515625" style="878" customWidth="1"/>
    <col min="4100" max="4100" width="3.7109375" style="878" customWidth="1"/>
    <col min="4101" max="4101" width="8.42578125" style="878" customWidth="1"/>
    <col min="4102" max="4102" width="8.7109375" style="878" customWidth="1"/>
    <col min="4103" max="4103" width="8.85546875" style="878"/>
    <col min="4104" max="4104" width="10.7109375" style="878" customWidth="1"/>
    <col min="4105" max="4352" width="8.85546875" style="878"/>
    <col min="4353" max="4353" width="3.140625" style="878" customWidth="1"/>
    <col min="4354" max="4354" width="27.42578125" style="878" customWidth="1"/>
    <col min="4355" max="4355" width="4.28515625" style="878" customWidth="1"/>
    <col min="4356" max="4356" width="3.7109375" style="878" customWidth="1"/>
    <col min="4357" max="4357" width="8.42578125" style="878" customWidth="1"/>
    <col min="4358" max="4358" width="8.7109375" style="878" customWidth="1"/>
    <col min="4359" max="4359" width="8.85546875" style="878"/>
    <col min="4360" max="4360" width="10.7109375" style="878" customWidth="1"/>
    <col min="4361" max="4608" width="8.85546875" style="878"/>
    <col min="4609" max="4609" width="3.140625" style="878" customWidth="1"/>
    <col min="4610" max="4610" width="27.42578125" style="878" customWidth="1"/>
    <col min="4611" max="4611" width="4.28515625" style="878" customWidth="1"/>
    <col min="4612" max="4612" width="3.7109375" style="878" customWidth="1"/>
    <col min="4613" max="4613" width="8.42578125" style="878" customWidth="1"/>
    <col min="4614" max="4614" width="8.7109375" style="878" customWidth="1"/>
    <col min="4615" max="4615" width="8.85546875" style="878"/>
    <col min="4616" max="4616" width="10.7109375" style="878" customWidth="1"/>
    <col min="4617" max="4864" width="8.85546875" style="878"/>
    <col min="4865" max="4865" width="3.140625" style="878" customWidth="1"/>
    <col min="4866" max="4866" width="27.42578125" style="878" customWidth="1"/>
    <col min="4867" max="4867" width="4.28515625" style="878" customWidth="1"/>
    <col min="4868" max="4868" width="3.7109375" style="878" customWidth="1"/>
    <col min="4869" max="4869" width="8.42578125" style="878" customWidth="1"/>
    <col min="4870" max="4870" width="8.7109375" style="878" customWidth="1"/>
    <col min="4871" max="4871" width="8.85546875" style="878"/>
    <col min="4872" max="4872" width="10.7109375" style="878" customWidth="1"/>
    <col min="4873" max="5120" width="8.85546875" style="878"/>
    <col min="5121" max="5121" width="3.140625" style="878" customWidth="1"/>
    <col min="5122" max="5122" width="27.42578125" style="878" customWidth="1"/>
    <col min="5123" max="5123" width="4.28515625" style="878" customWidth="1"/>
    <col min="5124" max="5124" width="3.7109375" style="878" customWidth="1"/>
    <col min="5125" max="5125" width="8.42578125" style="878" customWidth="1"/>
    <col min="5126" max="5126" width="8.7109375" style="878" customWidth="1"/>
    <col min="5127" max="5127" width="8.85546875" style="878"/>
    <col min="5128" max="5128" width="10.7109375" style="878" customWidth="1"/>
    <col min="5129" max="5376" width="8.85546875" style="878"/>
    <col min="5377" max="5377" width="3.140625" style="878" customWidth="1"/>
    <col min="5378" max="5378" width="27.42578125" style="878" customWidth="1"/>
    <col min="5379" max="5379" width="4.28515625" style="878" customWidth="1"/>
    <col min="5380" max="5380" width="3.7109375" style="878" customWidth="1"/>
    <col min="5381" max="5381" width="8.42578125" style="878" customWidth="1"/>
    <col min="5382" max="5382" width="8.7109375" style="878" customWidth="1"/>
    <col min="5383" max="5383" width="8.85546875" style="878"/>
    <col min="5384" max="5384" width="10.7109375" style="878" customWidth="1"/>
    <col min="5385" max="5632" width="8.85546875" style="878"/>
    <col min="5633" max="5633" width="3.140625" style="878" customWidth="1"/>
    <col min="5634" max="5634" width="27.42578125" style="878" customWidth="1"/>
    <col min="5635" max="5635" width="4.28515625" style="878" customWidth="1"/>
    <col min="5636" max="5636" width="3.7109375" style="878" customWidth="1"/>
    <col min="5637" max="5637" width="8.42578125" style="878" customWidth="1"/>
    <col min="5638" max="5638" width="8.7109375" style="878" customWidth="1"/>
    <col min="5639" max="5639" width="8.85546875" style="878"/>
    <col min="5640" max="5640" width="10.7109375" style="878" customWidth="1"/>
    <col min="5641" max="5888" width="8.85546875" style="878"/>
    <col min="5889" max="5889" width="3.140625" style="878" customWidth="1"/>
    <col min="5890" max="5890" width="27.42578125" style="878" customWidth="1"/>
    <col min="5891" max="5891" width="4.28515625" style="878" customWidth="1"/>
    <col min="5892" max="5892" width="3.7109375" style="878" customWidth="1"/>
    <col min="5893" max="5893" width="8.42578125" style="878" customWidth="1"/>
    <col min="5894" max="5894" width="8.7109375" style="878" customWidth="1"/>
    <col min="5895" max="5895" width="8.85546875" style="878"/>
    <col min="5896" max="5896" width="10.7109375" style="878" customWidth="1"/>
    <col min="5897" max="6144" width="8.85546875" style="878"/>
    <col min="6145" max="6145" width="3.140625" style="878" customWidth="1"/>
    <col min="6146" max="6146" width="27.42578125" style="878" customWidth="1"/>
    <col min="6147" max="6147" width="4.28515625" style="878" customWidth="1"/>
    <col min="6148" max="6148" width="3.7109375" style="878" customWidth="1"/>
    <col min="6149" max="6149" width="8.42578125" style="878" customWidth="1"/>
    <col min="6150" max="6150" width="8.7109375" style="878" customWidth="1"/>
    <col min="6151" max="6151" width="8.85546875" style="878"/>
    <col min="6152" max="6152" width="10.7109375" style="878" customWidth="1"/>
    <col min="6153" max="6400" width="8.85546875" style="878"/>
    <col min="6401" max="6401" width="3.140625" style="878" customWidth="1"/>
    <col min="6402" max="6402" width="27.42578125" style="878" customWidth="1"/>
    <col min="6403" max="6403" width="4.28515625" style="878" customWidth="1"/>
    <col min="6404" max="6404" width="3.7109375" style="878" customWidth="1"/>
    <col min="6405" max="6405" width="8.42578125" style="878" customWidth="1"/>
    <col min="6406" max="6406" width="8.7109375" style="878" customWidth="1"/>
    <col min="6407" max="6407" width="8.85546875" style="878"/>
    <col min="6408" max="6408" width="10.7109375" style="878" customWidth="1"/>
    <col min="6409" max="6656" width="8.85546875" style="878"/>
    <col min="6657" max="6657" width="3.140625" style="878" customWidth="1"/>
    <col min="6658" max="6658" width="27.42578125" style="878" customWidth="1"/>
    <col min="6659" max="6659" width="4.28515625" style="878" customWidth="1"/>
    <col min="6660" max="6660" width="3.7109375" style="878" customWidth="1"/>
    <col min="6661" max="6661" width="8.42578125" style="878" customWidth="1"/>
    <col min="6662" max="6662" width="8.7109375" style="878" customWidth="1"/>
    <col min="6663" max="6663" width="8.85546875" style="878"/>
    <col min="6664" max="6664" width="10.7109375" style="878" customWidth="1"/>
    <col min="6665" max="6912" width="8.85546875" style="878"/>
    <col min="6913" max="6913" width="3.140625" style="878" customWidth="1"/>
    <col min="6914" max="6914" width="27.42578125" style="878" customWidth="1"/>
    <col min="6915" max="6915" width="4.28515625" style="878" customWidth="1"/>
    <col min="6916" max="6916" width="3.7109375" style="878" customWidth="1"/>
    <col min="6917" max="6917" width="8.42578125" style="878" customWidth="1"/>
    <col min="6918" max="6918" width="8.7109375" style="878" customWidth="1"/>
    <col min="6919" max="6919" width="8.85546875" style="878"/>
    <col min="6920" max="6920" width="10.7109375" style="878" customWidth="1"/>
    <col min="6921" max="7168" width="8.85546875" style="878"/>
    <col min="7169" max="7169" width="3.140625" style="878" customWidth="1"/>
    <col min="7170" max="7170" width="27.42578125" style="878" customWidth="1"/>
    <col min="7171" max="7171" width="4.28515625" style="878" customWidth="1"/>
    <col min="7172" max="7172" width="3.7109375" style="878" customWidth="1"/>
    <col min="7173" max="7173" width="8.42578125" style="878" customWidth="1"/>
    <col min="7174" max="7174" width="8.7109375" style="878" customWidth="1"/>
    <col min="7175" max="7175" width="8.85546875" style="878"/>
    <col min="7176" max="7176" width="10.7109375" style="878" customWidth="1"/>
    <col min="7177" max="7424" width="8.85546875" style="878"/>
    <col min="7425" max="7425" width="3.140625" style="878" customWidth="1"/>
    <col min="7426" max="7426" width="27.42578125" style="878" customWidth="1"/>
    <col min="7427" max="7427" width="4.28515625" style="878" customWidth="1"/>
    <col min="7428" max="7428" width="3.7109375" style="878" customWidth="1"/>
    <col min="7429" max="7429" width="8.42578125" style="878" customWidth="1"/>
    <col min="7430" max="7430" width="8.7109375" style="878" customWidth="1"/>
    <col min="7431" max="7431" width="8.85546875" style="878"/>
    <col min="7432" max="7432" width="10.7109375" style="878" customWidth="1"/>
    <col min="7433" max="7680" width="8.85546875" style="878"/>
    <col min="7681" max="7681" width="3.140625" style="878" customWidth="1"/>
    <col min="7682" max="7682" width="27.42578125" style="878" customWidth="1"/>
    <col min="7683" max="7683" width="4.28515625" style="878" customWidth="1"/>
    <col min="7684" max="7684" width="3.7109375" style="878" customWidth="1"/>
    <col min="7685" max="7685" width="8.42578125" style="878" customWidth="1"/>
    <col min="7686" max="7686" width="8.7109375" style="878" customWidth="1"/>
    <col min="7687" max="7687" width="8.85546875" style="878"/>
    <col min="7688" max="7688" width="10.7109375" style="878" customWidth="1"/>
    <col min="7689" max="7936" width="8.85546875" style="878"/>
    <col min="7937" max="7937" width="3.140625" style="878" customWidth="1"/>
    <col min="7938" max="7938" width="27.42578125" style="878" customWidth="1"/>
    <col min="7939" max="7939" width="4.28515625" style="878" customWidth="1"/>
    <col min="7940" max="7940" width="3.7109375" style="878" customWidth="1"/>
    <col min="7941" max="7941" width="8.42578125" style="878" customWidth="1"/>
    <col min="7942" max="7942" width="8.7109375" style="878" customWidth="1"/>
    <col min="7943" max="7943" width="8.85546875" style="878"/>
    <col min="7944" max="7944" width="10.7109375" style="878" customWidth="1"/>
    <col min="7945" max="8192" width="8.85546875" style="878"/>
    <col min="8193" max="8193" width="3.140625" style="878" customWidth="1"/>
    <col min="8194" max="8194" width="27.42578125" style="878" customWidth="1"/>
    <col min="8195" max="8195" width="4.28515625" style="878" customWidth="1"/>
    <col min="8196" max="8196" width="3.7109375" style="878" customWidth="1"/>
    <col min="8197" max="8197" width="8.42578125" style="878" customWidth="1"/>
    <col min="8198" max="8198" width="8.7109375" style="878" customWidth="1"/>
    <col min="8199" max="8199" width="8.85546875" style="878"/>
    <col min="8200" max="8200" width="10.7109375" style="878" customWidth="1"/>
    <col min="8201" max="8448" width="8.85546875" style="878"/>
    <col min="8449" max="8449" width="3.140625" style="878" customWidth="1"/>
    <col min="8450" max="8450" width="27.42578125" style="878" customWidth="1"/>
    <col min="8451" max="8451" width="4.28515625" style="878" customWidth="1"/>
    <col min="8452" max="8452" width="3.7109375" style="878" customWidth="1"/>
    <col min="8453" max="8453" width="8.42578125" style="878" customWidth="1"/>
    <col min="8454" max="8454" width="8.7109375" style="878" customWidth="1"/>
    <col min="8455" max="8455" width="8.85546875" style="878"/>
    <col min="8456" max="8456" width="10.7109375" style="878" customWidth="1"/>
    <col min="8457" max="8704" width="8.85546875" style="878"/>
    <col min="8705" max="8705" width="3.140625" style="878" customWidth="1"/>
    <col min="8706" max="8706" width="27.42578125" style="878" customWidth="1"/>
    <col min="8707" max="8707" width="4.28515625" style="878" customWidth="1"/>
    <col min="8708" max="8708" width="3.7109375" style="878" customWidth="1"/>
    <col min="8709" max="8709" width="8.42578125" style="878" customWidth="1"/>
    <col min="8710" max="8710" width="8.7109375" style="878" customWidth="1"/>
    <col min="8711" max="8711" width="8.85546875" style="878"/>
    <col min="8712" max="8712" width="10.7109375" style="878" customWidth="1"/>
    <col min="8713" max="8960" width="8.85546875" style="878"/>
    <col min="8961" max="8961" width="3.140625" style="878" customWidth="1"/>
    <col min="8962" max="8962" width="27.42578125" style="878" customWidth="1"/>
    <col min="8963" max="8963" width="4.28515625" style="878" customWidth="1"/>
    <col min="8964" max="8964" width="3.7109375" style="878" customWidth="1"/>
    <col min="8965" max="8965" width="8.42578125" style="878" customWidth="1"/>
    <col min="8966" max="8966" width="8.7109375" style="878" customWidth="1"/>
    <col min="8967" max="8967" width="8.85546875" style="878"/>
    <col min="8968" max="8968" width="10.7109375" style="878" customWidth="1"/>
    <col min="8969" max="9216" width="8.85546875" style="878"/>
    <col min="9217" max="9217" width="3.140625" style="878" customWidth="1"/>
    <col min="9218" max="9218" width="27.42578125" style="878" customWidth="1"/>
    <col min="9219" max="9219" width="4.28515625" style="878" customWidth="1"/>
    <col min="9220" max="9220" width="3.7109375" style="878" customWidth="1"/>
    <col min="9221" max="9221" width="8.42578125" style="878" customWidth="1"/>
    <col min="9222" max="9222" width="8.7109375" style="878" customWidth="1"/>
    <col min="9223" max="9223" width="8.85546875" style="878"/>
    <col min="9224" max="9224" width="10.7109375" style="878" customWidth="1"/>
    <col min="9225" max="9472" width="8.85546875" style="878"/>
    <col min="9473" max="9473" width="3.140625" style="878" customWidth="1"/>
    <col min="9474" max="9474" width="27.42578125" style="878" customWidth="1"/>
    <col min="9475" max="9475" width="4.28515625" style="878" customWidth="1"/>
    <col min="9476" max="9476" width="3.7109375" style="878" customWidth="1"/>
    <col min="9477" max="9477" width="8.42578125" style="878" customWidth="1"/>
    <col min="9478" max="9478" width="8.7109375" style="878" customWidth="1"/>
    <col min="9479" max="9479" width="8.85546875" style="878"/>
    <col min="9480" max="9480" width="10.7109375" style="878" customWidth="1"/>
    <col min="9481" max="9728" width="8.85546875" style="878"/>
    <col min="9729" max="9729" width="3.140625" style="878" customWidth="1"/>
    <col min="9730" max="9730" width="27.42578125" style="878" customWidth="1"/>
    <col min="9731" max="9731" width="4.28515625" style="878" customWidth="1"/>
    <col min="9732" max="9732" width="3.7109375" style="878" customWidth="1"/>
    <col min="9733" max="9733" width="8.42578125" style="878" customWidth="1"/>
    <col min="9734" max="9734" width="8.7109375" style="878" customWidth="1"/>
    <col min="9735" max="9735" width="8.85546875" style="878"/>
    <col min="9736" max="9736" width="10.7109375" style="878" customWidth="1"/>
    <col min="9737" max="9984" width="8.85546875" style="878"/>
    <col min="9985" max="9985" width="3.140625" style="878" customWidth="1"/>
    <col min="9986" max="9986" width="27.42578125" style="878" customWidth="1"/>
    <col min="9987" max="9987" width="4.28515625" style="878" customWidth="1"/>
    <col min="9988" max="9988" width="3.7109375" style="878" customWidth="1"/>
    <col min="9989" max="9989" width="8.42578125" style="878" customWidth="1"/>
    <col min="9990" max="9990" width="8.7109375" style="878" customWidth="1"/>
    <col min="9991" max="9991" width="8.85546875" style="878"/>
    <col min="9992" max="9992" width="10.7109375" style="878" customWidth="1"/>
    <col min="9993" max="10240" width="8.85546875" style="878"/>
    <col min="10241" max="10241" width="3.140625" style="878" customWidth="1"/>
    <col min="10242" max="10242" width="27.42578125" style="878" customWidth="1"/>
    <col min="10243" max="10243" width="4.28515625" style="878" customWidth="1"/>
    <col min="10244" max="10244" width="3.7109375" style="878" customWidth="1"/>
    <col min="10245" max="10245" width="8.42578125" style="878" customWidth="1"/>
    <col min="10246" max="10246" width="8.7109375" style="878" customWidth="1"/>
    <col min="10247" max="10247" width="8.85546875" style="878"/>
    <col min="10248" max="10248" width="10.7109375" style="878" customWidth="1"/>
    <col min="10249" max="10496" width="8.85546875" style="878"/>
    <col min="10497" max="10497" width="3.140625" style="878" customWidth="1"/>
    <col min="10498" max="10498" width="27.42578125" style="878" customWidth="1"/>
    <col min="10499" max="10499" width="4.28515625" style="878" customWidth="1"/>
    <col min="10500" max="10500" width="3.7109375" style="878" customWidth="1"/>
    <col min="10501" max="10501" width="8.42578125" style="878" customWidth="1"/>
    <col min="10502" max="10502" width="8.7109375" style="878" customWidth="1"/>
    <col min="10503" max="10503" width="8.85546875" style="878"/>
    <col min="10504" max="10504" width="10.7109375" style="878" customWidth="1"/>
    <col min="10505" max="10752" width="8.85546875" style="878"/>
    <col min="10753" max="10753" width="3.140625" style="878" customWidth="1"/>
    <col min="10754" max="10754" width="27.42578125" style="878" customWidth="1"/>
    <col min="10755" max="10755" width="4.28515625" style="878" customWidth="1"/>
    <col min="10756" max="10756" width="3.7109375" style="878" customWidth="1"/>
    <col min="10757" max="10757" width="8.42578125" style="878" customWidth="1"/>
    <col min="10758" max="10758" width="8.7109375" style="878" customWidth="1"/>
    <col min="10759" max="10759" width="8.85546875" style="878"/>
    <col min="10760" max="10760" width="10.7109375" style="878" customWidth="1"/>
    <col min="10761" max="11008" width="8.85546875" style="878"/>
    <col min="11009" max="11009" width="3.140625" style="878" customWidth="1"/>
    <col min="11010" max="11010" width="27.42578125" style="878" customWidth="1"/>
    <col min="11011" max="11011" width="4.28515625" style="878" customWidth="1"/>
    <col min="11012" max="11012" width="3.7109375" style="878" customWidth="1"/>
    <col min="11013" max="11013" width="8.42578125" style="878" customWidth="1"/>
    <col min="11014" max="11014" width="8.7109375" style="878" customWidth="1"/>
    <col min="11015" max="11015" width="8.85546875" style="878"/>
    <col min="11016" max="11016" width="10.7109375" style="878" customWidth="1"/>
    <col min="11017" max="11264" width="8.85546875" style="878"/>
    <col min="11265" max="11265" width="3.140625" style="878" customWidth="1"/>
    <col min="11266" max="11266" width="27.42578125" style="878" customWidth="1"/>
    <col min="11267" max="11267" width="4.28515625" style="878" customWidth="1"/>
    <col min="11268" max="11268" width="3.7109375" style="878" customWidth="1"/>
    <col min="11269" max="11269" width="8.42578125" style="878" customWidth="1"/>
    <col min="11270" max="11270" width="8.7109375" style="878" customWidth="1"/>
    <col min="11271" max="11271" width="8.85546875" style="878"/>
    <col min="11272" max="11272" width="10.7109375" style="878" customWidth="1"/>
    <col min="11273" max="11520" width="8.85546875" style="878"/>
    <col min="11521" max="11521" width="3.140625" style="878" customWidth="1"/>
    <col min="11522" max="11522" width="27.42578125" style="878" customWidth="1"/>
    <col min="11523" max="11523" width="4.28515625" style="878" customWidth="1"/>
    <col min="11524" max="11524" width="3.7109375" style="878" customWidth="1"/>
    <col min="11525" max="11525" width="8.42578125" style="878" customWidth="1"/>
    <col min="11526" max="11526" width="8.7109375" style="878" customWidth="1"/>
    <col min="11527" max="11527" width="8.85546875" style="878"/>
    <col min="11528" max="11528" width="10.7109375" style="878" customWidth="1"/>
    <col min="11529" max="11776" width="8.85546875" style="878"/>
    <col min="11777" max="11777" width="3.140625" style="878" customWidth="1"/>
    <col min="11778" max="11778" width="27.42578125" style="878" customWidth="1"/>
    <col min="11779" max="11779" width="4.28515625" style="878" customWidth="1"/>
    <col min="11780" max="11780" width="3.7109375" style="878" customWidth="1"/>
    <col min="11781" max="11781" width="8.42578125" style="878" customWidth="1"/>
    <col min="11782" max="11782" width="8.7109375" style="878" customWidth="1"/>
    <col min="11783" max="11783" width="8.85546875" style="878"/>
    <col min="11784" max="11784" width="10.7109375" style="878" customWidth="1"/>
    <col min="11785" max="12032" width="8.85546875" style="878"/>
    <col min="12033" max="12033" width="3.140625" style="878" customWidth="1"/>
    <col min="12034" max="12034" width="27.42578125" style="878" customWidth="1"/>
    <col min="12035" max="12035" width="4.28515625" style="878" customWidth="1"/>
    <col min="12036" max="12036" width="3.7109375" style="878" customWidth="1"/>
    <col min="12037" max="12037" width="8.42578125" style="878" customWidth="1"/>
    <col min="12038" max="12038" width="8.7109375" style="878" customWidth="1"/>
    <col min="12039" max="12039" width="8.85546875" style="878"/>
    <col min="12040" max="12040" width="10.7109375" style="878" customWidth="1"/>
    <col min="12041" max="12288" width="8.85546875" style="878"/>
    <col min="12289" max="12289" width="3.140625" style="878" customWidth="1"/>
    <col min="12290" max="12290" width="27.42578125" style="878" customWidth="1"/>
    <col min="12291" max="12291" width="4.28515625" style="878" customWidth="1"/>
    <col min="12292" max="12292" width="3.7109375" style="878" customWidth="1"/>
    <col min="12293" max="12293" width="8.42578125" style="878" customWidth="1"/>
    <col min="12294" max="12294" width="8.7109375" style="878" customWidth="1"/>
    <col min="12295" max="12295" width="8.85546875" style="878"/>
    <col min="12296" max="12296" width="10.7109375" style="878" customWidth="1"/>
    <col min="12297" max="12544" width="8.85546875" style="878"/>
    <col min="12545" max="12545" width="3.140625" style="878" customWidth="1"/>
    <col min="12546" max="12546" width="27.42578125" style="878" customWidth="1"/>
    <col min="12547" max="12547" width="4.28515625" style="878" customWidth="1"/>
    <col min="12548" max="12548" width="3.7109375" style="878" customWidth="1"/>
    <col min="12549" max="12549" width="8.42578125" style="878" customWidth="1"/>
    <col min="12550" max="12550" width="8.7109375" style="878" customWidth="1"/>
    <col min="12551" max="12551" width="8.85546875" style="878"/>
    <col min="12552" max="12552" width="10.7109375" style="878" customWidth="1"/>
    <col min="12553" max="12800" width="8.85546875" style="878"/>
    <col min="12801" max="12801" width="3.140625" style="878" customWidth="1"/>
    <col min="12802" max="12802" width="27.42578125" style="878" customWidth="1"/>
    <col min="12803" max="12803" width="4.28515625" style="878" customWidth="1"/>
    <col min="12804" max="12804" width="3.7109375" style="878" customWidth="1"/>
    <col min="12805" max="12805" width="8.42578125" style="878" customWidth="1"/>
    <col min="12806" max="12806" width="8.7109375" style="878" customWidth="1"/>
    <col min="12807" max="12807" width="8.85546875" style="878"/>
    <col min="12808" max="12808" width="10.7109375" style="878" customWidth="1"/>
    <col min="12809" max="13056" width="8.85546875" style="878"/>
    <col min="13057" max="13057" width="3.140625" style="878" customWidth="1"/>
    <col min="13058" max="13058" width="27.42578125" style="878" customWidth="1"/>
    <col min="13059" max="13059" width="4.28515625" style="878" customWidth="1"/>
    <col min="13060" max="13060" width="3.7109375" style="878" customWidth="1"/>
    <col min="13061" max="13061" width="8.42578125" style="878" customWidth="1"/>
    <col min="13062" max="13062" width="8.7109375" style="878" customWidth="1"/>
    <col min="13063" max="13063" width="8.85546875" style="878"/>
    <col min="13064" max="13064" width="10.7109375" style="878" customWidth="1"/>
    <col min="13065" max="13312" width="8.85546875" style="878"/>
    <col min="13313" max="13313" width="3.140625" style="878" customWidth="1"/>
    <col min="13314" max="13314" width="27.42578125" style="878" customWidth="1"/>
    <col min="13315" max="13315" width="4.28515625" style="878" customWidth="1"/>
    <col min="13316" max="13316" width="3.7109375" style="878" customWidth="1"/>
    <col min="13317" max="13317" width="8.42578125" style="878" customWidth="1"/>
    <col min="13318" max="13318" width="8.7109375" style="878" customWidth="1"/>
    <col min="13319" max="13319" width="8.85546875" style="878"/>
    <col min="13320" max="13320" width="10.7109375" style="878" customWidth="1"/>
    <col min="13321" max="13568" width="8.85546875" style="878"/>
    <col min="13569" max="13569" width="3.140625" style="878" customWidth="1"/>
    <col min="13570" max="13570" width="27.42578125" style="878" customWidth="1"/>
    <col min="13571" max="13571" width="4.28515625" style="878" customWidth="1"/>
    <col min="13572" max="13572" width="3.7109375" style="878" customWidth="1"/>
    <col min="13573" max="13573" width="8.42578125" style="878" customWidth="1"/>
    <col min="13574" max="13574" width="8.7109375" style="878" customWidth="1"/>
    <col min="13575" max="13575" width="8.85546875" style="878"/>
    <col min="13576" max="13576" width="10.7109375" style="878" customWidth="1"/>
    <col min="13577" max="13824" width="8.85546875" style="878"/>
    <col min="13825" max="13825" width="3.140625" style="878" customWidth="1"/>
    <col min="13826" max="13826" width="27.42578125" style="878" customWidth="1"/>
    <col min="13827" max="13827" width="4.28515625" style="878" customWidth="1"/>
    <col min="13828" max="13828" width="3.7109375" style="878" customWidth="1"/>
    <col min="13829" max="13829" width="8.42578125" style="878" customWidth="1"/>
    <col min="13830" max="13830" width="8.7109375" style="878" customWidth="1"/>
    <col min="13831" max="13831" width="8.85546875" style="878"/>
    <col min="13832" max="13832" width="10.7109375" style="878" customWidth="1"/>
    <col min="13833" max="14080" width="8.85546875" style="878"/>
    <col min="14081" max="14081" width="3.140625" style="878" customWidth="1"/>
    <col min="14082" max="14082" width="27.42578125" style="878" customWidth="1"/>
    <col min="14083" max="14083" width="4.28515625" style="878" customWidth="1"/>
    <col min="14084" max="14084" width="3.7109375" style="878" customWidth="1"/>
    <col min="14085" max="14085" width="8.42578125" style="878" customWidth="1"/>
    <col min="14086" max="14086" width="8.7109375" style="878" customWidth="1"/>
    <col min="14087" max="14087" width="8.85546875" style="878"/>
    <col min="14088" max="14088" width="10.7109375" style="878" customWidth="1"/>
    <col min="14089" max="14336" width="8.85546875" style="878"/>
    <col min="14337" max="14337" width="3.140625" style="878" customWidth="1"/>
    <col min="14338" max="14338" width="27.42578125" style="878" customWidth="1"/>
    <col min="14339" max="14339" width="4.28515625" style="878" customWidth="1"/>
    <col min="14340" max="14340" width="3.7109375" style="878" customWidth="1"/>
    <col min="14341" max="14341" width="8.42578125" style="878" customWidth="1"/>
    <col min="14342" max="14342" width="8.7109375" style="878" customWidth="1"/>
    <col min="14343" max="14343" width="8.85546875" style="878"/>
    <col min="14344" max="14344" width="10.7109375" style="878" customWidth="1"/>
    <col min="14345" max="14592" width="8.85546875" style="878"/>
    <col min="14593" max="14593" width="3.140625" style="878" customWidth="1"/>
    <col min="14594" max="14594" width="27.42578125" style="878" customWidth="1"/>
    <col min="14595" max="14595" width="4.28515625" style="878" customWidth="1"/>
    <col min="14596" max="14596" width="3.7109375" style="878" customWidth="1"/>
    <col min="14597" max="14597" width="8.42578125" style="878" customWidth="1"/>
    <col min="14598" max="14598" width="8.7109375" style="878" customWidth="1"/>
    <col min="14599" max="14599" width="8.85546875" style="878"/>
    <col min="14600" max="14600" width="10.7109375" style="878" customWidth="1"/>
    <col min="14601" max="14848" width="8.85546875" style="878"/>
    <col min="14849" max="14849" width="3.140625" style="878" customWidth="1"/>
    <col min="14850" max="14850" width="27.42578125" style="878" customWidth="1"/>
    <col min="14851" max="14851" width="4.28515625" style="878" customWidth="1"/>
    <col min="14852" max="14852" width="3.7109375" style="878" customWidth="1"/>
    <col min="14853" max="14853" width="8.42578125" style="878" customWidth="1"/>
    <col min="14854" max="14854" width="8.7109375" style="878" customWidth="1"/>
    <col min="14855" max="14855" width="8.85546875" style="878"/>
    <col min="14856" max="14856" width="10.7109375" style="878" customWidth="1"/>
    <col min="14857" max="15104" width="8.85546875" style="878"/>
    <col min="15105" max="15105" width="3.140625" style="878" customWidth="1"/>
    <col min="15106" max="15106" width="27.42578125" style="878" customWidth="1"/>
    <col min="15107" max="15107" width="4.28515625" style="878" customWidth="1"/>
    <col min="15108" max="15108" width="3.7109375" style="878" customWidth="1"/>
    <col min="15109" max="15109" width="8.42578125" style="878" customWidth="1"/>
    <col min="15110" max="15110" width="8.7109375" style="878" customWidth="1"/>
    <col min="15111" max="15111" width="8.85546875" style="878"/>
    <col min="15112" max="15112" width="10.7109375" style="878" customWidth="1"/>
    <col min="15113" max="15360" width="8.85546875" style="878"/>
    <col min="15361" max="15361" width="3.140625" style="878" customWidth="1"/>
    <col min="15362" max="15362" width="27.42578125" style="878" customWidth="1"/>
    <col min="15363" max="15363" width="4.28515625" style="878" customWidth="1"/>
    <col min="15364" max="15364" width="3.7109375" style="878" customWidth="1"/>
    <col min="15365" max="15365" width="8.42578125" style="878" customWidth="1"/>
    <col min="15366" max="15366" width="8.7109375" style="878" customWidth="1"/>
    <col min="15367" max="15367" width="8.85546875" style="878"/>
    <col min="15368" max="15368" width="10.7109375" style="878" customWidth="1"/>
    <col min="15369" max="15616" width="8.85546875" style="878"/>
    <col min="15617" max="15617" width="3.140625" style="878" customWidth="1"/>
    <col min="15618" max="15618" width="27.42578125" style="878" customWidth="1"/>
    <col min="15619" max="15619" width="4.28515625" style="878" customWidth="1"/>
    <col min="15620" max="15620" width="3.7109375" style="878" customWidth="1"/>
    <col min="15621" max="15621" width="8.42578125" style="878" customWidth="1"/>
    <col min="15622" max="15622" width="8.7109375" style="878" customWidth="1"/>
    <col min="15623" max="15623" width="8.85546875" style="878"/>
    <col min="15624" max="15624" width="10.7109375" style="878" customWidth="1"/>
    <col min="15625" max="15872" width="8.85546875" style="878"/>
    <col min="15873" max="15873" width="3.140625" style="878" customWidth="1"/>
    <col min="15874" max="15874" width="27.42578125" style="878" customWidth="1"/>
    <col min="15875" max="15875" width="4.28515625" style="878" customWidth="1"/>
    <col min="15876" max="15876" width="3.7109375" style="878" customWidth="1"/>
    <col min="15877" max="15877" width="8.42578125" style="878" customWidth="1"/>
    <col min="15878" max="15878" width="8.7109375" style="878" customWidth="1"/>
    <col min="15879" max="15879" width="8.85546875" style="878"/>
    <col min="15880" max="15880" width="10.7109375" style="878" customWidth="1"/>
    <col min="15881" max="16128" width="8.85546875" style="878"/>
    <col min="16129" max="16129" width="3.140625" style="878" customWidth="1"/>
    <col min="16130" max="16130" width="27.42578125" style="878" customWidth="1"/>
    <col min="16131" max="16131" width="4.28515625" style="878" customWidth="1"/>
    <col min="16132" max="16132" width="3.7109375" style="878" customWidth="1"/>
    <col min="16133" max="16133" width="8.42578125" style="878" customWidth="1"/>
    <col min="16134" max="16134" width="8.7109375" style="878" customWidth="1"/>
    <col min="16135" max="16135" width="8.85546875" style="878"/>
    <col min="16136" max="16136" width="10.7109375" style="878" customWidth="1"/>
    <col min="16137" max="16384" width="8.85546875" style="878"/>
  </cols>
  <sheetData>
    <row r="1" spans="1:8" ht="23.25">
      <c r="A1" s="3013" t="s">
        <v>1975</v>
      </c>
      <c r="B1" s="3013"/>
      <c r="C1" s="3013"/>
      <c r="D1" s="3013"/>
      <c r="E1" s="3013"/>
      <c r="F1" s="3013"/>
      <c r="G1" s="3013"/>
      <c r="H1" s="3013"/>
    </row>
    <row r="2" spans="1:8">
      <c r="A2" s="3024"/>
      <c r="B2" s="3024"/>
      <c r="C2" s="3024"/>
      <c r="D2" s="3024"/>
      <c r="E2" s="3024"/>
      <c r="F2" s="3024"/>
      <c r="G2" s="3024"/>
      <c r="H2" s="3024"/>
    </row>
    <row r="3" spans="1:8">
      <c r="A3" s="884"/>
      <c r="B3" s="884"/>
      <c r="C3" s="884"/>
      <c r="D3" s="884"/>
      <c r="E3" s="884"/>
      <c r="F3" s="884"/>
      <c r="G3" s="884"/>
      <c r="H3" s="1223"/>
    </row>
    <row r="4" spans="1:8">
      <c r="A4" s="1224"/>
      <c r="B4" s="1225"/>
      <c r="C4" s="1226"/>
      <c r="D4" s="1226"/>
      <c r="E4" s="1226"/>
      <c r="F4" s="1226" t="s">
        <v>1108</v>
      </c>
      <c r="G4" s="1226" t="s">
        <v>1976</v>
      </c>
      <c r="H4" s="1227" t="s">
        <v>52</v>
      </c>
    </row>
    <row r="5" spans="1:8">
      <c r="A5" s="1228" t="s">
        <v>405</v>
      </c>
      <c r="B5" s="1229" t="s">
        <v>1977</v>
      </c>
      <c r="C5" s="1229" t="s">
        <v>1035</v>
      </c>
      <c r="D5" s="1230" t="s">
        <v>1310</v>
      </c>
      <c r="E5" s="1230" t="s">
        <v>1978</v>
      </c>
      <c r="F5" s="1230" t="s">
        <v>1979</v>
      </c>
      <c r="G5" s="1230" t="s">
        <v>1980</v>
      </c>
      <c r="H5" s="1231"/>
    </row>
    <row r="6" spans="1:8">
      <c r="A6" s="1232"/>
      <c r="B6" s="1233"/>
      <c r="C6" s="1233"/>
      <c r="D6" s="1233"/>
      <c r="E6" s="1234" t="s">
        <v>1034</v>
      </c>
      <c r="F6" s="1234" t="s">
        <v>1034</v>
      </c>
      <c r="G6" s="1234" t="s">
        <v>1981</v>
      </c>
      <c r="H6" s="1235" t="s">
        <v>1981</v>
      </c>
    </row>
    <row r="7" spans="1:8">
      <c r="A7" s="987">
        <v>1</v>
      </c>
      <c r="B7" s="987" t="s">
        <v>1982</v>
      </c>
      <c r="C7" s="1236" t="s">
        <v>1983</v>
      </c>
      <c r="D7" s="1236">
        <v>10</v>
      </c>
      <c r="E7" s="1237">
        <v>2.4</v>
      </c>
      <c r="F7" s="1237">
        <f>D7*E7</f>
        <v>24</v>
      </c>
      <c r="G7" s="1238">
        <v>535</v>
      </c>
      <c r="H7" s="1239">
        <f>D7*G7</f>
        <v>5350</v>
      </c>
    </row>
    <row r="8" spans="1:8">
      <c r="A8" s="987">
        <f t="shared" ref="A8:A38" si="0">A7+1</f>
        <v>2</v>
      </c>
      <c r="B8" s="987" t="s">
        <v>1984</v>
      </c>
      <c r="C8" s="1236" t="s">
        <v>1983</v>
      </c>
      <c r="D8" s="1236">
        <v>10</v>
      </c>
      <c r="E8" s="1237">
        <v>5</v>
      </c>
      <c r="F8" s="1237">
        <f t="shared" ref="F8:F38" si="1">D8*E8</f>
        <v>50</v>
      </c>
      <c r="G8" s="1238">
        <v>523</v>
      </c>
      <c r="H8" s="1239">
        <f t="shared" ref="H8:H38" si="2">D8*G8</f>
        <v>5230</v>
      </c>
    </row>
    <row r="9" spans="1:8">
      <c r="A9" s="987">
        <f t="shared" si="0"/>
        <v>3</v>
      </c>
      <c r="B9" s="987" t="s">
        <v>1985</v>
      </c>
      <c r="C9" s="1236" t="s">
        <v>1983</v>
      </c>
      <c r="D9" s="1236">
        <v>10</v>
      </c>
      <c r="E9" s="1237">
        <v>2</v>
      </c>
      <c r="F9" s="1237">
        <f t="shared" si="1"/>
        <v>20</v>
      </c>
      <c r="G9" s="1238">
        <v>330</v>
      </c>
      <c r="H9" s="1239">
        <f t="shared" si="2"/>
        <v>3300</v>
      </c>
    </row>
    <row r="10" spans="1:8">
      <c r="A10" s="987">
        <v>2</v>
      </c>
      <c r="B10" s="987" t="s">
        <v>1986</v>
      </c>
      <c r="C10" s="1236" t="s">
        <v>1983</v>
      </c>
      <c r="D10" s="1236">
        <v>6</v>
      </c>
      <c r="E10" s="1237">
        <v>3.5</v>
      </c>
      <c r="F10" s="1237">
        <f t="shared" si="1"/>
        <v>21</v>
      </c>
      <c r="G10" s="1238">
        <v>1660</v>
      </c>
      <c r="H10" s="1239">
        <f t="shared" si="2"/>
        <v>9960</v>
      </c>
    </row>
    <row r="11" spans="1:8">
      <c r="A11" s="987">
        <f t="shared" si="0"/>
        <v>3</v>
      </c>
      <c r="B11" s="987" t="s">
        <v>1987</v>
      </c>
      <c r="C11" s="1236" t="s">
        <v>1983</v>
      </c>
      <c r="D11" s="1236">
        <v>4</v>
      </c>
      <c r="E11" s="1237">
        <v>4.55</v>
      </c>
      <c r="F11" s="1237">
        <f t="shared" si="1"/>
        <v>18.2</v>
      </c>
      <c r="G11" s="1238">
        <v>1160</v>
      </c>
      <c r="H11" s="1239">
        <f t="shared" si="2"/>
        <v>4640</v>
      </c>
    </row>
    <row r="12" spans="1:8">
      <c r="A12" s="987">
        <f t="shared" si="0"/>
        <v>4</v>
      </c>
      <c r="B12" s="987" t="s">
        <v>1988</v>
      </c>
      <c r="C12" s="1236" t="s">
        <v>1983</v>
      </c>
      <c r="D12" s="1236">
        <v>4</v>
      </c>
      <c r="E12" s="1237">
        <v>1</v>
      </c>
      <c r="F12" s="1237">
        <f t="shared" si="1"/>
        <v>4</v>
      </c>
      <c r="G12" s="1238">
        <v>357</v>
      </c>
      <c r="H12" s="1239">
        <f t="shared" si="2"/>
        <v>1428</v>
      </c>
    </row>
    <row r="13" spans="1:8">
      <c r="A13" s="987">
        <v>3</v>
      </c>
      <c r="B13" s="987" t="s">
        <v>1989</v>
      </c>
      <c r="C13" s="1236" t="s">
        <v>1983</v>
      </c>
      <c r="D13" s="1236">
        <v>4</v>
      </c>
      <c r="E13" s="1237">
        <v>2</v>
      </c>
      <c r="F13" s="1237">
        <f t="shared" si="1"/>
        <v>8</v>
      </c>
      <c r="G13" s="1238">
        <v>620</v>
      </c>
      <c r="H13" s="1239">
        <f t="shared" si="2"/>
        <v>2480</v>
      </c>
    </row>
    <row r="14" spans="1:8">
      <c r="A14" s="987">
        <f t="shared" si="0"/>
        <v>4</v>
      </c>
      <c r="B14" s="987" t="s">
        <v>1990</v>
      </c>
      <c r="C14" s="1236" t="s">
        <v>1983</v>
      </c>
      <c r="D14" s="1236">
        <v>4</v>
      </c>
      <c r="E14" s="1237">
        <v>10</v>
      </c>
      <c r="F14" s="1237">
        <f t="shared" si="1"/>
        <v>40</v>
      </c>
      <c r="G14" s="1238">
        <v>1593</v>
      </c>
      <c r="H14" s="1239">
        <f t="shared" si="2"/>
        <v>6372</v>
      </c>
    </row>
    <row r="15" spans="1:8">
      <c r="A15" s="987">
        <f t="shared" si="0"/>
        <v>5</v>
      </c>
      <c r="B15" s="987" t="s">
        <v>1991</v>
      </c>
      <c r="C15" s="1236" t="s">
        <v>1983</v>
      </c>
      <c r="D15" s="1236">
        <v>4</v>
      </c>
      <c r="E15" s="1237">
        <v>2.5</v>
      </c>
      <c r="F15" s="1237">
        <f t="shared" si="1"/>
        <v>10</v>
      </c>
      <c r="G15" s="1238">
        <v>655.20000000000005</v>
      </c>
      <c r="H15" s="1239">
        <f t="shared" si="2"/>
        <v>2620.8000000000002</v>
      </c>
    </row>
    <row r="16" spans="1:8">
      <c r="A16" s="987">
        <v>4</v>
      </c>
      <c r="B16" s="987" t="s">
        <v>1992</v>
      </c>
      <c r="C16" s="1236" t="s">
        <v>1983</v>
      </c>
      <c r="D16" s="1236">
        <v>4</v>
      </c>
      <c r="E16" s="1237">
        <v>3.5</v>
      </c>
      <c r="F16" s="1237">
        <f t="shared" si="1"/>
        <v>14</v>
      </c>
      <c r="G16" s="1238">
        <v>1542</v>
      </c>
      <c r="H16" s="1239">
        <f t="shared" si="2"/>
        <v>6168</v>
      </c>
    </row>
    <row r="17" spans="1:8">
      <c r="A17" s="987">
        <f t="shared" si="0"/>
        <v>5</v>
      </c>
      <c r="B17" s="987" t="s">
        <v>1993</v>
      </c>
      <c r="C17" s="1236" t="s">
        <v>354</v>
      </c>
      <c r="D17" s="1236">
        <v>1</v>
      </c>
      <c r="E17" s="1237">
        <v>0.01</v>
      </c>
      <c r="F17" s="1237">
        <f t="shared" si="1"/>
        <v>0.01</v>
      </c>
      <c r="G17" s="1238">
        <v>450</v>
      </c>
      <c r="H17" s="1239">
        <f t="shared" si="2"/>
        <v>450</v>
      </c>
    </row>
    <row r="18" spans="1:8">
      <c r="A18" s="987">
        <f t="shared" si="0"/>
        <v>6</v>
      </c>
      <c r="B18" s="987" t="s">
        <v>1994</v>
      </c>
      <c r="C18" s="1236" t="s">
        <v>1983</v>
      </c>
      <c r="D18" s="1236">
        <v>1</v>
      </c>
      <c r="E18" s="1237"/>
      <c r="F18" s="1237">
        <f t="shared" si="1"/>
        <v>0</v>
      </c>
      <c r="G18" s="1238">
        <v>4338</v>
      </c>
      <c r="H18" s="1239">
        <f t="shared" si="2"/>
        <v>4338</v>
      </c>
    </row>
    <row r="19" spans="1:8">
      <c r="A19" s="987">
        <v>5</v>
      </c>
      <c r="B19" s="987" t="s">
        <v>1995</v>
      </c>
      <c r="C19" s="1236" t="s">
        <v>1983</v>
      </c>
      <c r="D19" s="1236">
        <v>4</v>
      </c>
      <c r="E19" s="1237">
        <v>1</v>
      </c>
      <c r="F19" s="1237">
        <f t="shared" si="1"/>
        <v>4</v>
      </c>
      <c r="G19" s="1238">
        <v>960</v>
      </c>
      <c r="H19" s="1239">
        <f t="shared" si="2"/>
        <v>3840</v>
      </c>
    </row>
    <row r="20" spans="1:8">
      <c r="A20" s="987">
        <f t="shared" si="0"/>
        <v>6</v>
      </c>
      <c r="B20" s="987" t="s">
        <v>1996</v>
      </c>
      <c r="C20" s="1236" t="s">
        <v>1983</v>
      </c>
      <c r="D20" s="1236">
        <v>30</v>
      </c>
      <c r="E20" s="1237"/>
      <c r="F20" s="1237">
        <f t="shared" si="1"/>
        <v>0</v>
      </c>
      <c r="G20" s="1238">
        <v>15</v>
      </c>
      <c r="H20" s="1239">
        <f t="shared" si="2"/>
        <v>450</v>
      </c>
    </row>
    <row r="21" spans="1:8">
      <c r="A21" s="987">
        <f t="shared" si="0"/>
        <v>7</v>
      </c>
      <c r="B21" s="987" t="s">
        <v>1997</v>
      </c>
      <c r="C21" s="1236" t="s">
        <v>1983</v>
      </c>
      <c r="D21" s="1236">
        <v>4</v>
      </c>
      <c r="E21" s="1237">
        <v>3</v>
      </c>
      <c r="F21" s="1237">
        <f t="shared" si="1"/>
        <v>12</v>
      </c>
      <c r="G21" s="1238">
        <v>2956.8</v>
      </c>
      <c r="H21" s="1239">
        <f t="shared" si="2"/>
        <v>11827.2</v>
      </c>
    </row>
    <row r="22" spans="1:8">
      <c r="A22" s="987">
        <v>6</v>
      </c>
      <c r="B22" s="987" t="s">
        <v>1998</v>
      </c>
      <c r="C22" s="1236" t="s">
        <v>1983</v>
      </c>
      <c r="D22" s="1236">
        <v>4</v>
      </c>
      <c r="E22" s="1237">
        <v>2.5</v>
      </c>
      <c r="F22" s="1237">
        <f t="shared" si="1"/>
        <v>10</v>
      </c>
      <c r="G22" s="1238">
        <v>1575</v>
      </c>
      <c r="H22" s="1239">
        <f t="shared" si="2"/>
        <v>6300</v>
      </c>
    </row>
    <row r="23" spans="1:8">
      <c r="A23" s="987">
        <f t="shared" si="0"/>
        <v>7</v>
      </c>
      <c r="B23" s="987" t="s">
        <v>1999</v>
      </c>
      <c r="C23" s="1236" t="s">
        <v>1983</v>
      </c>
      <c r="D23" s="1236">
        <v>4</v>
      </c>
      <c r="E23" s="1237">
        <v>1.5</v>
      </c>
      <c r="F23" s="1237">
        <f t="shared" si="1"/>
        <v>6</v>
      </c>
      <c r="G23" s="1238">
        <v>739.2</v>
      </c>
      <c r="H23" s="1239">
        <f t="shared" si="2"/>
        <v>2956.8</v>
      </c>
    </row>
    <row r="24" spans="1:8">
      <c r="A24" s="987">
        <f t="shared" si="0"/>
        <v>8</v>
      </c>
      <c r="B24" s="987" t="s">
        <v>2000</v>
      </c>
      <c r="C24" s="1236" t="s">
        <v>1983</v>
      </c>
      <c r="D24" s="1236">
        <v>4</v>
      </c>
      <c r="E24" s="1237">
        <v>2.4</v>
      </c>
      <c r="F24" s="1237">
        <f t="shared" si="1"/>
        <v>9.6</v>
      </c>
      <c r="G24" s="1238">
        <v>1050</v>
      </c>
      <c r="H24" s="1239">
        <f t="shared" si="2"/>
        <v>4200</v>
      </c>
    </row>
    <row r="25" spans="1:8">
      <c r="A25" s="987">
        <v>7</v>
      </c>
      <c r="B25" s="987" t="s">
        <v>2001</v>
      </c>
      <c r="C25" s="1236" t="s">
        <v>1983</v>
      </c>
      <c r="D25" s="1236">
        <v>4</v>
      </c>
      <c r="E25" s="1237">
        <v>2.4</v>
      </c>
      <c r="F25" s="1237">
        <f t="shared" si="1"/>
        <v>9.6</v>
      </c>
      <c r="G25" s="1238">
        <v>513.6</v>
      </c>
      <c r="H25" s="1239">
        <f t="shared" si="2"/>
        <v>2054.4</v>
      </c>
    </row>
    <row r="26" spans="1:8">
      <c r="A26" s="987">
        <f t="shared" si="0"/>
        <v>8</v>
      </c>
      <c r="B26" s="987" t="s">
        <v>2002</v>
      </c>
      <c r="C26" s="1236" t="s">
        <v>1983</v>
      </c>
      <c r="D26" s="1236">
        <v>4</v>
      </c>
      <c r="E26" s="1237">
        <v>0.6</v>
      </c>
      <c r="F26" s="1237">
        <f t="shared" si="1"/>
        <v>2.4</v>
      </c>
      <c r="G26" s="1238">
        <v>175</v>
      </c>
      <c r="H26" s="1239">
        <f t="shared" si="2"/>
        <v>700</v>
      </c>
    </row>
    <row r="27" spans="1:8">
      <c r="A27" s="987">
        <f t="shared" si="0"/>
        <v>9</v>
      </c>
      <c r="B27" s="987" t="s">
        <v>2003</v>
      </c>
      <c r="C27" s="1236" t="s">
        <v>2004</v>
      </c>
      <c r="D27" s="1236">
        <v>4</v>
      </c>
      <c r="E27" s="1237">
        <v>0.5</v>
      </c>
      <c r="F27" s="1237">
        <f t="shared" si="1"/>
        <v>2</v>
      </c>
      <c r="G27" s="1238">
        <v>72</v>
      </c>
      <c r="H27" s="1239">
        <f t="shared" si="2"/>
        <v>288</v>
      </c>
    </row>
    <row r="28" spans="1:8">
      <c r="A28" s="987">
        <v>8</v>
      </c>
      <c r="B28" s="987" t="s">
        <v>2005</v>
      </c>
      <c r="C28" s="1236" t="s">
        <v>1983</v>
      </c>
      <c r="D28" s="1236">
        <v>4</v>
      </c>
      <c r="E28" s="1237">
        <v>0.4</v>
      </c>
      <c r="F28" s="1237">
        <f t="shared" si="1"/>
        <v>1.6</v>
      </c>
      <c r="G28" s="1238">
        <v>365</v>
      </c>
      <c r="H28" s="1239">
        <f t="shared" si="2"/>
        <v>1460</v>
      </c>
    </row>
    <row r="29" spans="1:8">
      <c r="A29" s="987">
        <f t="shared" si="0"/>
        <v>9</v>
      </c>
      <c r="B29" s="987" t="s">
        <v>2006</v>
      </c>
      <c r="C29" s="1236" t="s">
        <v>1983</v>
      </c>
      <c r="D29" s="1236">
        <v>4</v>
      </c>
      <c r="E29" s="1237">
        <v>1</v>
      </c>
      <c r="F29" s="1237">
        <f t="shared" si="1"/>
        <v>4</v>
      </c>
      <c r="G29" s="1238">
        <v>300</v>
      </c>
      <c r="H29" s="1239">
        <f t="shared" si="2"/>
        <v>1200</v>
      </c>
    </row>
    <row r="30" spans="1:8">
      <c r="A30" s="987">
        <f t="shared" si="0"/>
        <v>10</v>
      </c>
      <c r="B30" s="987" t="s">
        <v>2007</v>
      </c>
      <c r="C30" s="1236" t="s">
        <v>1983</v>
      </c>
      <c r="D30" s="1236">
        <v>4</v>
      </c>
      <c r="E30" s="1237">
        <v>0.25</v>
      </c>
      <c r="F30" s="1237">
        <f t="shared" si="1"/>
        <v>1</v>
      </c>
      <c r="G30" s="1238">
        <v>90</v>
      </c>
      <c r="H30" s="1239">
        <f t="shared" si="2"/>
        <v>360</v>
      </c>
    </row>
    <row r="31" spans="1:8">
      <c r="A31" s="987">
        <v>9</v>
      </c>
      <c r="B31" s="987" t="s">
        <v>2008</v>
      </c>
      <c r="C31" s="1236" t="s">
        <v>1983</v>
      </c>
      <c r="D31" s="1236">
        <v>4</v>
      </c>
      <c r="E31" s="1237">
        <v>0.1</v>
      </c>
      <c r="F31" s="1237">
        <f t="shared" si="1"/>
        <v>0.4</v>
      </c>
      <c r="G31" s="1238">
        <v>75</v>
      </c>
      <c r="H31" s="1239">
        <f t="shared" si="2"/>
        <v>300</v>
      </c>
    </row>
    <row r="32" spans="1:8">
      <c r="A32" s="987">
        <f t="shared" si="0"/>
        <v>10</v>
      </c>
      <c r="B32" s="987" t="s">
        <v>2009</v>
      </c>
      <c r="C32" s="1236" t="s">
        <v>1983</v>
      </c>
      <c r="D32" s="1236">
        <v>4</v>
      </c>
      <c r="E32" s="1237">
        <v>0.5</v>
      </c>
      <c r="F32" s="1237">
        <f t="shared" si="1"/>
        <v>2</v>
      </c>
      <c r="G32" s="1238">
        <v>84</v>
      </c>
      <c r="H32" s="1239">
        <f t="shared" si="2"/>
        <v>336</v>
      </c>
    </row>
    <row r="33" spans="1:8">
      <c r="A33" s="987">
        <f t="shared" si="0"/>
        <v>11</v>
      </c>
      <c r="B33" s="987" t="s">
        <v>2010</v>
      </c>
      <c r="C33" s="1236" t="s">
        <v>517</v>
      </c>
      <c r="D33" s="1236">
        <v>2</v>
      </c>
      <c r="E33" s="1237">
        <v>0.8</v>
      </c>
      <c r="F33" s="1237">
        <f t="shared" si="1"/>
        <v>1.6</v>
      </c>
      <c r="G33" s="1238">
        <v>4113.6000000000004</v>
      </c>
      <c r="H33" s="1239">
        <f t="shared" si="2"/>
        <v>8227.2000000000007</v>
      </c>
    </row>
    <row r="34" spans="1:8">
      <c r="A34" s="987">
        <v>10</v>
      </c>
      <c r="B34" s="987" t="s">
        <v>2011</v>
      </c>
      <c r="C34" s="1236" t="s">
        <v>517</v>
      </c>
      <c r="D34" s="1236">
        <v>2</v>
      </c>
      <c r="E34" s="1237">
        <v>1</v>
      </c>
      <c r="F34" s="1237">
        <f t="shared" si="1"/>
        <v>2</v>
      </c>
      <c r="G34" s="1238">
        <v>8740.7999999999993</v>
      </c>
      <c r="H34" s="1239">
        <f t="shared" si="2"/>
        <v>17481.599999999999</v>
      </c>
    </row>
    <row r="35" spans="1:8">
      <c r="A35" s="987">
        <f t="shared" si="0"/>
        <v>11</v>
      </c>
      <c r="B35" s="987" t="s">
        <v>2012</v>
      </c>
      <c r="C35" s="1236" t="s">
        <v>517</v>
      </c>
      <c r="D35" s="1236">
        <v>2</v>
      </c>
      <c r="E35" s="1237">
        <v>0.5</v>
      </c>
      <c r="F35" s="1237">
        <f t="shared" si="1"/>
        <v>1</v>
      </c>
      <c r="G35" s="1238">
        <v>2887.2</v>
      </c>
      <c r="H35" s="1239">
        <f t="shared" si="2"/>
        <v>5774.4</v>
      </c>
    </row>
    <row r="36" spans="1:8">
      <c r="A36" s="987">
        <f t="shared" si="0"/>
        <v>12</v>
      </c>
      <c r="B36" s="987" t="s">
        <v>2013</v>
      </c>
      <c r="C36" s="1236" t="s">
        <v>517</v>
      </c>
      <c r="D36" s="1236">
        <v>2</v>
      </c>
      <c r="E36" s="1237">
        <v>0.5</v>
      </c>
      <c r="F36" s="1237">
        <f t="shared" si="1"/>
        <v>1</v>
      </c>
      <c r="G36" s="1238">
        <v>1645.2</v>
      </c>
      <c r="H36" s="1239">
        <f t="shared" si="2"/>
        <v>3290.4</v>
      </c>
    </row>
    <row r="37" spans="1:8">
      <c r="A37" s="987">
        <v>11</v>
      </c>
      <c r="B37" s="987" t="s">
        <v>2014</v>
      </c>
      <c r="C37" s="1236" t="s">
        <v>2015</v>
      </c>
      <c r="D37" s="1236">
        <v>2</v>
      </c>
      <c r="E37" s="1237">
        <v>1.5</v>
      </c>
      <c r="F37" s="1237">
        <f t="shared" si="1"/>
        <v>3</v>
      </c>
      <c r="G37" s="1238">
        <v>164.4</v>
      </c>
      <c r="H37" s="1239">
        <f t="shared" si="2"/>
        <v>328.8</v>
      </c>
    </row>
    <row r="38" spans="1:8">
      <c r="A38" s="987">
        <f t="shared" si="0"/>
        <v>12</v>
      </c>
      <c r="B38" s="987" t="s">
        <v>2016</v>
      </c>
      <c r="C38" s="1236" t="s">
        <v>1983</v>
      </c>
      <c r="D38" s="1236">
        <v>2</v>
      </c>
      <c r="E38" s="1237">
        <v>0.75</v>
      </c>
      <c r="F38" s="1237">
        <f t="shared" si="1"/>
        <v>1.5</v>
      </c>
      <c r="G38" s="1238">
        <v>800</v>
      </c>
      <c r="H38" s="1239">
        <f t="shared" si="2"/>
        <v>1600</v>
      </c>
    </row>
    <row r="39" spans="1:8" ht="21.75" customHeight="1">
      <c r="A39" s="1240"/>
      <c r="B39" s="1241"/>
      <c r="C39" s="1241"/>
      <c r="D39" s="1242"/>
      <c r="E39" s="1242" t="s">
        <v>99</v>
      </c>
      <c r="F39" s="1243">
        <f>SUM(F7:F38)</f>
        <v>283.90999999999997</v>
      </c>
      <c r="G39" s="1242"/>
      <c r="H39" s="1244">
        <f>SUM(H7:H38)</f>
        <v>125311.59999999999</v>
      </c>
    </row>
    <row r="40" spans="1:8" ht="15" customHeight="1">
      <c r="A40" s="1245"/>
      <c r="B40" s="880" t="s">
        <v>1535</v>
      </c>
      <c r="C40" s="884"/>
      <c r="D40" s="884"/>
      <c r="E40" s="884"/>
      <c r="F40" s="884"/>
      <c r="G40" s="1246">
        <v>13</v>
      </c>
      <c r="H40" s="1247">
        <f>H39*G40/100</f>
        <v>16290.507999999998</v>
      </c>
    </row>
    <row r="41" spans="1:8" ht="16.5" customHeight="1">
      <c r="A41" s="1248"/>
      <c r="B41" s="1249" t="s">
        <v>1715</v>
      </c>
      <c r="C41" s="1250"/>
      <c r="D41" s="1250"/>
      <c r="E41" s="1250"/>
      <c r="F41" s="1250"/>
      <c r="G41" s="1251" t="s">
        <v>107</v>
      </c>
      <c r="H41" s="1252">
        <f>H40+H39</f>
        <v>141602.10799999998</v>
      </c>
    </row>
  </sheetData>
  <mergeCells count="2">
    <mergeCell ref="A1:H1"/>
    <mergeCell ref="A2:H2"/>
  </mergeCells>
  <printOptions horizontalCentered="1"/>
  <pageMargins left="0.7" right="0.7" top="0.75" bottom="0.75" header="0.3" footer="0.3"/>
  <pageSetup paperSize="9" orientation="portrait" horizontalDpi="4294967293" verticalDpi="300" r:id="rId1"/>
  <headerFooter alignWithMargins="0">
    <oddFooter>&amp;LEstimated by&amp;CChecked by&amp;RApproved by</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0000"/>
  </sheetPr>
  <dimension ref="A1:AC131"/>
  <sheetViews>
    <sheetView workbookViewId="0"/>
  </sheetViews>
  <sheetFormatPr defaultColWidth="9.140625" defaultRowHeight="15"/>
  <cols>
    <col min="1" max="1" width="6" style="1211" customWidth="1"/>
    <col min="2" max="2" width="33.28515625" style="1211" bestFit="1" customWidth="1"/>
    <col min="3" max="3" width="11.7109375" style="1211" customWidth="1"/>
    <col min="4" max="4" width="6.140625" style="1211" bestFit="1" customWidth="1"/>
    <col min="5" max="5" width="6.140625" style="1211" customWidth="1"/>
    <col min="6" max="6" width="3.85546875" style="1211" hidden="1" customWidth="1"/>
    <col min="7" max="7" width="5.7109375" style="1211" customWidth="1"/>
    <col min="8" max="8" width="6.28515625" style="1211" hidden="1" customWidth="1"/>
    <col min="9" max="9" width="6" style="1211" hidden="1" customWidth="1"/>
    <col min="10" max="10" width="5.7109375" style="1211" customWidth="1"/>
    <col min="11" max="11" width="5" style="1211" hidden="1" customWidth="1"/>
    <col min="12" max="12" width="6.5703125" style="1211" hidden="1" customWidth="1"/>
    <col min="13" max="13" width="7.140625" style="1211" hidden="1" customWidth="1"/>
    <col min="14" max="14" width="6.5703125" style="1211" hidden="1" customWidth="1"/>
    <col min="15" max="15" width="6.42578125" style="1211" customWidth="1"/>
    <col min="16" max="16" width="5.28515625" style="1211" customWidth="1"/>
    <col min="17" max="17" width="5.7109375" style="1211" hidden="1" customWidth="1"/>
    <col min="18" max="18" width="6.140625" style="1211" hidden="1" customWidth="1"/>
    <col min="19" max="21" width="5.7109375" style="1211" customWidth="1"/>
    <col min="22" max="22" width="5.28515625" style="1211" hidden="1" customWidth="1"/>
    <col min="23" max="23" width="5.7109375" style="1211" hidden="1" customWidth="1"/>
    <col min="24" max="24" width="5.5703125" style="1211" hidden="1" customWidth="1"/>
    <col min="25" max="25" width="6.28515625" style="1211" customWidth="1"/>
    <col min="26" max="26" width="8.140625" style="1211" customWidth="1"/>
    <col min="27" max="27" width="11.7109375" style="1211" customWidth="1"/>
    <col min="28" max="28" width="9" style="1211" customWidth="1"/>
    <col min="29" max="29" width="11.7109375" style="1211" customWidth="1"/>
    <col min="30" max="16384" width="9.140625" style="1211"/>
  </cols>
  <sheetData>
    <row r="1" spans="1:29" s="1208" customFormat="1" ht="18.75">
      <c r="A1" s="1205" t="s">
        <v>1726</v>
      </c>
      <c r="B1" s="1206"/>
      <c r="C1" s="1207">
        <f>'Salient feature'!D8</f>
        <v>1</v>
      </c>
    </row>
    <row r="2" spans="1:29" s="1208" customFormat="1" ht="18.75">
      <c r="A2" s="1205" t="s">
        <v>1727</v>
      </c>
      <c r="B2" s="1206"/>
      <c r="C2" s="1208" t="s">
        <v>1256</v>
      </c>
    </row>
    <row r="3" spans="1:29" s="1208" customFormat="1" ht="15.75">
      <c r="A3" s="1209" t="s">
        <v>1728</v>
      </c>
      <c r="B3" s="1206"/>
    </row>
    <row r="4" spans="1:29">
      <c r="A4" s="1210"/>
    </row>
    <row r="5" spans="1:29" s="1214" customFormat="1" ht="45">
      <c r="A5" s="1212" t="s">
        <v>1729</v>
      </c>
      <c r="B5" s="3025" t="s">
        <v>1423</v>
      </c>
      <c r="C5" s="3025" t="s">
        <v>1730</v>
      </c>
      <c r="D5" s="1212" t="s">
        <v>1731</v>
      </c>
      <c r="E5" s="1212" t="s">
        <v>1732</v>
      </c>
      <c r="F5" s="1212" t="s">
        <v>1733</v>
      </c>
      <c r="G5" s="1212" t="s">
        <v>1734</v>
      </c>
      <c r="H5" s="1212" t="s">
        <v>1735</v>
      </c>
      <c r="I5" s="1212" t="s">
        <v>1736</v>
      </c>
      <c r="J5" s="1212" t="s">
        <v>1737</v>
      </c>
      <c r="K5" s="1212" t="s">
        <v>1738</v>
      </c>
      <c r="L5" s="1212" t="e">
        <f>'sum cost_All'!#REF!</f>
        <v>#REF!</v>
      </c>
      <c r="M5" s="1212" t="e">
        <f>'sum cost_All'!#REF!</f>
        <v>#REF!</v>
      </c>
      <c r="N5" s="1212" t="e">
        <f>'sum cost_All'!#REF!</f>
        <v>#REF!</v>
      </c>
      <c r="O5" s="1212" t="e">
        <f>'sum cost_All'!#REF!</f>
        <v>#REF!</v>
      </c>
      <c r="P5" s="1212" t="s">
        <v>1739</v>
      </c>
      <c r="Q5" s="1212" t="s">
        <v>1740</v>
      </c>
      <c r="R5" s="1212" t="s">
        <v>1741</v>
      </c>
      <c r="S5" s="1212" t="s">
        <v>1742</v>
      </c>
      <c r="T5" s="1212" t="s">
        <v>1743</v>
      </c>
      <c r="U5" s="1212" t="s">
        <v>1744</v>
      </c>
      <c r="V5" s="1212" t="s">
        <v>1745</v>
      </c>
      <c r="W5" s="1212" t="s">
        <v>1746</v>
      </c>
      <c r="X5" s="1212" t="s">
        <v>1747</v>
      </c>
      <c r="Y5" s="1212" t="s">
        <v>1748</v>
      </c>
      <c r="Z5" s="1212" t="s">
        <v>1749</v>
      </c>
      <c r="AA5" s="1213" t="s">
        <v>1750</v>
      </c>
      <c r="AB5" s="1213" t="s">
        <v>1751</v>
      </c>
      <c r="AC5" s="1213" t="s">
        <v>1752</v>
      </c>
    </row>
    <row r="6" spans="1:29" s="1214" customFormat="1">
      <c r="A6" s="1212"/>
      <c r="B6" s="3026"/>
      <c r="C6" s="3026"/>
      <c r="D6" s="1212" t="s">
        <v>1753</v>
      </c>
      <c r="E6" s="1212">
        <v>6</v>
      </c>
      <c r="F6" s="1212">
        <v>0</v>
      </c>
      <c r="G6" s="1212">
        <v>2</v>
      </c>
      <c r="H6" s="1212">
        <v>0</v>
      </c>
      <c r="I6" s="1212">
        <v>0</v>
      </c>
      <c r="J6" s="1212">
        <v>1</v>
      </c>
      <c r="K6" s="1212">
        <v>0</v>
      </c>
      <c r="L6" s="1212">
        <v>0</v>
      </c>
      <c r="M6" s="1212">
        <v>0</v>
      </c>
      <c r="N6" s="1212">
        <v>0</v>
      </c>
      <c r="O6" s="1212">
        <v>2</v>
      </c>
      <c r="P6" s="1212">
        <v>1</v>
      </c>
      <c r="Q6" s="1212">
        <v>0</v>
      </c>
      <c r="R6" s="1212">
        <v>0</v>
      </c>
      <c r="S6" s="1212">
        <v>6</v>
      </c>
      <c r="T6" s="1212">
        <v>6</v>
      </c>
      <c r="U6" s="1212">
        <v>5</v>
      </c>
      <c r="V6" s="1212">
        <v>0</v>
      </c>
      <c r="W6" s="1212">
        <v>0</v>
      </c>
      <c r="X6" s="1212">
        <v>0</v>
      </c>
      <c r="Y6" s="1212"/>
      <c r="Z6" s="1212"/>
      <c r="AA6" s="1212"/>
      <c r="AB6" s="1212"/>
      <c r="AC6" s="1212"/>
    </row>
    <row r="7" spans="1:29" s="1214" customFormat="1">
      <c r="A7" s="1215">
        <v>1</v>
      </c>
      <c r="B7" s="1215" t="s">
        <v>1754</v>
      </c>
      <c r="C7" s="1215" t="s">
        <v>1755</v>
      </c>
      <c r="D7" s="1212" t="s">
        <v>973</v>
      </c>
      <c r="E7" s="1215"/>
      <c r="F7" s="1216"/>
      <c r="G7" s="1212"/>
      <c r="H7" s="1212"/>
      <c r="I7" s="1212"/>
      <c r="J7" s="1212"/>
      <c r="K7" s="1212"/>
      <c r="L7" s="1212"/>
      <c r="M7" s="1212"/>
      <c r="N7" s="1212"/>
      <c r="O7" s="1212"/>
      <c r="P7" s="1212">
        <v>2</v>
      </c>
      <c r="Q7" s="1212"/>
      <c r="R7" s="1212"/>
      <c r="S7" s="1212"/>
      <c r="T7" s="1216"/>
      <c r="U7" s="1212"/>
      <c r="V7" s="1212"/>
      <c r="W7" s="1212"/>
      <c r="X7" s="1212"/>
      <c r="Y7" s="1215">
        <f t="shared" ref="Y7:Y70" si="0">SUMPRODUCT(E7:X7,$E$6:$X$6)</f>
        <v>2</v>
      </c>
      <c r="Z7" s="1215">
        <v>0.13</v>
      </c>
      <c r="AA7" s="1215">
        <f>Y7*Z7</f>
        <v>0.26</v>
      </c>
      <c r="AB7" s="1215">
        <v>455</v>
      </c>
      <c r="AC7" s="1215">
        <f>Y7*AB7</f>
        <v>910</v>
      </c>
    </row>
    <row r="8" spans="1:29">
      <c r="A8" s="1215">
        <v>2</v>
      </c>
      <c r="B8" s="1215" t="s">
        <v>1756</v>
      </c>
      <c r="C8" s="1215" t="s">
        <v>1757</v>
      </c>
      <c r="D8" s="1215" t="s">
        <v>973</v>
      </c>
      <c r="E8" s="1215"/>
      <c r="F8" s="1215"/>
      <c r="G8" s="1215"/>
      <c r="H8" s="1215"/>
      <c r="I8" s="1215"/>
      <c r="J8" s="1215"/>
      <c r="K8" s="1215"/>
      <c r="L8" s="1215"/>
      <c r="M8" s="1215"/>
      <c r="N8" s="1215"/>
      <c r="O8" s="1215"/>
      <c r="P8" s="1215"/>
      <c r="Q8" s="1215"/>
      <c r="R8" s="1215"/>
      <c r="S8" s="1215">
        <v>4</v>
      </c>
      <c r="T8" s="1215">
        <v>4</v>
      </c>
      <c r="U8" s="1215"/>
      <c r="V8" s="1215"/>
      <c r="W8" s="1215"/>
      <c r="X8" s="1215"/>
      <c r="Y8" s="1215">
        <f t="shared" si="0"/>
        <v>48</v>
      </c>
      <c r="Z8" s="1215">
        <v>0.18</v>
      </c>
      <c r="AA8" s="1215">
        <f>Y8*Z8</f>
        <v>8.64</v>
      </c>
      <c r="AB8" s="1215">
        <v>484</v>
      </c>
      <c r="AC8" s="1215">
        <f t="shared" ref="AC8:AC71" si="1">Y8*AB8</f>
        <v>23232</v>
      </c>
    </row>
    <row r="9" spans="1:29">
      <c r="A9" s="1215">
        <v>3</v>
      </c>
      <c r="B9" s="1215" t="s">
        <v>1758</v>
      </c>
      <c r="C9" s="1215" t="s">
        <v>1759</v>
      </c>
      <c r="D9" s="1215" t="s">
        <v>973</v>
      </c>
      <c r="E9" s="1215">
        <v>5</v>
      </c>
      <c r="F9" s="1215"/>
      <c r="G9" s="1215">
        <v>2</v>
      </c>
      <c r="H9" s="1215"/>
      <c r="I9" s="1215"/>
      <c r="J9" s="1215"/>
      <c r="K9" s="1215"/>
      <c r="L9" s="1215"/>
      <c r="M9" s="1215"/>
      <c r="N9" s="1215"/>
      <c r="O9" s="1215"/>
      <c r="P9" s="1215"/>
      <c r="Q9" s="1215"/>
      <c r="R9" s="1215"/>
      <c r="S9" s="1215"/>
      <c r="T9" s="1215">
        <v>4</v>
      </c>
      <c r="U9" s="1215">
        <v>4</v>
      </c>
      <c r="V9" s="1215"/>
      <c r="W9" s="1215"/>
      <c r="X9" s="1215"/>
      <c r="Y9" s="1215">
        <f t="shared" si="0"/>
        <v>78</v>
      </c>
      <c r="Z9" s="1215">
        <v>0.25</v>
      </c>
      <c r="AA9" s="1215">
        <f t="shared" ref="AA9:AA73" si="2">Y9*Z9</f>
        <v>19.5</v>
      </c>
      <c r="AB9" s="1215">
        <v>717</v>
      </c>
      <c r="AC9" s="1215">
        <f t="shared" si="1"/>
        <v>55926</v>
      </c>
    </row>
    <row r="10" spans="1:29">
      <c r="A10" s="1215">
        <v>4</v>
      </c>
      <c r="B10" s="1215" t="s">
        <v>1760</v>
      </c>
      <c r="C10" s="1215" t="s">
        <v>1761</v>
      </c>
      <c r="D10" s="1215" t="s">
        <v>973</v>
      </c>
      <c r="E10" s="1215">
        <v>3</v>
      </c>
      <c r="F10" s="1215"/>
      <c r="G10" s="1215"/>
      <c r="H10" s="1215"/>
      <c r="I10" s="1215"/>
      <c r="J10" s="1215"/>
      <c r="K10" s="1215"/>
      <c r="L10" s="1215"/>
      <c r="M10" s="1215"/>
      <c r="N10" s="1215"/>
      <c r="O10" s="1215"/>
      <c r="P10" s="1215"/>
      <c r="Q10" s="1215"/>
      <c r="R10" s="1215"/>
      <c r="S10" s="1215">
        <v>6</v>
      </c>
      <c r="T10" s="1215"/>
      <c r="U10" s="1215">
        <v>4</v>
      </c>
      <c r="V10" s="1215"/>
      <c r="W10" s="1215"/>
      <c r="X10" s="1215"/>
      <c r="Y10" s="1215">
        <f t="shared" si="0"/>
        <v>74</v>
      </c>
      <c r="Z10" s="1215">
        <v>0.37</v>
      </c>
      <c r="AA10" s="1215">
        <f t="shared" si="2"/>
        <v>27.38</v>
      </c>
      <c r="AB10" s="1215">
        <v>979</v>
      </c>
      <c r="AC10" s="1215">
        <f t="shared" si="1"/>
        <v>72446</v>
      </c>
    </row>
    <row r="11" spans="1:29">
      <c r="A11" s="1215">
        <v>5</v>
      </c>
      <c r="B11" s="1215" t="s">
        <v>1762</v>
      </c>
      <c r="C11" s="1215" t="s">
        <v>1763</v>
      </c>
      <c r="D11" s="1215" t="s">
        <v>973</v>
      </c>
      <c r="E11" s="1215"/>
      <c r="F11" s="1215"/>
      <c r="G11" s="1215">
        <v>1</v>
      </c>
      <c r="H11" s="1215"/>
      <c r="I11" s="1215"/>
      <c r="J11" s="1215"/>
      <c r="K11" s="1215"/>
      <c r="L11" s="1215"/>
      <c r="M11" s="1215"/>
      <c r="N11" s="1215"/>
      <c r="O11" s="1215"/>
      <c r="P11" s="1215"/>
      <c r="Q11" s="1215"/>
      <c r="R11" s="1215"/>
      <c r="S11" s="1215">
        <v>2</v>
      </c>
      <c r="T11" s="1215"/>
      <c r="U11" s="1215"/>
      <c r="V11" s="1215"/>
      <c r="W11" s="1215"/>
      <c r="X11" s="1215"/>
      <c r="Y11" s="1215">
        <f t="shared" si="0"/>
        <v>14</v>
      </c>
      <c r="Z11" s="1215">
        <v>0.5</v>
      </c>
      <c r="AA11" s="1215">
        <f t="shared" si="2"/>
        <v>7</v>
      </c>
      <c r="AB11" s="1215">
        <v>1469</v>
      </c>
      <c r="AC11" s="1215">
        <f t="shared" si="1"/>
        <v>20566</v>
      </c>
    </row>
    <row r="12" spans="1:29" hidden="1">
      <c r="A12" s="1215">
        <v>6</v>
      </c>
      <c r="B12" s="1215" t="s">
        <v>1764</v>
      </c>
      <c r="C12" s="1215" t="s">
        <v>1765</v>
      </c>
      <c r="D12" s="1215" t="s">
        <v>1038</v>
      </c>
      <c r="E12" s="1215"/>
      <c r="F12" s="1215"/>
      <c r="G12" s="1215"/>
      <c r="H12" s="1215"/>
      <c r="I12" s="1215"/>
      <c r="J12" s="1215"/>
      <c r="K12" s="1215"/>
      <c r="L12" s="1215"/>
      <c r="M12" s="1215"/>
      <c r="N12" s="1215"/>
      <c r="O12" s="1215"/>
      <c r="P12" s="1215"/>
      <c r="Q12" s="1215"/>
      <c r="R12" s="1215"/>
      <c r="S12" s="1215"/>
      <c r="T12" s="1215"/>
      <c r="U12" s="1215"/>
      <c r="V12" s="1215"/>
      <c r="W12" s="1215"/>
      <c r="X12" s="1215"/>
      <c r="Y12" s="1215">
        <f t="shared" si="0"/>
        <v>0</v>
      </c>
      <c r="Z12" s="1215">
        <v>6</v>
      </c>
      <c r="AA12" s="1215">
        <f t="shared" si="2"/>
        <v>0</v>
      </c>
      <c r="AB12" s="1215">
        <v>2121</v>
      </c>
      <c r="AC12" s="1215">
        <f t="shared" si="1"/>
        <v>0</v>
      </c>
    </row>
    <row r="13" spans="1:29" hidden="1">
      <c r="A13" s="1215">
        <v>7</v>
      </c>
      <c r="B13" s="1215" t="s">
        <v>1766</v>
      </c>
      <c r="C13" s="1215" t="s">
        <v>1767</v>
      </c>
      <c r="D13" s="1215" t="s">
        <v>1038</v>
      </c>
      <c r="E13" s="1215"/>
      <c r="F13" s="1215"/>
      <c r="G13" s="1215"/>
      <c r="H13" s="1215"/>
      <c r="I13" s="1215"/>
      <c r="J13" s="1215"/>
      <c r="K13" s="1215"/>
      <c r="L13" s="1215"/>
      <c r="M13" s="1215"/>
      <c r="N13" s="1215"/>
      <c r="O13" s="1215"/>
      <c r="P13" s="1215"/>
      <c r="Q13" s="1215"/>
      <c r="R13" s="1215"/>
      <c r="S13" s="1215"/>
      <c r="T13" s="1215"/>
      <c r="U13" s="1215"/>
      <c r="V13" s="1215"/>
      <c r="W13" s="1215"/>
      <c r="X13" s="1215"/>
      <c r="Y13" s="1215">
        <f t="shared" si="0"/>
        <v>0</v>
      </c>
      <c r="Z13" s="1215">
        <v>3.75</v>
      </c>
      <c r="AA13" s="1215">
        <f t="shared" si="2"/>
        <v>0</v>
      </c>
      <c r="AB13" s="1215">
        <v>1532</v>
      </c>
      <c r="AC13" s="1215">
        <f t="shared" si="1"/>
        <v>0</v>
      </c>
    </row>
    <row r="14" spans="1:29" hidden="1">
      <c r="A14" s="1215">
        <v>8</v>
      </c>
      <c r="B14" s="1215" t="s">
        <v>1768</v>
      </c>
      <c r="C14" s="1215" t="s">
        <v>1769</v>
      </c>
      <c r="D14" s="1215" t="s">
        <v>973</v>
      </c>
      <c r="E14" s="1215"/>
      <c r="F14" s="1215"/>
      <c r="G14" s="1215"/>
      <c r="H14" s="1215"/>
      <c r="I14" s="1215"/>
      <c r="J14" s="1215"/>
      <c r="K14" s="1215"/>
      <c r="L14" s="1215"/>
      <c r="M14" s="1215"/>
      <c r="N14" s="1215"/>
      <c r="O14" s="1215"/>
      <c r="P14" s="1215"/>
      <c r="Q14" s="1215"/>
      <c r="R14" s="1215"/>
      <c r="S14" s="1215"/>
      <c r="T14" s="1215"/>
      <c r="U14" s="1215"/>
      <c r="V14" s="1215"/>
      <c r="W14" s="1215"/>
      <c r="X14" s="1215"/>
      <c r="Y14" s="1215">
        <f t="shared" si="0"/>
        <v>0</v>
      </c>
      <c r="Z14" s="1215">
        <v>1.97</v>
      </c>
      <c r="AA14" s="1215">
        <f t="shared" si="2"/>
        <v>0</v>
      </c>
      <c r="AB14" s="1215">
        <v>1320</v>
      </c>
      <c r="AC14" s="1215">
        <f t="shared" si="1"/>
        <v>0</v>
      </c>
    </row>
    <row r="15" spans="1:29">
      <c r="A15" s="1215">
        <v>9</v>
      </c>
      <c r="B15" s="1215" t="s">
        <v>1770</v>
      </c>
      <c r="C15" s="1215" t="s">
        <v>1771</v>
      </c>
      <c r="D15" s="1215" t="s">
        <v>973</v>
      </c>
      <c r="E15" s="1215"/>
      <c r="F15" s="1215"/>
      <c r="G15" s="1215"/>
      <c r="H15" s="1215"/>
      <c r="I15" s="1215"/>
      <c r="J15" s="1215"/>
      <c r="K15" s="1215"/>
      <c r="L15" s="1215"/>
      <c r="M15" s="1215"/>
      <c r="N15" s="1215"/>
      <c r="O15" s="1215">
        <v>4</v>
      </c>
      <c r="P15" s="1215">
        <v>1</v>
      </c>
      <c r="Q15" s="1215"/>
      <c r="R15" s="1215"/>
      <c r="S15" s="1215"/>
      <c r="T15" s="1215"/>
      <c r="U15" s="1215"/>
      <c r="V15" s="1215"/>
      <c r="W15" s="1215"/>
      <c r="X15" s="1215"/>
      <c r="Y15" s="1215">
        <f t="shared" si="0"/>
        <v>9</v>
      </c>
      <c r="Z15" s="1215">
        <v>0.1</v>
      </c>
      <c r="AA15" s="1215">
        <f t="shared" si="2"/>
        <v>0.9</v>
      </c>
      <c r="AB15" s="1215">
        <v>34</v>
      </c>
      <c r="AC15" s="1215">
        <f t="shared" si="1"/>
        <v>306</v>
      </c>
    </row>
    <row r="16" spans="1:29" hidden="1">
      <c r="A16" s="1215">
        <v>10</v>
      </c>
      <c r="B16" s="1215" t="s">
        <v>1772</v>
      </c>
      <c r="C16" s="1215" t="s">
        <v>1773</v>
      </c>
      <c r="D16" s="1215" t="s">
        <v>973</v>
      </c>
      <c r="E16" s="1215"/>
      <c r="F16" s="1215"/>
      <c r="G16" s="1215"/>
      <c r="H16" s="1215"/>
      <c r="I16" s="1215"/>
      <c r="J16" s="1215"/>
      <c r="K16" s="1215"/>
      <c r="L16" s="1215"/>
      <c r="M16" s="1215"/>
      <c r="N16" s="1215"/>
      <c r="O16" s="1215"/>
      <c r="P16" s="1215"/>
      <c r="Q16" s="1215"/>
      <c r="R16" s="1215"/>
      <c r="S16" s="1215"/>
      <c r="T16" s="1215"/>
      <c r="U16" s="1215"/>
      <c r="V16" s="1215"/>
      <c r="W16" s="1215"/>
      <c r="X16" s="1215"/>
      <c r="Y16" s="1215">
        <f t="shared" si="0"/>
        <v>0</v>
      </c>
      <c r="Z16" s="1215">
        <v>0.2</v>
      </c>
      <c r="AA16" s="1215">
        <f t="shared" si="2"/>
        <v>0</v>
      </c>
      <c r="AB16" s="1215">
        <v>86</v>
      </c>
      <c r="AC16" s="1215">
        <f t="shared" si="1"/>
        <v>0</v>
      </c>
    </row>
    <row r="17" spans="1:29">
      <c r="A17" s="1215">
        <v>11</v>
      </c>
      <c r="B17" s="1215" t="s">
        <v>1774</v>
      </c>
      <c r="C17" s="1215" t="s">
        <v>1775</v>
      </c>
      <c r="D17" s="1215" t="s">
        <v>973</v>
      </c>
      <c r="E17" s="1215">
        <v>6</v>
      </c>
      <c r="F17" s="1215"/>
      <c r="G17" s="1215">
        <v>6</v>
      </c>
      <c r="H17" s="1215"/>
      <c r="I17" s="1215"/>
      <c r="J17" s="1215"/>
      <c r="K17" s="1215"/>
      <c r="L17" s="1215"/>
      <c r="M17" s="1215"/>
      <c r="N17" s="1215"/>
      <c r="O17" s="1215"/>
      <c r="P17" s="1215"/>
      <c r="Q17" s="1215"/>
      <c r="R17" s="1215"/>
      <c r="S17" s="1215"/>
      <c r="T17" s="1215"/>
      <c r="U17" s="1215"/>
      <c r="V17" s="1215"/>
      <c r="W17" s="1215"/>
      <c r="X17" s="1215"/>
      <c r="Y17" s="1215">
        <f t="shared" si="0"/>
        <v>48</v>
      </c>
      <c r="Z17" s="1215">
        <v>0.2</v>
      </c>
      <c r="AA17" s="1215">
        <f t="shared" si="2"/>
        <v>9.6000000000000014</v>
      </c>
      <c r="AB17" s="1215">
        <v>86</v>
      </c>
      <c r="AC17" s="1215">
        <f t="shared" si="1"/>
        <v>4128</v>
      </c>
    </row>
    <row r="18" spans="1:29">
      <c r="A18" s="1215">
        <v>12</v>
      </c>
      <c r="B18" s="1215" t="s">
        <v>1776</v>
      </c>
      <c r="C18" s="1215" t="s">
        <v>1777</v>
      </c>
      <c r="D18" s="1215" t="s">
        <v>973</v>
      </c>
      <c r="E18" s="1215">
        <v>3</v>
      </c>
      <c r="F18" s="1215"/>
      <c r="G18" s="1215"/>
      <c r="H18" s="1215"/>
      <c r="I18" s="1215"/>
      <c r="J18" s="1215"/>
      <c r="K18" s="1215"/>
      <c r="L18" s="1215"/>
      <c r="M18" s="1215"/>
      <c r="N18" s="1215"/>
      <c r="O18" s="1215"/>
      <c r="P18" s="1215"/>
      <c r="Q18" s="1215"/>
      <c r="R18" s="1215"/>
      <c r="S18" s="1215"/>
      <c r="T18" s="1215"/>
      <c r="U18" s="1215"/>
      <c r="V18" s="1215"/>
      <c r="W18" s="1215"/>
      <c r="X18" s="1215"/>
      <c r="Y18" s="1215">
        <f t="shared" si="0"/>
        <v>18</v>
      </c>
      <c r="Z18" s="1215">
        <v>0.3</v>
      </c>
      <c r="AA18" s="1215">
        <f t="shared" si="2"/>
        <v>5.3999999999999995</v>
      </c>
      <c r="AB18" s="1215">
        <v>133</v>
      </c>
      <c r="AC18" s="1215">
        <f t="shared" si="1"/>
        <v>2394</v>
      </c>
    </row>
    <row r="19" spans="1:29">
      <c r="A19" s="1215">
        <v>13</v>
      </c>
      <c r="B19" s="1215" t="s">
        <v>1778</v>
      </c>
      <c r="C19" s="1215" t="s">
        <v>1779</v>
      </c>
      <c r="D19" s="1215" t="s">
        <v>973</v>
      </c>
      <c r="E19" s="1215">
        <v>6</v>
      </c>
      <c r="F19" s="1215"/>
      <c r="G19" s="1215"/>
      <c r="H19" s="1215"/>
      <c r="I19" s="1215"/>
      <c r="J19" s="1215"/>
      <c r="K19" s="1215"/>
      <c r="L19" s="1215"/>
      <c r="M19" s="1215"/>
      <c r="N19" s="1215"/>
      <c r="O19" s="1215">
        <v>3</v>
      </c>
      <c r="P19" s="1215"/>
      <c r="Q19" s="1215"/>
      <c r="R19" s="1215"/>
      <c r="S19" s="1215"/>
      <c r="T19" s="1215"/>
      <c r="U19" s="1215"/>
      <c r="V19" s="1215"/>
      <c r="W19" s="1215"/>
      <c r="X19" s="1215"/>
      <c r="Y19" s="1215">
        <f t="shared" si="0"/>
        <v>42</v>
      </c>
      <c r="Z19" s="1215">
        <v>0.4</v>
      </c>
      <c r="AA19" s="1215">
        <f t="shared" si="2"/>
        <v>16.8</v>
      </c>
      <c r="AB19" s="1215">
        <v>184</v>
      </c>
      <c r="AC19" s="1215">
        <f t="shared" si="1"/>
        <v>7728</v>
      </c>
    </row>
    <row r="20" spans="1:29">
      <c r="A20" s="1215">
        <v>14</v>
      </c>
      <c r="B20" s="1215" t="s">
        <v>1780</v>
      </c>
      <c r="C20" s="1215" t="s">
        <v>1781</v>
      </c>
      <c r="D20" s="1215" t="s">
        <v>973</v>
      </c>
      <c r="E20" s="1215">
        <v>3</v>
      </c>
      <c r="F20" s="1215"/>
      <c r="G20" s="1215"/>
      <c r="H20" s="1215"/>
      <c r="I20" s="1215"/>
      <c r="J20" s="1215"/>
      <c r="K20" s="1215"/>
      <c r="L20" s="1215"/>
      <c r="M20" s="1215"/>
      <c r="N20" s="1215"/>
      <c r="O20" s="1215">
        <v>8</v>
      </c>
      <c r="P20" s="1215"/>
      <c r="Q20" s="1215"/>
      <c r="R20" s="1215"/>
      <c r="S20" s="1215"/>
      <c r="T20" s="1215"/>
      <c r="U20" s="1215"/>
      <c r="V20" s="1215"/>
      <c r="W20" s="1215"/>
      <c r="X20" s="1215"/>
      <c r="Y20" s="1215">
        <f t="shared" si="0"/>
        <v>34</v>
      </c>
      <c r="Z20" s="1215">
        <v>0.68</v>
      </c>
      <c r="AA20" s="1215">
        <f t="shared" si="2"/>
        <v>23.12</v>
      </c>
      <c r="AB20" s="1215">
        <v>284</v>
      </c>
      <c r="AC20" s="1215">
        <f t="shared" si="1"/>
        <v>9656</v>
      </c>
    </row>
    <row r="21" spans="1:29">
      <c r="A21" s="1215">
        <v>15</v>
      </c>
      <c r="B21" s="1215" t="s">
        <v>1782</v>
      </c>
      <c r="C21" s="1215" t="s">
        <v>1783</v>
      </c>
      <c r="D21" s="1215" t="s">
        <v>973</v>
      </c>
      <c r="E21" s="1215"/>
      <c r="F21" s="1215"/>
      <c r="G21" s="1215">
        <v>3</v>
      </c>
      <c r="H21" s="1215"/>
      <c r="I21" s="1215"/>
      <c r="J21" s="1215">
        <v>3</v>
      </c>
      <c r="K21" s="1215"/>
      <c r="L21" s="1215"/>
      <c r="M21" s="1215"/>
      <c r="N21" s="1215"/>
      <c r="O21" s="1215"/>
      <c r="P21" s="1215"/>
      <c r="Q21" s="1215"/>
      <c r="R21" s="1215"/>
      <c r="S21" s="1215"/>
      <c r="T21" s="1215"/>
      <c r="U21" s="1215"/>
      <c r="V21" s="1215"/>
      <c r="W21" s="1215"/>
      <c r="X21" s="1215"/>
      <c r="Y21" s="1215">
        <f t="shared" si="0"/>
        <v>9</v>
      </c>
      <c r="Z21" s="1215">
        <v>1.07</v>
      </c>
      <c r="AA21" s="1215">
        <f t="shared" si="2"/>
        <v>9.6300000000000008</v>
      </c>
      <c r="AB21" s="1215">
        <v>539</v>
      </c>
      <c r="AC21" s="1215">
        <f t="shared" si="1"/>
        <v>4851</v>
      </c>
    </row>
    <row r="22" spans="1:29">
      <c r="A22" s="1215">
        <v>16</v>
      </c>
      <c r="B22" s="1215" t="s">
        <v>1784</v>
      </c>
      <c r="C22" s="1215" t="s">
        <v>1785</v>
      </c>
      <c r="D22" s="1215" t="s">
        <v>973</v>
      </c>
      <c r="E22" s="1215"/>
      <c r="F22" s="1215"/>
      <c r="G22" s="1215">
        <v>2</v>
      </c>
      <c r="H22" s="1215"/>
      <c r="I22" s="1215"/>
      <c r="J22" s="1215">
        <v>2</v>
      </c>
      <c r="K22" s="1215"/>
      <c r="L22" s="1215"/>
      <c r="M22" s="1215"/>
      <c r="N22" s="1215"/>
      <c r="O22" s="1215"/>
      <c r="P22" s="1215"/>
      <c r="Q22" s="1215"/>
      <c r="R22" s="1215"/>
      <c r="S22" s="1215"/>
      <c r="T22" s="1215"/>
      <c r="U22" s="1215"/>
      <c r="V22" s="1215"/>
      <c r="W22" s="1215"/>
      <c r="X22" s="1215"/>
      <c r="Y22" s="1215">
        <f t="shared" si="0"/>
        <v>6</v>
      </c>
      <c r="Z22" s="1215">
        <v>1.46</v>
      </c>
      <c r="AA22" s="1215">
        <f t="shared" si="2"/>
        <v>8.76</v>
      </c>
      <c r="AB22" s="1215">
        <v>730</v>
      </c>
      <c r="AC22" s="1215">
        <f t="shared" si="1"/>
        <v>4380</v>
      </c>
    </row>
    <row r="23" spans="1:29" hidden="1">
      <c r="A23" s="1215">
        <v>17</v>
      </c>
      <c r="B23" s="1215" t="s">
        <v>1786</v>
      </c>
      <c r="C23" s="1215" t="s">
        <v>1787</v>
      </c>
      <c r="D23" s="1215" t="s">
        <v>973</v>
      </c>
      <c r="E23" s="1215"/>
      <c r="F23" s="1215"/>
      <c r="G23" s="1215"/>
      <c r="H23" s="1215"/>
      <c r="I23" s="1215"/>
      <c r="J23" s="1215"/>
      <c r="K23" s="1215"/>
      <c r="L23" s="1215"/>
      <c r="M23" s="1215"/>
      <c r="N23" s="1215"/>
      <c r="O23" s="1215"/>
      <c r="P23" s="1215"/>
      <c r="Q23" s="1215"/>
      <c r="R23" s="1215"/>
      <c r="S23" s="1215"/>
      <c r="T23" s="1215"/>
      <c r="U23" s="1215"/>
      <c r="V23" s="1215"/>
      <c r="W23" s="1215"/>
      <c r="X23" s="1215"/>
      <c r="Y23" s="1215">
        <f t="shared" si="0"/>
        <v>0</v>
      </c>
      <c r="Z23" s="1215">
        <v>2.25</v>
      </c>
      <c r="AA23" s="1215">
        <f t="shared" si="2"/>
        <v>0</v>
      </c>
      <c r="AB23" s="1215">
        <v>1528</v>
      </c>
      <c r="AC23" s="1215">
        <f t="shared" si="1"/>
        <v>0</v>
      </c>
    </row>
    <row r="24" spans="1:29">
      <c r="A24" s="1215">
        <v>18</v>
      </c>
      <c r="B24" s="1215" t="s">
        <v>1788</v>
      </c>
      <c r="C24" s="1215" t="s">
        <v>1789</v>
      </c>
      <c r="D24" s="1215" t="s">
        <v>973</v>
      </c>
      <c r="E24" s="1215">
        <v>6</v>
      </c>
      <c r="F24" s="1215"/>
      <c r="G24" s="1215">
        <v>2</v>
      </c>
      <c r="H24" s="1215"/>
      <c r="I24" s="1215"/>
      <c r="J24" s="1215">
        <v>1</v>
      </c>
      <c r="K24" s="1215"/>
      <c r="L24" s="1215"/>
      <c r="M24" s="1215"/>
      <c r="N24" s="1215"/>
      <c r="O24" s="1215"/>
      <c r="P24" s="1215"/>
      <c r="Q24" s="1215"/>
      <c r="R24" s="1215"/>
      <c r="S24" s="1215"/>
      <c r="T24" s="1215"/>
      <c r="U24" s="1215"/>
      <c r="V24" s="1215"/>
      <c r="W24" s="1215"/>
      <c r="X24" s="1215"/>
      <c r="Y24" s="1215">
        <f t="shared" si="0"/>
        <v>41</v>
      </c>
      <c r="Z24" s="1215">
        <v>0.13</v>
      </c>
      <c r="AA24" s="1215">
        <f t="shared" si="2"/>
        <v>5.33</v>
      </c>
      <c r="AB24" s="1215">
        <v>54</v>
      </c>
      <c r="AC24" s="1215">
        <f t="shared" si="1"/>
        <v>2214</v>
      </c>
    </row>
    <row r="25" spans="1:29" hidden="1">
      <c r="A25" s="1215">
        <v>19</v>
      </c>
      <c r="B25" s="1215" t="s">
        <v>1790</v>
      </c>
      <c r="C25" s="1215" t="s">
        <v>1791</v>
      </c>
      <c r="D25" s="1215" t="s">
        <v>973</v>
      </c>
      <c r="E25" s="1215"/>
      <c r="F25" s="1215"/>
      <c r="G25" s="1215"/>
      <c r="H25" s="1215"/>
      <c r="I25" s="1215"/>
      <c r="J25" s="1215"/>
      <c r="K25" s="1215"/>
      <c r="L25" s="1215"/>
      <c r="M25" s="1215"/>
      <c r="N25" s="1215"/>
      <c r="O25" s="1215"/>
      <c r="P25" s="1215"/>
      <c r="Q25" s="1215"/>
      <c r="R25" s="1215"/>
      <c r="S25" s="1215"/>
      <c r="T25" s="1215"/>
      <c r="U25" s="1215"/>
      <c r="V25" s="1215"/>
      <c r="W25" s="1215"/>
      <c r="X25" s="1215"/>
      <c r="Y25" s="1215">
        <f t="shared" si="0"/>
        <v>0</v>
      </c>
      <c r="Z25" s="1215">
        <v>1.75</v>
      </c>
      <c r="AA25" s="1215">
        <f t="shared" si="2"/>
        <v>0</v>
      </c>
      <c r="AB25" s="1215">
        <v>78</v>
      </c>
      <c r="AC25" s="1215">
        <f t="shared" si="1"/>
        <v>0</v>
      </c>
    </row>
    <row r="26" spans="1:29">
      <c r="A26" s="1215">
        <v>20</v>
      </c>
      <c r="B26" s="1215" t="s">
        <v>1792</v>
      </c>
      <c r="C26" s="1215" t="s">
        <v>1793</v>
      </c>
      <c r="D26" s="1215" t="s">
        <v>973</v>
      </c>
      <c r="E26" s="1215"/>
      <c r="F26" s="1215"/>
      <c r="G26" s="1215">
        <v>2</v>
      </c>
      <c r="H26" s="1215"/>
      <c r="I26" s="1215"/>
      <c r="J26" s="1215"/>
      <c r="K26" s="1215"/>
      <c r="L26" s="1215"/>
      <c r="M26" s="1215"/>
      <c r="N26" s="1215"/>
      <c r="O26" s="1215"/>
      <c r="P26" s="1215">
        <v>2</v>
      </c>
      <c r="Q26" s="1215"/>
      <c r="R26" s="1215"/>
      <c r="S26" s="1215"/>
      <c r="T26" s="1215"/>
      <c r="U26" s="1215"/>
      <c r="V26" s="1215"/>
      <c r="W26" s="1215"/>
      <c r="X26" s="1215"/>
      <c r="Y26" s="1215">
        <f t="shared" si="0"/>
        <v>6</v>
      </c>
      <c r="Z26" s="1215">
        <v>1.75</v>
      </c>
      <c r="AA26" s="1215">
        <f t="shared" si="2"/>
        <v>10.5</v>
      </c>
      <c r="AB26" s="1215">
        <v>226</v>
      </c>
      <c r="AC26" s="1215">
        <f t="shared" si="1"/>
        <v>1356</v>
      </c>
    </row>
    <row r="27" spans="1:29" hidden="1">
      <c r="A27" s="1215">
        <v>21</v>
      </c>
      <c r="B27" s="1215" t="s">
        <v>1794</v>
      </c>
      <c r="C27" s="1215" t="s">
        <v>1795</v>
      </c>
      <c r="D27" s="1215" t="s">
        <v>973</v>
      </c>
      <c r="E27" s="1215"/>
      <c r="F27" s="1215"/>
      <c r="G27" s="1215"/>
      <c r="H27" s="1215"/>
      <c r="I27" s="1215"/>
      <c r="J27" s="1215"/>
      <c r="K27" s="1215"/>
      <c r="L27" s="1215"/>
      <c r="M27" s="1215"/>
      <c r="N27" s="1215"/>
      <c r="O27" s="1215"/>
      <c r="P27" s="1215"/>
      <c r="Q27" s="1215"/>
      <c r="R27" s="1215"/>
      <c r="S27" s="1215"/>
      <c r="T27" s="1215"/>
      <c r="U27" s="1215"/>
      <c r="V27" s="1215"/>
      <c r="W27" s="1215"/>
      <c r="X27" s="1215"/>
      <c r="Y27" s="1215">
        <f t="shared" si="0"/>
        <v>0</v>
      </c>
      <c r="Z27" s="1215">
        <v>1.75</v>
      </c>
      <c r="AA27" s="1215">
        <f t="shared" si="2"/>
        <v>0</v>
      </c>
      <c r="AB27" s="1215">
        <v>275</v>
      </c>
      <c r="AC27" s="1215">
        <f t="shared" si="1"/>
        <v>0</v>
      </c>
    </row>
    <row r="28" spans="1:29" hidden="1">
      <c r="A28" s="1215">
        <v>22</v>
      </c>
      <c r="B28" s="1215" t="s">
        <v>1796</v>
      </c>
      <c r="C28" s="1215" t="s">
        <v>1797</v>
      </c>
      <c r="D28" s="1215" t="s">
        <v>973</v>
      </c>
      <c r="E28" s="1215"/>
      <c r="F28" s="1215"/>
      <c r="G28" s="1215"/>
      <c r="H28" s="1215"/>
      <c r="I28" s="1215"/>
      <c r="J28" s="1215"/>
      <c r="K28" s="1215"/>
      <c r="L28" s="1215"/>
      <c r="M28" s="1215"/>
      <c r="N28" s="1215"/>
      <c r="O28" s="1215"/>
      <c r="P28" s="1215"/>
      <c r="Q28" s="1215"/>
      <c r="R28" s="1215"/>
      <c r="S28" s="1215"/>
      <c r="T28" s="1215"/>
      <c r="U28" s="1215"/>
      <c r="V28" s="1215"/>
      <c r="W28" s="1215"/>
      <c r="X28" s="1215"/>
      <c r="Y28" s="1215">
        <f t="shared" si="0"/>
        <v>0</v>
      </c>
      <c r="Z28" s="1215">
        <v>1.75</v>
      </c>
      <c r="AA28" s="1215">
        <f t="shared" si="2"/>
        <v>0</v>
      </c>
      <c r="AB28" s="1215">
        <v>431</v>
      </c>
      <c r="AC28" s="1215">
        <f t="shared" si="1"/>
        <v>0</v>
      </c>
    </row>
    <row r="29" spans="1:29" hidden="1">
      <c r="A29" s="1215">
        <v>23</v>
      </c>
      <c r="B29" s="1215" t="s">
        <v>1798</v>
      </c>
      <c r="C29" s="1215" t="s">
        <v>1799</v>
      </c>
      <c r="D29" s="1215" t="s">
        <v>973</v>
      </c>
      <c r="E29" s="1215"/>
      <c r="F29" s="1215"/>
      <c r="G29" s="1215"/>
      <c r="H29" s="1215"/>
      <c r="I29" s="1215"/>
      <c r="J29" s="1215"/>
      <c r="K29" s="1215"/>
      <c r="L29" s="1215"/>
      <c r="M29" s="1215"/>
      <c r="N29" s="1215"/>
      <c r="O29" s="1215"/>
      <c r="P29" s="1215"/>
      <c r="Q29" s="1215"/>
      <c r="R29" s="1215"/>
      <c r="S29" s="1215"/>
      <c r="T29" s="1215"/>
      <c r="U29" s="1215"/>
      <c r="V29" s="1215"/>
      <c r="W29" s="1215"/>
      <c r="X29" s="1215"/>
      <c r="Y29" s="1215">
        <f t="shared" si="0"/>
        <v>0</v>
      </c>
      <c r="Z29" s="1215">
        <v>1.75</v>
      </c>
      <c r="AA29" s="1215">
        <f t="shared" si="2"/>
        <v>0</v>
      </c>
      <c r="AB29" s="1215">
        <v>678</v>
      </c>
      <c r="AC29" s="1215">
        <f t="shared" si="1"/>
        <v>0</v>
      </c>
    </row>
    <row r="30" spans="1:29" hidden="1">
      <c r="A30" s="1215">
        <v>24</v>
      </c>
      <c r="B30" s="1215" t="s">
        <v>1800</v>
      </c>
      <c r="C30" s="1215" t="s">
        <v>1797</v>
      </c>
      <c r="D30" s="1215" t="s">
        <v>973</v>
      </c>
      <c r="E30" s="1215"/>
      <c r="F30" s="1215"/>
      <c r="G30" s="1215"/>
      <c r="H30" s="1215"/>
      <c r="I30" s="1215"/>
      <c r="J30" s="1215"/>
      <c r="K30" s="1215"/>
      <c r="L30" s="1215"/>
      <c r="M30" s="1215"/>
      <c r="N30" s="1215"/>
      <c r="O30" s="1215"/>
      <c r="P30" s="1215"/>
      <c r="Q30" s="1215"/>
      <c r="R30" s="1215"/>
      <c r="S30" s="1215"/>
      <c r="T30" s="1215"/>
      <c r="U30" s="1215"/>
      <c r="V30" s="1215"/>
      <c r="W30" s="1215"/>
      <c r="X30" s="1215"/>
      <c r="Y30" s="1215">
        <f t="shared" si="0"/>
        <v>0</v>
      </c>
      <c r="Z30" s="1215">
        <v>0.5</v>
      </c>
      <c r="AA30" s="1215">
        <f t="shared" si="2"/>
        <v>0</v>
      </c>
      <c r="AB30" s="1215">
        <v>220</v>
      </c>
      <c r="AC30" s="1215">
        <f t="shared" si="1"/>
        <v>0</v>
      </c>
    </row>
    <row r="31" spans="1:29" hidden="1">
      <c r="A31" s="1215">
        <v>25</v>
      </c>
      <c r="B31" s="1215" t="s">
        <v>1801</v>
      </c>
      <c r="C31" s="1215" t="s">
        <v>1802</v>
      </c>
      <c r="D31" s="1215" t="s">
        <v>973</v>
      </c>
      <c r="E31" s="1215"/>
      <c r="F31" s="1215"/>
      <c r="G31" s="1215"/>
      <c r="H31" s="1215"/>
      <c r="I31" s="1215"/>
      <c r="J31" s="1215"/>
      <c r="K31" s="1215"/>
      <c r="L31" s="1215"/>
      <c r="M31" s="1215"/>
      <c r="N31" s="1215"/>
      <c r="O31" s="1215"/>
      <c r="P31" s="1215"/>
      <c r="Q31" s="1215"/>
      <c r="R31" s="1215"/>
      <c r="S31" s="1215"/>
      <c r="T31" s="1215"/>
      <c r="U31" s="1215"/>
      <c r="V31" s="1215"/>
      <c r="W31" s="1215"/>
      <c r="X31" s="1215"/>
      <c r="Y31" s="1215">
        <f t="shared" si="0"/>
        <v>0</v>
      </c>
      <c r="Z31" s="1215">
        <v>2.4500000000000002</v>
      </c>
      <c r="AA31" s="1215">
        <f t="shared" si="2"/>
        <v>0</v>
      </c>
      <c r="AB31" s="1215">
        <v>697</v>
      </c>
      <c r="AC31" s="1215">
        <f t="shared" si="1"/>
        <v>0</v>
      </c>
    </row>
    <row r="32" spans="1:29">
      <c r="A32" s="1215">
        <v>26</v>
      </c>
      <c r="B32" s="1215" t="s">
        <v>1803</v>
      </c>
      <c r="C32" s="1215" t="s">
        <v>1804</v>
      </c>
      <c r="D32" s="1215" t="s">
        <v>973</v>
      </c>
      <c r="E32" s="1215"/>
      <c r="F32" s="1215"/>
      <c r="G32" s="1215"/>
      <c r="H32" s="1215"/>
      <c r="I32" s="1215"/>
      <c r="J32" s="1215"/>
      <c r="K32" s="1215"/>
      <c r="L32" s="1215"/>
      <c r="M32" s="1215"/>
      <c r="N32" s="1215"/>
      <c r="O32" s="1215">
        <v>2</v>
      </c>
      <c r="P32" s="1215">
        <v>2</v>
      </c>
      <c r="Q32" s="1215"/>
      <c r="R32" s="1215"/>
      <c r="S32" s="1215"/>
      <c r="T32" s="1215">
        <v>4</v>
      </c>
      <c r="U32" s="1215"/>
      <c r="V32" s="1215"/>
      <c r="W32" s="1215"/>
      <c r="X32" s="1215"/>
      <c r="Y32" s="1215">
        <f t="shared" si="0"/>
        <v>30</v>
      </c>
      <c r="Z32" s="1215">
        <v>0.13</v>
      </c>
      <c r="AA32" s="1215">
        <f t="shared" si="2"/>
        <v>3.9000000000000004</v>
      </c>
      <c r="AB32" s="1215">
        <v>38</v>
      </c>
      <c r="AC32" s="1215">
        <f t="shared" si="1"/>
        <v>1140</v>
      </c>
    </row>
    <row r="33" spans="1:29" hidden="1">
      <c r="A33" s="1215">
        <v>27</v>
      </c>
      <c r="B33" s="1215" t="s">
        <v>1805</v>
      </c>
      <c r="C33" s="1215" t="s">
        <v>1806</v>
      </c>
      <c r="D33" s="1215" t="s">
        <v>973</v>
      </c>
      <c r="E33" s="1215"/>
      <c r="F33" s="1215"/>
      <c r="G33" s="1215"/>
      <c r="H33" s="1215"/>
      <c r="I33" s="1215"/>
      <c r="J33" s="1215"/>
      <c r="K33" s="1215"/>
      <c r="L33" s="1215"/>
      <c r="M33" s="1215"/>
      <c r="N33" s="1215"/>
      <c r="O33" s="1215"/>
      <c r="P33" s="1215"/>
      <c r="Q33" s="1215"/>
      <c r="R33" s="1215"/>
      <c r="S33" s="1215"/>
      <c r="T33" s="1215"/>
      <c r="U33" s="1215"/>
      <c r="V33" s="1215"/>
      <c r="W33" s="1215"/>
      <c r="X33" s="1215"/>
      <c r="Y33" s="1215">
        <f t="shared" si="0"/>
        <v>0</v>
      </c>
      <c r="Z33" s="1215">
        <v>0.2</v>
      </c>
      <c r="AA33" s="1215">
        <f t="shared" si="2"/>
        <v>0</v>
      </c>
      <c r="AB33" s="1215">
        <v>62</v>
      </c>
      <c r="AC33" s="1215">
        <f t="shared" si="1"/>
        <v>0</v>
      </c>
    </row>
    <row r="34" spans="1:29">
      <c r="A34" s="1215">
        <v>28</v>
      </c>
      <c r="B34" s="1215" t="s">
        <v>1807</v>
      </c>
      <c r="C34" s="1215" t="s">
        <v>1808</v>
      </c>
      <c r="D34" s="1215" t="s">
        <v>973</v>
      </c>
      <c r="E34" s="1215">
        <v>3</v>
      </c>
      <c r="F34" s="1215"/>
      <c r="G34" s="1215">
        <v>4</v>
      </c>
      <c r="H34" s="1215"/>
      <c r="I34" s="1215"/>
      <c r="J34" s="1215"/>
      <c r="K34" s="1215"/>
      <c r="L34" s="1215"/>
      <c r="M34" s="1215"/>
      <c r="N34" s="1215"/>
      <c r="O34" s="1215"/>
      <c r="P34" s="1215"/>
      <c r="Q34" s="1215"/>
      <c r="R34" s="1215"/>
      <c r="S34" s="1215"/>
      <c r="T34" s="1215">
        <v>4</v>
      </c>
      <c r="U34" s="1215">
        <v>4</v>
      </c>
      <c r="V34" s="1215"/>
      <c r="W34" s="1215"/>
      <c r="X34" s="1215"/>
      <c r="Y34" s="1215">
        <f t="shared" si="0"/>
        <v>70</v>
      </c>
      <c r="Z34" s="1215">
        <v>0.25</v>
      </c>
      <c r="AA34" s="1215">
        <f t="shared" si="2"/>
        <v>17.5</v>
      </c>
      <c r="AB34" s="1215">
        <v>82</v>
      </c>
      <c r="AC34" s="1215">
        <f t="shared" si="1"/>
        <v>5740</v>
      </c>
    </row>
    <row r="35" spans="1:29">
      <c r="A35" s="1215">
        <v>29</v>
      </c>
      <c r="B35" s="1215" t="s">
        <v>1809</v>
      </c>
      <c r="C35" s="1215" t="s">
        <v>1810</v>
      </c>
      <c r="D35" s="1215" t="s">
        <v>973</v>
      </c>
      <c r="E35" s="1215">
        <v>2</v>
      </c>
      <c r="F35" s="1215"/>
      <c r="G35" s="1215"/>
      <c r="H35" s="1215"/>
      <c r="I35" s="1215"/>
      <c r="J35" s="1215"/>
      <c r="K35" s="1215"/>
      <c r="L35" s="1215"/>
      <c r="M35" s="1215"/>
      <c r="N35" s="1215"/>
      <c r="O35" s="1215"/>
      <c r="P35" s="1215"/>
      <c r="Q35" s="1215"/>
      <c r="R35" s="1215"/>
      <c r="S35" s="1215"/>
      <c r="T35" s="1215"/>
      <c r="U35" s="1215"/>
      <c r="V35" s="1215"/>
      <c r="W35" s="1215"/>
      <c r="X35" s="1215"/>
      <c r="Y35" s="1215">
        <f t="shared" si="0"/>
        <v>12</v>
      </c>
      <c r="Z35" s="1215">
        <v>0.28000000000000003</v>
      </c>
      <c r="AA35" s="1215">
        <f t="shared" si="2"/>
        <v>3.3600000000000003</v>
      </c>
      <c r="AB35" s="1215">
        <v>117</v>
      </c>
      <c r="AC35" s="1215">
        <f t="shared" si="1"/>
        <v>1404</v>
      </c>
    </row>
    <row r="36" spans="1:29">
      <c r="A36" s="1215">
        <v>30</v>
      </c>
      <c r="B36" s="1215" t="s">
        <v>1811</v>
      </c>
      <c r="C36" s="1215" t="s">
        <v>1812</v>
      </c>
      <c r="D36" s="1215" t="s">
        <v>973</v>
      </c>
      <c r="E36" s="1215">
        <v>1</v>
      </c>
      <c r="F36" s="1215"/>
      <c r="G36" s="1215"/>
      <c r="H36" s="1215"/>
      <c r="I36" s="1215"/>
      <c r="J36" s="1215"/>
      <c r="K36" s="1215"/>
      <c r="L36" s="1215"/>
      <c r="M36" s="1215"/>
      <c r="N36" s="1215"/>
      <c r="O36" s="1215"/>
      <c r="P36" s="1215"/>
      <c r="Q36" s="1215"/>
      <c r="R36" s="1215"/>
      <c r="S36" s="1215"/>
      <c r="T36" s="1215">
        <v>2</v>
      </c>
      <c r="U36" s="1215">
        <v>4</v>
      </c>
      <c r="V36" s="1215"/>
      <c r="W36" s="1215"/>
      <c r="X36" s="1215"/>
      <c r="Y36" s="1215">
        <f t="shared" si="0"/>
        <v>38</v>
      </c>
      <c r="Z36" s="1215">
        <v>0.3</v>
      </c>
      <c r="AA36" s="1215">
        <f t="shared" si="2"/>
        <v>11.4</v>
      </c>
      <c r="AB36" s="1215">
        <v>182</v>
      </c>
      <c r="AC36" s="1215">
        <f t="shared" si="1"/>
        <v>6916</v>
      </c>
    </row>
    <row r="37" spans="1:29">
      <c r="A37" s="1215">
        <v>31</v>
      </c>
      <c r="B37" s="1215" t="s">
        <v>1813</v>
      </c>
      <c r="C37" s="1215" t="s">
        <v>1814</v>
      </c>
      <c r="D37" s="1215" t="s">
        <v>973</v>
      </c>
      <c r="E37" s="1215">
        <v>1</v>
      </c>
      <c r="F37" s="1215"/>
      <c r="G37" s="1215"/>
      <c r="H37" s="1215"/>
      <c r="I37" s="1215"/>
      <c r="J37" s="1215"/>
      <c r="K37" s="1215"/>
      <c r="L37" s="1215"/>
      <c r="M37" s="1215"/>
      <c r="N37" s="1215"/>
      <c r="O37" s="1215">
        <v>8</v>
      </c>
      <c r="P37" s="1215"/>
      <c r="Q37" s="1215"/>
      <c r="R37" s="1215"/>
      <c r="S37" s="1215"/>
      <c r="T37" s="1215">
        <v>2</v>
      </c>
      <c r="U37" s="1215"/>
      <c r="V37" s="1215"/>
      <c r="W37" s="1215"/>
      <c r="X37" s="1215"/>
      <c r="Y37" s="1215">
        <f t="shared" si="0"/>
        <v>34</v>
      </c>
      <c r="Z37" s="1215">
        <v>0.4</v>
      </c>
      <c r="AA37" s="1215">
        <f t="shared" si="2"/>
        <v>13.600000000000001</v>
      </c>
      <c r="AB37" s="1215">
        <v>241</v>
      </c>
      <c r="AC37" s="1215">
        <f t="shared" si="1"/>
        <v>8194</v>
      </c>
    </row>
    <row r="38" spans="1:29">
      <c r="A38" s="1215">
        <v>32</v>
      </c>
      <c r="B38" s="1215" t="s">
        <v>1815</v>
      </c>
      <c r="C38" s="1215" t="s">
        <v>1816</v>
      </c>
      <c r="D38" s="1215" t="s">
        <v>973</v>
      </c>
      <c r="E38" s="1215"/>
      <c r="F38" s="1215"/>
      <c r="G38" s="1215"/>
      <c r="H38" s="1215"/>
      <c r="I38" s="1215"/>
      <c r="J38" s="1215"/>
      <c r="K38" s="1215"/>
      <c r="L38" s="1215"/>
      <c r="M38" s="1215"/>
      <c r="N38" s="1215"/>
      <c r="O38" s="1215"/>
      <c r="P38" s="1215"/>
      <c r="Q38" s="1215"/>
      <c r="R38" s="1215"/>
      <c r="S38" s="1215"/>
      <c r="T38" s="1215"/>
      <c r="U38" s="1215">
        <v>2</v>
      </c>
      <c r="V38" s="1215"/>
      <c r="W38" s="1215"/>
      <c r="X38" s="1215"/>
      <c r="Y38" s="1215">
        <f t="shared" si="0"/>
        <v>10</v>
      </c>
      <c r="Z38" s="1215">
        <v>0.7</v>
      </c>
      <c r="AA38" s="1215">
        <f t="shared" si="2"/>
        <v>7</v>
      </c>
      <c r="AB38" s="1215">
        <v>315</v>
      </c>
      <c r="AC38" s="1215">
        <f t="shared" si="1"/>
        <v>3150</v>
      </c>
    </row>
    <row r="39" spans="1:29">
      <c r="A39" s="1215">
        <v>33</v>
      </c>
      <c r="B39" s="1215" t="s">
        <v>1817</v>
      </c>
      <c r="C39" s="1215" t="s">
        <v>1818</v>
      </c>
      <c r="D39" s="1215" t="s">
        <v>973</v>
      </c>
      <c r="E39" s="1215"/>
      <c r="F39" s="1215"/>
      <c r="G39" s="1215"/>
      <c r="H39" s="1215"/>
      <c r="I39" s="1215"/>
      <c r="J39" s="1215">
        <v>1</v>
      </c>
      <c r="K39" s="1215"/>
      <c r="L39" s="1215"/>
      <c r="M39" s="1215"/>
      <c r="N39" s="1215"/>
      <c r="O39" s="1215"/>
      <c r="P39" s="1215"/>
      <c r="Q39" s="1215"/>
      <c r="R39" s="1215"/>
      <c r="S39" s="1215"/>
      <c r="T39" s="1215"/>
      <c r="U39" s="1215"/>
      <c r="V39" s="1215"/>
      <c r="W39" s="1215"/>
      <c r="X39" s="1215"/>
      <c r="Y39" s="1215">
        <f t="shared" si="0"/>
        <v>1</v>
      </c>
      <c r="Z39" s="1215">
        <v>1.75</v>
      </c>
      <c r="AA39" s="1215">
        <f t="shared" si="2"/>
        <v>1.75</v>
      </c>
      <c r="AB39" s="1215">
        <v>525</v>
      </c>
      <c r="AC39" s="1215">
        <f t="shared" si="1"/>
        <v>525</v>
      </c>
    </row>
    <row r="40" spans="1:29" hidden="1">
      <c r="A40" s="1215">
        <v>34</v>
      </c>
      <c r="B40" s="1215" t="s">
        <v>1819</v>
      </c>
      <c r="C40" s="1215" t="s">
        <v>1820</v>
      </c>
      <c r="D40" s="1215" t="s">
        <v>965</v>
      </c>
      <c r="E40" s="1215"/>
      <c r="F40" s="1215"/>
      <c r="G40" s="1215"/>
      <c r="H40" s="1215"/>
      <c r="I40" s="1215"/>
      <c r="J40" s="1215"/>
      <c r="K40" s="1215"/>
      <c r="L40" s="1215"/>
      <c r="M40" s="1215"/>
      <c r="N40" s="1215"/>
      <c r="O40" s="1215"/>
      <c r="P40" s="1215"/>
      <c r="Q40" s="1215"/>
      <c r="R40" s="1215"/>
      <c r="S40" s="1215"/>
      <c r="T40" s="1215"/>
      <c r="U40" s="1215"/>
      <c r="V40" s="1215"/>
      <c r="W40" s="1215"/>
      <c r="X40" s="1215"/>
      <c r="Y40" s="1215">
        <f t="shared" si="0"/>
        <v>0</v>
      </c>
      <c r="Z40" s="1215">
        <v>12.99</v>
      </c>
      <c r="AA40" s="1215">
        <f t="shared" si="2"/>
        <v>0</v>
      </c>
      <c r="AB40" s="1215">
        <v>1265</v>
      </c>
      <c r="AC40" s="1215">
        <f t="shared" si="1"/>
        <v>0</v>
      </c>
    </row>
    <row r="41" spans="1:29">
      <c r="A41" s="1215">
        <v>35</v>
      </c>
      <c r="B41" s="1215" t="s">
        <v>1821</v>
      </c>
      <c r="C41" s="1215" t="s">
        <v>1381</v>
      </c>
      <c r="D41" s="1215" t="s">
        <v>965</v>
      </c>
      <c r="E41" s="1215">
        <v>8.6999999999999993</v>
      </c>
      <c r="F41" s="1215"/>
      <c r="G41" s="1215">
        <v>2.9</v>
      </c>
      <c r="H41" s="1215"/>
      <c r="I41" s="1215"/>
      <c r="J41" s="1215">
        <v>1.45</v>
      </c>
      <c r="K41" s="1215"/>
      <c r="L41" s="1215"/>
      <c r="M41" s="1215"/>
      <c r="N41" s="1215"/>
      <c r="O41" s="1215">
        <v>5.3</v>
      </c>
      <c r="P41" s="1215"/>
      <c r="Q41" s="1215"/>
      <c r="R41" s="1215"/>
      <c r="S41" s="1215"/>
      <c r="T41" s="1215"/>
      <c r="U41" s="1215"/>
      <c r="V41" s="1215"/>
      <c r="W41" s="1215"/>
      <c r="X41" s="1215"/>
      <c r="Y41" s="1215">
        <f t="shared" si="0"/>
        <v>70.05</v>
      </c>
      <c r="Z41" s="1215">
        <v>1.28</v>
      </c>
      <c r="AA41" s="1215">
        <f t="shared" si="2"/>
        <v>89.664000000000001</v>
      </c>
      <c r="AB41" s="1215">
        <v>134</v>
      </c>
      <c r="AC41" s="1215">
        <f t="shared" si="1"/>
        <v>9386.6999999999989</v>
      </c>
    </row>
    <row r="42" spans="1:29" hidden="1">
      <c r="A42" s="1215">
        <v>36</v>
      </c>
      <c r="B42" s="1215" t="s">
        <v>1822</v>
      </c>
      <c r="C42" s="1215" t="s">
        <v>1382</v>
      </c>
      <c r="D42" s="1215" t="s">
        <v>965</v>
      </c>
      <c r="E42" s="1215"/>
      <c r="F42" s="1215"/>
      <c r="G42" s="1215"/>
      <c r="H42" s="1215"/>
      <c r="I42" s="1215"/>
      <c r="J42" s="1215"/>
      <c r="K42" s="1215"/>
      <c r="L42" s="1215"/>
      <c r="M42" s="1215"/>
      <c r="N42" s="1215"/>
      <c r="O42" s="1215"/>
      <c r="P42" s="1215"/>
      <c r="Q42" s="1215"/>
      <c r="R42" s="1215"/>
      <c r="S42" s="1215"/>
      <c r="T42" s="1215"/>
      <c r="U42" s="1215"/>
      <c r="V42" s="1215"/>
      <c r="W42" s="1215"/>
      <c r="X42" s="1215"/>
      <c r="Y42" s="1215">
        <f t="shared" si="0"/>
        <v>0</v>
      </c>
      <c r="Z42" s="1215">
        <v>1.66</v>
      </c>
      <c r="AA42" s="1215">
        <f t="shared" si="2"/>
        <v>0</v>
      </c>
      <c r="AB42" s="1215">
        <v>170</v>
      </c>
      <c r="AC42" s="1215">
        <f t="shared" si="1"/>
        <v>0</v>
      </c>
    </row>
    <row r="43" spans="1:29">
      <c r="A43" s="1215">
        <v>37</v>
      </c>
      <c r="B43" s="1215" t="s">
        <v>1823</v>
      </c>
      <c r="C43" s="1215" t="s">
        <v>1383</v>
      </c>
      <c r="D43" s="1215" t="s">
        <v>965</v>
      </c>
      <c r="E43" s="1215">
        <v>9.18</v>
      </c>
      <c r="F43" s="1215"/>
      <c r="G43" s="1215">
        <v>3.85</v>
      </c>
      <c r="H43" s="1215"/>
      <c r="I43" s="1215"/>
      <c r="J43" s="1215"/>
      <c r="K43" s="1215"/>
      <c r="L43" s="1215"/>
      <c r="M43" s="1215"/>
      <c r="N43" s="1215"/>
      <c r="O43" s="1215"/>
      <c r="P43" s="1215"/>
      <c r="Q43" s="1215"/>
      <c r="R43" s="1215"/>
      <c r="S43" s="1215"/>
      <c r="T43" s="1215"/>
      <c r="U43" s="1215"/>
      <c r="V43" s="1215"/>
      <c r="W43" s="1215"/>
      <c r="X43" s="1215"/>
      <c r="Y43" s="1215">
        <f t="shared" si="0"/>
        <v>62.78</v>
      </c>
      <c r="Z43" s="1215">
        <v>2.5299999999999998</v>
      </c>
      <c r="AA43" s="1215">
        <f t="shared" si="2"/>
        <v>158.83339999999998</v>
      </c>
      <c r="AB43" s="1215">
        <v>259</v>
      </c>
      <c r="AC43" s="1215">
        <f t="shared" si="1"/>
        <v>16260.02</v>
      </c>
    </row>
    <row r="44" spans="1:29">
      <c r="A44" s="1215">
        <v>38</v>
      </c>
      <c r="B44" s="1215" t="s">
        <v>1824</v>
      </c>
      <c r="C44" s="1215" t="s">
        <v>1384</v>
      </c>
      <c r="D44" s="1215" t="s">
        <v>965</v>
      </c>
      <c r="E44" s="1215">
        <v>5.59</v>
      </c>
      <c r="F44" s="1215"/>
      <c r="G44" s="1215"/>
      <c r="H44" s="1215"/>
      <c r="I44" s="1215"/>
      <c r="J44" s="1215"/>
      <c r="K44" s="1215"/>
      <c r="L44" s="1215"/>
      <c r="M44" s="1215"/>
      <c r="N44" s="1215"/>
      <c r="O44" s="1215"/>
      <c r="P44" s="1215"/>
      <c r="Q44" s="1215"/>
      <c r="R44" s="1215"/>
      <c r="S44" s="1215"/>
      <c r="T44" s="1215"/>
      <c r="U44" s="1215"/>
      <c r="V44" s="1215"/>
      <c r="W44" s="1215"/>
      <c r="X44" s="1215"/>
      <c r="Y44" s="1215">
        <f t="shared" si="0"/>
        <v>33.54</v>
      </c>
      <c r="Z44" s="1215">
        <v>3.28</v>
      </c>
      <c r="AA44" s="1215">
        <f t="shared" si="2"/>
        <v>110.01119999999999</v>
      </c>
      <c r="AB44" s="1215">
        <v>337</v>
      </c>
      <c r="AC44" s="1215">
        <f t="shared" si="1"/>
        <v>11302.98</v>
      </c>
    </row>
    <row r="45" spans="1:29">
      <c r="A45" s="1215">
        <v>39</v>
      </c>
      <c r="B45" s="1215" t="s">
        <v>1825</v>
      </c>
      <c r="C45" s="1215" t="s">
        <v>1385</v>
      </c>
      <c r="D45" s="1215" t="s">
        <v>965</v>
      </c>
      <c r="E45" s="1215">
        <v>5.18</v>
      </c>
      <c r="F45" s="1215"/>
      <c r="G45" s="1215">
        <v>2</v>
      </c>
      <c r="H45" s="1215"/>
      <c r="I45" s="1215"/>
      <c r="J45" s="1215">
        <v>2</v>
      </c>
      <c r="K45" s="1215"/>
      <c r="L45" s="1215"/>
      <c r="M45" s="1215"/>
      <c r="N45" s="1215"/>
      <c r="O45" s="1215">
        <v>3.2</v>
      </c>
      <c r="P45" s="1215"/>
      <c r="Q45" s="1215"/>
      <c r="R45" s="1215"/>
      <c r="S45" s="1215"/>
      <c r="T45" s="1215"/>
      <c r="U45" s="1215"/>
      <c r="V45" s="1215"/>
      <c r="W45" s="1215"/>
      <c r="X45" s="1215"/>
      <c r="Y45" s="1215">
        <f t="shared" si="0"/>
        <v>43.48</v>
      </c>
      <c r="Z45" s="1215">
        <v>3.79</v>
      </c>
      <c r="AA45" s="1215">
        <f t="shared" si="2"/>
        <v>164.78919999999999</v>
      </c>
      <c r="AB45" s="1215">
        <v>387</v>
      </c>
      <c r="AC45" s="1215">
        <f t="shared" si="1"/>
        <v>16826.759999999998</v>
      </c>
    </row>
    <row r="46" spans="1:29">
      <c r="A46" s="1215">
        <v>40</v>
      </c>
      <c r="B46" s="1215" t="s">
        <v>1826</v>
      </c>
      <c r="C46" s="1215" t="s">
        <v>1386</v>
      </c>
      <c r="D46" s="1215" t="s">
        <v>965</v>
      </c>
      <c r="E46" s="1215">
        <v>6.89</v>
      </c>
      <c r="F46" s="1215"/>
      <c r="G46" s="1215">
        <v>1.1000000000000001</v>
      </c>
      <c r="H46" s="1215"/>
      <c r="I46" s="1215"/>
      <c r="J46" s="1215"/>
      <c r="K46" s="1215"/>
      <c r="L46" s="1215"/>
      <c r="M46" s="1215"/>
      <c r="N46" s="1215"/>
      <c r="O46" s="1215">
        <v>16.7</v>
      </c>
      <c r="P46" s="1215"/>
      <c r="Q46" s="1215"/>
      <c r="R46" s="1215"/>
      <c r="S46" s="1215"/>
      <c r="T46" s="1215"/>
      <c r="U46" s="1215"/>
      <c r="V46" s="1215"/>
      <c r="W46" s="1215"/>
      <c r="X46" s="1215"/>
      <c r="Y46" s="1215">
        <f t="shared" si="0"/>
        <v>76.94</v>
      </c>
      <c r="Z46" s="1215">
        <v>5.32</v>
      </c>
      <c r="AA46" s="1215">
        <f t="shared" si="2"/>
        <v>409.32080000000002</v>
      </c>
      <c r="AB46" s="1215">
        <v>532</v>
      </c>
      <c r="AC46" s="1215">
        <f t="shared" si="1"/>
        <v>40932.080000000002</v>
      </c>
    </row>
    <row r="47" spans="1:29">
      <c r="A47" s="1215">
        <v>41</v>
      </c>
      <c r="B47" s="1215" t="s">
        <v>1827</v>
      </c>
      <c r="C47" s="1215" t="s">
        <v>1828</v>
      </c>
      <c r="D47" s="1215" t="s">
        <v>965</v>
      </c>
      <c r="E47" s="1215"/>
      <c r="F47" s="1215"/>
      <c r="G47" s="1215"/>
      <c r="H47" s="1215"/>
      <c r="I47" s="1215"/>
      <c r="J47" s="1215">
        <v>7.34</v>
      </c>
      <c r="K47" s="1215"/>
      <c r="L47" s="1215"/>
      <c r="M47" s="1215"/>
      <c r="N47" s="1215"/>
      <c r="O47" s="1215"/>
      <c r="P47" s="1215"/>
      <c r="Q47" s="1215"/>
      <c r="R47" s="1215"/>
      <c r="S47" s="1215"/>
      <c r="T47" s="1215"/>
      <c r="U47" s="1215"/>
      <c r="V47" s="1215"/>
      <c r="W47" s="1215"/>
      <c r="X47" s="1215"/>
      <c r="Y47" s="1215">
        <f t="shared" si="0"/>
        <v>7.34</v>
      </c>
      <c r="Z47" s="1215">
        <v>6.35</v>
      </c>
      <c r="AA47" s="1215">
        <f t="shared" si="2"/>
        <v>46.608999999999995</v>
      </c>
      <c r="AB47" s="1215">
        <v>679</v>
      </c>
      <c r="AC47" s="1215">
        <f t="shared" si="1"/>
        <v>4983.8599999999997</v>
      </c>
    </row>
    <row r="48" spans="1:29">
      <c r="A48" s="1215">
        <v>42</v>
      </c>
      <c r="B48" s="1215" t="s">
        <v>1829</v>
      </c>
      <c r="C48" s="1215" t="s">
        <v>1830</v>
      </c>
      <c r="D48" s="1215" t="s">
        <v>965</v>
      </c>
      <c r="E48" s="1215"/>
      <c r="F48" s="1215"/>
      <c r="G48" s="1215"/>
      <c r="H48" s="1215"/>
      <c r="I48" s="1215"/>
      <c r="J48" s="1215">
        <v>12.65</v>
      </c>
      <c r="K48" s="1215"/>
      <c r="L48" s="1215"/>
      <c r="M48" s="1215"/>
      <c r="N48" s="1215"/>
      <c r="O48" s="1215"/>
      <c r="P48" s="1215"/>
      <c r="Q48" s="1215"/>
      <c r="R48" s="1215"/>
      <c r="S48" s="1215"/>
      <c r="T48" s="1215"/>
      <c r="U48" s="1215"/>
      <c r="V48" s="1215"/>
      <c r="W48" s="1215"/>
      <c r="X48" s="1215"/>
      <c r="Y48" s="1215">
        <f t="shared" si="0"/>
        <v>12.65</v>
      </c>
      <c r="Z48" s="1215">
        <v>8.85</v>
      </c>
      <c r="AA48" s="1215">
        <f t="shared" si="2"/>
        <v>111.9525</v>
      </c>
      <c r="AB48" s="1215">
        <v>845</v>
      </c>
      <c r="AC48" s="1215">
        <f t="shared" si="1"/>
        <v>10689.25</v>
      </c>
    </row>
    <row r="49" spans="1:29" hidden="1">
      <c r="A49" s="1215">
        <v>43</v>
      </c>
      <c r="B49" s="1215" t="s">
        <v>1831</v>
      </c>
      <c r="C49" s="1215" t="s">
        <v>1832</v>
      </c>
      <c r="D49" s="1215" t="s">
        <v>973</v>
      </c>
      <c r="E49" s="1215"/>
      <c r="F49" s="1215"/>
      <c r="G49" s="1215"/>
      <c r="H49" s="1215"/>
      <c r="I49" s="1215"/>
      <c r="J49" s="1215"/>
      <c r="K49" s="1215"/>
      <c r="L49" s="1215"/>
      <c r="M49" s="1215"/>
      <c r="N49" s="1215"/>
      <c r="O49" s="1215"/>
      <c r="P49" s="1215"/>
      <c r="Q49" s="1215"/>
      <c r="R49" s="1215"/>
      <c r="S49" s="1215"/>
      <c r="T49" s="1215"/>
      <c r="U49" s="1215"/>
      <c r="V49" s="1215"/>
      <c r="W49" s="1215"/>
      <c r="X49" s="1215"/>
      <c r="Y49" s="1215">
        <f t="shared" si="0"/>
        <v>0</v>
      </c>
      <c r="Z49" s="1215">
        <v>1</v>
      </c>
      <c r="AA49" s="1215">
        <f t="shared" si="2"/>
        <v>0</v>
      </c>
      <c r="AB49" s="1215">
        <v>66</v>
      </c>
      <c r="AC49" s="1215">
        <f t="shared" si="1"/>
        <v>0</v>
      </c>
    </row>
    <row r="50" spans="1:29" hidden="1">
      <c r="A50" s="1215">
        <v>44</v>
      </c>
      <c r="B50" s="1215" t="s">
        <v>1833</v>
      </c>
      <c r="C50" s="1215" t="s">
        <v>1834</v>
      </c>
      <c r="D50" s="1215" t="s">
        <v>973</v>
      </c>
      <c r="E50" s="1215"/>
      <c r="F50" s="1215"/>
      <c r="G50" s="1215"/>
      <c r="H50" s="1215"/>
      <c r="I50" s="1215"/>
      <c r="J50" s="1215"/>
      <c r="K50" s="1215"/>
      <c r="L50" s="1215"/>
      <c r="M50" s="1215"/>
      <c r="N50" s="1215"/>
      <c r="O50" s="1215"/>
      <c r="P50" s="1215"/>
      <c r="Q50" s="1215"/>
      <c r="R50" s="1215"/>
      <c r="S50" s="1215"/>
      <c r="T50" s="1215"/>
      <c r="U50" s="1215"/>
      <c r="V50" s="1215"/>
      <c r="W50" s="1215"/>
      <c r="X50" s="1215"/>
      <c r="Y50" s="1215">
        <f t="shared" si="0"/>
        <v>0</v>
      </c>
      <c r="Z50" s="1215">
        <v>1</v>
      </c>
      <c r="AA50" s="1215">
        <f t="shared" si="2"/>
        <v>0</v>
      </c>
      <c r="AB50" s="1215">
        <v>101</v>
      </c>
      <c r="AC50" s="1215">
        <f t="shared" si="1"/>
        <v>0</v>
      </c>
    </row>
    <row r="51" spans="1:29" hidden="1">
      <c r="A51" s="1215">
        <v>45</v>
      </c>
      <c r="B51" s="1215" t="s">
        <v>1835</v>
      </c>
      <c r="C51" s="1215" t="s">
        <v>1836</v>
      </c>
      <c r="D51" s="1215" t="s">
        <v>973</v>
      </c>
      <c r="E51" s="1215"/>
      <c r="F51" s="1215"/>
      <c r="G51" s="1215"/>
      <c r="H51" s="1215"/>
      <c r="I51" s="1215"/>
      <c r="J51" s="1215"/>
      <c r="K51" s="1215"/>
      <c r="L51" s="1215"/>
      <c r="M51" s="1215"/>
      <c r="N51" s="1215"/>
      <c r="O51" s="1215"/>
      <c r="P51" s="1215"/>
      <c r="Q51" s="1215"/>
      <c r="R51" s="1215"/>
      <c r="S51" s="1215"/>
      <c r="T51" s="1215"/>
      <c r="U51" s="1215"/>
      <c r="V51" s="1215"/>
      <c r="W51" s="1215"/>
      <c r="X51" s="1215"/>
      <c r="Y51" s="1215">
        <f t="shared" si="0"/>
        <v>0</v>
      </c>
      <c r="Z51" s="1215">
        <v>0.65</v>
      </c>
      <c r="AA51" s="1215">
        <f t="shared" si="2"/>
        <v>0</v>
      </c>
      <c r="AB51" s="1215">
        <v>895</v>
      </c>
      <c r="AC51" s="1215">
        <f t="shared" si="1"/>
        <v>0</v>
      </c>
    </row>
    <row r="52" spans="1:29" hidden="1">
      <c r="A52" s="1215">
        <v>46</v>
      </c>
      <c r="B52" s="1215" t="s">
        <v>1837</v>
      </c>
      <c r="C52" s="1215" t="s">
        <v>1838</v>
      </c>
      <c r="D52" s="1215" t="s">
        <v>973</v>
      </c>
      <c r="E52" s="1215"/>
      <c r="F52" s="1215"/>
      <c r="G52" s="1215"/>
      <c r="H52" s="1215"/>
      <c r="I52" s="1215"/>
      <c r="J52" s="1215"/>
      <c r="K52" s="1215"/>
      <c r="L52" s="1215"/>
      <c r="M52" s="1215"/>
      <c r="N52" s="1215"/>
      <c r="O52" s="1215"/>
      <c r="P52" s="1215"/>
      <c r="Q52" s="1215"/>
      <c r="R52" s="1215"/>
      <c r="S52" s="1215"/>
      <c r="T52" s="1215"/>
      <c r="U52" s="1215"/>
      <c r="V52" s="1215"/>
      <c r="W52" s="1215"/>
      <c r="X52" s="1215"/>
      <c r="Y52" s="1215">
        <f t="shared" si="0"/>
        <v>0</v>
      </c>
      <c r="Z52" s="1215">
        <v>0.95</v>
      </c>
      <c r="AA52" s="1215">
        <f t="shared" si="2"/>
        <v>0</v>
      </c>
      <c r="AB52" s="1215">
        <v>895</v>
      </c>
      <c r="AC52" s="1215">
        <f t="shared" si="1"/>
        <v>0</v>
      </c>
    </row>
    <row r="53" spans="1:29" hidden="1">
      <c r="A53" s="1215">
        <v>47</v>
      </c>
      <c r="B53" s="1215" t="s">
        <v>1839</v>
      </c>
      <c r="C53" s="1215" t="s">
        <v>1840</v>
      </c>
      <c r="D53" s="1215" t="s">
        <v>973</v>
      </c>
      <c r="E53" s="1215"/>
      <c r="F53" s="1215"/>
      <c r="G53" s="1215"/>
      <c r="H53" s="1215"/>
      <c r="I53" s="1215"/>
      <c r="J53" s="1215"/>
      <c r="K53" s="1215"/>
      <c r="L53" s="1215"/>
      <c r="M53" s="1215"/>
      <c r="N53" s="1215"/>
      <c r="O53" s="1215"/>
      <c r="P53" s="1215"/>
      <c r="Q53" s="1215"/>
      <c r="R53" s="1215"/>
      <c r="S53" s="1215"/>
      <c r="T53" s="1215"/>
      <c r="U53" s="1215"/>
      <c r="V53" s="1215"/>
      <c r="W53" s="1215"/>
      <c r="X53" s="1215"/>
      <c r="Y53" s="1215">
        <f t="shared" si="0"/>
        <v>0</v>
      </c>
      <c r="Z53" s="1215">
        <v>1</v>
      </c>
      <c r="AA53" s="1215">
        <f t="shared" si="2"/>
        <v>0</v>
      </c>
      <c r="AB53" s="1215">
        <v>895</v>
      </c>
      <c r="AC53" s="1215">
        <f t="shared" si="1"/>
        <v>0</v>
      </c>
    </row>
    <row r="54" spans="1:29" hidden="1">
      <c r="A54" s="1215">
        <v>48</v>
      </c>
      <c r="B54" s="1215" t="s">
        <v>1841</v>
      </c>
      <c r="C54" s="1215" t="s">
        <v>1842</v>
      </c>
      <c r="D54" s="1215" t="s">
        <v>973</v>
      </c>
      <c r="E54" s="1215"/>
      <c r="F54" s="1215"/>
      <c r="G54" s="1215"/>
      <c r="H54" s="1215"/>
      <c r="I54" s="1215"/>
      <c r="J54" s="1215"/>
      <c r="K54" s="1215"/>
      <c r="L54" s="1215"/>
      <c r="M54" s="1215"/>
      <c r="N54" s="1215"/>
      <c r="O54" s="1215"/>
      <c r="P54" s="1215"/>
      <c r="Q54" s="1215"/>
      <c r="R54" s="1215"/>
      <c r="S54" s="1215"/>
      <c r="T54" s="1215"/>
      <c r="U54" s="1215"/>
      <c r="V54" s="1215"/>
      <c r="W54" s="1215"/>
      <c r="X54" s="1215"/>
      <c r="Y54" s="1215">
        <f t="shared" si="0"/>
        <v>0</v>
      </c>
      <c r="Z54" s="1215">
        <v>0.65</v>
      </c>
      <c r="AA54" s="1215">
        <f t="shared" si="2"/>
        <v>0</v>
      </c>
      <c r="AB54" s="1215">
        <v>108</v>
      </c>
      <c r="AC54" s="1215">
        <f t="shared" si="1"/>
        <v>0</v>
      </c>
    </row>
    <row r="55" spans="1:29" hidden="1">
      <c r="A55" s="1215">
        <v>49</v>
      </c>
      <c r="B55" s="1215" t="s">
        <v>1843</v>
      </c>
      <c r="C55" s="1215" t="s">
        <v>1844</v>
      </c>
      <c r="D55" s="1215" t="s">
        <v>973</v>
      </c>
      <c r="E55" s="1215"/>
      <c r="F55" s="1215"/>
      <c r="G55" s="1215"/>
      <c r="H55" s="1215"/>
      <c r="I55" s="1215"/>
      <c r="J55" s="1215"/>
      <c r="K55" s="1215"/>
      <c r="L55" s="1215"/>
      <c r="M55" s="1215"/>
      <c r="N55" s="1215"/>
      <c r="O55" s="1215"/>
      <c r="P55" s="1215"/>
      <c r="Q55" s="1215"/>
      <c r="R55" s="1215"/>
      <c r="S55" s="1215"/>
      <c r="T55" s="1215"/>
      <c r="U55" s="1215"/>
      <c r="V55" s="1215"/>
      <c r="W55" s="1215"/>
      <c r="X55" s="1215"/>
      <c r="Y55" s="1215">
        <f t="shared" si="0"/>
        <v>0</v>
      </c>
      <c r="Z55" s="1215">
        <v>0.65</v>
      </c>
      <c r="AA55" s="1215">
        <f t="shared" si="2"/>
        <v>0</v>
      </c>
      <c r="AB55" s="1215">
        <v>134</v>
      </c>
      <c r="AC55" s="1215">
        <f t="shared" si="1"/>
        <v>0</v>
      </c>
    </row>
    <row r="56" spans="1:29" hidden="1">
      <c r="A56" s="1215">
        <v>50</v>
      </c>
      <c r="B56" s="1215" t="s">
        <v>1845</v>
      </c>
      <c r="C56" s="1215" t="s">
        <v>1846</v>
      </c>
      <c r="D56" s="1215" t="s">
        <v>973</v>
      </c>
      <c r="E56" s="1215"/>
      <c r="F56" s="1215"/>
      <c r="G56" s="1215"/>
      <c r="H56" s="1215"/>
      <c r="I56" s="1215"/>
      <c r="J56" s="1215"/>
      <c r="K56" s="1215"/>
      <c r="L56" s="1215"/>
      <c r="M56" s="1215"/>
      <c r="N56" s="1215"/>
      <c r="O56" s="1215"/>
      <c r="P56" s="1215"/>
      <c r="Q56" s="1215"/>
      <c r="R56" s="1215"/>
      <c r="S56" s="1215"/>
      <c r="T56" s="1215"/>
      <c r="U56" s="1215"/>
      <c r="V56" s="1215"/>
      <c r="W56" s="1215"/>
      <c r="X56" s="1215"/>
      <c r="Y56" s="1215">
        <f t="shared" si="0"/>
        <v>0</v>
      </c>
      <c r="Z56" s="1215">
        <v>0.65</v>
      </c>
      <c r="AA56" s="1215">
        <f t="shared" si="2"/>
        <v>0</v>
      </c>
      <c r="AB56" s="1215">
        <v>224</v>
      </c>
      <c r="AC56" s="1215">
        <f t="shared" si="1"/>
        <v>0</v>
      </c>
    </row>
    <row r="57" spans="1:29" hidden="1">
      <c r="A57" s="1215">
        <v>51</v>
      </c>
      <c r="B57" s="1215" t="s">
        <v>1847</v>
      </c>
      <c r="C57" s="1215" t="s">
        <v>1848</v>
      </c>
      <c r="D57" s="1215" t="s">
        <v>973</v>
      </c>
      <c r="E57" s="1215"/>
      <c r="F57" s="1215"/>
      <c r="G57" s="1215"/>
      <c r="H57" s="1215"/>
      <c r="I57" s="1215"/>
      <c r="J57" s="1215"/>
      <c r="K57" s="1215"/>
      <c r="L57" s="1215"/>
      <c r="M57" s="1215"/>
      <c r="N57" s="1215"/>
      <c r="O57" s="1215"/>
      <c r="P57" s="1215"/>
      <c r="Q57" s="1215"/>
      <c r="R57" s="1215"/>
      <c r="S57" s="1215"/>
      <c r="T57" s="1215"/>
      <c r="U57" s="1215"/>
      <c r="V57" s="1215"/>
      <c r="W57" s="1215"/>
      <c r="X57" s="1215"/>
      <c r="Y57" s="1215">
        <f t="shared" si="0"/>
        <v>0</v>
      </c>
      <c r="Z57" s="1215">
        <v>0.65</v>
      </c>
      <c r="AA57" s="1215">
        <f t="shared" si="2"/>
        <v>0</v>
      </c>
      <c r="AB57" s="1215">
        <v>366</v>
      </c>
      <c r="AC57" s="1215">
        <f t="shared" si="1"/>
        <v>0</v>
      </c>
    </row>
    <row r="58" spans="1:29" hidden="1">
      <c r="A58" s="1215">
        <v>52</v>
      </c>
      <c r="B58" s="1215" t="s">
        <v>1849</v>
      </c>
      <c r="C58" s="1215" t="s">
        <v>1850</v>
      </c>
      <c r="D58" s="1215" t="s">
        <v>973</v>
      </c>
      <c r="E58" s="1215"/>
      <c r="F58" s="1215"/>
      <c r="G58" s="1215"/>
      <c r="H58" s="1215"/>
      <c r="I58" s="1215"/>
      <c r="J58" s="1215"/>
      <c r="K58" s="1215"/>
      <c r="L58" s="1215"/>
      <c r="M58" s="1215"/>
      <c r="N58" s="1215"/>
      <c r="O58" s="1215"/>
      <c r="P58" s="1215"/>
      <c r="Q58" s="1215"/>
      <c r="R58" s="1215"/>
      <c r="S58" s="1215"/>
      <c r="T58" s="1215"/>
      <c r="U58" s="1215"/>
      <c r="V58" s="1215"/>
      <c r="W58" s="1215"/>
      <c r="X58" s="1215"/>
      <c r="Y58" s="1215">
        <f t="shared" si="0"/>
        <v>0</v>
      </c>
      <c r="Z58" s="1215">
        <v>0.65</v>
      </c>
      <c r="AA58" s="1215">
        <f t="shared" si="2"/>
        <v>0</v>
      </c>
      <c r="AB58" s="1215">
        <v>895</v>
      </c>
      <c r="AC58" s="1215">
        <f t="shared" si="1"/>
        <v>0</v>
      </c>
    </row>
    <row r="59" spans="1:29" hidden="1">
      <c r="A59" s="1215">
        <v>53</v>
      </c>
      <c r="B59" s="1215" t="s">
        <v>1851</v>
      </c>
      <c r="C59" s="1215" t="s">
        <v>1852</v>
      </c>
      <c r="D59" s="1215" t="s">
        <v>973</v>
      </c>
      <c r="E59" s="1215"/>
      <c r="F59" s="1215"/>
      <c r="G59" s="1215"/>
      <c r="H59" s="1215"/>
      <c r="I59" s="1215"/>
      <c r="J59" s="1215"/>
      <c r="K59" s="1215"/>
      <c r="L59" s="1215"/>
      <c r="M59" s="1215"/>
      <c r="N59" s="1215"/>
      <c r="O59" s="1215"/>
      <c r="P59" s="1215"/>
      <c r="Q59" s="1215"/>
      <c r="R59" s="1215"/>
      <c r="S59" s="1215"/>
      <c r="T59" s="1215"/>
      <c r="U59" s="1215"/>
      <c r="V59" s="1215"/>
      <c r="W59" s="1215"/>
      <c r="X59" s="1215"/>
      <c r="Y59" s="1215">
        <f t="shared" si="0"/>
        <v>0</v>
      </c>
      <c r="Z59" s="1215">
        <v>1.5</v>
      </c>
      <c r="AA59" s="1215">
        <f t="shared" si="2"/>
        <v>0</v>
      </c>
      <c r="AB59" s="1215">
        <v>782</v>
      </c>
      <c r="AC59" s="1215">
        <f t="shared" si="1"/>
        <v>0</v>
      </c>
    </row>
    <row r="60" spans="1:29">
      <c r="A60" s="1215">
        <v>54</v>
      </c>
      <c r="B60" s="1215" t="s">
        <v>1853</v>
      </c>
      <c r="C60" s="1215" t="s">
        <v>1854</v>
      </c>
      <c r="D60" s="1215" t="s">
        <v>973</v>
      </c>
      <c r="E60" s="1215"/>
      <c r="F60" s="1215"/>
      <c r="G60" s="1215"/>
      <c r="H60" s="1215"/>
      <c r="I60" s="1215"/>
      <c r="J60" s="1215"/>
      <c r="K60" s="1215"/>
      <c r="L60" s="1215"/>
      <c r="M60" s="1215"/>
      <c r="N60" s="1215"/>
      <c r="O60" s="1215"/>
      <c r="P60" s="1215">
        <v>1</v>
      </c>
      <c r="Q60" s="1215"/>
      <c r="R60" s="1215"/>
      <c r="S60" s="1215"/>
      <c r="T60" s="1215"/>
      <c r="U60" s="1215"/>
      <c r="V60" s="1215"/>
      <c r="W60" s="1215"/>
      <c r="X60" s="1215"/>
      <c r="Y60" s="1215">
        <f t="shared" si="0"/>
        <v>1</v>
      </c>
      <c r="Z60" s="1215">
        <v>0.08</v>
      </c>
      <c r="AA60" s="1215">
        <f t="shared" si="2"/>
        <v>0.08</v>
      </c>
      <c r="AB60" s="1215">
        <v>30</v>
      </c>
      <c r="AC60" s="1215">
        <f t="shared" si="1"/>
        <v>30</v>
      </c>
    </row>
    <row r="61" spans="1:29" hidden="1">
      <c r="A61" s="1215">
        <v>55</v>
      </c>
      <c r="B61" s="1215" t="s">
        <v>1855</v>
      </c>
      <c r="C61" s="1215" t="s">
        <v>1856</v>
      </c>
      <c r="D61" s="1215" t="s">
        <v>973</v>
      </c>
      <c r="E61" s="1215"/>
      <c r="F61" s="1215"/>
      <c r="G61" s="1215"/>
      <c r="H61" s="1215"/>
      <c r="I61" s="1215"/>
      <c r="J61" s="1215"/>
      <c r="K61" s="1215"/>
      <c r="L61" s="1215"/>
      <c r="M61" s="1215"/>
      <c r="N61" s="1215"/>
      <c r="O61" s="1215"/>
      <c r="P61" s="1215"/>
      <c r="Q61" s="1215"/>
      <c r="R61" s="1215"/>
      <c r="S61" s="1215"/>
      <c r="T61" s="1215"/>
      <c r="U61" s="1215"/>
      <c r="V61" s="1215"/>
      <c r="W61" s="1215"/>
      <c r="X61" s="1215"/>
      <c r="Y61" s="1215">
        <f t="shared" si="0"/>
        <v>0</v>
      </c>
      <c r="Z61" s="1215">
        <v>0.15</v>
      </c>
      <c r="AA61" s="1215">
        <f t="shared" si="2"/>
        <v>0</v>
      </c>
      <c r="AB61" s="1215">
        <v>62</v>
      </c>
      <c r="AC61" s="1215">
        <f t="shared" si="1"/>
        <v>0</v>
      </c>
    </row>
    <row r="62" spans="1:29" hidden="1">
      <c r="A62" s="1215">
        <v>56</v>
      </c>
      <c r="B62" s="1215" t="s">
        <v>1857</v>
      </c>
      <c r="C62" s="1215" t="s">
        <v>1858</v>
      </c>
      <c r="D62" s="1215" t="s">
        <v>973</v>
      </c>
      <c r="E62" s="1215"/>
      <c r="F62" s="1215"/>
      <c r="G62" s="1215"/>
      <c r="H62" s="1215"/>
      <c r="I62" s="1215"/>
      <c r="J62" s="1215"/>
      <c r="K62" s="1215"/>
      <c r="L62" s="1215"/>
      <c r="M62" s="1215"/>
      <c r="N62" s="1215"/>
      <c r="O62" s="1215"/>
      <c r="P62" s="1215"/>
      <c r="Q62" s="1215"/>
      <c r="R62" s="1215"/>
      <c r="S62" s="1215"/>
      <c r="T62" s="1215"/>
      <c r="U62" s="1215"/>
      <c r="V62" s="1215"/>
      <c r="W62" s="1215"/>
      <c r="X62" s="1215"/>
      <c r="Y62" s="1215">
        <f t="shared" si="0"/>
        <v>0</v>
      </c>
      <c r="Z62" s="1215">
        <v>0.25</v>
      </c>
      <c r="AA62" s="1215">
        <f t="shared" si="2"/>
        <v>0</v>
      </c>
      <c r="AB62" s="1215">
        <v>118</v>
      </c>
      <c r="AC62" s="1215">
        <f t="shared" si="1"/>
        <v>0</v>
      </c>
    </row>
    <row r="63" spans="1:29" hidden="1">
      <c r="A63" s="1215">
        <v>57</v>
      </c>
      <c r="B63" s="1215" t="s">
        <v>1859</v>
      </c>
      <c r="C63" s="1215" t="s">
        <v>1860</v>
      </c>
      <c r="D63" s="1215" t="s">
        <v>973</v>
      </c>
      <c r="E63" s="1215"/>
      <c r="F63" s="1215"/>
      <c r="G63" s="1215"/>
      <c r="H63" s="1215"/>
      <c r="I63" s="1215"/>
      <c r="J63" s="1215"/>
      <c r="K63" s="1215"/>
      <c r="L63" s="1215"/>
      <c r="M63" s="1215"/>
      <c r="N63" s="1215"/>
      <c r="O63" s="1215"/>
      <c r="P63" s="1215"/>
      <c r="Q63" s="1215"/>
      <c r="R63" s="1215"/>
      <c r="S63" s="1215"/>
      <c r="T63" s="1215"/>
      <c r="U63" s="1215"/>
      <c r="V63" s="1215"/>
      <c r="W63" s="1215"/>
      <c r="X63" s="1215"/>
      <c r="Y63" s="1215">
        <f t="shared" si="0"/>
        <v>0</v>
      </c>
      <c r="Z63" s="1215">
        <v>0.5</v>
      </c>
      <c r="AA63" s="1215">
        <f t="shared" si="2"/>
        <v>0</v>
      </c>
      <c r="AB63" s="1215">
        <v>197</v>
      </c>
      <c r="AC63" s="1215">
        <f t="shared" si="1"/>
        <v>0</v>
      </c>
    </row>
    <row r="64" spans="1:29">
      <c r="A64" s="1215">
        <v>58</v>
      </c>
      <c r="B64" s="1215" t="s">
        <v>1861</v>
      </c>
      <c r="C64" s="1215" t="s">
        <v>1862</v>
      </c>
      <c r="D64" s="1215" t="s">
        <v>973</v>
      </c>
      <c r="E64" s="1215"/>
      <c r="F64" s="1215"/>
      <c r="G64" s="1215"/>
      <c r="H64" s="1215"/>
      <c r="I64" s="1215"/>
      <c r="J64" s="1215">
        <v>1</v>
      </c>
      <c r="K64" s="1215"/>
      <c r="L64" s="1215"/>
      <c r="M64" s="1215"/>
      <c r="N64" s="1215"/>
      <c r="O64" s="1215"/>
      <c r="P64" s="1215"/>
      <c r="Q64" s="1215"/>
      <c r="R64" s="1215"/>
      <c r="S64" s="1215"/>
      <c r="T64" s="1215"/>
      <c r="U64" s="1215"/>
      <c r="V64" s="1215"/>
      <c r="W64" s="1215"/>
      <c r="X64" s="1215"/>
      <c r="Y64" s="1215">
        <f t="shared" si="0"/>
        <v>1</v>
      </c>
      <c r="Z64" s="1215">
        <v>1.1299999999999999</v>
      </c>
      <c r="AA64" s="1215">
        <f t="shared" si="2"/>
        <v>1.1299999999999999</v>
      </c>
      <c r="AB64" s="1215">
        <v>483</v>
      </c>
      <c r="AC64" s="1215">
        <f t="shared" si="1"/>
        <v>483</v>
      </c>
    </row>
    <row r="65" spans="1:29" hidden="1">
      <c r="A65" s="1215">
        <v>59</v>
      </c>
      <c r="B65" s="1215" t="s">
        <v>1863</v>
      </c>
      <c r="C65" s="1215" t="s">
        <v>1864</v>
      </c>
      <c r="D65" s="1215" t="s">
        <v>973</v>
      </c>
      <c r="E65" s="1215"/>
      <c r="F65" s="1215"/>
      <c r="G65" s="1215"/>
      <c r="H65" s="1215"/>
      <c r="I65" s="1215"/>
      <c r="J65" s="1215"/>
      <c r="K65" s="1215"/>
      <c r="L65" s="1215"/>
      <c r="M65" s="1215"/>
      <c r="N65" s="1215"/>
      <c r="O65" s="1215"/>
      <c r="P65" s="1215"/>
      <c r="Q65" s="1215"/>
      <c r="R65" s="1215"/>
      <c r="S65" s="1215"/>
      <c r="T65" s="1215"/>
      <c r="U65" s="1215"/>
      <c r="V65" s="1215"/>
      <c r="W65" s="1215"/>
      <c r="X65" s="1215"/>
      <c r="Y65" s="1215">
        <f t="shared" si="0"/>
        <v>0</v>
      </c>
      <c r="Z65" s="1215">
        <v>1.5</v>
      </c>
      <c r="AA65" s="1215">
        <f t="shared" si="2"/>
        <v>0</v>
      </c>
      <c r="AB65" s="1215">
        <v>1500</v>
      </c>
      <c r="AC65" s="1215">
        <f t="shared" si="1"/>
        <v>0</v>
      </c>
    </row>
    <row r="66" spans="1:29" hidden="1">
      <c r="A66" s="1215">
        <v>60</v>
      </c>
      <c r="B66" s="1215" t="s">
        <v>1865</v>
      </c>
      <c r="C66" s="1215" t="s">
        <v>1866</v>
      </c>
      <c r="D66" s="1215" t="s">
        <v>973</v>
      </c>
      <c r="E66" s="1215"/>
      <c r="F66" s="1215"/>
      <c r="G66" s="1215"/>
      <c r="H66" s="1215"/>
      <c r="I66" s="1215"/>
      <c r="J66" s="1215"/>
      <c r="K66" s="1215"/>
      <c r="L66" s="1215"/>
      <c r="M66" s="1215"/>
      <c r="N66" s="1215"/>
      <c r="O66" s="1215"/>
      <c r="P66" s="1215"/>
      <c r="Q66" s="1215"/>
      <c r="R66" s="1215"/>
      <c r="S66" s="1215"/>
      <c r="T66" s="1215"/>
      <c r="U66" s="1215"/>
      <c r="V66" s="1215"/>
      <c r="W66" s="1215"/>
      <c r="X66" s="1215"/>
      <c r="Y66" s="1215">
        <f t="shared" si="0"/>
        <v>0</v>
      </c>
      <c r="Z66" s="1215">
        <v>1.6</v>
      </c>
      <c r="AA66" s="1215">
        <f t="shared" si="2"/>
        <v>0</v>
      </c>
      <c r="AB66" s="1215">
        <v>1500</v>
      </c>
      <c r="AC66" s="1215">
        <f t="shared" si="1"/>
        <v>0</v>
      </c>
    </row>
    <row r="67" spans="1:29" hidden="1">
      <c r="A67" s="1215">
        <v>61</v>
      </c>
      <c r="B67" s="1215" t="s">
        <v>1867</v>
      </c>
      <c r="C67" s="1215" t="s">
        <v>1868</v>
      </c>
      <c r="D67" s="1215" t="s">
        <v>973</v>
      </c>
      <c r="E67" s="1215"/>
      <c r="F67" s="1215"/>
      <c r="G67" s="1215"/>
      <c r="H67" s="1215"/>
      <c r="I67" s="1215"/>
      <c r="J67" s="1215"/>
      <c r="K67" s="1215"/>
      <c r="L67" s="1215"/>
      <c r="M67" s="1215"/>
      <c r="N67" s="1215"/>
      <c r="O67" s="1215"/>
      <c r="P67" s="1215"/>
      <c r="Q67" s="1215"/>
      <c r="R67" s="1215"/>
      <c r="S67" s="1215"/>
      <c r="T67" s="1215"/>
      <c r="U67" s="1215"/>
      <c r="V67" s="1215"/>
      <c r="W67" s="1215"/>
      <c r="X67" s="1215"/>
      <c r="Y67" s="1215">
        <f t="shared" si="0"/>
        <v>0</v>
      </c>
      <c r="Z67" s="1215">
        <v>1.7</v>
      </c>
      <c r="AA67" s="1215">
        <f t="shared" si="2"/>
        <v>0</v>
      </c>
      <c r="AB67" s="1215">
        <v>1500</v>
      </c>
      <c r="AC67" s="1215">
        <f t="shared" si="1"/>
        <v>0</v>
      </c>
    </row>
    <row r="68" spans="1:29" hidden="1">
      <c r="A68" s="1215">
        <v>62</v>
      </c>
      <c r="B68" s="1215" t="s">
        <v>1869</v>
      </c>
      <c r="C68" s="1215" t="s">
        <v>1870</v>
      </c>
      <c r="D68" s="1215" t="s">
        <v>973</v>
      </c>
      <c r="E68" s="1215"/>
      <c r="F68" s="1215"/>
      <c r="G68" s="1215"/>
      <c r="H68" s="1215"/>
      <c r="I68" s="1215"/>
      <c r="J68" s="1215"/>
      <c r="K68" s="1215"/>
      <c r="L68" s="1215"/>
      <c r="M68" s="1215"/>
      <c r="N68" s="1215"/>
      <c r="O68" s="1215"/>
      <c r="P68" s="1215"/>
      <c r="Q68" s="1215"/>
      <c r="R68" s="1215"/>
      <c r="S68" s="1215"/>
      <c r="T68" s="1215"/>
      <c r="U68" s="1215"/>
      <c r="V68" s="1215"/>
      <c r="W68" s="1215"/>
      <c r="X68" s="1215"/>
      <c r="Y68" s="1215">
        <f t="shared" si="0"/>
        <v>0</v>
      </c>
      <c r="Z68" s="1215">
        <v>1.75</v>
      </c>
      <c r="AA68" s="1215">
        <f t="shared" si="2"/>
        <v>0</v>
      </c>
      <c r="AB68" s="1215">
        <v>1500</v>
      </c>
      <c r="AC68" s="1215">
        <f t="shared" si="1"/>
        <v>0</v>
      </c>
    </row>
    <row r="69" spans="1:29" hidden="1">
      <c r="A69" s="1215">
        <v>63</v>
      </c>
      <c r="B69" s="1215" t="s">
        <v>1871</v>
      </c>
      <c r="C69" s="1215" t="s">
        <v>1872</v>
      </c>
      <c r="D69" s="1215" t="s">
        <v>973</v>
      </c>
      <c r="E69" s="1215"/>
      <c r="F69" s="1215"/>
      <c r="G69" s="1215"/>
      <c r="H69" s="1215"/>
      <c r="I69" s="1215"/>
      <c r="J69" s="1215"/>
      <c r="K69" s="1215"/>
      <c r="L69" s="1215"/>
      <c r="M69" s="1215"/>
      <c r="N69" s="1215"/>
      <c r="O69" s="1215"/>
      <c r="P69" s="1215"/>
      <c r="Q69" s="1215"/>
      <c r="R69" s="1215"/>
      <c r="S69" s="1215"/>
      <c r="T69" s="1215"/>
      <c r="U69" s="1215"/>
      <c r="V69" s="1215"/>
      <c r="W69" s="1215"/>
      <c r="X69" s="1215"/>
      <c r="Y69" s="1215">
        <f t="shared" si="0"/>
        <v>0</v>
      </c>
      <c r="Z69" s="1215">
        <v>1.95</v>
      </c>
      <c r="AA69" s="1215">
        <f t="shared" si="2"/>
        <v>0</v>
      </c>
      <c r="AB69" s="1215">
        <v>1500</v>
      </c>
      <c r="AC69" s="1215">
        <f t="shared" si="1"/>
        <v>0</v>
      </c>
    </row>
    <row r="70" spans="1:29">
      <c r="A70" s="1215">
        <v>64</v>
      </c>
      <c r="B70" s="1215" t="s">
        <v>1873</v>
      </c>
      <c r="C70" s="1215" t="s">
        <v>1874</v>
      </c>
      <c r="D70" s="1215" t="s">
        <v>973</v>
      </c>
      <c r="E70" s="1215">
        <v>3</v>
      </c>
      <c r="F70" s="1215"/>
      <c r="G70" s="1215"/>
      <c r="H70" s="1215"/>
      <c r="I70" s="1215"/>
      <c r="J70" s="1215"/>
      <c r="K70" s="1215"/>
      <c r="L70" s="1215"/>
      <c r="M70" s="1215"/>
      <c r="N70" s="1215"/>
      <c r="O70" s="1215"/>
      <c r="P70" s="1215"/>
      <c r="Q70" s="1215"/>
      <c r="R70" s="1215"/>
      <c r="S70" s="1215"/>
      <c r="T70" s="1215"/>
      <c r="U70" s="1215">
        <v>2</v>
      </c>
      <c r="V70" s="1215"/>
      <c r="W70" s="1215"/>
      <c r="X70" s="1215"/>
      <c r="Y70" s="1215">
        <f t="shared" si="0"/>
        <v>28</v>
      </c>
      <c r="Z70" s="1215">
        <v>0.23</v>
      </c>
      <c r="AA70" s="1215">
        <f t="shared" si="2"/>
        <v>6.44</v>
      </c>
      <c r="AB70" s="1215">
        <v>140</v>
      </c>
      <c r="AC70" s="1215">
        <f t="shared" si="1"/>
        <v>3920</v>
      </c>
    </row>
    <row r="71" spans="1:29">
      <c r="A71" s="1215">
        <v>65</v>
      </c>
      <c r="B71" s="1215" t="s">
        <v>1875</v>
      </c>
      <c r="C71" s="1215" t="s">
        <v>1876</v>
      </c>
      <c r="D71" s="1215" t="s">
        <v>973</v>
      </c>
      <c r="E71" s="1215">
        <v>2</v>
      </c>
      <c r="F71" s="1215"/>
      <c r="G71" s="1215"/>
      <c r="H71" s="1215"/>
      <c r="I71" s="1215"/>
      <c r="J71" s="1215"/>
      <c r="K71" s="1215"/>
      <c r="L71" s="1215"/>
      <c r="M71" s="1215"/>
      <c r="N71" s="1215"/>
      <c r="O71" s="1215"/>
      <c r="P71" s="1215"/>
      <c r="Q71" s="1215"/>
      <c r="R71" s="1215"/>
      <c r="S71" s="1215"/>
      <c r="T71" s="1215"/>
      <c r="U71" s="1215"/>
      <c r="V71" s="1215"/>
      <c r="W71" s="1215"/>
      <c r="X71" s="1215"/>
      <c r="Y71" s="1215">
        <f t="shared" ref="Y71:Y124" si="3">SUMPRODUCT(E71:X71,$E$6:$X$6)</f>
        <v>12</v>
      </c>
      <c r="Z71" s="1215">
        <v>0.23</v>
      </c>
      <c r="AA71" s="1215">
        <f t="shared" si="2"/>
        <v>2.7600000000000002</v>
      </c>
      <c r="AB71" s="1215">
        <v>209</v>
      </c>
      <c r="AC71" s="1215">
        <f t="shared" si="1"/>
        <v>2508</v>
      </c>
    </row>
    <row r="72" spans="1:29">
      <c r="A72" s="1215">
        <v>66</v>
      </c>
      <c r="B72" s="1215" t="s">
        <v>1877</v>
      </c>
      <c r="C72" s="1215" t="s">
        <v>1878</v>
      </c>
      <c r="D72" s="1215" t="s">
        <v>973</v>
      </c>
      <c r="E72" s="1215">
        <v>1</v>
      </c>
      <c r="F72" s="1215"/>
      <c r="G72" s="1215">
        <v>1</v>
      </c>
      <c r="H72" s="1215"/>
      <c r="I72" s="1215"/>
      <c r="J72" s="1215"/>
      <c r="K72" s="1215"/>
      <c r="L72" s="1215"/>
      <c r="M72" s="1215"/>
      <c r="N72" s="1215"/>
      <c r="O72" s="1215"/>
      <c r="P72" s="1215"/>
      <c r="Q72" s="1215"/>
      <c r="R72" s="1215"/>
      <c r="S72" s="1215"/>
      <c r="T72" s="1215"/>
      <c r="U72" s="1215">
        <v>2</v>
      </c>
      <c r="V72" s="1215"/>
      <c r="W72" s="1215"/>
      <c r="X72" s="1215"/>
      <c r="Y72" s="1215">
        <f t="shared" si="3"/>
        <v>18</v>
      </c>
      <c r="Z72" s="1215">
        <v>0.4</v>
      </c>
      <c r="AA72" s="1215">
        <f t="shared" si="2"/>
        <v>7.2</v>
      </c>
      <c r="AB72" s="1215">
        <v>278</v>
      </c>
      <c r="AC72" s="1215">
        <f t="shared" ref="AC72:AC124" si="4">Y72*AB72</f>
        <v>5004</v>
      </c>
    </row>
    <row r="73" spans="1:29">
      <c r="A73" s="1215">
        <v>67</v>
      </c>
      <c r="B73" s="1215" t="s">
        <v>1879</v>
      </c>
      <c r="C73" s="1215" t="s">
        <v>1880</v>
      </c>
      <c r="D73" s="1215" t="s">
        <v>973</v>
      </c>
      <c r="E73" s="1215">
        <v>1</v>
      </c>
      <c r="F73" s="1215"/>
      <c r="G73" s="1215"/>
      <c r="H73" s="1215"/>
      <c r="I73" s="1215"/>
      <c r="J73" s="1215"/>
      <c r="K73" s="1215"/>
      <c r="L73" s="1215"/>
      <c r="M73" s="1215"/>
      <c r="N73" s="1215"/>
      <c r="O73" s="1215">
        <v>2</v>
      </c>
      <c r="P73" s="1215"/>
      <c r="Q73" s="1215"/>
      <c r="R73" s="1215"/>
      <c r="S73" s="1215"/>
      <c r="T73" s="1215"/>
      <c r="U73" s="1215"/>
      <c r="V73" s="1215"/>
      <c r="W73" s="1215"/>
      <c r="X73" s="1215"/>
      <c r="Y73" s="1215">
        <f t="shared" si="3"/>
        <v>10</v>
      </c>
      <c r="Z73" s="1215">
        <v>0.5</v>
      </c>
      <c r="AA73" s="1215">
        <f t="shared" si="2"/>
        <v>5</v>
      </c>
      <c r="AB73" s="1215">
        <v>439</v>
      </c>
      <c r="AC73" s="1215">
        <f t="shared" si="4"/>
        <v>4390</v>
      </c>
    </row>
    <row r="74" spans="1:29">
      <c r="A74" s="1215">
        <v>68</v>
      </c>
      <c r="B74" s="1215" t="s">
        <v>1881</v>
      </c>
      <c r="C74" s="1215" t="s">
        <v>1882</v>
      </c>
      <c r="D74" s="1215" t="s">
        <v>973</v>
      </c>
      <c r="E74" s="1215"/>
      <c r="F74" s="1215"/>
      <c r="G74" s="1215">
        <v>1</v>
      </c>
      <c r="H74" s="1215"/>
      <c r="I74" s="1215"/>
      <c r="J74" s="1215"/>
      <c r="K74" s="1215"/>
      <c r="L74" s="1215"/>
      <c r="M74" s="1215"/>
      <c r="N74" s="1215"/>
      <c r="O74" s="1215"/>
      <c r="P74" s="1215"/>
      <c r="Q74" s="1215"/>
      <c r="R74" s="1215"/>
      <c r="S74" s="1215"/>
      <c r="T74" s="1215"/>
      <c r="U74" s="1215"/>
      <c r="V74" s="1215"/>
      <c r="W74" s="1215"/>
      <c r="X74" s="1215"/>
      <c r="Y74" s="1215">
        <f t="shared" si="3"/>
        <v>2</v>
      </c>
      <c r="Z74" s="1215">
        <v>0.85</v>
      </c>
      <c r="AA74" s="1215">
        <f t="shared" ref="AA74:AA124" si="5">Y74*Z74</f>
        <v>1.7</v>
      </c>
      <c r="AB74" s="1215">
        <v>1216</v>
      </c>
      <c r="AC74" s="1215">
        <f t="shared" si="4"/>
        <v>2432</v>
      </c>
    </row>
    <row r="75" spans="1:29">
      <c r="A75" s="1215">
        <v>69</v>
      </c>
      <c r="B75" s="1215" t="s">
        <v>1883</v>
      </c>
      <c r="C75" s="1215" t="s">
        <v>1884</v>
      </c>
      <c r="D75" s="1215" t="s">
        <v>973</v>
      </c>
      <c r="E75" s="1215"/>
      <c r="F75" s="1215"/>
      <c r="G75" s="1215"/>
      <c r="H75" s="1215"/>
      <c r="I75" s="1215"/>
      <c r="J75" s="1215"/>
      <c r="K75" s="1215"/>
      <c r="L75" s="1215"/>
      <c r="M75" s="1215"/>
      <c r="N75" s="1215"/>
      <c r="O75" s="1215"/>
      <c r="P75" s="1215"/>
      <c r="Q75" s="1215"/>
      <c r="R75" s="1215"/>
      <c r="S75" s="1215"/>
      <c r="T75" s="1215"/>
      <c r="U75" s="1215">
        <v>1</v>
      </c>
      <c r="V75" s="1215"/>
      <c r="W75" s="1215"/>
      <c r="X75" s="1215"/>
      <c r="Y75" s="1215">
        <f t="shared" si="3"/>
        <v>5</v>
      </c>
      <c r="Z75" s="1215">
        <v>0.9</v>
      </c>
      <c r="AA75" s="1215">
        <f t="shared" si="5"/>
        <v>4.5</v>
      </c>
      <c r="AB75" s="1215">
        <v>1216</v>
      </c>
      <c r="AC75" s="1215">
        <f t="shared" si="4"/>
        <v>6080</v>
      </c>
    </row>
    <row r="76" spans="1:29" hidden="1">
      <c r="A76" s="1215">
        <v>70</v>
      </c>
      <c r="B76" s="1215" t="s">
        <v>1885</v>
      </c>
      <c r="C76" s="1215" t="s">
        <v>1886</v>
      </c>
      <c r="D76" s="1215" t="s">
        <v>973</v>
      </c>
      <c r="E76" s="1215"/>
      <c r="F76" s="1215"/>
      <c r="G76" s="1215"/>
      <c r="H76" s="1215"/>
      <c r="I76" s="1215"/>
      <c r="J76" s="1215"/>
      <c r="K76" s="1215"/>
      <c r="L76" s="1215"/>
      <c r="M76" s="1215"/>
      <c r="N76" s="1215"/>
      <c r="O76" s="1215"/>
      <c r="P76" s="1215"/>
      <c r="Q76" s="1215"/>
      <c r="R76" s="1215"/>
      <c r="S76" s="1215"/>
      <c r="T76" s="1215"/>
      <c r="U76" s="1215"/>
      <c r="V76" s="1215"/>
      <c r="W76" s="1215"/>
      <c r="X76" s="1215"/>
      <c r="Y76" s="1215">
        <f t="shared" si="3"/>
        <v>0</v>
      </c>
      <c r="Z76" s="1215">
        <v>1.05</v>
      </c>
      <c r="AA76" s="1215">
        <f t="shared" si="5"/>
        <v>0</v>
      </c>
      <c r="AB76" s="1215">
        <v>1216</v>
      </c>
      <c r="AC76" s="1215">
        <f t="shared" si="4"/>
        <v>0</v>
      </c>
    </row>
    <row r="77" spans="1:29" hidden="1">
      <c r="A77" s="1215">
        <v>71</v>
      </c>
      <c r="B77" s="1215" t="s">
        <v>1887</v>
      </c>
      <c r="C77" s="1215" t="s">
        <v>1888</v>
      </c>
      <c r="D77" s="1215" t="s">
        <v>973</v>
      </c>
      <c r="E77" s="1215"/>
      <c r="F77" s="1215"/>
      <c r="G77" s="1215"/>
      <c r="H77" s="1215"/>
      <c r="I77" s="1215"/>
      <c r="J77" s="1215"/>
      <c r="K77" s="1215"/>
      <c r="L77" s="1215"/>
      <c r="M77" s="1215"/>
      <c r="N77" s="1215"/>
      <c r="O77" s="1215"/>
      <c r="P77" s="1215"/>
      <c r="Q77" s="1215"/>
      <c r="R77" s="1215"/>
      <c r="S77" s="1215"/>
      <c r="T77" s="1215"/>
      <c r="U77" s="1215"/>
      <c r="V77" s="1215"/>
      <c r="W77" s="1215"/>
      <c r="X77" s="1215"/>
      <c r="Y77" s="1215">
        <f t="shared" si="3"/>
        <v>0</v>
      </c>
      <c r="Z77" s="1215">
        <v>1.1000000000000001</v>
      </c>
      <c r="AA77" s="1215">
        <f t="shared" si="5"/>
        <v>0</v>
      </c>
      <c r="AB77" s="1215">
        <v>1216</v>
      </c>
      <c r="AC77" s="1215">
        <f t="shared" si="4"/>
        <v>0</v>
      </c>
    </row>
    <row r="78" spans="1:29">
      <c r="A78" s="1215">
        <v>72</v>
      </c>
      <c r="B78" s="1215" t="s">
        <v>1889</v>
      </c>
      <c r="C78" s="1215" t="s">
        <v>1890</v>
      </c>
      <c r="D78" s="1215" t="s">
        <v>973</v>
      </c>
      <c r="E78" s="1215"/>
      <c r="F78" s="1215"/>
      <c r="G78" s="1215"/>
      <c r="H78" s="1215"/>
      <c r="I78" s="1215"/>
      <c r="J78" s="1215"/>
      <c r="K78" s="1215"/>
      <c r="L78" s="1215"/>
      <c r="M78" s="1215"/>
      <c r="N78" s="1215"/>
      <c r="O78" s="1215">
        <v>2</v>
      </c>
      <c r="P78" s="1215"/>
      <c r="Q78" s="1215"/>
      <c r="R78" s="1215"/>
      <c r="S78" s="1215"/>
      <c r="T78" s="1215"/>
      <c r="U78" s="1215"/>
      <c r="V78" s="1215"/>
      <c r="W78" s="1215"/>
      <c r="X78" s="1215"/>
      <c r="Y78" s="1215">
        <f t="shared" si="3"/>
        <v>4</v>
      </c>
      <c r="Z78" s="1215">
        <v>0.22</v>
      </c>
      <c r="AA78" s="1215">
        <f t="shared" si="5"/>
        <v>0.88</v>
      </c>
      <c r="AB78" s="1215">
        <v>92</v>
      </c>
      <c r="AC78" s="1215">
        <f t="shared" si="4"/>
        <v>368</v>
      </c>
    </row>
    <row r="79" spans="1:29" hidden="1">
      <c r="A79" s="1215">
        <v>73</v>
      </c>
      <c r="B79" s="1215" t="s">
        <v>1891</v>
      </c>
      <c r="C79" s="1215" t="s">
        <v>1892</v>
      </c>
      <c r="D79" s="1215" t="s">
        <v>973</v>
      </c>
      <c r="E79" s="1215"/>
      <c r="F79" s="1215"/>
      <c r="G79" s="1215"/>
      <c r="H79" s="1215"/>
      <c r="I79" s="1215"/>
      <c r="J79" s="1215"/>
      <c r="K79" s="1215"/>
      <c r="L79" s="1215"/>
      <c r="M79" s="1215"/>
      <c r="N79" s="1215"/>
      <c r="O79" s="1215"/>
      <c r="P79" s="1215"/>
      <c r="Q79" s="1215"/>
      <c r="R79" s="1215"/>
      <c r="S79" s="1215"/>
      <c r="T79" s="1215"/>
      <c r="U79" s="1215"/>
      <c r="V79" s="1215"/>
      <c r="W79" s="1215"/>
      <c r="X79" s="1215"/>
      <c r="Y79" s="1215">
        <f t="shared" si="3"/>
        <v>0</v>
      </c>
      <c r="Z79" s="1215">
        <v>0.26</v>
      </c>
      <c r="AA79" s="1215">
        <f t="shared" si="5"/>
        <v>0</v>
      </c>
      <c r="AB79" s="1215">
        <v>118</v>
      </c>
      <c r="AC79" s="1215">
        <f t="shared" si="4"/>
        <v>0</v>
      </c>
    </row>
    <row r="80" spans="1:29">
      <c r="A80" s="1215">
        <v>74</v>
      </c>
      <c r="B80" s="1215" t="s">
        <v>1893</v>
      </c>
      <c r="C80" s="1215" t="s">
        <v>1894</v>
      </c>
      <c r="D80" s="1215" t="s">
        <v>973</v>
      </c>
      <c r="E80" s="1215">
        <v>3</v>
      </c>
      <c r="F80" s="1215"/>
      <c r="G80" s="1215"/>
      <c r="H80" s="1215"/>
      <c r="I80" s="1215"/>
      <c r="J80" s="1215"/>
      <c r="K80" s="1215"/>
      <c r="L80" s="1215"/>
      <c r="M80" s="1215"/>
      <c r="N80" s="1215"/>
      <c r="O80" s="1215"/>
      <c r="P80" s="1215"/>
      <c r="Q80" s="1215"/>
      <c r="R80" s="1215"/>
      <c r="S80" s="1215"/>
      <c r="T80" s="1215"/>
      <c r="U80" s="1215"/>
      <c r="V80" s="1215"/>
      <c r="W80" s="1215"/>
      <c r="X80" s="1215"/>
      <c r="Y80" s="1215">
        <f t="shared" si="3"/>
        <v>18</v>
      </c>
      <c r="Z80" s="1215">
        <v>0.3</v>
      </c>
      <c r="AA80" s="1215">
        <f t="shared" si="5"/>
        <v>5.3999999999999995</v>
      </c>
      <c r="AB80" s="1215">
        <v>170</v>
      </c>
      <c r="AC80" s="1215">
        <f t="shared" si="4"/>
        <v>3060</v>
      </c>
    </row>
    <row r="81" spans="1:29">
      <c r="A81" s="1215">
        <v>75</v>
      </c>
      <c r="B81" s="1215" t="s">
        <v>1895</v>
      </c>
      <c r="C81" s="1215" t="s">
        <v>1896</v>
      </c>
      <c r="D81" s="1215" t="s">
        <v>973</v>
      </c>
      <c r="E81" s="1215">
        <v>2</v>
      </c>
      <c r="F81" s="1215"/>
      <c r="G81" s="1215"/>
      <c r="H81" s="1215"/>
      <c r="I81" s="1215"/>
      <c r="J81" s="1215"/>
      <c r="K81" s="1215"/>
      <c r="L81" s="1215"/>
      <c r="M81" s="1215"/>
      <c r="N81" s="1215"/>
      <c r="O81" s="1215"/>
      <c r="P81" s="1215"/>
      <c r="Q81" s="1215"/>
      <c r="R81" s="1215"/>
      <c r="S81" s="1215"/>
      <c r="T81" s="1215"/>
      <c r="U81" s="1215"/>
      <c r="V81" s="1215"/>
      <c r="W81" s="1215"/>
      <c r="X81" s="1215"/>
      <c r="Y81" s="1215">
        <f t="shared" si="3"/>
        <v>12</v>
      </c>
      <c r="Z81" s="1215">
        <v>0.5</v>
      </c>
      <c r="AA81" s="1215">
        <f t="shared" si="5"/>
        <v>6</v>
      </c>
      <c r="AB81" s="1215">
        <v>270</v>
      </c>
      <c r="AC81" s="1215">
        <f t="shared" si="4"/>
        <v>3240</v>
      </c>
    </row>
    <row r="82" spans="1:29">
      <c r="A82" s="1215">
        <v>76</v>
      </c>
      <c r="B82" s="1215" t="s">
        <v>1897</v>
      </c>
      <c r="C82" s="1215" t="s">
        <v>1898</v>
      </c>
      <c r="D82" s="1215" t="s">
        <v>973</v>
      </c>
      <c r="E82" s="1215">
        <v>1</v>
      </c>
      <c r="F82" s="1215"/>
      <c r="G82" s="1215"/>
      <c r="H82" s="1215"/>
      <c r="I82" s="1215"/>
      <c r="J82" s="1215"/>
      <c r="K82" s="1215"/>
      <c r="L82" s="1215"/>
      <c r="M82" s="1215"/>
      <c r="N82" s="1215"/>
      <c r="O82" s="1215"/>
      <c r="P82" s="1215"/>
      <c r="Q82" s="1215"/>
      <c r="R82" s="1215"/>
      <c r="S82" s="1215"/>
      <c r="T82" s="1215"/>
      <c r="U82" s="1215"/>
      <c r="V82" s="1215"/>
      <c r="W82" s="1215"/>
      <c r="X82" s="1215"/>
      <c r="Y82" s="1215">
        <f t="shared" si="3"/>
        <v>6</v>
      </c>
      <c r="Z82" s="1215">
        <v>0.65</v>
      </c>
      <c r="AA82" s="1215">
        <f t="shared" si="5"/>
        <v>3.9000000000000004</v>
      </c>
      <c r="AB82" s="1215">
        <v>328</v>
      </c>
      <c r="AC82" s="1215">
        <f t="shared" si="4"/>
        <v>1968</v>
      </c>
    </row>
    <row r="83" spans="1:29">
      <c r="A83" s="1215">
        <v>77</v>
      </c>
      <c r="B83" s="1215" t="s">
        <v>1899</v>
      </c>
      <c r="C83" s="1215" t="s">
        <v>1900</v>
      </c>
      <c r="D83" s="1215" t="s">
        <v>973</v>
      </c>
      <c r="E83" s="1215">
        <v>1</v>
      </c>
      <c r="F83" s="1215"/>
      <c r="G83" s="1215"/>
      <c r="H83" s="1215"/>
      <c r="I83" s="1215"/>
      <c r="J83" s="1215"/>
      <c r="K83" s="1215"/>
      <c r="L83" s="1215"/>
      <c r="M83" s="1215"/>
      <c r="N83" s="1215"/>
      <c r="O83" s="1215">
        <v>2</v>
      </c>
      <c r="P83" s="1215"/>
      <c r="Q83" s="1215"/>
      <c r="R83" s="1215"/>
      <c r="S83" s="1215"/>
      <c r="T83" s="1215"/>
      <c r="U83" s="1215"/>
      <c r="V83" s="1215"/>
      <c r="W83" s="1215"/>
      <c r="X83" s="1215"/>
      <c r="Y83" s="1215">
        <f t="shared" si="3"/>
        <v>10</v>
      </c>
      <c r="Z83" s="1215">
        <v>1.1299999999999999</v>
      </c>
      <c r="AA83" s="1215">
        <f t="shared" si="5"/>
        <v>11.299999999999999</v>
      </c>
      <c r="AB83" s="1215">
        <v>501</v>
      </c>
      <c r="AC83" s="1215">
        <f t="shared" si="4"/>
        <v>5010</v>
      </c>
    </row>
    <row r="84" spans="1:29">
      <c r="A84" s="1215">
        <v>78</v>
      </c>
      <c r="B84" s="1215" t="s">
        <v>1901</v>
      </c>
      <c r="C84" s="1215" t="s">
        <v>1902</v>
      </c>
      <c r="D84" s="1215" t="s">
        <v>973</v>
      </c>
      <c r="E84" s="1215"/>
      <c r="F84" s="1215"/>
      <c r="G84" s="1215"/>
      <c r="H84" s="1215"/>
      <c r="I84" s="1215"/>
      <c r="J84" s="1215">
        <v>1</v>
      </c>
      <c r="K84" s="1215"/>
      <c r="L84" s="1215"/>
      <c r="M84" s="1215"/>
      <c r="N84" s="1215"/>
      <c r="O84" s="1215"/>
      <c r="P84" s="1215"/>
      <c r="Q84" s="1215"/>
      <c r="R84" s="1215"/>
      <c r="S84" s="1215"/>
      <c r="T84" s="1215"/>
      <c r="U84" s="1215"/>
      <c r="V84" s="1215"/>
      <c r="W84" s="1215"/>
      <c r="X84" s="1215"/>
      <c r="Y84" s="1215">
        <f t="shared" si="3"/>
        <v>1</v>
      </c>
      <c r="Z84" s="1215">
        <v>2.38</v>
      </c>
      <c r="AA84" s="1215">
        <f t="shared" si="5"/>
        <v>2.38</v>
      </c>
      <c r="AB84" s="1215">
        <v>1309</v>
      </c>
      <c r="AC84" s="1215">
        <f t="shared" si="4"/>
        <v>1309</v>
      </c>
    </row>
    <row r="85" spans="1:29" hidden="1">
      <c r="A85" s="1215">
        <v>79</v>
      </c>
      <c r="B85" s="1215" t="s">
        <v>1903</v>
      </c>
      <c r="C85" s="1215" t="s">
        <v>1904</v>
      </c>
      <c r="D85" s="1215" t="s">
        <v>1038</v>
      </c>
      <c r="E85" s="1215"/>
      <c r="F85" s="1215"/>
      <c r="G85" s="1215"/>
      <c r="H85" s="1215"/>
      <c r="I85" s="1215"/>
      <c r="J85" s="1215"/>
      <c r="K85" s="1215"/>
      <c r="L85" s="1215"/>
      <c r="M85" s="1215"/>
      <c r="N85" s="1215"/>
      <c r="O85" s="1215"/>
      <c r="P85" s="1215"/>
      <c r="Q85" s="1215"/>
      <c r="R85" s="1215"/>
      <c r="S85" s="1215"/>
      <c r="T85" s="1215"/>
      <c r="U85" s="1215"/>
      <c r="V85" s="1215"/>
      <c r="W85" s="1215"/>
      <c r="X85" s="1215"/>
      <c r="Y85" s="1215">
        <f t="shared" si="3"/>
        <v>0</v>
      </c>
      <c r="Z85" s="1215">
        <v>3.75</v>
      </c>
      <c r="AA85" s="1215">
        <f t="shared" si="5"/>
        <v>0</v>
      </c>
      <c r="AB85" s="1215">
        <v>2121</v>
      </c>
      <c r="AC85" s="1215">
        <f t="shared" si="4"/>
        <v>0</v>
      </c>
    </row>
    <row r="86" spans="1:29" hidden="1">
      <c r="A86" s="1215">
        <v>80</v>
      </c>
      <c r="B86" s="1215" t="s">
        <v>1905</v>
      </c>
      <c r="C86" s="1215" t="s">
        <v>1906</v>
      </c>
      <c r="D86" s="1215" t="s">
        <v>1038</v>
      </c>
      <c r="E86" s="1215"/>
      <c r="F86" s="1215"/>
      <c r="G86" s="1215"/>
      <c r="H86" s="1215"/>
      <c r="I86" s="1215"/>
      <c r="J86" s="1215"/>
      <c r="K86" s="1215"/>
      <c r="L86" s="1215"/>
      <c r="M86" s="1215"/>
      <c r="N86" s="1215"/>
      <c r="O86" s="1215"/>
      <c r="P86" s="1215"/>
      <c r="Q86" s="1215"/>
      <c r="R86" s="1215"/>
      <c r="S86" s="1215"/>
      <c r="T86" s="1215"/>
      <c r="U86" s="1215"/>
      <c r="V86" s="1215"/>
      <c r="W86" s="1215"/>
      <c r="X86" s="1215"/>
      <c r="Y86" s="1215">
        <f t="shared" si="3"/>
        <v>0</v>
      </c>
      <c r="Z86" s="1215">
        <v>3.75</v>
      </c>
      <c r="AA86" s="1215">
        <f t="shared" si="5"/>
        <v>0</v>
      </c>
      <c r="AB86" s="1215">
        <v>1768</v>
      </c>
      <c r="AC86" s="1215">
        <f t="shared" si="4"/>
        <v>0</v>
      </c>
    </row>
    <row r="87" spans="1:29">
      <c r="A87" s="1215">
        <v>81</v>
      </c>
      <c r="B87" s="1215" t="s">
        <v>1907</v>
      </c>
      <c r="C87" s="1215" t="s">
        <v>1908</v>
      </c>
      <c r="D87" s="1215" t="s">
        <v>1038</v>
      </c>
      <c r="E87" s="1215">
        <v>3</v>
      </c>
      <c r="F87" s="1215"/>
      <c r="G87" s="1215"/>
      <c r="H87" s="1215"/>
      <c r="I87" s="1215"/>
      <c r="J87" s="1215"/>
      <c r="K87" s="1215"/>
      <c r="L87" s="1215"/>
      <c r="M87" s="1215"/>
      <c r="N87" s="1215"/>
      <c r="O87" s="1215">
        <v>1</v>
      </c>
      <c r="P87" s="1215"/>
      <c r="Q87" s="1215"/>
      <c r="R87" s="1215"/>
      <c r="S87" s="1215"/>
      <c r="T87" s="1215">
        <v>2</v>
      </c>
      <c r="U87" s="1215">
        <v>2</v>
      </c>
      <c r="V87" s="1215"/>
      <c r="W87" s="1215"/>
      <c r="X87" s="1215"/>
      <c r="Y87" s="1215">
        <f t="shared" si="3"/>
        <v>42</v>
      </c>
      <c r="Z87" s="1215">
        <v>2.4</v>
      </c>
      <c r="AA87" s="1215">
        <f t="shared" si="5"/>
        <v>100.8</v>
      </c>
      <c r="AB87" s="1215">
        <v>1196</v>
      </c>
      <c r="AC87" s="1215">
        <f t="shared" si="4"/>
        <v>50232</v>
      </c>
    </row>
    <row r="88" spans="1:29">
      <c r="A88" s="1215">
        <v>82</v>
      </c>
      <c r="B88" s="1215" t="s">
        <v>1909</v>
      </c>
      <c r="C88" s="1215" t="s">
        <v>1910</v>
      </c>
      <c r="D88" s="1215" t="s">
        <v>1038</v>
      </c>
      <c r="E88" s="1215">
        <v>2</v>
      </c>
      <c r="F88" s="1215"/>
      <c r="G88" s="1215"/>
      <c r="H88" s="1215"/>
      <c r="I88" s="1215"/>
      <c r="J88" s="1215">
        <v>1</v>
      </c>
      <c r="K88" s="1215"/>
      <c r="L88" s="1215"/>
      <c r="M88" s="1215"/>
      <c r="N88" s="1215"/>
      <c r="O88" s="1215">
        <v>2</v>
      </c>
      <c r="P88" s="1215"/>
      <c r="Q88" s="1215"/>
      <c r="R88" s="1215"/>
      <c r="S88" s="1215"/>
      <c r="T88" s="1215">
        <v>2</v>
      </c>
      <c r="U88" s="1215"/>
      <c r="V88" s="1215"/>
      <c r="W88" s="1215"/>
      <c r="X88" s="1215"/>
      <c r="Y88" s="1215">
        <f t="shared" si="3"/>
        <v>29</v>
      </c>
      <c r="Z88" s="1215">
        <v>2.4</v>
      </c>
      <c r="AA88" s="1215">
        <f t="shared" si="5"/>
        <v>69.599999999999994</v>
      </c>
      <c r="AB88" s="1215">
        <v>1800</v>
      </c>
      <c r="AC88" s="1215">
        <f t="shared" si="4"/>
        <v>52200</v>
      </c>
    </row>
    <row r="89" spans="1:29">
      <c r="A89" s="1215">
        <v>83</v>
      </c>
      <c r="B89" s="1215" t="s">
        <v>1911</v>
      </c>
      <c r="C89" s="1215" t="s">
        <v>1912</v>
      </c>
      <c r="D89" s="1215" t="s">
        <v>1038</v>
      </c>
      <c r="E89" s="1215"/>
      <c r="F89" s="1215"/>
      <c r="G89" s="1215"/>
      <c r="H89" s="1215"/>
      <c r="I89" s="1215"/>
      <c r="J89" s="1215">
        <v>1</v>
      </c>
      <c r="K89" s="1215"/>
      <c r="L89" s="1215"/>
      <c r="M89" s="1215"/>
      <c r="N89" s="1215"/>
      <c r="O89" s="1215"/>
      <c r="P89" s="1215"/>
      <c r="Q89" s="1215"/>
      <c r="R89" s="1215"/>
      <c r="S89" s="1215"/>
      <c r="T89" s="1215"/>
      <c r="U89" s="1215"/>
      <c r="V89" s="1215"/>
      <c r="W89" s="1215"/>
      <c r="X89" s="1215"/>
      <c r="Y89" s="1215">
        <f t="shared" si="3"/>
        <v>1</v>
      </c>
      <c r="Z89" s="1215">
        <v>3.25</v>
      </c>
      <c r="AA89" s="1215">
        <f t="shared" si="5"/>
        <v>3.25</v>
      </c>
      <c r="AB89" s="1215">
        <v>1795</v>
      </c>
      <c r="AC89" s="1215">
        <f t="shared" si="4"/>
        <v>1795</v>
      </c>
    </row>
    <row r="90" spans="1:29">
      <c r="A90" s="1215">
        <v>84</v>
      </c>
      <c r="B90" s="1215" t="s">
        <v>1913</v>
      </c>
      <c r="C90" s="1215" t="s">
        <v>1914</v>
      </c>
      <c r="D90" s="1215" t="s">
        <v>973</v>
      </c>
      <c r="E90" s="1215"/>
      <c r="F90" s="1215"/>
      <c r="G90" s="1215"/>
      <c r="H90" s="1215"/>
      <c r="I90" s="1215"/>
      <c r="J90" s="1215"/>
      <c r="K90" s="1215"/>
      <c r="L90" s="1215"/>
      <c r="M90" s="1215"/>
      <c r="N90" s="1215"/>
      <c r="O90" s="1215"/>
      <c r="P90" s="1215"/>
      <c r="Q90" s="1215"/>
      <c r="R90" s="1215"/>
      <c r="S90" s="1215"/>
      <c r="T90" s="1215"/>
      <c r="U90" s="1215">
        <v>2</v>
      </c>
      <c r="V90" s="1215"/>
      <c r="W90" s="1215"/>
      <c r="X90" s="1215"/>
      <c r="Y90" s="1215">
        <f t="shared" si="3"/>
        <v>10</v>
      </c>
      <c r="Z90" s="1215">
        <v>2.7</v>
      </c>
      <c r="AA90" s="1215">
        <f t="shared" si="5"/>
        <v>27</v>
      </c>
      <c r="AB90" s="1215">
        <v>2050</v>
      </c>
      <c r="AC90" s="1215">
        <f t="shared" si="4"/>
        <v>20500</v>
      </c>
    </row>
    <row r="91" spans="1:29" hidden="1">
      <c r="A91" s="1215">
        <v>85</v>
      </c>
      <c r="B91" s="1215" t="s">
        <v>1915</v>
      </c>
      <c r="C91" s="1215" t="s">
        <v>1916</v>
      </c>
      <c r="D91" s="1215" t="s">
        <v>973</v>
      </c>
      <c r="E91" s="1215"/>
      <c r="F91" s="1215"/>
      <c r="G91" s="1215"/>
      <c r="H91" s="1215"/>
      <c r="I91" s="1215"/>
      <c r="J91" s="1215"/>
      <c r="K91" s="1215"/>
      <c r="L91" s="1215"/>
      <c r="M91" s="1215"/>
      <c r="N91" s="1215"/>
      <c r="O91" s="1215"/>
      <c r="P91" s="1215"/>
      <c r="Q91" s="1215"/>
      <c r="R91" s="1215"/>
      <c r="S91" s="1215"/>
      <c r="T91" s="1215"/>
      <c r="U91" s="1215"/>
      <c r="V91" s="1215"/>
      <c r="W91" s="1215"/>
      <c r="X91" s="1215"/>
      <c r="Y91" s="1215">
        <f t="shared" si="3"/>
        <v>0</v>
      </c>
      <c r="Z91" s="1215">
        <v>5.44</v>
      </c>
      <c r="AA91" s="1215">
        <f t="shared" si="5"/>
        <v>0</v>
      </c>
      <c r="AB91" s="1215">
        <v>28000</v>
      </c>
      <c r="AC91" s="1215">
        <f t="shared" si="4"/>
        <v>0</v>
      </c>
    </row>
    <row r="92" spans="1:29" hidden="1">
      <c r="A92" s="1215">
        <v>86</v>
      </c>
      <c r="B92" s="1215" t="s">
        <v>1917</v>
      </c>
      <c r="C92" s="1215" t="s">
        <v>1918</v>
      </c>
      <c r="D92" s="1215" t="s">
        <v>973</v>
      </c>
      <c r="E92" s="1215"/>
      <c r="F92" s="1215"/>
      <c r="G92" s="1215"/>
      <c r="H92" s="1215"/>
      <c r="I92" s="1215"/>
      <c r="J92" s="1215"/>
      <c r="K92" s="1215"/>
      <c r="L92" s="1215"/>
      <c r="M92" s="1215"/>
      <c r="N92" s="1215"/>
      <c r="O92" s="1215"/>
      <c r="P92" s="1215"/>
      <c r="Q92" s="1215"/>
      <c r="R92" s="1215"/>
      <c r="S92" s="1215"/>
      <c r="T92" s="1215"/>
      <c r="U92" s="1215"/>
      <c r="V92" s="1215"/>
      <c r="W92" s="1215"/>
      <c r="X92" s="1215"/>
      <c r="Y92" s="1215">
        <f t="shared" si="3"/>
        <v>0</v>
      </c>
      <c r="Z92" s="1215">
        <v>0.65</v>
      </c>
      <c r="AA92" s="1215">
        <f t="shared" si="5"/>
        <v>0</v>
      </c>
      <c r="AB92" s="1215">
        <v>832</v>
      </c>
      <c r="AC92" s="1215">
        <f t="shared" si="4"/>
        <v>0</v>
      </c>
    </row>
    <row r="93" spans="1:29">
      <c r="A93" s="1215">
        <v>87</v>
      </c>
      <c r="B93" s="1215" t="s">
        <v>1919</v>
      </c>
      <c r="C93" s="1215" t="s">
        <v>1920</v>
      </c>
      <c r="D93" s="1215" t="s">
        <v>973</v>
      </c>
      <c r="E93" s="1215"/>
      <c r="F93" s="1215"/>
      <c r="G93" s="1215"/>
      <c r="H93" s="1215"/>
      <c r="I93" s="1215"/>
      <c r="J93" s="1215"/>
      <c r="K93" s="1215"/>
      <c r="L93" s="1215"/>
      <c r="M93" s="1215"/>
      <c r="N93" s="1215"/>
      <c r="O93" s="1215"/>
      <c r="P93" s="1215"/>
      <c r="Q93" s="1215"/>
      <c r="R93" s="1215"/>
      <c r="S93" s="1215">
        <v>2</v>
      </c>
      <c r="T93" s="1215">
        <v>2</v>
      </c>
      <c r="U93" s="1215"/>
      <c r="V93" s="1215"/>
      <c r="W93" s="1215"/>
      <c r="X93" s="1215"/>
      <c r="Y93" s="1215">
        <f t="shared" si="3"/>
        <v>24</v>
      </c>
      <c r="Z93" s="1215">
        <v>1.2</v>
      </c>
      <c r="AA93" s="1215">
        <f t="shared" si="5"/>
        <v>28.799999999999997</v>
      </c>
      <c r="AB93" s="1215">
        <v>1143</v>
      </c>
      <c r="AC93" s="1215">
        <f t="shared" si="4"/>
        <v>27432</v>
      </c>
    </row>
    <row r="94" spans="1:29">
      <c r="A94" s="1215">
        <v>88</v>
      </c>
      <c r="B94" s="1215" t="s">
        <v>1921</v>
      </c>
      <c r="C94" s="1215" t="s">
        <v>1922</v>
      </c>
      <c r="D94" s="1215" t="s">
        <v>973</v>
      </c>
      <c r="E94" s="1215"/>
      <c r="F94" s="1215"/>
      <c r="G94" s="1215">
        <v>2</v>
      </c>
      <c r="H94" s="1215"/>
      <c r="I94" s="1215"/>
      <c r="J94" s="1215"/>
      <c r="K94" s="1215"/>
      <c r="L94" s="1215"/>
      <c r="M94" s="1215"/>
      <c r="N94" s="1215"/>
      <c r="O94" s="1215"/>
      <c r="P94" s="1215"/>
      <c r="Q94" s="1215"/>
      <c r="R94" s="1215"/>
      <c r="S94" s="1215">
        <v>3</v>
      </c>
      <c r="T94" s="1215">
        <v>2</v>
      </c>
      <c r="U94" s="1215"/>
      <c r="V94" s="1215"/>
      <c r="W94" s="1215"/>
      <c r="X94" s="1215"/>
      <c r="Y94" s="1215">
        <f t="shared" si="3"/>
        <v>34</v>
      </c>
      <c r="Z94" s="1215">
        <v>1.67</v>
      </c>
      <c r="AA94" s="1215">
        <f t="shared" si="5"/>
        <v>56.78</v>
      </c>
      <c r="AB94" s="1215">
        <v>1744</v>
      </c>
      <c r="AC94" s="1215">
        <f t="shared" si="4"/>
        <v>59296</v>
      </c>
    </row>
    <row r="95" spans="1:29">
      <c r="A95" s="1215">
        <v>89</v>
      </c>
      <c r="B95" s="1215" t="s">
        <v>1923</v>
      </c>
      <c r="C95" s="1215" t="s">
        <v>1924</v>
      </c>
      <c r="D95" s="1215" t="s">
        <v>973</v>
      </c>
      <c r="E95" s="1215"/>
      <c r="F95" s="1215"/>
      <c r="G95" s="1215"/>
      <c r="H95" s="1215"/>
      <c r="I95" s="1215"/>
      <c r="J95" s="1215"/>
      <c r="K95" s="1215"/>
      <c r="L95" s="1215"/>
      <c r="M95" s="1215"/>
      <c r="N95" s="1215"/>
      <c r="O95" s="1215"/>
      <c r="P95" s="1215"/>
      <c r="Q95" s="1215"/>
      <c r="R95" s="1215"/>
      <c r="S95" s="1215">
        <v>1</v>
      </c>
      <c r="T95" s="1215"/>
      <c r="U95" s="1215"/>
      <c r="V95" s="1215"/>
      <c r="W95" s="1215"/>
      <c r="X95" s="1215"/>
      <c r="Y95" s="1215">
        <f t="shared" si="3"/>
        <v>6</v>
      </c>
      <c r="Z95" s="1215">
        <v>1.8</v>
      </c>
      <c r="AA95" s="1215">
        <f t="shared" si="5"/>
        <v>10.8</v>
      </c>
      <c r="AB95" s="1215">
        <v>2624</v>
      </c>
      <c r="AC95" s="1215">
        <f t="shared" si="4"/>
        <v>15744</v>
      </c>
    </row>
    <row r="96" spans="1:29">
      <c r="A96" s="1215">
        <v>90</v>
      </c>
      <c r="B96" s="1215" t="s">
        <v>1925</v>
      </c>
      <c r="C96" s="1215" t="s">
        <v>1926</v>
      </c>
      <c r="D96" s="1215" t="s">
        <v>973</v>
      </c>
      <c r="E96" s="1215"/>
      <c r="F96" s="1215"/>
      <c r="G96" s="1215"/>
      <c r="H96" s="1215"/>
      <c r="I96" s="1215"/>
      <c r="J96" s="1215"/>
      <c r="K96" s="1215"/>
      <c r="L96" s="1215"/>
      <c r="M96" s="1215"/>
      <c r="N96" s="1215"/>
      <c r="O96" s="1215"/>
      <c r="P96" s="1215"/>
      <c r="Q96" s="1215"/>
      <c r="R96" s="1215"/>
      <c r="S96" s="1215"/>
      <c r="T96" s="1215">
        <v>1</v>
      </c>
      <c r="U96" s="1215"/>
      <c r="V96" s="1215"/>
      <c r="W96" s="1215"/>
      <c r="X96" s="1215"/>
      <c r="Y96" s="1215">
        <f t="shared" si="3"/>
        <v>6</v>
      </c>
      <c r="Z96" s="1215">
        <v>1.9</v>
      </c>
      <c r="AA96" s="1215">
        <f t="shared" si="5"/>
        <v>11.399999999999999</v>
      </c>
      <c r="AB96" s="1215">
        <v>3537</v>
      </c>
      <c r="AC96" s="1215">
        <f t="shared" si="4"/>
        <v>21222</v>
      </c>
    </row>
    <row r="97" spans="1:29">
      <c r="A97" s="1215">
        <v>91</v>
      </c>
      <c r="B97" s="1215" t="s">
        <v>1927</v>
      </c>
      <c r="C97" s="1215" t="s">
        <v>1928</v>
      </c>
      <c r="D97" s="1215" t="s">
        <v>973</v>
      </c>
      <c r="E97" s="1215"/>
      <c r="F97" s="1215"/>
      <c r="G97" s="1215"/>
      <c r="H97" s="1215"/>
      <c r="I97" s="1215"/>
      <c r="J97" s="1215"/>
      <c r="K97" s="1215"/>
      <c r="L97" s="1215"/>
      <c r="M97" s="1215"/>
      <c r="N97" s="1215"/>
      <c r="O97" s="1215">
        <v>4</v>
      </c>
      <c r="P97" s="1215"/>
      <c r="Q97" s="1215"/>
      <c r="R97" s="1215"/>
      <c r="S97" s="1215"/>
      <c r="T97" s="1215">
        <v>1</v>
      </c>
      <c r="U97" s="1215"/>
      <c r="V97" s="1215"/>
      <c r="W97" s="1215"/>
      <c r="X97" s="1215"/>
      <c r="Y97" s="1215">
        <f t="shared" si="3"/>
        <v>14</v>
      </c>
      <c r="Z97" s="1215">
        <v>2.7</v>
      </c>
      <c r="AA97" s="1215">
        <f t="shared" si="5"/>
        <v>37.800000000000004</v>
      </c>
      <c r="AB97" s="1215">
        <v>5500</v>
      </c>
      <c r="AC97" s="1215">
        <f t="shared" si="4"/>
        <v>77000</v>
      </c>
    </row>
    <row r="98" spans="1:29" hidden="1">
      <c r="A98" s="1215">
        <v>92</v>
      </c>
      <c r="B98" s="1215" t="s">
        <v>1929</v>
      </c>
      <c r="C98" s="1215" t="s">
        <v>1930</v>
      </c>
      <c r="D98" s="1215"/>
      <c r="E98" s="1215"/>
      <c r="F98" s="1215"/>
      <c r="G98" s="1215"/>
      <c r="H98" s="1215"/>
      <c r="I98" s="1215"/>
      <c r="J98" s="1215" t="s">
        <v>1931</v>
      </c>
      <c r="K98" s="1215"/>
      <c r="L98" s="1215"/>
      <c r="M98" s="1215"/>
      <c r="N98" s="1215"/>
      <c r="O98" s="1215"/>
      <c r="P98" s="1215"/>
      <c r="Q98" s="1215"/>
      <c r="R98" s="1215"/>
      <c r="S98" s="1215"/>
      <c r="T98" s="1215"/>
      <c r="U98" s="1215"/>
      <c r="V98" s="1215"/>
      <c r="W98" s="1215"/>
      <c r="X98" s="1215"/>
      <c r="Y98" s="1215">
        <f t="shared" si="3"/>
        <v>0</v>
      </c>
      <c r="Z98" s="1215">
        <v>3.1</v>
      </c>
      <c r="AA98" s="1215">
        <f t="shared" si="5"/>
        <v>0</v>
      </c>
      <c r="AB98" s="1215">
        <v>7299</v>
      </c>
      <c r="AC98" s="1215">
        <f t="shared" si="4"/>
        <v>0</v>
      </c>
    </row>
    <row r="99" spans="1:29" hidden="1">
      <c r="A99" s="1215">
        <v>93</v>
      </c>
      <c r="B99" s="1215" t="s">
        <v>1932</v>
      </c>
      <c r="C99" s="1215" t="s">
        <v>1933</v>
      </c>
      <c r="D99" s="1215" t="s">
        <v>973</v>
      </c>
      <c r="E99" s="1215"/>
      <c r="F99" s="1215"/>
      <c r="G99" s="1215"/>
      <c r="H99" s="1215"/>
      <c r="I99" s="1215"/>
      <c r="J99" s="1215"/>
      <c r="K99" s="1215"/>
      <c r="L99" s="1215"/>
      <c r="M99" s="1215"/>
      <c r="N99" s="1215"/>
      <c r="O99" s="1215"/>
      <c r="P99" s="1215"/>
      <c r="Q99" s="1215"/>
      <c r="R99" s="1215"/>
      <c r="S99" s="1215"/>
      <c r="T99" s="1215"/>
      <c r="U99" s="1215"/>
      <c r="V99" s="1215"/>
      <c r="W99" s="1215"/>
      <c r="X99" s="1215"/>
      <c r="Y99" s="1215">
        <f t="shared" si="3"/>
        <v>0</v>
      </c>
      <c r="Z99" s="1215">
        <v>4.25</v>
      </c>
      <c r="AA99" s="1215">
        <f t="shared" si="5"/>
        <v>0</v>
      </c>
      <c r="AB99" s="1215">
        <v>16000</v>
      </c>
      <c r="AC99" s="1215">
        <f t="shared" si="4"/>
        <v>0</v>
      </c>
    </row>
    <row r="100" spans="1:29" hidden="1">
      <c r="A100" s="1215">
        <v>94</v>
      </c>
      <c r="B100" s="1215" t="s">
        <v>1934</v>
      </c>
      <c r="C100" s="1215" t="s">
        <v>1935</v>
      </c>
      <c r="D100" s="1215" t="s">
        <v>973</v>
      </c>
      <c r="E100" s="1215"/>
      <c r="F100" s="1215"/>
      <c r="G100" s="1215"/>
      <c r="H100" s="1215"/>
      <c r="I100" s="1215"/>
      <c r="J100" s="1215"/>
      <c r="K100" s="1215"/>
      <c r="L100" s="1215"/>
      <c r="M100" s="1215"/>
      <c r="N100" s="1215"/>
      <c r="O100" s="1215"/>
      <c r="P100" s="1215"/>
      <c r="Q100" s="1215"/>
      <c r="R100" s="1215"/>
      <c r="S100" s="1215"/>
      <c r="T100" s="1215"/>
      <c r="U100" s="1215"/>
      <c r="V100" s="1215"/>
      <c r="W100" s="1215"/>
      <c r="X100" s="1215"/>
      <c r="Y100" s="1215">
        <f t="shared" si="3"/>
        <v>0</v>
      </c>
      <c r="Z100" s="1215">
        <v>1</v>
      </c>
      <c r="AA100" s="1215">
        <f t="shared" si="5"/>
        <v>0</v>
      </c>
      <c r="AB100" s="1215">
        <v>28293</v>
      </c>
      <c r="AC100" s="1215">
        <f t="shared" si="4"/>
        <v>0</v>
      </c>
    </row>
    <row r="101" spans="1:29" hidden="1">
      <c r="A101" s="1215">
        <v>95</v>
      </c>
      <c r="B101" s="1215" t="s">
        <v>1936</v>
      </c>
      <c r="C101" s="1215" t="s">
        <v>1937</v>
      </c>
      <c r="D101" s="1215" t="s">
        <v>973</v>
      </c>
      <c r="E101" s="1215"/>
      <c r="F101" s="1215"/>
      <c r="G101" s="1215"/>
      <c r="H101" s="1215"/>
      <c r="I101" s="1215"/>
      <c r="J101" s="1215"/>
      <c r="K101" s="1215"/>
      <c r="L101" s="1215"/>
      <c r="M101" s="1215"/>
      <c r="N101" s="1215"/>
      <c r="O101" s="1215"/>
      <c r="P101" s="1215"/>
      <c r="Q101" s="1215"/>
      <c r="R101" s="1215"/>
      <c r="S101" s="1215"/>
      <c r="T101" s="1215"/>
      <c r="U101" s="1215"/>
      <c r="V101" s="1215"/>
      <c r="W101" s="1215"/>
      <c r="X101" s="1215"/>
      <c r="Y101" s="1215">
        <f t="shared" si="3"/>
        <v>0</v>
      </c>
      <c r="Z101" s="1215">
        <v>0.88</v>
      </c>
      <c r="AA101" s="1215">
        <f t="shared" si="5"/>
        <v>0</v>
      </c>
      <c r="AB101" s="1215">
        <v>761</v>
      </c>
      <c r="AC101" s="1215">
        <f t="shared" si="4"/>
        <v>0</v>
      </c>
    </row>
    <row r="102" spans="1:29" hidden="1">
      <c r="A102" s="1215">
        <v>96</v>
      </c>
      <c r="B102" s="1215" t="s">
        <v>1938</v>
      </c>
      <c r="C102" s="1215" t="s">
        <v>1939</v>
      </c>
      <c r="D102" s="1215" t="s">
        <v>973</v>
      </c>
      <c r="E102" s="1215"/>
      <c r="F102" s="1215"/>
      <c r="G102" s="1215"/>
      <c r="H102" s="1215"/>
      <c r="I102" s="1215"/>
      <c r="J102" s="1215"/>
      <c r="K102" s="1215"/>
      <c r="L102" s="1215"/>
      <c r="M102" s="1215"/>
      <c r="N102" s="1215"/>
      <c r="O102" s="1215"/>
      <c r="P102" s="1215"/>
      <c r="Q102" s="1215"/>
      <c r="R102" s="1215"/>
      <c r="S102" s="1215"/>
      <c r="T102" s="1215"/>
      <c r="U102" s="1215"/>
      <c r="V102" s="1215"/>
      <c r="W102" s="1215"/>
      <c r="X102" s="1215"/>
      <c r="Y102" s="1215">
        <f t="shared" si="3"/>
        <v>0</v>
      </c>
      <c r="Z102" s="1215">
        <v>0.96</v>
      </c>
      <c r="AA102" s="1215">
        <f t="shared" si="5"/>
        <v>0</v>
      </c>
      <c r="AB102" s="1215">
        <v>1262</v>
      </c>
      <c r="AC102" s="1215">
        <f t="shared" si="4"/>
        <v>0</v>
      </c>
    </row>
    <row r="103" spans="1:29">
      <c r="A103" s="1215">
        <v>97</v>
      </c>
      <c r="B103" s="1215" t="s">
        <v>1940</v>
      </c>
      <c r="C103" s="1215" t="s">
        <v>1941</v>
      </c>
      <c r="D103" s="1215" t="s">
        <v>973</v>
      </c>
      <c r="E103" s="1215">
        <v>2</v>
      </c>
      <c r="F103" s="1215"/>
      <c r="G103" s="1215"/>
      <c r="H103" s="1215"/>
      <c r="I103" s="1215"/>
      <c r="J103" s="1215"/>
      <c r="K103" s="1215"/>
      <c r="L103" s="1215"/>
      <c r="M103" s="1215"/>
      <c r="N103" s="1215"/>
      <c r="O103" s="1215"/>
      <c r="P103" s="1215"/>
      <c r="Q103" s="1215"/>
      <c r="R103" s="1215"/>
      <c r="S103" s="1215"/>
      <c r="T103" s="1215"/>
      <c r="U103" s="1215"/>
      <c r="V103" s="1215"/>
      <c r="W103" s="1215"/>
      <c r="X103" s="1215"/>
      <c r="Y103" s="1215">
        <f t="shared" si="3"/>
        <v>12</v>
      </c>
      <c r="Z103" s="1215">
        <v>1.38</v>
      </c>
      <c r="AA103" s="1215">
        <f t="shared" si="5"/>
        <v>16.559999999999999</v>
      </c>
      <c r="AB103" s="1215">
        <v>1660</v>
      </c>
      <c r="AC103" s="1215">
        <f t="shared" si="4"/>
        <v>19920</v>
      </c>
    </row>
    <row r="104" spans="1:29">
      <c r="A104" s="1215">
        <v>98</v>
      </c>
      <c r="B104" s="1215" t="s">
        <v>1942</v>
      </c>
      <c r="C104" s="1215" t="s">
        <v>1943</v>
      </c>
      <c r="D104" s="1215" t="s">
        <v>973</v>
      </c>
      <c r="E104" s="1215">
        <v>1</v>
      </c>
      <c r="F104" s="1215"/>
      <c r="G104" s="1215"/>
      <c r="H104" s="1215"/>
      <c r="I104" s="1215"/>
      <c r="J104" s="1215"/>
      <c r="K104" s="1215"/>
      <c r="L104" s="1215"/>
      <c r="M104" s="1215"/>
      <c r="N104" s="1215"/>
      <c r="O104" s="1215"/>
      <c r="P104" s="1215"/>
      <c r="Q104" s="1215"/>
      <c r="R104" s="1215"/>
      <c r="S104" s="1215"/>
      <c r="T104" s="1215"/>
      <c r="U104" s="1215"/>
      <c r="V104" s="1215"/>
      <c r="W104" s="1215"/>
      <c r="X104" s="1215"/>
      <c r="Y104" s="1215">
        <f t="shared" si="3"/>
        <v>6</v>
      </c>
      <c r="Z104" s="1215">
        <v>1.88</v>
      </c>
      <c r="AA104" s="1215">
        <f t="shared" si="5"/>
        <v>11.28</v>
      </c>
      <c r="AB104" s="1215">
        <v>3214</v>
      </c>
      <c r="AC104" s="1215">
        <f t="shared" si="4"/>
        <v>19284</v>
      </c>
    </row>
    <row r="105" spans="1:29">
      <c r="A105" s="1215">
        <v>99</v>
      </c>
      <c r="B105" s="1215" t="s">
        <v>1944</v>
      </c>
      <c r="C105" s="1215" t="s">
        <v>1945</v>
      </c>
      <c r="D105" s="1215" t="s">
        <v>973</v>
      </c>
      <c r="E105" s="1215">
        <v>2</v>
      </c>
      <c r="F105" s="1215"/>
      <c r="G105" s="1215"/>
      <c r="H105" s="1215"/>
      <c r="I105" s="1215"/>
      <c r="J105" s="1215"/>
      <c r="K105" s="1215"/>
      <c r="L105" s="1215"/>
      <c r="M105" s="1215"/>
      <c r="N105" s="1215"/>
      <c r="O105" s="1215"/>
      <c r="P105" s="1215"/>
      <c r="Q105" s="1215"/>
      <c r="R105" s="1215"/>
      <c r="S105" s="1215"/>
      <c r="T105" s="1215"/>
      <c r="U105" s="1215"/>
      <c r="V105" s="1215"/>
      <c r="W105" s="1215"/>
      <c r="X105" s="1215"/>
      <c r="Y105" s="1215">
        <f t="shared" si="3"/>
        <v>12</v>
      </c>
      <c r="Z105" s="1215">
        <v>2.38</v>
      </c>
      <c r="AA105" s="1215">
        <f t="shared" si="5"/>
        <v>28.56</v>
      </c>
      <c r="AB105" s="1215">
        <v>4285</v>
      </c>
      <c r="AC105" s="1215">
        <f t="shared" si="4"/>
        <v>51420</v>
      </c>
    </row>
    <row r="106" spans="1:29">
      <c r="A106" s="1215">
        <v>100</v>
      </c>
      <c r="B106" s="1215" t="s">
        <v>1946</v>
      </c>
      <c r="C106" s="1215" t="s">
        <v>1947</v>
      </c>
      <c r="D106" s="1215" t="s">
        <v>973</v>
      </c>
      <c r="E106" s="1215">
        <v>1</v>
      </c>
      <c r="F106" s="1215"/>
      <c r="G106" s="1215"/>
      <c r="H106" s="1215"/>
      <c r="I106" s="1215"/>
      <c r="J106" s="1215"/>
      <c r="K106" s="1215"/>
      <c r="L106" s="1215"/>
      <c r="M106" s="1215"/>
      <c r="N106" s="1215"/>
      <c r="O106" s="1215"/>
      <c r="P106" s="1215"/>
      <c r="Q106" s="1215"/>
      <c r="R106" s="1215"/>
      <c r="S106" s="1215"/>
      <c r="T106" s="1215"/>
      <c r="U106" s="1215"/>
      <c r="V106" s="1215"/>
      <c r="W106" s="1215"/>
      <c r="X106" s="1215"/>
      <c r="Y106" s="1215">
        <f t="shared" si="3"/>
        <v>6</v>
      </c>
      <c r="Z106" s="1215">
        <v>2.88</v>
      </c>
      <c r="AA106" s="1215">
        <f t="shared" si="5"/>
        <v>17.28</v>
      </c>
      <c r="AB106" s="1215">
        <v>5892</v>
      </c>
      <c r="AC106" s="1215">
        <f t="shared" si="4"/>
        <v>35352</v>
      </c>
    </row>
    <row r="107" spans="1:29" hidden="1">
      <c r="A107" s="1215">
        <v>101</v>
      </c>
      <c r="B107" s="1215" t="s">
        <v>1948</v>
      </c>
      <c r="C107" s="1215" t="s">
        <v>1949</v>
      </c>
      <c r="D107" s="1215" t="s">
        <v>973</v>
      </c>
      <c r="E107" s="1215"/>
      <c r="F107" s="1215"/>
      <c r="G107" s="1215"/>
      <c r="H107" s="1215"/>
      <c r="I107" s="1215"/>
      <c r="J107" s="1215"/>
      <c r="K107" s="1215"/>
      <c r="L107" s="1215"/>
      <c r="M107" s="1215"/>
      <c r="N107" s="1215"/>
      <c r="O107" s="1215"/>
      <c r="P107" s="1215"/>
      <c r="Q107" s="1215"/>
      <c r="R107" s="1215"/>
      <c r="S107" s="1215"/>
      <c r="T107" s="1215"/>
      <c r="U107" s="1215"/>
      <c r="V107" s="1215"/>
      <c r="W107" s="1215"/>
      <c r="X107" s="1215"/>
      <c r="Y107" s="1215">
        <f t="shared" si="3"/>
        <v>0</v>
      </c>
      <c r="Z107" s="1215">
        <v>1</v>
      </c>
      <c r="AA107" s="1215">
        <f t="shared" si="5"/>
        <v>0</v>
      </c>
      <c r="AB107" s="1215">
        <v>16605</v>
      </c>
      <c r="AC107" s="1215">
        <f t="shared" si="4"/>
        <v>0</v>
      </c>
    </row>
    <row r="108" spans="1:29" s="1214" customFormat="1">
      <c r="A108" s="1215">
        <v>102</v>
      </c>
      <c r="B108" s="1215" t="s">
        <v>1950</v>
      </c>
      <c r="C108" s="1215" t="s">
        <v>1951</v>
      </c>
      <c r="D108" s="1212"/>
      <c r="E108" s="1215">
        <v>6</v>
      </c>
      <c r="F108" s="1212"/>
      <c r="G108" s="1212">
        <v>2</v>
      </c>
      <c r="H108" s="1212"/>
      <c r="I108" s="1212"/>
      <c r="J108" s="1212">
        <v>1</v>
      </c>
      <c r="K108" s="1212"/>
      <c r="L108" s="1212"/>
      <c r="M108" s="1212"/>
      <c r="N108" s="1212"/>
      <c r="O108" s="1212"/>
      <c r="P108" s="1212"/>
      <c r="Q108" s="1212"/>
      <c r="R108" s="1212"/>
      <c r="S108" s="1212"/>
      <c r="T108" s="1212"/>
      <c r="U108" s="1212"/>
      <c r="V108" s="1212"/>
      <c r="W108" s="1212"/>
      <c r="X108" s="1212"/>
      <c r="Y108" s="1215">
        <f t="shared" si="3"/>
        <v>41</v>
      </c>
      <c r="Z108" s="1215">
        <v>0.14000000000000001</v>
      </c>
      <c r="AA108" s="1215">
        <f t="shared" si="5"/>
        <v>5.74</v>
      </c>
      <c r="AB108" s="1215">
        <v>31</v>
      </c>
      <c r="AC108" s="1215">
        <f t="shared" si="4"/>
        <v>1271</v>
      </c>
    </row>
    <row r="109" spans="1:29">
      <c r="A109" s="1215">
        <v>103</v>
      </c>
      <c r="B109" s="1215" t="s">
        <v>1952</v>
      </c>
      <c r="C109" s="1215" t="s">
        <v>1953</v>
      </c>
      <c r="E109" s="1215">
        <v>2</v>
      </c>
      <c r="F109" s="1215"/>
      <c r="G109" s="1215">
        <v>2</v>
      </c>
      <c r="H109" s="1215"/>
      <c r="I109" s="1215"/>
      <c r="J109" s="1215"/>
      <c r="K109" s="1215"/>
      <c r="L109" s="1215"/>
      <c r="M109" s="1215"/>
      <c r="N109" s="1215"/>
      <c r="O109" s="1215"/>
      <c r="P109" s="1215"/>
      <c r="Q109" s="1215"/>
      <c r="R109" s="1215"/>
      <c r="S109" s="1215"/>
      <c r="T109" s="1215"/>
      <c r="U109" s="1215"/>
      <c r="V109" s="1215"/>
      <c r="W109" s="1215"/>
      <c r="X109" s="1215"/>
      <c r="Y109" s="1215">
        <f t="shared" si="3"/>
        <v>16</v>
      </c>
      <c r="Z109" s="1215">
        <v>0.17</v>
      </c>
      <c r="AA109" s="1215">
        <f t="shared" si="5"/>
        <v>2.72</v>
      </c>
      <c r="AB109" s="1215">
        <v>87</v>
      </c>
      <c r="AC109" s="1215">
        <f t="shared" si="4"/>
        <v>1392</v>
      </c>
    </row>
    <row r="110" spans="1:29">
      <c r="A110" s="1215">
        <v>104</v>
      </c>
      <c r="B110" s="1215" t="s">
        <v>1954</v>
      </c>
      <c r="C110" s="1215" t="s">
        <v>1955</v>
      </c>
      <c r="E110" s="1215">
        <v>1</v>
      </c>
      <c r="F110" s="1215"/>
      <c r="G110" s="1215"/>
      <c r="H110" s="1215"/>
      <c r="I110" s="1215"/>
      <c r="J110" s="1215"/>
      <c r="K110" s="1215"/>
      <c r="L110" s="1215"/>
      <c r="M110" s="1215"/>
      <c r="N110" s="1215"/>
      <c r="O110" s="1215"/>
      <c r="P110" s="1215"/>
      <c r="Q110" s="1215"/>
      <c r="R110" s="1215"/>
      <c r="S110" s="1215"/>
      <c r="T110" s="1215"/>
      <c r="U110" s="1215"/>
      <c r="V110" s="1215"/>
      <c r="W110" s="1215"/>
      <c r="X110" s="1215"/>
      <c r="Y110" s="1215">
        <f t="shared" si="3"/>
        <v>6</v>
      </c>
      <c r="Z110" s="1215">
        <v>0.21</v>
      </c>
      <c r="AA110" s="1215">
        <f t="shared" si="5"/>
        <v>1.26</v>
      </c>
      <c r="AB110" s="1215">
        <v>99</v>
      </c>
      <c r="AC110" s="1215">
        <f t="shared" si="4"/>
        <v>594</v>
      </c>
    </row>
    <row r="111" spans="1:29">
      <c r="A111" s="1215">
        <v>105</v>
      </c>
      <c r="B111" s="1215" t="s">
        <v>1956</v>
      </c>
      <c r="C111" s="1215" t="s">
        <v>1957</v>
      </c>
      <c r="E111" s="1215">
        <v>2</v>
      </c>
      <c r="F111" s="1215"/>
      <c r="G111" s="1215"/>
      <c r="H111" s="1215"/>
      <c r="I111" s="1215"/>
      <c r="J111" s="1215"/>
      <c r="K111" s="1215"/>
      <c r="L111" s="1215"/>
      <c r="M111" s="1215"/>
      <c r="N111" s="1215"/>
      <c r="O111" s="1215"/>
      <c r="P111" s="1215"/>
      <c r="Q111" s="1215"/>
      <c r="R111" s="1215"/>
      <c r="S111" s="1215"/>
      <c r="T111" s="1215"/>
      <c r="U111" s="1215"/>
      <c r="V111" s="1215"/>
      <c r="W111" s="1215"/>
      <c r="X111" s="1215"/>
      <c r="Y111" s="1215">
        <f t="shared" si="3"/>
        <v>12</v>
      </c>
      <c r="Z111" s="1215">
        <v>0.35</v>
      </c>
      <c r="AA111" s="1215">
        <f t="shared" si="5"/>
        <v>4.1999999999999993</v>
      </c>
      <c r="AB111" s="1215">
        <v>101</v>
      </c>
      <c r="AC111" s="1215">
        <f t="shared" si="4"/>
        <v>1212</v>
      </c>
    </row>
    <row r="112" spans="1:29">
      <c r="A112" s="1215">
        <v>106</v>
      </c>
      <c r="B112" s="1215" t="s">
        <v>1958</v>
      </c>
      <c r="C112" s="1215" t="s">
        <v>1959</v>
      </c>
      <c r="E112" s="1215">
        <v>1</v>
      </c>
      <c r="F112" s="1215"/>
      <c r="G112" s="1215"/>
      <c r="H112" s="1215"/>
      <c r="I112" s="1215"/>
      <c r="J112" s="1215"/>
      <c r="K112" s="1215"/>
      <c r="L112" s="1215"/>
      <c r="M112" s="1215"/>
      <c r="N112" s="1215"/>
      <c r="O112" s="1215"/>
      <c r="P112" s="1215"/>
      <c r="Q112" s="1215"/>
      <c r="R112" s="1215"/>
      <c r="S112" s="1215"/>
      <c r="T112" s="1215"/>
      <c r="U112" s="1215"/>
      <c r="V112" s="1215"/>
      <c r="W112" s="1215"/>
      <c r="X112" s="1215"/>
      <c r="Y112" s="1215">
        <f t="shared" si="3"/>
        <v>6</v>
      </c>
      <c r="Z112" s="1215">
        <v>0.45</v>
      </c>
      <c r="AA112" s="1215">
        <f t="shared" si="5"/>
        <v>2.7</v>
      </c>
      <c r="AB112" s="1215">
        <v>300</v>
      </c>
      <c r="AC112" s="1215">
        <f t="shared" si="4"/>
        <v>1800</v>
      </c>
    </row>
    <row r="113" spans="1:29">
      <c r="A113" s="1215">
        <v>107</v>
      </c>
      <c r="B113" s="1215" t="s">
        <v>1960</v>
      </c>
      <c r="C113" s="1215" t="s">
        <v>1961</v>
      </c>
      <c r="D113" s="1215">
        <v>1</v>
      </c>
      <c r="E113" s="1215"/>
      <c r="F113" s="1215"/>
      <c r="G113" s="1215"/>
      <c r="H113" s="1215"/>
      <c r="I113" s="1215"/>
      <c r="J113" s="1215">
        <v>1</v>
      </c>
      <c r="K113" s="1215"/>
      <c r="L113" s="1215"/>
      <c r="M113" s="1215"/>
      <c r="N113" s="1215"/>
      <c r="O113" s="1215"/>
      <c r="P113" s="1215"/>
      <c r="Q113" s="1215"/>
      <c r="R113" s="1215"/>
      <c r="S113" s="1215"/>
      <c r="T113" s="1215"/>
      <c r="U113" s="1215"/>
      <c r="V113" s="1215"/>
      <c r="W113" s="1215"/>
      <c r="X113" s="1215"/>
      <c r="Y113" s="1215">
        <f t="shared" si="3"/>
        <v>1</v>
      </c>
      <c r="Z113" s="1215">
        <v>0.7</v>
      </c>
      <c r="AA113" s="1215">
        <f t="shared" si="5"/>
        <v>0.7</v>
      </c>
      <c r="AB113" s="1215">
        <v>481</v>
      </c>
      <c r="AC113" s="1215">
        <f t="shared" si="4"/>
        <v>481</v>
      </c>
    </row>
    <row r="114" spans="1:29">
      <c r="A114" s="1215">
        <v>108</v>
      </c>
      <c r="B114" s="1215" t="s">
        <v>1962</v>
      </c>
      <c r="C114" s="1215" t="s">
        <v>1963</v>
      </c>
      <c r="D114" s="1215"/>
      <c r="E114" s="1215"/>
      <c r="F114" s="1215"/>
      <c r="G114" s="1215"/>
      <c r="H114" s="1215"/>
      <c r="I114" s="1215"/>
      <c r="J114" s="1215">
        <v>2</v>
      </c>
      <c r="K114" s="1215"/>
      <c r="L114" s="1215"/>
      <c r="M114" s="1215"/>
      <c r="N114" s="1215"/>
      <c r="O114" s="1215"/>
      <c r="P114" s="1215"/>
      <c r="Q114" s="1215"/>
      <c r="R114" s="1215"/>
      <c r="S114" s="1215"/>
      <c r="T114" s="1215"/>
      <c r="U114" s="1215"/>
      <c r="V114" s="1215"/>
      <c r="W114" s="1215"/>
      <c r="X114" s="1215"/>
      <c r="Y114" s="1215">
        <f t="shared" si="3"/>
        <v>2</v>
      </c>
      <c r="Z114" s="1215">
        <v>1.2</v>
      </c>
      <c r="AA114" s="1215">
        <f t="shared" si="5"/>
        <v>2.4</v>
      </c>
      <c r="AB114" s="1215">
        <v>807.96</v>
      </c>
      <c r="AC114" s="1215">
        <f t="shared" si="4"/>
        <v>1615.92</v>
      </c>
    </row>
    <row r="115" spans="1:29">
      <c r="A115" s="1215">
        <v>109</v>
      </c>
      <c r="B115" s="1215" t="s">
        <v>1964</v>
      </c>
      <c r="C115" s="1215"/>
      <c r="D115" s="1215" t="s">
        <v>973</v>
      </c>
      <c r="E115" s="1215"/>
      <c r="F115" s="1215"/>
      <c r="G115" s="1215"/>
      <c r="H115" s="1215"/>
      <c r="I115" s="1215"/>
      <c r="J115" s="1215"/>
      <c r="K115" s="1215"/>
      <c r="L115" s="1215"/>
      <c r="M115" s="1215"/>
      <c r="N115" s="1215"/>
      <c r="O115" s="1215"/>
      <c r="P115" s="1215"/>
      <c r="Q115" s="1215"/>
      <c r="R115" s="1215"/>
      <c r="S115" s="1215"/>
      <c r="T115" s="1215"/>
      <c r="U115" s="1215">
        <v>4</v>
      </c>
      <c r="V115" s="1215"/>
      <c r="W115" s="1215"/>
      <c r="X115" s="1215"/>
      <c r="Y115" s="1215">
        <f t="shared" si="3"/>
        <v>20</v>
      </c>
      <c r="Z115" s="1215">
        <v>1</v>
      </c>
      <c r="AA115" s="1215">
        <f t="shared" si="5"/>
        <v>20</v>
      </c>
      <c r="AB115" s="1215">
        <v>2460</v>
      </c>
      <c r="AC115" s="1215">
        <f t="shared" si="4"/>
        <v>49200</v>
      </c>
    </row>
    <row r="116" spans="1:29">
      <c r="A116" s="1215">
        <v>110</v>
      </c>
      <c r="B116" s="1215" t="s">
        <v>1965</v>
      </c>
      <c r="C116" s="1215"/>
      <c r="D116" s="1215" t="s">
        <v>973</v>
      </c>
      <c r="E116" s="1215"/>
      <c r="F116" s="1215"/>
      <c r="G116" s="1215"/>
      <c r="H116" s="1215"/>
      <c r="I116" s="1215"/>
      <c r="J116" s="1215"/>
      <c r="K116" s="1215"/>
      <c r="L116" s="1215"/>
      <c r="M116" s="1215"/>
      <c r="N116" s="1215"/>
      <c r="O116" s="1215"/>
      <c r="P116" s="1215"/>
      <c r="Q116" s="1215"/>
      <c r="R116" s="1215"/>
      <c r="S116" s="1215"/>
      <c r="T116" s="1215"/>
      <c r="U116" s="1215">
        <v>1</v>
      </c>
      <c r="V116" s="1215"/>
      <c r="W116" s="1215"/>
      <c r="X116" s="1215"/>
      <c r="Y116" s="1215">
        <f t="shared" si="3"/>
        <v>5</v>
      </c>
      <c r="Z116" s="1215">
        <v>1.08</v>
      </c>
      <c r="AA116" s="1215">
        <f t="shared" si="5"/>
        <v>5.4</v>
      </c>
      <c r="AB116" s="1215">
        <v>3135</v>
      </c>
      <c r="AC116" s="1215">
        <f t="shared" si="4"/>
        <v>15675</v>
      </c>
    </row>
    <row r="117" spans="1:29">
      <c r="A117" s="1215">
        <v>111</v>
      </c>
      <c r="B117" s="1215" t="s">
        <v>1966</v>
      </c>
      <c r="C117" s="1215"/>
      <c r="D117" s="1215" t="s">
        <v>965</v>
      </c>
      <c r="E117" s="1215"/>
      <c r="F117" s="1215"/>
      <c r="G117" s="1215"/>
      <c r="H117" s="1215"/>
      <c r="I117" s="1215"/>
      <c r="J117" s="1215">
        <v>3</v>
      </c>
      <c r="K117" s="1215"/>
      <c r="L117" s="1215"/>
      <c r="M117" s="1215"/>
      <c r="N117" s="1215"/>
      <c r="O117" s="1215"/>
      <c r="P117" s="1215"/>
      <c r="Q117" s="1215"/>
      <c r="R117" s="1215"/>
      <c r="S117" s="1215"/>
      <c r="T117" s="1215"/>
      <c r="U117" s="1215"/>
      <c r="V117" s="1215"/>
      <c r="W117" s="1215"/>
      <c r="X117" s="1215"/>
      <c r="Y117" s="1215">
        <f t="shared" si="3"/>
        <v>3</v>
      </c>
      <c r="Z117" s="1215">
        <v>0.9</v>
      </c>
      <c r="AA117" s="1215">
        <f t="shared" si="5"/>
        <v>2.7</v>
      </c>
      <c r="AB117" s="1215">
        <v>215</v>
      </c>
      <c r="AC117" s="1215">
        <f t="shared" si="4"/>
        <v>645</v>
      </c>
    </row>
    <row r="118" spans="1:29">
      <c r="A118" s="1215">
        <v>112</v>
      </c>
      <c r="B118" s="1215" t="s">
        <v>1967</v>
      </c>
      <c r="C118" s="1215"/>
      <c r="D118" s="1215" t="s">
        <v>965</v>
      </c>
      <c r="E118" s="1215"/>
      <c r="F118" s="1215"/>
      <c r="G118" s="1215"/>
      <c r="H118" s="1215"/>
      <c r="I118" s="1215"/>
      <c r="J118" s="1215"/>
      <c r="K118" s="1215"/>
      <c r="L118" s="1215"/>
      <c r="M118" s="1215"/>
      <c r="N118" s="1215"/>
      <c r="O118" s="1215">
        <v>20</v>
      </c>
      <c r="P118" s="1215"/>
      <c r="Q118" s="1215"/>
      <c r="R118" s="1215"/>
      <c r="S118" s="1215"/>
      <c r="T118" s="1215"/>
      <c r="U118" s="1215"/>
      <c r="V118" s="1215"/>
      <c r="W118" s="1215"/>
      <c r="X118" s="1215"/>
      <c r="Y118" s="1215">
        <f t="shared" si="3"/>
        <v>40</v>
      </c>
      <c r="Z118" s="1215">
        <v>0.9</v>
      </c>
      <c r="AA118" s="1215">
        <f t="shared" si="5"/>
        <v>36</v>
      </c>
      <c r="AB118" s="1215">
        <v>215</v>
      </c>
      <c r="AC118" s="1215">
        <f t="shared" si="4"/>
        <v>8600</v>
      </c>
    </row>
    <row r="119" spans="1:29" hidden="1">
      <c r="A119" s="1215">
        <v>113</v>
      </c>
      <c r="B119" s="1215" t="s">
        <v>1968</v>
      </c>
      <c r="C119" s="1215"/>
      <c r="D119" s="1215" t="s">
        <v>973</v>
      </c>
      <c r="E119" s="1215"/>
      <c r="F119" s="1215"/>
      <c r="G119" s="1215"/>
      <c r="H119" s="1215"/>
      <c r="I119" s="1215"/>
      <c r="J119" s="1215"/>
      <c r="K119" s="1215"/>
      <c r="L119" s="1215"/>
      <c r="M119" s="1215"/>
      <c r="N119" s="1215"/>
      <c r="O119" s="1215"/>
      <c r="P119" s="1215"/>
      <c r="Q119" s="1215"/>
      <c r="R119" s="1215"/>
      <c r="S119" s="1215"/>
      <c r="T119" s="1215"/>
      <c r="U119" s="1215"/>
      <c r="V119" s="1215"/>
      <c r="W119" s="1215"/>
      <c r="X119" s="1215"/>
      <c r="Y119" s="1215">
        <f t="shared" si="3"/>
        <v>0</v>
      </c>
      <c r="Z119" s="1215">
        <v>1.4</v>
      </c>
      <c r="AA119" s="1215">
        <f t="shared" si="5"/>
        <v>0</v>
      </c>
      <c r="AB119" s="1215">
        <v>1300</v>
      </c>
      <c r="AC119" s="1215">
        <f t="shared" si="4"/>
        <v>0</v>
      </c>
    </row>
    <row r="120" spans="1:29">
      <c r="A120" s="1215">
        <v>114</v>
      </c>
      <c r="B120" s="1215" t="s">
        <v>1969</v>
      </c>
      <c r="C120" s="1215"/>
      <c r="D120" s="1215" t="s">
        <v>973</v>
      </c>
      <c r="E120" s="1215">
        <v>6</v>
      </c>
      <c r="F120" s="1215"/>
      <c r="G120" s="1215"/>
      <c r="H120" s="1215"/>
      <c r="I120" s="1215"/>
      <c r="J120" s="1215"/>
      <c r="K120" s="1215"/>
      <c r="L120" s="1215"/>
      <c r="M120" s="1215"/>
      <c r="N120" s="1215"/>
      <c r="O120" s="1215"/>
      <c r="P120" s="1215"/>
      <c r="Q120" s="1215"/>
      <c r="R120" s="1215"/>
      <c r="S120" s="1215"/>
      <c r="T120" s="1215"/>
      <c r="U120" s="1215"/>
      <c r="V120" s="1215"/>
      <c r="W120" s="1215"/>
      <c r="X120" s="1215"/>
      <c r="Y120" s="1215">
        <f t="shared" si="3"/>
        <v>36</v>
      </c>
      <c r="Z120" s="1215">
        <v>1.7</v>
      </c>
      <c r="AA120" s="1215">
        <f t="shared" si="5"/>
        <v>61.199999999999996</v>
      </c>
      <c r="AB120" s="1215">
        <v>1800</v>
      </c>
      <c r="AC120" s="1215">
        <f t="shared" si="4"/>
        <v>64800</v>
      </c>
    </row>
    <row r="121" spans="1:29" hidden="1">
      <c r="A121" s="1215">
        <v>115</v>
      </c>
      <c r="B121" s="1215" t="s">
        <v>1970</v>
      </c>
      <c r="C121" s="1215"/>
      <c r="D121" s="1215" t="s">
        <v>973</v>
      </c>
      <c r="E121" s="1215"/>
      <c r="F121" s="1215"/>
      <c r="G121" s="1215"/>
      <c r="H121" s="1215"/>
      <c r="I121" s="1215"/>
      <c r="J121" s="1215"/>
      <c r="K121" s="1215"/>
      <c r="L121" s="1215"/>
      <c r="M121" s="1215"/>
      <c r="N121" s="1215"/>
      <c r="O121" s="1215"/>
      <c r="P121" s="1215"/>
      <c r="Q121" s="1215"/>
      <c r="R121" s="1215"/>
      <c r="S121" s="1215"/>
      <c r="T121" s="1215"/>
      <c r="U121" s="1215"/>
      <c r="V121" s="1215"/>
      <c r="W121" s="1215"/>
      <c r="X121" s="1215"/>
      <c r="Y121" s="1215">
        <f t="shared" si="3"/>
        <v>0</v>
      </c>
      <c r="Z121" s="1215">
        <v>0.1</v>
      </c>
      <c r="AA121" s="1215">
        <f t="shared" si="5"/>
        <v>0</v>
      </c>
      <c r="AB121" s="1215">
        <v>25</v>
      </c>
      <c r="AC121" s="1215">
        <f t="shared" si="4"/>
        <v>0</v>
      </c>
    </row>
    <row r="122" spans="1:29">
      <c r="A122" s="1215">
        <v>116</v>
      </c>
      <c r="B122" s="1215" t="s">
        <v>1971</v>
      </c>
      <c r="C122" s="1215"/>
      <c r="D122" s="1215" t="s">
        <v>973</v>
      </c>
      <c r="E122" s="1215">
        <v>6</v>
      </c>
      <c r="F122" s="1215"/>
      <c r="G122" s="1215">
        <v>2</v>
      </c>
      <c r="H122" s="1215"/>
      <c r="I122" s="1215"/>
      <c r="J122" s="1215"/>
      <c r="K122" s="1215"/>
      <c r="L122" s="1215"/>
      <c r="M122" s="1215"/>
      <c r="N122" s="1215"/>
      <c r="O122" s="1215"/>
      <c r="P122" s="1215"/>
      <c r="Q122" s="1215"/>
      <c r="R122" s="1215"/>
      <c r="S122" s="1215"/>
      <c r="T122" s="1215"/>
      <c r="U122" s="1215"/>
      <c r="V122" s="1215"/>
      <c r="W122" s="1215"/>
      <c r="X122" s="1215"/>
      <c r="Y122" s="1215">
        <f t="shared" si="3"/>
        <v>40</v>
      </c>
      <c r="Z122" s="1215">
        <v>0.2</v>
      </c>
      <c r="AA122" s="1215">
        <f t="shared" si="5"/>
        <v>8</v>
      </c>
      <c r="AB122" s="1215">
        <v>120</v>
      </c>
      <c r="AC122" s="1215">
        <f t="shared" si="4"/>
        <v>4800</v>
      </c>
    </row>
    <row r="123" spans="1:29" hidden="1">
      <c r="A123" s="1215">
        <v>117</v>
      </c>
      <c r="B123" s="1215" t="s">
        <v>1972</v>
      </c>
      <c r="C123" s="1215"/>
      <c r="D123" s="1215" t="s">
        <v>973</v>
      </c>
      <c r="E123" s="1215"/>
      <c r="F123" s="1215"/>
      <c r="G123" s="1215"/>
      <c r="H123" s="1215"/>
      <c r="I123" s="1215"/>
      <c r="J123" s="1215"/>
      <c r="K123" s="1215"/>
      <c r="L123" s="1215"/>
      <c r="M123" s="1215"/>
      <c r="N123" s="1215"/>
      <c r="O123" s="1215"/>
      <c r="P123" s="1215"/>
      <c r="Q123" s="1215"/>
      <c r="R123" s="1215"/>
      <c r="S123" s="1215"/>
      <c r="T123" s="1215"/>
      <c r="U123" s="1215"/>
      <c r="V123" s="1215"/>
      <c r="W123" s="1215"/>
      <c r="X123" s="1215"/>
      <c r="Y123" s="1215">
        <f t="shared" si="3"/>
        <v>0</v>
      </c>
      <c r="Z123" s="1215">
        <v>0.25</v>
      </c>
      <c r="AA123" s="1215">
        <f t="shared" si="5"/>
        <v>0</v>
      </c>
      <c r="AB123" s="1215">
        <v>400</v>
      </c>
      <c r="AC123" s="1215">
        <f t="shared" si="4"/>
        <v>0</v>
      </c>
    </row>
    <row r="124" spans="1:29">
      <c r="A124" s="1215">
        <v>118</v>
      </c>
      <c r="B124" s="1215" t="s">
        <v>1973</v>
      </c>
      <c r="C124" s="1215"/>
      <c r="D124" s="1215" t="s">
        <v>973</v>
      </c>
      <c r="E124" s="1215"/>
      <c r="F124" s="1215"/>
      <c r="G124" s="1215"/>
      <c r="H124" s="1215"/>
      <c r="I124" s="1215"/>
      <c r="J124" s="1215"/>
      <c r="K124" s="1215"/>
      <c r="L124" s="1215"/>
      <c r="M124" s="1215"/>
      <c r="N124" s="1215"/>
      <c r="O124" s="1215"/>
      <c r="P124" s="1215">
        <v>1</v>
      </c>
      <c r="Q124" s="1215"/>
      <c r="R124" s="1215"/>
      <c r="S124" s="1215"/>
      <c r="T124" s="1215"/>
      <c r="U124" s="1215"/>
      <c r="V124" s="1215"/>
      <c r="W124" s="1215"/>
      <c r="X124" s="1215"/>
      <c r="Y124" s="1215">
        <f t="shared" si="3"/>
        <v>1</v>
      </c>
      <c r="Z124" s="1215">
        <v>0.4</v>
      </c>
      <c r="AA124" s="1215">
        <f t="shared" si="5"/>
        <v>0.4</v>
      </c>
      <c r="AB124" s="1215">
        <v>795</v>
      </c>
      <c r="AC124" s="1215">
        <f t="shared" si="4"/>
        <v>795</v>
      </c>
    </row>
    <row r="125" spans="1:29">
      <c r="A125" s="1215"/>
      <c r="B125" s="1215"/>
      <c r="C125" s="1215"/>
      <c r="D125" s="1215"/>
      <c r="E125" s="1215"/>
      <c r="F125" s="1215"/>
      <c r="G125" s="1215"/>
      <c r="H125" s="1215"/>
      <c r="I125" s="1215"/>
      <c r="J125" s="1215"/>
      <c r="K125" s="1215"/>
      <c r="L125" s="1215"/>
      <c r="M125" s="1215"/>
      <c r="N125" s="1215"/>
      <c r="O125" s="1215"/>
      <c r="P125" s="1215"/>
      <c r="Q125" s="1215"/>
      <c r="R125" s="1215"/>
      <c r="S125" s="1215"/>
      <c r="T125" s="1215"/>
      <c r="U125" s="1215"/>
      <c r="V125" s="1215"/>
      <c r="W125" s="1215"/>
      <c r="X125" s="1215"/>
      <c r="Y125" s="1215"/>
      <c r="Z125" s="1215"/>
      <c r="AA125" s="1215"/>
      <c r="AB125" s="1215"/>
      <c r="AC125" s="1215"/>
    </row>
    <row r="126" spans="1:29">
      <c r="A126" s="1215"/>
      <c r="B126" s="1217" t="s">
        <v>1108</v>
      </c>
      <c r="C126" s="1215"/>
      <c r="D126" s="1215"/>
      <c r="E126" s="1215"/>
      <c r="F126" s="1215"/>
      <c r="G126" s="1215"/>
      <c r="H126" s="1215"/>
      <c r="I126" s="1215"/>
      <c r="J126" s="1215"/>
      <c r="K126" s="1215"/>
      <c r="L126" s="1215"/>
      <c r="M126" s="1215"/>
      <c r="N126" s="1215"/>
      <c r="O126" s="1215"/>
      <c r="P126" s="1215"/>
      <c r="Q126" s="1215"/>
      <c r="R126" s="1215"/>
      <c r="S126" s="1215"/>
      <c r="T126" s="1215"/>
      <c r="U126" s="1215"/>
      <c r="V126" s="1215"/>
      <c r="W126" s="1215"/>
      <c r="X126" s="1215"/>
      <c r="Y126" s="1215"/>
      <c r="Z126" s="1215"/>
      <c r="AA126" s="1218">
        <f>SUM(AA8:AA124)</f>
        <v>1934.2501000000007</v>
      </c>
      <c r="AB126" s="1215"/>
      <c r="AC126" s="1219">
        <f>SUM(AC8:AC124)</f>
        <v>990713.57000000007</v>
      </c>
    </row>
    <row r="127" spans="1:29">
      <c r="AA127" s="1220" t="s">
        <v>1974</v>
      </c>
      <c r="AB127" s="1215"/>
      <c r="AC127" s="1220">
        <f>AC126*0.13</f>
        <v>128792.76410000001</v>
      </c>
    </row>
    <row r="128" spans="1:29">
      <c r="AA128" s="1221" t="s">
        <v>1108</v>
      </c>
      <c r="AB128" s="1215"/>
      <c r="AC128" s="1221">
        <f>AC126+AC127</f>
        <v>1119506.3341000001</v>
      </c>
    </row>
    <row r="131" spans="29:29">
      <c r="AC131" s="1222"/>
    </row>
  </sheetData>
  <mergeCells count="2">
    <mergeCell ref="B5:B6"/>
    <mergeCell ref="C5:C6"/>
  </mergeCells>
  <pageMargins left="0.7" right="0.7" top="0.75" bottom="0.75" header="0.3" footer="0.3"/>
  <pageSetup scale="80" orientation="landscape" horizontalDpi="300" verticalDpi="3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0000"/>
  </sheetPr>
  <dimension ref="A1:K38"/>
  <sheetViews>
    <sheetView topLeftCell="A4" workbookViewId="0">
      <selection activeCell="B28" sqref="B28"/>
    </sheetView>
  </sheetViews>
  <sheetFormatPr defaultColWidth="9.140625" defaultRowHeight="15.75"/>
  <cols>
    <col min="1" max="1" width="12" style="2486" customWidth="1"/>
    <col min="2" max="2" width="57.42578125" style="2441" customWidth="1"/>
    <col min="3" max="3" width="14.85546875" style="2441" customWidth="1"/>
    <col min="4" max="4" width="10" style="2441" customWidth="1"/>
    <col min="5" max="5" width="19.28515625" style="2441" customWidth="1"/>
    <col min="6" max="6" width="18.5703125" style="2441" customWidth="1"/>
    <col min="7" max="7" width="16" style="2486" bestFit="1" customWidth="1"/>
    <col min="8" max="8" width="20.85546875" style="2440" customWidth="1"/>
    <col min="9" max="9" width="15.28515625" style="2486" bestFit="1" customWidth="1"/>
    <col min="10" max="16384" width="9.140625" style="2486"/>
  </cols>
  <sheetData>
    <row r="1" spans="1:11" ht="20.25" customHeight="1">
      <c r="A1" s="3027" t="s">
        <v>3158</v>
      </c>
      <c r="B1" s="3027"/>
      <c r="C1" s="3027"/>
      <c r="D1" s="3027"/>
      <c r="E1" s="3027"/>
      <c r="F1" s="3027"/>
      <c r="G1" s="3027"/>
      <c r="H1" s="3027"/>
    </row>
    <row r="2" spans="1:11" ht="20.25" customHeight="1">
      <c r="A2" s="3028" t="s">
        <v>3159</v>
      </c>
      <c r="B2" s="3028"/>
      <c r="C2" s="3028"/>
      <c r="D2" s="3028"/>
      <c r="E2" s="3028"/>
      <c r="F2" s="3028"/>
      <c r="G2" s="3028"/>
      <c r="H2" s="3028"/>
    </row>
    <row r="3" spans="1:11" ht="20.25" customHeight="1">
      <c r="A3" s="3031" t="s">
        <v>3160</v>
      </c>
      <c r="B3" s="3031"/>
      <c r="C3" s="3031"/>
      <c r="D3" s="3031"/>
      <c r="E3" s="3031"/>
      <c r="F3" s="3031"/>
      <c r="G3" s="3031"/>
      <c r="H3" s="3031"/>
      <c r="I3" s="3031"/>
      <c r="J3" s="3031"/>
    </row>
    <row r="4" spans="1:11" ht="20.25" customHeight="1">
      <c r="A4" s="3027" t="s">
        <v>3161</v>
      </c>
      <c r="B4" s="3027"/>
      <c r="C4" s="3027"/>
      <c r="D4" s="3027"/>
      <c r="E4" s="3027"/>
      <c r="F4" s="3027"/>
      <c r="G4" s="3027"/>
      <c r="H4" s="3027"/>
      <c r="I4" s="3027"/>
      <c r="J4" s="3027"/>
    </row>
    <row r="5" spans="1:11" ht="20.25" customHeight="1">
      <c r="A5" s="3029" t="s">
        <v>3162</v>
      </c>
      <c r="B5" s="3029"/>
      <c r="C5" s="2517"/>
      <c r="D5" s="2517"/>
      <c r="E5" s="2517"/>
      <c r="F5" s="2517"/>
      <c r="G5" s="2439"/>
      <c r="H5" s="2517"/>
    </row>
    <row r="6" spans="1:11" ht="20.25" customHeight="1">
      <c r="A6" s="3032" t="s">
        <v>3163</v>
      </c>
      <c r="B6" s="3032"/>
      <c r="C6" s="2486"/>
      <c r="D6" s="2486"/>
      <c r="E6" s="2486"/>
      <c r="F6" s="2486"/>
      <c r="G6" s="2440"/>
      <c r="H6" s="2519"/>
    </row>
    <row r="7" spans="1:11" ht="20.25" customHeight="1">
      <c r="G7" s="2440"/>
      <c r="H7" s="2520"/>
    </row>
    <row r="8" spans="1:11" ht="20.25" customHeight="1">
      <c r="A8" s="2443" t="s">
        <v>961</v>
      </c>
      <c r="B8" s="2444" t="s">
        <v>909</v>
      </c>
      <c r="C8" s="2525" t="s">
        <v>964</v>
      </c>
      <c r="D8" s="2444" t="s">
        <v>1035</v>
      </c>
      <c r="E8" s="2444" t="s">
        <v>97</v>
      </c>
      <c r="F8" s="2444" t="s">
        <v>52</v>
      </c>
      <c r="G8" s="2445" t="s">
        <v>964</v>
      </c>
      <c r="H8" s="2447" t="s">
        <v>52</v>
      </c>
      <c r="I8" s="2474" t="s">
        <v>3251</v>
      </c>
      <c r="J8" s="2474" t="s">
        <v>1055</v>
      </c>
    </row>
    <row r="9" spans="1:11" ht="20.25" customHeight="1">
      <c r="A9" s="2450">
        <v>1</v>
      </c>
      <c r="B9" s="2449" t="s">
        <v>3214</v>
      </c>
      <c r="C9" s="2526">
        <v>164.48</v>
      </c>
      <c r="D9" s="2450" t="s">
        <v>1174</v>
      </c>
      <c r="E9" s="2526">
        <v>300</v>
      </c>
      <c r="F9" s="2528">
        <f>E9*C9</f>
        <v>49344</v>
      </c>
      <c r="G9" s="2451">
        <f>'Detail Measurement'!G24</f>
        <v>80.463825000000014</v>
      </c>
      <c r="H9" s="2453">
        <f>G9*E9</f>
        <v>24139.147500000003</v>
      </c>
      <c r="I9" s="2529">
        <f>H9-F9</f>
        <v>-25204.852499999997</v>
      </c>
      <c r="J9" s="2474"/>
    </row>
    <row r="10" spans="1:11" ht="30">
      <c r="A10" s="2450">
        <v>2</v>
      </c>
      <c r="B10" s="2515" t="s">
        <v>3215</v>
      </c>
      <c r="C10" s="2526">
        <v>63.95</v>
      </c>
      <c r="D10" s="2450" t="s">
        <v>1174</v>
      </c>
      <c r="E10" s="2526">
        <v>80</v>
      </c>
      <c r="F10" s="2528">
        <f t="shared" ref="F10:F20" si="0">E10*C10</f>
        <v>5116</v>
      </c>
      <c r="G10" s="2451">
        <f>'Detail Measurement'!G28</f>
        <v>0</v>
      </c>
      <c r="H10" s="2453">
        <f t="shared" ref="H10:H20" si="1">G10*E10</f>
        <v>0</v>
      </c>
      <c r="I10" s="2529">
        <f t="shared" ref="I10:I21" si="2">H10-F10</f>
        <v>-5116</v>
      </c>
      <c r="J10" s="2474"/>
    </row>
    <row r="11" spans="1:11" ht="31.5">
      <c r="A11" s="2450">
        <v>3</v>
      </c>
      <c r="B11" s="2449" t="s">
        <v>3216</v>
      </c>
      <c r="C11" s="2526">
        <v>45.68</v>
      </c>
      <c r="D11" s="2450" t="s">
        <v>1174</v>
      </c>
      <c r="E11" s="2526">
        <v>4000</v>
      </c>
      <c r="F11" s="2528">
        <f t="shared" si="0"/>
        <v>182720</v>
      </c>
      <c r="G11" s="2451">
        <f>'Detail Measurement'!G39</f>
        <v>27.008250000000004</v>
      </c>
      <c r="H11" s="2453">
        <f t="shared" si="1"/>
        <v>108033.00000000001</v>
      </c>
      <c r="I11" s="2529">
        <f t="shared" si="2"/>
        <v>-74686.999999999985</v>
      </c>
      <c r="J11" s="2474"/>
    </row>
    <row r="12" spans="1:11" ht="31.5">
      <c r="A12" s="2450">
        <v>4</v>
      </c>
      <c r="B12" s="2506" t="s">
        <v>3217</v>
      </c>
      <c r="C12" s="2526">
        <v>25.69</v>
      </c>
      <c r="D12" s="2450" t="s">
        <v>1174</v>
      </c>
      <c r="E12" s="2526">
        <v>9000</v>
      </c>
      <c r="F12" s="2528">
        <f t="shared" si="0"/>
        <v>231210</v>
      </c>
      <c r="G12" s="2451">
        <f>'Detail Measurement'!G52</f>
        <v>15.569250000000002</v>
      </c>
      <c r="H12" s="2453">
        <f t="shared" si="1"/>
        <v>140123.25000000003</v>
      </c>
      <c r="I12" s="2529">
        <f t="shared" si="2"/>
        <v>-91086.749999999971</v>
      </c>
      <c r="J12" s="2530"/>
      <c r="K12" s="2455"/>
    </row>
    <row r="13" spans="1:11" ht="31.5">
      <c r="A13" s="2450">
        <v>5</v>
      </c>
      <c r="B13" s="2507" t="s">
        <v>3218</v>
      </c>
      <c r="C13" s="2526">
        <v>416.71</v>
      </c>
      <c r="D13" s="2450" t="s">
        <v>1182</v>
      </c>
      <c r="E13" s="2526">
        <v>400</v>
      </c>
      <c r="F13" s="2528">
        <f t="shared" si="0"/>
        <v>166684</v>
      </c>
      <c r="G13" s="2451">
        <f>'Detail Measurement'!G59</f>
        <v>22.206499999999998</v>
      </c>
      <c r="H13" s="2453">
        <f t="shared" si="1"/>
        <v>8882.5999999999985</v>
      </c>
      <c r="I13" s="2529">
        <f t="shared" si="2"/>
        <v>-157801.4</v>
      </c>
      <c r="J13" s="2530"/>
      <c r="K13" s="2455"/>
    </row>
    <row r="14" spans="1:11" ht="31.5">
      <c r="A14" s="2450">
        <v>6</v>
      </c>
      <c r="B14" s="2449" t="s">
        <v>3219</v>
      </c>
      <c r="C14" s="2526">
        <v>326.86</v>
      </c>
      <c r="D14" s="2450" t="s">
        <v>1182</v>
      </c>
      <c r="E14" s="2526">
        <v>750</v>
      </c>
      <c r="F14" s="2528">
        <f t="shared" si="0"/>
        <v>245145</v>
      </c>
      <c r="G14" s="2451">
        <f>'Detail Measurement'!G67</f>
        <v>323.26550000000003</v>
      </c>
      <c r="H14" s="2453">
        <f t="shared" si="1"/>
        <v>242449.12500000003</v>
      </c>
      <c r="I14" s="2529">
        <f t="shared" si="2"/>
        <v>-2695.8749999999709</v>
      </c>
      <c r="J14" s="2530"/>
      <c r="K14" s="2455"/>
    </row>
    <row r="15" spans="1:11" ht="36" customHeight="1">
      <c r="A15" s="2450">
        <v>7</v>
      </c>
      <c r="B15" s="2449" t="s">
        <v>3169</v>
      </c>
      <c r="C15" s="2526">
        <v>212.13</v>
      </c>
      <c r="D15" s="2450" t="s">
        <v>1174</v>
      </c>
      <c r="E15" s="2526">
        <v>12000</v>
      </c>
      <c r="F15" s="2528">
        <f t="shared" si="0"/>
        <v>2545560</v>
      </c>
      <c r="G15" s="2451">
        <f>'Detail Measurement'!G96</f>
        <v>52.915530000000004</v>
      </c>
      <c r="H15" s="2453">
        <f t="shared" si="1"/>
        <v>634986.3600000001</v>
      </c>
      <c r="I15" s="2529">
        <f t="shared" si="2"/>
        <v>-1910573.64</v>
      </c>
      <c r="J15" s="2530"/>
      <c r="K15" s="2455"/>
    </row>
    <row r="16" spans="1:11" ht="31.5">
      <c r="A16" s="2450">
        <v>8</v>
      </c>
      <c r="B16" s="2449" t="s">
        <v>3220</v>
      </c>
      <c r="C16" s="2526">
        <v>9324.57</v>
      </c>
      <c r="D16" s="2450" t="s">
        <v>1034</v>
      </c>
      <c r="E16" s="2526">
        <v>105</v>
      </c>
      <c r="F16" s="2528">
        <f t="shared" si="0"/>
        <v>979079.85</v>
      </c>
      <c r="G16" s="2451">
        <f>'Detail Measurement'!G108</f>
        <v>3508.7322240000003</v>
      </c>
      <c r="H16" s="2453">
        <f t="shared" si="1"/>
        <v>368416.88352000003</v>
      </c>
      <c r="I16" s="2529">
        <f t="shared" si="2"/>
        <v>-610662.96647999994</v>
      </c>
      <c r="J16" s="2530"/>
      <c r="K16" s="2455"/>
    </row>
    <row r="17" spans="1:11" ht="31.5">
      <c r="A17" s="2450">
        <v>9</v>
      </c>
      <c r="B17" s="2449" t="s">
        <v>3188</v>
      </c>
      <c r="C17" s="2526">
        <v>259.10000000000002</v>
      </c>
      <c r="D17" s="2450" t="s">
        <v>1174</v>
      </c>
      <c r="E17" s="2526">
        <v>5000</v>
      </c>
      <c r="F17" s="2528">
        <f t="shared" si="0"/>
        <v>1295500</v>
      </c>
      <c r="G17" s="2451">
        <f>'Detail Measurement'!G118</f>
        <v>97.894350000000031</v>
      </c>
      <c r="H17" s="2453">
        <f t="shared" si="1"/>
        <v>489471.75000000017</v>
      </c>
      <c r="I17" s="2529">
        <f t="shared" si="2"/>
        <v>-806028.24999999977</v>
      </c>
      <c r="J17" s="2530"/>
      <c r="K17" s="2455"/>
    </row>
    <row r="18" spans="1:11" ht="30">
      <c r="A18" s="2508">
        <v>11</v>
      </c>
      <c r="B18" s="2502" t="s">
        <v>3207</v>
      </c>
      <c r="C18" s="2526">
        <v>2</v>
      </c>
      <c r="D18" s="2511" t="s">
        <v>1753</v>
      </c>
      <c r="E18" s="2526">
        <v>5000</v>
      </c>
      <c r="F18" s="2528">
        <f t="shared" si="0"/>
        <v>10000</v>
      </c>
      <c r="G18" s="2511">
        <f>'Detail Measurement'!G121</f>
        <v>2</v>
      </c>
      <c r="H18" s="2453">
        <f t="shared" si="1"/>
        <v>10000</v>
      </c>
      <c r="I18" s="2529">
        <f t="shared" si="2"/>
        <v>0</v>
      </c>
      <c r="J18" s="2530"/>
      <c r="K18" s="2455"/>
    </row>
    <row r="19" spans="1:11" ht="30">
      <c r="A19" s="2508">
        <v>12</v>
      </c>
      <c r="B19" s="2502" t="s">
        <v>3208</v>
      </c>
      <c r="C19" s="2526">
        <v>48</v>
      </c>
      <c r="D19" s="2511" t="s">
        <v>1174</v>
      </c>
      <c r="E19" s="2526">
        <v>2500</v>
      </c>
      <c r="F19" s="2528">
        <f t="shared" si="0"/>
        <v>120000</v>
      </c>
      <c r="G19" s="2511">
        <f>'Detail Measurement'!G123</f>
        <v>38</v>
      </c>
      <c r="H19" s="2453">
        <f t="shared" si="1"/>
        <v>95000</v>
      </c>
      <c r="I19" s="2529">
        <f t="shared" si="2"/>
        <v>-25000</v>
      </c>
      <c r="J19" s="2530"/>
      <c r="K19" s="2455"/>
    </row>
    <row r="20" spans="1:11" ht="25.5" customHeight="1">
      <c r="A20" s="2508">
        <v>13</v>
      </c>
      <c r="B20" s="2502" t="s">
        <v>3209</v>
      </c>
      <c r="C20" s="2526">
        <v>48</v>
      </c>
      <c r="D20" s="2511" t="s">
        <v>1174</v>
      </c>
      <c r="E20" s="2526">
        <v>2500</v>
      </c>
      <c r="F20" s="2528">
        <f t="shared" si="0"/>
        <v>120000</v>
      </c>
      <c r="G20" s="2511">
        <f>'Detail Measurement'!G125</f>
        <v>38</v>
      </c>
      <c r="H20" s="2453">
        <f t="shared" si="1"/>
        <v>95000</v>
      </c>
      <c r="I20" s="2529">
        <f t="shared" si="2"/>
        <v>-25000</v>
      </c>
      <c r="J20" s="2530"/>
      <c r="K20" s="2455"/>
    </row>
    <row r="21" spans="1:11">
      <c r="A21" s="2474"/>
      <c r="B21" s="2449"/>
      <c r="C21" s="2449"/>
      <c r="D21" s="2449"/>
      <c r="E21" s="2449"/>
      <c r="F21" s="2527">
        <f>SUM(F9:F20)</f>
        <v>5950358.8499999996</v>
      </c>
      <c r="G21" s="2474"/>
      <c r="H21" s="2476">
        <f>SUM(H9:H20)</f>
        <v>2216502.1160200005</v>
      </c>
      <c r="I21" s="2474">
        <f t="shared" si="2"/>
        <v>-3733856.7339799991</v>
      </c>
      <c r="J21" s="2474"/>
    </row>
    <row r="22" spans="1:11">
      <c r="A22" s="2474"/>
      <c r="B22" s="2449"/>
      <c r="C22" s="2449"/>
      <c r="D22" s="2449"/>
      <c r="E22" s="2449"/>
      <c r="F22" s="2476">
        <f>F21*0.13</f>
        <v>773546.65049999999</v>
      </c>
      <c r="G22" s="2474"/>
      <c r="H22" s="2476">
        <f>H21*0.13</f>
        <v>288145.27508260007</v>
      </c>
      <c r="I22" s="2474"/>
      <c r="J22" s="2474"/>
    </row>
    <row r="23" spans="1:11">
      <c r="A23" s="2474"/>
      <c r="B23" s="2449"/>
      <c r="C23" s="2449"/>
      <c r="D23" s="2449"/>
      <c r="E23" s="2449"/>
      <c r="F23" s="2476">
        <f>SUM(F21:F22)</f>
        <v>6723905.5004999992</v>
      </c>
      <c r="G23" s="2474"/>
      <c r="H23" s="2476">
        <f>SUM(H21:H22)</f>
        <v>2504647.3911026008</v>
      </c>
      <c r="I23" s="2474"/>
      <c r="J23" s="2474"/>
    </row>
    <row r="24" spans="1:11" s="2472" customFormat="1">
      <c r="A24" s="2460">
        <v>14</v>
      </c>
      <c r="B24" s="2471" t="s">
        <v>3176</v>
      </c>
      <c r="C24" s="2531">
        <v>1</v>
      </c>
      <c r="D24" s="2471" t="s">
        <v>3213</v>
      </c>
      <c r="E24" s="2531">
        <f>ABSTRACT!E24</f>
        <v>5000</v>
      </c>
      <c r="F24" s="2471">
        <f>E24*C24</f>
        <v>5000</v>
      </c>
      <c r="G24" s="2481">
        <f>'Estimate '!G94</f>
        <v>1</v>
      </c>
      <c r="H24" s="2482">
        <f t="shared" ref="H24:H27" si="3">E24</f>
        <v>5000</v>
      </c>
      <c r="I24" s="2460"/>
      <c r="J24" s="2460"/>
    </row>
    <row r="25" spans="1:11" s="2472" customFormat="1">
      <c r="A25" s="2460">
        <v>15</v>
      </c>
      <c r="B25" s="2473" t="s">
        <v>3177</v>
      </c>
      <c r="C25" s="2531">
        <v>1</v>
      </c>
      <c r="D25" s="2471" t="s">
        <v>3213</v>
      </c>
      <c r="E25" s="2531">
        <f>ABSTRACT!E25</f>
        <v>20000</v>
      </c>
      <c r="F25" s="2471">
        <f t="shared" ref="F25:F27" si="4">E25*C25</f>
        <v>20000</v>
      </c>
      <c r="G25" s="2481">
        <f>'Estimate '!G96</f>
        <v>1</v>
      </c>
      <c r="H25" s="2482">
        <f t="shared" si="3"/>
        <v>20000</v>
      </c>
      <c r="I25" s="2460"/>
      <c r="J25" s="2460"/>
    </row>
    <row r="26" spans="1:11" s="2472" customFormat="1">
      <c r="A26" s="2460">
        <v>16</v>
      </c>
      <c r="B26" s="2473" t="s">
        <v>3211</v>
      </c>
      <c r="C26" s="2531">
        <v>1</v>
      </c>
      <c r="D26" s="2471" t="s">
        <v>3213</v>
      </c>
      <c r="E26" s="2531">
        <f>ABSTRACT!E26</f>
        <v>20000</v>
      </c>
      <c r="F26" s="2471">
        <f t="shared" si="4"/>
        <v>20000</v>
      </c>
      <c r="G26" s="2481">
        <f>'Estimate '!G98</f>
        <v>1</v>
      </c>
      <c r="H26" s="2482">
        <f t="shared" si="3"/>
        <v>20000</v>
      </c>
      <c r="I26" s="2460"/>
      <c r="J26" s="2460"/>
    </row>
    <row r="27" spans="1:11" s="2472" customFormat="1">
      <c r="A27" s="2460">
        <v>17</v>
      </c>
      <c r="B27" s="2473" t="s">
        <v>3212</v>
      </c>
      <c r="C27" s="2531">
        <v>1</v>
      </c>
      <c r="D27" s="2471" t="s">
        <v>3213</v>
      </c>
      <c r="E27" s="2531">
        <f>ABSTRACT!E27</f>
        <v>100000</v>
      </c>
      <c r="F27" s="2471">
        <f t="shared" si="4"/>
        <v>100000</v>
      </c>
      <c r="G27" s="2481">
        <f>'Estimate '!G100</f>
        <v>1</v>
      </c>
      <c r="H27" s="2482">
        <f t="shared" si="3"/>
        <v>100000</v>
      </c>
      <c r="I27" s="2460"/>
      <c r="J27" s="2460"/>
    </row>
    <row r="28" spans="1:11" s="2472" customFormat="1">
      <c r="A28" s="2460"/>
      <c r="B28" s="2531" t="s">
        <v>3252</v>
      </c>
      <c r="C28" s="2531"/>
      <c r="D28" s="2471"/>
      <c r="E28" s="2531"/>
      <c r="F28" s="2533">
        <f>SUM(F23:F27)</f>
        <v>6868905.5004999992</v>
      </c>
      <c r="G28" s="2534"/>
      <c r="H28" s="2535">
        <f>SUM(H23:H27)</f>
        <v>2649647.3911026008</v>
      </c>
      <c r="I28" s="2460"/>
      <c r="J28" s="2460"/>
    </row>
    <row r="29" spans="1:11">
      <c r="A29" s="2474"/>
      <c r="B29" s="2527" t="s">
        <v>3178</v>
      </c>
      <c r="C29" s="2449"/>
      <c r="D29" s="2449"/>
      <c r="E29" s="2449"/>
      <c r="F29" s="2476">
        <f>F21*0.03</f>
        <v>178510.76549999998</v>
      </c>
      <c r="G29" s="2474"/>
      <c r="H29" s="2476">
        <f>H21*0.03</f>
        <v>66495.063480600016</v>
      </c>
      <c r="I29" s="2474"/>
      <c r="J29" s="2474"/>
    </row>
    <row r="30" spans="1:11">
      <c r="A30" s="2474"/>
      <c r="B30" s="2527" t="s">
        <v>2626</v>
      </c>
      <c r="C30" s="2449"/>
      <c r="D30" s="2449"/>
      <c r="E30" s="2449"/>
      <c r="F30" s="2532">
        <f>SUM(F28:F29)</f>
        <v>7047416.2659999989</v>
      </c>
      <c r="G30" s="2474"/>
      <c r="H30" s="2476">
        <f>SUM(H23:H29)</f>
        <v>5365789.8456858015</v>
      </c>
      <c r="I30" s="2529"/>
      <c r="J30" s="2474"/>
    </row>
    <row r="35" spans="2:7" ht="18">
      <c r="B35" s="3033"/>
      <c r="C35" s="3034"/>
      <c r="D35" s="3034"/>
      <c r="E35" s="3034"/>
      <c r="F35" s="3034"/>
      <c r="G35" s="3034"/>
    </row>
    <row r="36" spans="2:7" ht="18">
      <c r="B36" s="3035"/>
      <c r="C36" s="3036"/>
      <c r="D36" s="3036"/>
      <c r="E36" s="3036"/>
      <c r="F36" s="3036"/>
      <c r="G36" s="3034"/>
    </row>
    <row r="37" spans="2:7">
      <c r="B37" s="3030"/>
      <c r="C37" s="3030"/>
      <c r="D37" s="3030"/>
      <c r="E37" s="3030"/>
      <c r="F37" s="3030"/>
      <c r="G37" s="3030"/>
    </row>
    <row r="38" spans="2:7">
      <c r="B38" s="3030"/>
      <c r="C38" s="3030"/>
      <c r="D38" s="3030"/>
      <c r="E38" s="3030"/>
      <c r="F38" s="3030"/>
      <c r="G38" s="3030"/>
    </row>
  </sheetData>
  <mergeCells count="10">
    <mergeCell ref="A1:H1"/>
    <mergeCell ref="A2:H2"/>
    <mergeCell ref="A5:B5"/>
    <mergeCell ref="B38:G38"/>
    <mergeCell ref="A4:J4"/>
    <mergeCell ref="A3:J3"/>
    <mergeCell ref="A6:B6"/>
    <mergeCell ref="B35:G35"/>
    <mergeCell ref="B36:G36"/>
    <mergeCell ref="B37:G37"/>
  </mergeCells>
  <conditionalFormatting sqref="A24:A25">
    <cfRule type="top10" dxfId="5" priority="1" percent="1" rank="10"/>
  </conditionalFormatting>
  <pageMargins left="0.7" right="0.7" top="0.75" bottom="0.75" header="0.3" footer="0.3"/>
  <pageSetup paperSize="9" scale="63" orientation="landscape" verticalDpi="0" r:id="rId1"/>
  <colBreaks count="1" manualBreakCount="1">
    <brk id="8"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N43"/>
  <sheetViews>
    <sheetView topLeftCell="A19" workbookViewId="0">
      <selection activeCell="K22" sqref="K22"/>
    </sheetView>
  </sheetViews>
  <sheetFormatPr defaultRowHeight="12.75"/>
  <cols>
    <col min="2" max="2" width="42.85546875" bestFit="1" customWidth="1"/>
    <col min="5" max="5" width="9.7109375" bestFit="1" customWidth="1"/>
    <col min="6" max="6" width="12.28515625" bestFit="1" customWidth="1"/>
    <col min="8" max="8" width="11.28515625" bestFit="1" customWidth="1"/>
    <col min="10" max="10" width="12" customWidth="1"/>
    <col min="11" max="11" width="9.28515625" bestFit="1" customWidth="1"/>
    <col min="12" max="12" width="15.85546875" bestFit="1" customWidth="1"/>
    <col min="13" max="13" width="9.7109375" bestFit="1" customWidth="1"/>
  </cols>
  <sheetData>
    <row r="1" spans="1:14">
      <c r="A1" s="3038" t="s">
        <v>3158</v>
      </c>
      <c r="B1" s="3038"/>
      <c r="C1" s="3038"/>
      <c r="D1" s="3038"/>
      <c r="E1" s="3038"/>
      <c r="F1" s="3038"/>
      <c r="G1" s="3038"/>
      <c r="H1" s="3038"/>
      <c r="I1" s="3038"/>
      <c r="J1" s="3038"/>
      <c r="K1" s="3038"/>
      <c r="L1" s="3038"/>
      <c r="M1" s="3038"/>
      <c r="N1" s="3038"/>
    </row>
    <row r="2" spans="1:14" ht="15">
      <c r="A2" s="3039" t="s">
        <v>3159</v>
      </c>
      <c r="B2" s="3039"/>
      <c r="C2" s="3039"/>
      <c r="D2" s="3039"/>
      <c r="E2" s="3039"/>
      <c r="F2" s="3039"/>
      <c r="G2" s="3039"/>
      <c r="H2" s="3039"/>
      <c r="I2" s="3039"/>
      <c r="J2" s="3039"/>
      <c r="K2" s="3039"/>
      <c r="L2" s="3039"/>
      <c r="M2" s="3039"/>
      <c r="N2" s="3039"/>
    </row>
    <row r="3" spans="1:14">
      <c r="A3" s="3040" t="s">
        <v>3160</v>
      </c>
      <c r="B3" s="3040"/>
      <c r="C3" s="3040"/>
      <c r="D3" s="3040"/>
      <c r="E3" s="3040"/>
      <c r="F3" s="3040"/>
      <c r="G3" s="3040"/>
      <c r="H3" s="3040"/>
      <c r="I3" s="3040"/>
      <c r="J3" s="3040"/>
      <c r="K3" s="3040"/>
      <c r="L3" s="3040"/>
      <c r="M3" s="3040"/>
      <c r="N3" s="3040"/>
    </row>
    <row r="4" spans="1:14">
      <c r="A4" s="3041" t="s">
        <v>3292</v>
      </c>
      <c r="B4" s="3041"/>
      <c r="C4" s="3041"/>
      <c r="D4" s="3041"/>
      <c r="E4" s="3041"/>
      <c r="F4" s="3041"/>
      <c r="G4" s="3041"/>
      <c r="H4" s="3041"/>
      <c r="I4" s="3041"/>
      <c r="J4" s="3041"/>
      <c r="K4" s="3041"/>
      <c r="L4" s="3041"/>
      <c r="M4" s="3041"/>
      <c r="N4" s="3041"/>
    </row>
    <row r="5" spans="1:14">
      <c r="A5" s="2536"/>
      <c r="B5" s="2537"/>
      <c r="C5" s="2538"/>
      <c r="D5" s="2539"/>
      <c r="E5" s="2539"/>
      <c r="F5" s="2539"/>
      <c r="G5" s="2539"/>
      <c r="H5" s="2539"/>
      <c r="I5" s="2539"/>
      <c r="J5" s="2539"/>
      <c r="K5" s="2538"/>
      <c r="L5" s="2538"/>
      <c r="M5" s="2538"/>
      <c r="N5" s="2538"/>
    </row>
    <row r="6" spans="1:14">
      <c r="B6" s="2540" t="s">
        <v>3253</v>
      </c>
      <c r="C6" s="2541" t="s">
        <v>3293</v>
      </c>
      <c r="D6" s="2542"/>
      <c r="E6" s="2543"/>
      <c r="G6" s="2544"/>
      <c r="H6" s="2544"/>
      <c r="I6" s="2544"/>
      <c r="J6" s="2544" t="s">
        <v>3254</v>
      </c>
      <c r="K6" s="2545"/>
      <c r="L6" s="2545">
        <v>1</v>
      </c>
      <c r="M6" s="3037"/>
      <c r="N6" s="3037"/>
    </row>
    <row r="7" spans="1:14">
      <c r="B7" s="2540" t="s">
        <v>3255</v>
      </c>
      <c r="C7" s="2546" t="s">
        <v>3294</v>
      </c>
      <c r="D7" s="2542"/>
      <c r="E7" s="2543"/>
      <c r="G7" s="2544"/>
      <c r="H7" s="2544"/>
      <c r="I7" s="2544"/>
      <c r="J7" s="2544" t="s">
        <v>3256</v>
      </c>
      <c r="K7" s="2545"/>
      <c r="L7" s="2547">
        <v>65356</v>
      </c>
      <c r="M7" s="3037"/>
      <c r="N7" s="3037"/>
    </row>
    <row r="8" spans="1:14">
      <c r="B8" s="2540" t="s">
        <v>3257</v>
      </c>
      <c r="C8" s="2546" t="s">
        <v>3295</v>
      </c>
      <c r="D8" s="2542"/>
      <c r="E8" s="2543"/>
      <c r="G8" s="2544"/>
      <c r="H8" s="2544"/>
      <c r="I8" s="2544"/>
      <c r="J8" s="2544" t="s">
        <v>3258</v>
      </c>
      <c r="K8" s="2545"/>
      <c r="L8" s="2547">
        <v>65449</v>
      </c>
      <c r="M8" s="3037"/>
      <c r="N8" s="3037"/>
    </row>
    <row r="9" spans="1:14">
      <c r="B9" s="2540" t="s">
        <v>3259</v>
      </c>
      <c r="C9" s="2546" t="s">
        <v>3260</v>
      </c>
      <c r="D9" s="2542"/>
      <c r="E9" s="2543"/>
      <c r="G9" s="2544"/>
      <c r="H9" s="2544"/>
      <c r="I9" s="2544"/>
      <c r="J9" s="2544" t="s">
        <v>3261</v>
      </c>
      <c r="K9" s="2545"/>
      <c r="L9" s="2545"/>
      <c r="M9" s="2548"/>
      <c r="N9" s="2548"/>
    </row>
    <row r="10" spans="1:14">
      <c r="B10" s="2540" t="s">
        <v>3262</v>
      </c>
      <c r="C10" s="2549"/>
      <c r="D10" s="2542"/>
      <c r="E10" s="2543"/>
      <c r="G10" s="2544"/>
      <c r="H10" s="2544"/>
      <c r="I10" s="2544"/>
      <c r="J10" s="2544" t="s">
        <v>3263</v>
      </c>
      <c r="K10" s="2545"/>
      <c r="L10" s="2592" t="s">
        <v>3296</v>
      </c>
      <c r="M10" s="3042"/>
      <c r="N10" s="3042"/>
    </row>
    <row r="11" spans="1:14">
      <c r="A11" s="2545"/>
      <c r="B11" s="2545"/>
      <c r="C11" s="2549"/>
      <c r="D11" s="2542"/>
      <c r="E11" s="2543"/>
      <c r="F11" s="2550"/>
      <c r="G11" s="2550"/>
      <c r="H11" s="2550"/>
      <c r="I11" s="2550"/>
      <c r="J11" s="2550"/>
      <c r="K11" s="2545"/>
      <c r="L11" s="2545"/>
      <c r="M11" s="2551"/>
      <c r="N11" s="2545"/>
    </row>
    <row r="12" spans="1:14" ht="25.5" customHeight="1">
      <c r="A12" s="3043" t="s">
        <v>3264</v>
      </c>
      <c r="B12" s="3044" t="s">
        <v>909</v>
      </c>
      <c r="C12" s="3045" t="s">
        <v>1035</v>
      </c>
      <c r="D12" s="3046" t="s">
        <v>3265</v>
      </c>
      <c r="E12" s="3046"/>
      <c r="F12" s="3046"/>
      <c r="G12" s="3046" t="s">
        <v>3266</v>
      </c>
      <c r="H12" s="3046"/>
      <c r="I12" s="3046" t="s">
        <v>3267</v>
      </c>
      <c r="J12" s="3046"/>
      <c r="K12" s="3045" t="s">
        <v>3268</v>
      </c>
      <c r="L12" s="3045"/>
      <c r="M12" s="3045" t="s">
        <v>3269</v>
      </c>
      <c r="N12" s="3048"/>
    </row>
    <row r="13" spans="1:14">
      <c r="A13" s="3043"/>
      <c r="B13" s="3044"/>
      <c r="C13" s="3045"/>
      <c r="D13" s="2552" t="s">
        <v>3270</v>
      </c>
      <c r="E13" s="2553" t="s">
        <v>3271</v>
      </c>
      <c r="F13" s="2553" t="s">
        <v>3272</v>
      </c>
      <c r="G13" s="2553" t="str">
        <f>D13</f>
        <v>परिमाण</v>
      </c>
      <c r="H13" s="2553" t="str">
        <f>F13</f>
        <v>रकम</v>
      </c>
      <c r="I13" s="2553" t="str">
        <f>G13</f>
        <v>परिमाण</v>
      </c>
      <c r="J13" s="2553" t="str">
        <f>H13</f>
        <v>रकम</v>
      </c>
      <c r="K13" s="2554" t="s">
        <v>3270</v>
      </c>
      <c r="L13" s="2555" t="s">
        <v>3272</v>
      </c>
      <c r="M13" s="3045"/>
      <c r="N13" s="3048"/>
    </row>
    <row r="14" spans="1:14" ht="31.5">
      <c r="A14" s="2450">
        <v>1</v>
      </c>
      <c r="B14" s="2449" t="s">
        <v>3214</v>
      </c>
      <c r="C14" s="1752" t="str">
        <f>conp!D9</f>
        <v>m3</v>
      </c>
      <c r="D14" s="2556">
        <f>conp!C9</f>
        <v>164.48</v>
      </c>
      <c r="E14" s="2557">
        <f>conp!E9</f>
        <v>300</v>
      </c>
      <c r="F14" s="2557">
        <f>E14*D14</f>
        <v>49344</v>
      </c>
      <c r="G14" s="2557">
        <f>conp!G9</f>
        <v>80.463825000000014</v>
      </c>
      <c r="H14" s="2557">
        <f>G14*E14</f>
        <v>24139.147500000003</v>
      </c>
      <c r="I14" s="2558"/>
      <c r="J14" s="2558"/>
      <c r="K14" s="2559">
        <f>I14+G14</f>
        <v>80.463825000000014</v>
      </c>
      <c r="L14" s="2560">
        <f>H14+J14</f>
        <v>24139.147500000003</v>
      </c>
      <c r="M14" s="2560">
        <f>K14-D14</f>
        <v>-84.016174999999976</v>
      </c>
      <c r="N14" s="2561"/>
    </row>
    <row r="15" spans="1:14" ht="30">
      <c r="A15" s="2450">
        <v>2</v>
      </c>
      <c r="B15" s="2515" t="s">
        <v>3215</v>
      </c>
      <c r="C15" s="1770" t="str">
        <f>conp!D10</f>
        <v>m3</v>
      </c>
      <c r="D15" s="2562">
        <f>conp!C10</f>
        <v>63.95</v>
      </c>
      <c r="E15" s="2557">
        <f>conp!E10</f>
        <v>80</v>
      </c>
      <c r="F15" s="2557">
        <f t="shared" ref="F15:F25" si="0">E15*D15</f>
        <v>5116</v>
      </c>
      <c r="G15" s="2557">
        <f>conp!G10</f>
        <v>0</v>
      </c>
      <c r="H15" s="2557">
        <f t="shared" ref="H15:H25" si="1">G15*E15</f>
        <v>0</v>
      </c>
      <c r="I15" s="2562"/>
      <c r="J15" s="2562"/>
      <c r="K15" s="2559">
        <f t="shared" ref="K15:K25" si="2">I15+G15</f>
        <v>0</v>
      </c>
      <c r="L15" s="2560">
        <f t="shared" ref="L15:L25" si="3">H15+J15</f>
        <v>0</v>
      </c>
      <c r="M15" s="2560">
        <f t="shared" ref="M15:M28" si="4">K15-D15</f>
        <v>-63.95</v>
      </c>
      <c r="N15" s="2563"/>
    </row>
    <row r="16" spans="1:14" ht="31.5">
      <c r="A16" s="2450">
        <v>3</v>
      </c>
      <c r="B16" s="2449" t="s">
        <v>3216</v>
      </c>
      <c r="C16" s="1770" t="str">
        <f>conp!D11</f>
        <v>m3</v>
      </c>
      <c r="D16" s="2562">
        <f>conp!C11</f>
        <v>45.68</v>
      </c>
      <c r="E16" s="2557">
        <f>conp!E11</f>
        <v>4000</v>
      </c>
      <c r="F16" s="2557">
        <f t="shared" si="0"/>
        <v>182720</v>
      </c>
      <c r="G16" s="2557">
        <f>conp!G11</f>
        <v>27.008250000000004</v>
      </c>
      <c r="H16" s="2557">
        <f t="shared" si="1"/>
        <v>108033.00000000001</v>
      </c>
      <c r="I16" s="2562"/>
      <c r="J16" s="2562"/>
      <c r="K16" s="2559">
        <f t="shared" si="2"/>
        <v>27.008250000000004</v>
      </c>
      <c r="L16" s="2560">
        <f t="shared" si="3"/>
        <v>108033.00000000001</v>
      </c>
      <c r="M16" s="2560">
        <f t="shared" si="4"/>
        <v>-18.671749999999996</v>
      </c>
      <c r="N16" s="2563"/>
    </row>
    <row r="17" spans="1:14" ht="47.25">
      <c r="A17" s="2450">
        <v>4</v>
      </c>
      <c r="B17" s="2506" t="s">
        <v>3217</v>
      </c>
      <c r="C17" s="1770" t="str">
        <f>conp!D12</f>
        <v>m3</v>
      </c>
      <c r="D17" s="2562">
        <f>conp!C12</f>
        <v>25.69</v>
      </c>
      <c r="E17" s="2557">
        <f>conp!E12</f>
        <v>9000</v>
      </c>
      <c r="F17" s="2557">
        <f t="shared" si="0"/>
        <v>231210</v>
      </c>
      <c r="G17" s="2557">
        <f>conp!G12</f>
        <v>15.569250000000002</v>
      </c>
      <c r="H17" s="2557">
        <f t="shared" si="1"/>
        <v>140123.25000000003</v>
      </c>
      <c r="I17" s="2562"/>
      <c r="J17" s="2562"/>
      <c r="K17" s="2559">
        <f t="shared" si="2"/>
        <v>15.569250000000002</v>
      </c>
      <c r="L17" s="2560">
        <f t="shared" si="3"/>
        <v>140123.25000000003</v>
      </c>
      <c r="M17" s="2560">
        <f t="shared" si="4"/>
        <v>-10.120749999999999</v>
      </c>
      <c r="N17" s="2563"/>
    </row>
    <row r="18" spans="1:14" ht="47.25">
      <c r="A18" s="2450">
        <v>5</v>
      </c>
      <c r="B18" s="2507" t="s">
        <v>3218</v>
      </c>
      <c r="C18" s="1770" t="str">
        <f>conp!D13</f>
        <v>m2</v>
      </c>
      <c r="D18" s="2562">
        <f>conp!C13</f>
        <v>416.71</v>
      </c>
      <c r="E18" s="2557">
        <f>conp!E13</f>
        <v>400</v>
      </c>
      <c r="F18" s="2557">
        <f t="shared" si="0"/>
        <v>166684</v>
      </c>
      <c r="G18" s="2557">
        <f>conp!G13</f>
        <v>22.206499999999998</v>
      </c>
      <c r="H18" s="2557">
        <f t="shared" si="1"/>
        <v>8882.5999999999985</v>
      </c>
      <c r="I18" s="2562"/>
      <c r="J18" s="2562"/>
      <c r="K18" s="2559">
        <f t="shared" si="2"/>
        <v>22.206499999999998</v>
      </c>
      <c r="L18" s="2560">
        <f t="shared" si="3"/>
        <v>8882.5999999999985</v>
      </c>
      <c r="M18" s="2560">
        <f t="shared" si="4"/>
        <v>-394.50349999999997</v>
      </c>
      <c r="N18" s="2563"/>
    </row>
    <row r="19" spans="1:14" ht="47.25">
      <c r="A19" s="2450">
        <v>6</v>
      </c>
      <c r="B19" s="2449" t="s">
        <v>3219</v>
      </c>
      <c r="C19" s="1770" t="str">
        <f>conp!D14</f>
        <v>m2</v>
      </c>
      <c r="D19" s="2562">
        <f>conp!C14</f>
        <v>326.86</v>
      </c>
      <c r="E19" s="2557">
        <f>conp!E14</f>
        <v>750</v>
      </c>
      <c r="F19" s="2557">
        <f t="shared" si="0"/>
        <v>245145</v>
      </c>
      <c r="G19" s="2557">
        <f>conp!G14</f>
        <v>323.26550000000003</v>
      </c>
      <c r="H19" s="2557">
        <f t="shared" si="1"/>
        <v>242449.12500000003</v>
      </c>
      <c r="I19" s="2562"/>
      <c r="J19" s="2562"/>
      <c r="K19" s="2559">
        <f t="shared" si="2"/>
        <v>323.26550000000003</v>
      </c>
      <c r="L19" s="2560">
        <f t="shared" si="3"/>
        <v>242449.12500000003</v>
      </c>
      <c r="M19" s="2560">
        <f t="shared" si="4"/>
        <v>-3.5944999999999823</v>
      </c>
      <c r="N19" s="2563"/>
    </row>
    <row r="20" spans="1:14" ht="47.25">
      <c r="A20" s="2450">
        <v>7</v>
      </c>
      <c r="B20" s="2449" t="s">
        <v>3169</v>
      </c>
      <c r="C20" s="1770" t="str">
        <f>conp!D15</f>
        <v>m3</v>
      </c>
      <c r="D20" s="2562">
        <f>conp!C15</f>
        <v>212.13</v>
      </c>
      <c r="E20" s="2557">
        <f>conp!E15</f>
        <v>12000</v>
      </c>
      <c r="F20" s="2557">
        <f t="shared" si="0"/>
        <v>2545560</v>
      </c>
      <c r="G20" s="2557">
        <f>conp!G15</f>
        <v>52.915530000000004</v>
      </c>
      <c r="H20" s="2557">
        <f t="shared" si="1"/>
        <v>634986.3600000001</v>
      </c>
      <c r="I20" s="2562"/>
      <c r="J20" s="2562"/>
      <c r="K20" s="2559">
        <f t="shared" si="2"/>
        <v>52.915530000000004</v>
      </c>
      <c r="L20" s="2560">
        <f t="shared" si="3"/>
        <v>634986.3600000001</v>
      </c>
      <c r="M20" s="2560">
        <f t="shared" si="4"/>
        <v>-159.21447000000001</v>
      </c>
      <c r="N20" s="2563"/>
    </row>
    <row r="21" spans="1:14" ht="47.25">
      <c r="A21" s="2450">
        <v>8</v>
      </c>
      <c r="B21" s="2449" t="s">
        <v>3220</v>
      </c>
      <c r="C21" s="1770" t="str">
        <f>conp!D16</f>
        <v>kg</v>
      </c>
      <c r="D21" s="2562">
        <f>conp!C16</f>
        <v>9324.57</v>
      </c>
      <c r="E21" s="2557">
        <f>conp!E16</f>
        <v>105</v>
      </c>
      <c r="F21" s="2557">
        <f t="shared" si="0"/>
        <v>979079.85</v>
      </c>
      <c r="G21" s="2557">
        <f>conp!G16</f>
        <v>3508.7322240000003</v>
      </c>
      <c r="H21" s="2557">
        <f t="shared" si="1"/>
        <v>368416.88352000003</v>
      </c>
      <c r="I21" s="2562"/>
      <c r="J21" s="2562"/>
      <c r="K21" s="2559">
        <f t="shared" si="2"/>
        <v>3508.7322240000003</v>
      </c>
      <c r="L21" s="2560">
        <f t="shared" si="3"/>
        <v>368416.88352000003</v>
      </c>
      <c r="M21" s="2560">
        <f t="shared" si="4"/>
        <v>-5815.8377759999994</v>
      </c>
      <c r="N21" s="2563"/>
    </row>
    <row r="22" spans="1:14" ht="47.25">
      <c r="A22" s="2450">
        <v>9</v>
      </c>
      <c r="B22" s="2449" t="s">
        <v>3188</v>
      </c>
      <c r="C22" s="1770" t="str">
        <f>conp!D17</f>
        <v>m3</v>
      </c>
      <c r="D22" s="2562">
        <f>conp!C17</f>
        <v>259.10000000000002</v>
      </c>
      <c r="E22" s="2557">
        <f>conp!E17</f>
        <v>5000</v>
      </c>
      <c r="F22" s="2557">
        <f t="shared" si="0"/>
        <v>1295500</v>
      </c>
      <c r="G22" s="2557">
        <f>conp!G17</f>
        <v>97.894350000000031</v>
      </c>
      <c r="H22" s="2557">
        <f t="shared" si="1"/>
        <v>489471.75000000017</v>
      </c>
      <c r="I22" s="2562"/>
      <c r="J22" s="2562"/>
      <c r="K22" s="2559">
        <f t="shared" si="2"/>
        <v>97.894350000000031</v>
      </c>
      <c r="L22" s="2560">
        <f t="shared" si="3"/>
        <v>489471.75000000017</v>
      </c>
      <c r="M22" s="2560">
        <f t="shared" si="4"/>
        <v>-161.20564999999999</v>
      </c>
      <c r="N22" s="2563"/>
    </row>
    <row r="23" spans="1:14" ht="45">
      <c r="A23" s="2508">
        <v>11</v>
      </c>
      <c r="B23" s="2502" t="s">
        <v>3207</v>
      </c>
      <c r="C23" s="1770" t="str">
        <f>conp!D18</f>
        <v>Nos</v>
      </c>
      <c r="D23" s="2562">
        <f>conp!C18</f>
        <v>2</v>
      </c>
      <c r="E23" s="2557">
        <f>conp!E18</f>
        <v>5000</v>
      </c>
      <c r="F23" s="2557">
        <f t="shared" si="0"/>
        <v>10000</v>
      </c>
      <c r="G23" s="2557">
        <f>conp!G18</f>
        <v>2</v>
      </c>
      <c r="H23" s="2557">
        <f t="shared" si="1"/>
        <v>10000</v>
      </c>
      <c r="I23" s="2562"/>
      <c r="J23" s="2562"/>
      <c r="K23" s="2559">
        <f t="shared" si="2"/>
        <v>2</v>
      </c>
      <c r="L23" s="2560">
        <f t="shared" si="3"/>
        <v>10000</v>
      </c>
      <c r="M23" s="2560">
        <f t="shared" si="4"/>
        <v>0</v>
      </c>
      <c r="N23" s="2563"/>
    </row>
    <row r="24" spans="1:14" ht="30">
      <c r="A24" s="2508">
        <v>12</v>
      </c>
      <c r="B24" s="2502" t="s">
        <v>3208</v>
      </c>
      <c r="C24" s="1770" t="str">
        <f>conp!D19</f>
        <v>m3</v>
      </c>
      <c r="D24" s="2562">
        <f>conp!C19</f>
        <v>48</v>
      </c>
      <c r="E24" s="2557">
        <f>conp!E19</f>
        <v>2500</v>
      </c>
      <c r="F24" s="2557">
        <f t="shared" si="0"/>
        <v>120000</v>
      </c>
      <c r="G24" s="2557">
        <f>conp!G19</f>
        <v>38</v>
      </c>
      <c r="H24" s="2557">
        <f t="shared" si="1"/>
        <v>95000</v>
      </c>
      <c r="I24" s="2562"/>
      <c r="J24" s="2562"/>
      <c r="K24" s="2559">
        <f t="shared" si="2"/>
        <v>38</v>
      </c>
      <c r="L24" s="2560">
        <f t="shared" si="3"/>
        <v>95000</v>
      </c>
      <c r="M24" s="2560">
        <f t="shared" si="4"/>
        <v>-10</v>
      </c>
      <c r="N24" s="2563"/>
    </row>
    <row r="25" spans="1:14" ht="15">
      <c r="A25" s="2508">
        <v>13</v>
      </c>
      <c r="B25" s="2502" t="s">
        <v>3209</v>
      </c>
      <c r="C25" s="1770" t="str">
        <f>conp!D20</f>
        <v>m3</v>
      </c>
      <c r="D25" s="2562">
        <f>conp!C20</f>
        <v>48</v>
      </c>
      <c r="E25" s="2557">
        <f>conp!E20</f>
        <v>2500</v>
      </c>
      <c r="F25" s="2557">
        <f t="shared" si="0"/>
        <v>120000</v>
      </c>
      <c r="G25" s="2557">
        <f>conp!G20</f>
        <v>38</v>
      </c>
      <c r="H25" s="2557">
        <f t="shared" si="1"/>
        <v>95000</v>
      </c>
      <c r="I25" s="2562"/>
      <c r="J25" s="2562"/>
      <c r="K25" s="2559">
        <f t="shared" si="2"/>
        <v>38</v>
      </c>
      <c r="L25" s="2560">
        <f t="shared" si="3"/>
        <v>95000</v>
      </c>
      <c r="M25" s="2560">
        <f t="shared" si="4"/>
        <v>-10</v>
      </c>
      <c r="N25" s="2563"/>
    </row>
    <row r="26" spans="1:14">
      <c r="A26" s="2564"/>
      <c r="B26" s="3049" t="s">
        <v>1108</v>
      </c>
      <c r="C26" s="3049"/>
      <c r="D26" s="3050"/>
      <c r="E26" s="3050"/>
      <c r="F26" s="2565">
        <f>ROUND(SUM(F14:F25),0)</f>
        <v>5950359</v>
      </c>
      <c r="G26" s="2565"/>
      <c r="H26" s="2565">
        <f>SUM(H14:H25)</f>
        <v>2216502.1160200005</v>
      </c>
      <c r="I26" s="2565"/>
      <c r="J26" s="2565"/>
      <c r="K26" s="2566"/>
      <c r="L26" s="2567">
        <f>SUM(L14:L25)</f>
        <v>2216502.1160200005</v>
      </c>
      <c r="M26" s="2560">
        <f t="shared" si="4"/>
        <v>0</v>
      </c>
      <c r="N26" s="2569"/>
    </row>
    <row r="27" spans="1:14">
      <c r="A27" s="2570"/>
      <c r="B27" s="3051" t="s">
        <v>3273</v>
      </c>
      <c r="C27" s="3051"/>
      <c r="D27" s="3052"/>
      <c r="E27" s="3052"/>
      <c r="F27" s="2571">
        <f>F26*13%</f>
        <v>773546.67</v>
      </c>
      <c r="G27" s="2571"/>
      <c r="H27" s="2571">
        <f>H26*13%</f>
        <v>288145.27508260007</v>
      </c>
      <c r="I27" s="2571"/>
      <c r="J27" s="2571"/>
      <c r="K27" s="2572"/>
      <c r="L27" s="2572">
        <f>L26*13%</f>
        <v>288145.27508260007</v>
      </c>
      <c r="M27" s="2560">
        <f t="shared" si="4"/>
        <v>0</v>
      </c>
      <c r="N27" s="2573"/>
    </row>
    <row r="28" spans="1:14">
      <c r="A28" s="2570"/>
      <c r="B28" s="2574"/>
      <c r="C28" s="2575" t="s">
        <v>3274</v>
      </c>
      <c r="D28" s="2576"/>
      <c r="E28" s="2576"/>
      <c r="F28" s="2577">
        <f>SUM(F26:F27)</f>
        <v>6723905.6699999999</v>
      </c>
      <c r="G28" s="2571"/>
      <c r="H28" s="2577">
        <f>SUM(H26:H27)</f>
        <v>2504647.3911026008</v>
      </c>
      <c r="I28" s="2571"/>
      <c r="J28" s="2571"/>
      <c r="K28" s="2572"/>
      <c r="L28" s="2578">
        <f>SUM(L26:L27)</f>
        <v>2504647.3911026008</v>
      </c>
      <c r="M28" s="2560">
        <f t="shared" si="4"/>
        <v>0</v>
      </c>
      <c r="N28" s="2573"/>
    </row>
    <row r="29" spans="1:14">
      <c r="A29" s="2570"/>
      <c r="B29" s="2579" t="s">
        <v>3275</v>
      </c>
      <c r="C29" s="2574"/>
      <c r="D29" s="2576"/>
      <c r="E29" s="2576"/>
      <c r="F29" s="2571"/>
      <c r="G29" s="2571"/>
      <c r="H29" s="2571"/>
      <c r="I29" s="2571"/>
      <c r="J29" s="2571"/>
      <c r="K29" s="2572"/>
      <c r="L29" s="2572"/>
      <c r="M29" s="2568"/>
      <c r="N29" s="2573"/>
    </row>
    <row r="30" spans="1:14" ht="15.75">
      <c r="A30" s="2460">
        <v>14</v>
      </c>
      <c r="B30" s="2471" t="s">
        <v>3176</v>
      </c>
      <c r="C30" s="2580" t="str">
        <f>'[64]abstract contract'!D88</f>
        <v>ps</v>
      </c>
      <c r="D30" s="2581">
        <f>'[64]abstract contract'!C88</f>
        <v>1</v>
      </c>
      <c r="E30" s="2581">
        <v>5000</v>
      </c>
      <c r="F30" s="2582">
        <f>D30*E30</f>
        <v>5000</v>
      </c>
      <c r="G30" s="2583">
        <f>'[64]abstract contract'!G88</f>
        <v>1</v>
      </c>
      <c r="H30" s="2583">
        <f>'Valuated abstract'!E27</f>
        <v>5000</v>
      </c>
      <c r="I30" s="2571"/>
      <c r="J30" s="2571"/>
      <c r="K30" s="2559">
        <f t="shared" ref="K30:L33" si="5">G30+I30</f>
        <v>1</v>
      </c>
      <c r="L30" s="2560">
        <f t="shared" si="5"/>
        <v>5000</v>
      </c>
      <c r="M30" s="2560"/>
      <c r="N30" s="2573"/>
    </row>
    <row r="31" spans="1:14" ht="15.75">
      <c r="A31" s="2460">
        <v>15</v>
      </c>
      <c r="B31" s="2473" t="s">
        <v>3177</v>
      </c>
      <c r="C31" s="2580" t="str">
        <f>'[64]abstract contract'!D89</f>
        <v>ps</v>
      </c>
      <c r="D31" s="2581">
        <f>'[64]abstract contract'!C89</f>
        <v>1</v>
      </c>
      <c r="E31" s="2581">
        <v>20000</v>
      </c>
      <c r="F31" s="2582">
        <f t="shared" ref="F31:F33" si="6">D31*E31</f>
        <v>20000</v>
      </c>
      <c r="G31" s="2583">
        <f>'[64]abstract contract'!G89</f>
        <v>1</v>
      </c>
      <c r="H31" s="2583">
        <v>0</v>
      </c>
      <c r="I31" s="2571"/>
      <c r="J31" s="2571"/>
      <c r="K31" s="2559">
        <f t="shared" si="5"/>
        <v>1</v>
      </c>
      <c r="L31" s="2560">
        <f t="shared" si="5"/>
        <v>0</v>
      </c>
      <c r="M31" s="2560"/>
      <c r="N31" s="2573"/>
    </row>
    <row r="32" spans="1:14" ht="15.75">
      <c r="A32" s="2460">
        <v>16</v>
      </c>
      <c r="B32" s="2473" t="s">
        <v>3211</v>
      </c>
      <c r="C32" s="2580" t="str">
        <f>'[64]abstract contract'!D90</f>
        <v>ps</v>
      </c>
      <c r="D32" s="2581">
        <f>'[64]abstract contract'!C90</f>
        <v>1</v>
      </c>
      <c r="E32" s="2581">
        <v>20000</v>
      </c>
      <c r="F32" s="2582">
        <f t="shared" si="6"/>
        <v>20000</v>
      </c>
      <c r="G32" s="2583">
        <f>'[64]abstract contract'!G90</f>
        <v>1</v>
      </c>
      <c r="H32" s="2583">
        <v>0</v>
      </c>
      <c r="I32" s="2571"/>
      <c r="J32" s="2571"/>
      <c r="K32" s="2559">
        <f t="shared" si="5"/>
        <v>1</v>
      </c>
      <c r="L32" s="2560">
        <f t="shared" si="5"/>
        <v>0</v>
      </c>
      <c r="M32" s="2560"/>
      <c r="N32" s="2573"/>
    </row>
    <row r="33" spans="1:14" ht="15.75">
      <c r="A33" s="2460">
        <v>17</v>
      </c>
      <c r="B33" s="2473" t="s">
        <v>3212</v>
      </c>
      <c r="C33" s="2580" t="str">
        <f>'[64]abstract contract'!D91</f>
        <v>ps</v>
      </c>
      <c r="D33" s="2581">
        <f>'[64]abstract contract'!C91</f>
        <v>1</v>
      </c>
      <c r="E33" s="2581">
        <v>100000</v>
      </c>
      <c r="F33" s="2582">
        <f t="shared" si="6"/>
        <v>100000</v>
      </c>
      <c r="G33" s="2583">
        <f>'[64]abstract contract'!G91</f>
        <v>1</v>
      </c>
      <c r="H33" s="2583">
        <v>0</v>
      </c>
      <c r="I33" s="2571"/>
      <c r="J33" s="2571"/>
      <c r="K33" s="2559">
        <f t="shared" si="5"/>
        <v>1</v>
      </c>
      <c r="L33" s="2560">
        <f t="shared" si="5"/>
        <v>0</v>
      </c>
      <c r="M33" s="2560"/>
      <c r="N33" s="2573"/>
    </row>
    <row r="34" spans="1:14">
      <c r="A34" s="2570"/>
      <c r="B34" s="2574"/>
      <c r="C34" s="2574"/>
      <c r="D34" s="2576"/>
      <c r="E34" s="2576"/>
      <c r="F34" s="2571"/>
      <c r="G34" s="2571"/>
      <c r="H34" s="2571"/>
      <c r="I34" s="2571"/>
      <c r="J34" s="2571"/>
      <c r="K34" s="2572"/>
      <c r="L34" s="2572"/>
      <c r="M34" s="2568"/>
      <c r="N34" s="2573"/>
    </row>
    <row r="35" spans="1:14">
      <c r="A35" s="2570"/>
      <c r="B35" s="3051" t="s">
        <v>3276</v>
      </c>
      <c r="C35" s="3051"/>
      <c r="D35" s="3053"/>
      <c r="E35" s="3053"/>
      <c r="F35" s="2577">
        <f>SUM(F28:F34)</f>
        <v>6868905.6699999999</v>
      </c>
      <c r="G35" s="2577"/>
      <c r="H35" s="2577">
        <f>SUM(H28:H34)</f>
        <v>2509647.3911026008</v>
      </c>
      <c r="I35" s="2577"/>
      <c r="J35" s="2577"/>
      <c r="K35" s="2584"/>
      <c r="L35" s="2577">
        <f>SUM(L28:L34)</f>
        <v>2509647.3911026008</v>
      </c>
      <c r="M35" s="2568"/>
      <c r="N35" s="2573"/>
    </row>
    <row r="36" spans="1:14" ht="19.5">
      <c r="B36" s="2585" t="s">
        <v>3277</v>
      </c>
      <c r="C36" s="2585"/>
      <c r="D36" s="3054"/>
      <c r="E36" s="3054"/>
      <c r="F36" s="3054"/>
      <c r="G36" s="2586"/>
      <c r="H36" s="2586"/>
      <c r="I36" s="2586"/>
      <c r="J36" s="2586"/>
      <c r="K36" s="2586"/>
      <c r="L36" s="2586"/>
      <c r="M36" s="2586"/>
      <c r="N36" s="2587"/>
    </row>
    <row r="37" spans="1:14" ht="19.5">
      <c r="B37" s="2588" t="s">
        <v>3278</v>
      </c>
      <c r="C37" s="2589"/>
      <c r="D37" s="3055">
        <f>L35</f>
        <v>2509647.3911026008</v>
      </c>
      <c r="E37" s="3056"/>
      <c r="F37" s="3056"/>
      <c r="G37" t="s">
        <v>3279</v>
      </c>
      <c r="H37" s="2588"/>
      <c r="I37" s="2588"/>
      <c r="J37" s="2588" t="s">
        <v>3280</v>
      </c>
      <c r="K37" s="2588"/>
      <c r="L37" s="2588">
        <f>H26*5%</f>
        <v>110825.10580100003</v>
      </c>
      <c r="M37" s="2590"/>
    </row>
    <row r="38" spans="1:14" ht="19.5">
      <c r="B38" s="2588" t="s">
        <v>3281</v>
      </c>
      <c r="C38" s="2591"/>
      <c r="D38" s="3057">
        <f>J35</f>
        <v>0</v>
      </c>
      <c r="E38" s="3058"/>
      <c r="F38" s="3058"/>
      <c r="G38" t="s">
        <v>3279</v>
      </c>
      <c r="H38" s="2588"/>
      <c r="I38" s="2588"/>
      <c r="J38" s="2588" t="s">
        <v>3282</v>
      </c>
      <c r="K38" s="2588"/>
      <c r="L38" s="2588"/>
      <c r="M38" s="2590"/>
    </row>
    <row r="39" spans="1:14" ht="19.5">
      <c r="B39" s="2588" t="s">
        <v>3283</v>
      </c>
      <c r="C39" s="2588"/>
      <c r="D39" s="3054">
        <f>D37-D38</f>
        <v>2509647.3911026008</v>
      </c>
      <c r="E39" s="3047"/>
      <c r="F39" s="3047"/>
      <c r="G39" t="s">
        <v>3279</v>
      </c>
      <c r="H39" s="2588"/>
      <c r="I39" s="2588"/>
      <c r="J39" s="2588" t="s">
        <v>3284</v>
      </c>
      <c r="K39" s="2588"/>
      <c r="L39" s="2586"/>
      <c r="M39" s="2586"/>
    </row>
    <row r="40" spans="1:14" ht="19.5">
      <c r="B40" s="2588" t="s">
        <v>3285</v>
      </c>
      <c r="C40" s="2588"/>
      <c r="D40" s="3047"/>
      <c r="E40" s="3047"/>
      <c r="F40" s="3047"/>
      <c r="H40" s="2588"/>
      <c r="I40" s="2585"/>
      <c r="J40" s="2585" t="s">
        <v>3286</v>
      </c>
      <c r="K40" s="2585"/>
      <c r="L40" s="2585"/>
      <c r="M40" s="2585"/>
    </row>
    <row r="41" spans="1:14" ht="19.5">
      <c r="B41" s="2588" t="s">
        <v>3287</v>
      </c>
      <c r="C41" s="2588"/>
      <c r="D41" s="2588"/>
      <c r="E41" s="2588"/>
      <c r="F41" s="2591"/>
      <c r="H41" s="2585"/>
      <c r="I41" s="2585"/>
      <c r="J41" s="2588" t="s">
        <v>3288</v>
      </c>
      <c r="K41" s="2585"/>
      <c r="L41" s="2585"/>
      <c r="M41" s="2585"/>
    </row>
    <row r="42" spans="1:14" ht="19.5">
      <c r="B42" s="2588"/>
      <c r="C42" s="2588"/>
      <c r="D42" s="2588"/>
      <c r="E42" s="2588"/>
      <c r="F42" s="2588"/>
      <c r="G42" s="2588"/>
      <c r="H42" s="2588"/>
      <c r="I42" s="2588"/>
      <c r="J42" s="2588"/>
      <c r="K42" s="2588"/>
      <c r="L42" s="2588"/>
      <c r="M42" s="2588"/>
    </row>
    <row r="43" spans="1:14" ht="19.5">
      <c r="B43" s="2588" t="s">
        <v>3289</v>
      </c>
      <c r="C43" s="2588"/>
      <c r="E43" s="3047" t="s">
        <v>3290</v>
      </c>
      <c r="F43" s="3047"/>
      <c r="G43" s="2588"/>
      <c r="I43" s="2588"/>
      <c r="K43" s="2588"/>
      <c r="L43" s="2588" t="s">
        <v>3291</v>
      </c>
    </row>
  </sheetData>
  <mergeCells count="29">
    <mergeCell ref="E43:F43"/>
    <mergeCell ref="N12:N13"/>
    <mergeCell ref="B26:C26"/>
    <mergeCell ref="D26:E26"/>
    <mergeCell ref="B27:C27"/>
    <mergeCell ref="D27:E27"/>
    <mergeCell ref="B35:C35"/>
    <mergeCell ref="D35:E35"/>
    <mergeCell ref="D36:F36"/>
    <mergeCell ref="D37:F37"/>
    <mergeCell ref="D38:F38"/>
    <mergeCell ref="D39:F39"/>
    <mergeCell ref="D40:F40"/>
    <mergeCell ref="M8:N8"/>
    <mergeCell ref="M10:N10"/>
    <mergeCell ref="A12:A13"/>
    <mergeCell ref="B12:B13"/>
    <mergeCell ref="C12:C13"/>
    <mergeCell ref="D12:F12"/>
    <mergeCell ref="G12:H12"/>
    <mergeCell ref="I12:J12"/>
    <mergeCell ref="K12:L12"/>
    <mergeCell ref="M12:M13"/>
    <mergeCell ref="M7:N7"/>
    <mergeCell ref="A1:N1"/>
    <mergeCell ref="A2:N2"/>
    <mergeCell ref="A3:N3"/>
    <mergeCell ref="A4:N4"/>
    <mergeCell ref="M6:N6"/>
  </mergeCells>
  <conditionalFormatting sqref="A30:A31">
    <cfRule type="top10" dxfId="4" priority="1" percent="1" rank="10"/>
  </conditionalFormatting>
  <pageMargins left="0.7" right="0.7" top="0.75" bottom="0.75" header="0.3" footer="0.3"/>
  <pageSetup paperSize="9" scale="80" orientation="landscape" verticalDpi="0" r:id="rId1"/>
  <colBreaks count="1" manualBreakCount="1">
    <brk id="13" max="1048575" man="1"/>
  </col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0000"/>
  </sheetPr>
  <dimension ref="A1:J41"/>
  <sheetViews>
    <sheetView topLeftCell="A7" workbookViewId="0">
      <selection activeCell="C15" sqref="C15"/>
    </sheetView>
  </sheetViews>
  <sheetFormatPr defaultColWidth="9.140625" defaultRowHeight="15.75"/>
  <cols>
    <col min="1" max="1" width="12" style="2486" customWidth="1"/>
    <col min="2" max="2" width="51.28515625" style="2441" customWidth="1"/>
    <col min="3" max="3" width="16" style="2486" bestFit="1" customWidth="1"/>
    <col min="4" max="4" width="7.28515625" style="2486" bestFit="1" customWidth="1"/>
    <col min="5" max="5" width="13.5703125" style="2486" customWidth="1"/>
    <col min="6" max="6" width="20.85546875" style="2440" customWidth="1"/>
    <col min="7" max="7" width="17" style="2479" customWidth="1"/>
    <col min="8" max="8" width="23.140625" style="2486" customWidth="1"/>
    <col min="9" max="16384" width="9.140625" style="2486"/>
  </cols>
  <sheetData>
    <row r="1" spans="1:10" ht="20.25" customHeight="1">
      <c r="A1" s="3027" t="s">
        <v>3158</v>
      </c>
      <c r="B1" s="3027"/>
      <c r="C1" s="3027"/>
      <c r="D1" s="3027"/>
      <c r="E1" s="3027"/>
      <c r="F1" s="3027"/>
      <c r="G1" s="3027"/>
    </row>
    <row r="2" spans="1:10" ht="20.25" customHeight="1">
      <c r="A2" s="3028" t="s">
        <v>3159</v>
      </c>
      <c r="B2" s="3028"/>
      <c r="C2" s="3028"/>
      <c r="D2" s="3028"/>
      <c r="E2" s="3028"/>
      <c r="F2" s="3028"/>
      <c r="G2" s="3028"/>
    </row>
    <row r="3" spans="1:10" ht="20.25" customHeight="1">
      <c r="A3" s="3031" t="s">
        <v>3160</v>
      </c>
      <c r="B3" s="3031"/>
      <c r="C3" s="3031"/>
      <c r="D3" s="3031"/>
      <c r="E3" s="3031"/>
      <c r="F3" s="3031"/>
      <c r="G3" s="3031"/>
    </row>
    <row r="4" spans="1:10" ht="20.25" customHeight="1">
      <c r="A4" s="3027" t="s">
        <v>3297</v>
      </c>
      <c r="B4" s="3027"/>
      <c r="C4" s="3027"/>
      <c r="D4" s="3027"/>
      <c r="E4" s="3027"/>
      <c r="F4" s="3027"/>
      <c r="G4" s="3027"/>
    </row>
    <row r="5" spans="1:10" ht="20.25" customHeight="1">
      <c r="A5" s="2517" t="s">
        <v>3298</v>
      </c>
      <c r="B5" s="2516"/>
      <c r="C5" s="2516"/>
      <c r="D5" s="2516"/>
      <c r="E5" s="2516"/>
      <c r="F5" s="2516"/>
      <c r="G5" s="2516"/>
    </row>
    <row r="6" spans="1:10" ht="20.25" customHeight="1">
      <c r="A6" s="2593" t="s">
        <v>3299</v>
      </c>
      <c r="B6" s="2516"/>
      <c r="C6" s="2516"/>
      <c r="D6" s="2516"/>
      <c r="E6" s="2516"/>
      <c r="F6" s="2516"/>
      <c r="G6" s="2516"/>
    </row>
    <row r="7" spans="1:10" ht="20.25" customHeight="1">
      <c r="A7" s="2593" t="s">
        <v>3300</v>
      </c>
      <c r="B7" s="2516"/>
      <c r="C7" s="2516"/>
      <c r="D7" s="2516"/>
      <c r="E7" s="2516"/>
      <c r="F7" s="2516"/>
      <c r="G7" s="2516"/>
    </row>
    <row r="8" spans="1:10" ht="20.25" customHeight="1">
      <c r="A8" s="3029" t="s">
        <v>3162</v>
      </c>
      <c r="B8" s="3029"/>
      <c r="C8" s="2439"/>
      <c r="D8" s="2594"/>
      <c r="F8" s="2486"/>
      <c r="G8" s="2486" t="s">
        <v>3301</v>
      </c>
    </row>
    <row r="9" spans="1:10" ht="20.25" customHeight="1">
      <c r="A9" s="3032" t="s">
        <v>3163</v>
      </c>
      <c r="B9" s="3032"/>
      <c r="C9" s="2440"/>
      <c r="D9" s="3059"/>
      <c r="E9" s="3059"/>
      <c r="F9" s="3059"/>
      <c r="G9" s="3059"/>
    </row>
    <row r="10" spans="1:10" ht="20.25" customHeight="1">
      <c r="C10" s="2440"/>
      <c r="D10" s="3060" t="s">
        <v>3164</v>
      </c>
      <c r="E10" s="3060"/>
      <c r="F10" s="3060"/>
      <c r="G10" s="3060"/>
    </row>
    <row r="11" spans="1:10" ht="20.25" customHeight="1">
      <c r="A11" s="2443" t="s">
        <v>961</v>
      </c>
      <c r="B11" s="2444" t="s">
        <v>909</v>
      </c>
      <c r="C11" s="2445" t="s">
        <v>964</v>
      </c>
      <c r="D11" s="2443" t="s">
        <v>1035</v>
      </c>
      <c r="E11" s="2445" t="s">
        <v>97</v>
      </c>
      <c r="F11" s="2447" t="s">
        <v>52</v>
      </c>
      <c r="G11" s="2448" t="s">
        <v>1055</v>
      </c>
      <c r="H11" s="2486" t="s">
        <v>3165</v>
      </c>
    </row>
    <row r="12" spans="1:10" ht="31.5">
      <c r="A12" s="2450">
        <v>1</v>
      </c>
      <c r="B12" s="2449" t="s">
        <v>3214</v>
      </c>
      <c r="C12" s="2451">
        <f>'Detail Measurement'!G24</f>
        <v>80.463825000000014</v>
      </c>
      <c r="D12" s="2450" t="s">
        <v>1174</v>
      </c>
      <c r="E12" s="2526">
        <v>300</v>
      </c>
      <c r="F12" s="2453">
        <f t="shared" ref="F12:F23" si="0">C12*E12</f>
        <v>24139.147500000003</v>
      </c>
      <c r="G12" s="2504"/>
    </row>
    <row r="13" spans="1:10" ht="30">
      <c r="A13" s="2450">
        <v>2</v>
      </c>
      <c r="B13" s="2515" t="s">
        <v>3215</v>
      </c>
      <c r="C13" s="2451">
        <f>'Detail Measurement'!G28</f>
        <v>0</v>
      </c>
      <c r="D13" s="2450" t="s">
        <v>1174</v>
      </c>
      <c r="E13" s="2526">
        <v>80</v>
      </c>
      <c r="F13" s="2453">
        <f t="shared" si="0"/>
        <v>0</v>
      </c>
      <c r="G13" s="2504"/>
    </row>
    <row r="14" spans="1:10" ht="31.5">
      <c r="A14" s="2450">
        <v>3</v>
      </c>
      <c r="B14" s="2449" t="s">
        <v>3216</v>
      </c>
      <c r="C14" s="2451">
        <f>'Detail Measurement'!G39</f>
        <v>27.008250000000004</v>
      </c>
      <c r="D14" s="2450" t="s">
        <v>1174</v>
      </c>
      <c r="E14" s="2526">
        <v>4000</v>
      </c>
      <c r="F14" s="2451">
        <f t="shared" si="0"/>
        <v>108033.00000000001</v>
      </c>
      <c r="G14" s="2504"/>
    </row>
    <row r="15" spans="1:10" ht="31.5">
      <c r="A15" s="2450">
        <v>4</v>
      </c>
      <c r="B15" s="2506" t="s">
        <v>3217</v>
      </c>
      <c r="C15" s="2451">
        <f>'Detail Measurement'!G52</f>
        <v>15.569250000000002</v>
      </c>
      <c r="D15" s="2450" t="s">
        <v>1174</v>
      </c>
      <c r="E15" s="2526">
        <v>9000</v>
      </c>
      <c r="F15" s="2451">
        <f t="shared" si="0"/>
        <v>140123.25000000003</v>
      </c>
      <c r="G15" s="2454"/>
      <c r="H15" s="2455"/>
      <c r="I15" s="2455"/>
      <c r="J15" s="2455"/>
    </row>
    <row r="16" spans="1:10" ht="31.5">
      <c r="A16" s="2450">
        <v>5</v>
      </c>
      <c r="B16" s="2507" t="s">
        <v>3218</v>
      </c>
      <c r="C16" s="2451">
        <f>'Detail Measurement'!G59</f>
        <v>22.206499999999998</v>
      </c>
      <c r="D16" s="2450" t="s">
        <v>1182</v>
      </c>
      <c r="E16" s="2526">
        <v>400</v>
      </c>
      <c r="F16" s="2451">
        <f t="shared" si="0"/>
        <v>8882.5999999999985</v>
      </c>
      <c r="G16" s="2454"/>
      <c r="H16" s="2455"/>
      <c r="I16" s="2455"/>
      <c r="J16" s="2455"/>
    </row>
    <row r="17" spans="1:10" ht="47.25">
      <c r="A17" s="2450">
        <v>6</v>
      </c>
      <c r="B17" s="2449" t="s">
        <v>3219</v>
      </c>
      <c r="C17" s="2451">
        <f>'Detail Measurement'!G67</f>
        <v>323.26550000000003</v>
      </c>
      <c r="D17" s="2450" t="s">
        <v>1182</v>
      </c>
      <c r="E17" s="2526">
        <v>750</v>
      </c>
      <c r="F17" s="2451">
        <f t="shared" si="0"/>
        <v>242449.12500000003</v>
      </c>
      <c r="G17" s="2454"/>
      <c r="H17" s="2455"/>
      <c r="I17" s="2455"/>
      <c r="J17" s="2455"/>
    </row>
    <row r="18" spans="1:10" ht="47.25">
      <c r="A18" s="2450">
        <v>7</v>
      </c>
      <c r="B18" s="2449" t="s">
        <v>3169</v>
      </c>
      <c r="C18" s="2451">
        <f>'Detail Measurement'!G96</f>
        <v>52.915530000000004</v>
      </c>
      <c r="D18" s="2450" t="s">
        <v>1174</v>
      </c>
      <c r="E18" s="2526">
        <v>12000</v>
      </c>
      <c r="F18" s="2451">
        <f t="shared" si="0"/>
        <v>634986.3600000001</v>
      </c>
      <c r="G18" s="2454"/>
      <c r="H18" s="2455"/>
      <c r="I18" s="2455"/>
      <c r="J18" s="2455"/>
    </row>
    <row r="19" spans="1:10" ht="47.25">
      <c r="A19" s="2450">
        <v>8</v>
      </c>
      <c r="B19" s="2449" t="s">
        <v>3220</v>
      </c>
      <c r="C19" s="2451">
        <f>'Detail Measurement'!G108</f>
        <v>3508.7322240000003</v>
      </c>
      <c r="D19" s="2450" t="s">
        <v>1034</v>
      </c>
      <c r="E19" s="2526">
        <v>105</v>
      </c>
      <c r="F19" s="2451">
        <f t="shared" si="0"/>
        <v>368416.88352000003</v>
      </c>
      <c r="G19" s="2454"/>
      <c r="H19" s="2455"/>
      <c r="I19" s="2455"/>
      <c r="J19" s="2455"/>
    </row>
    <row r="20" spans="1:10" ht="47.25">
      <c r="A20" s="2450">
        <v>9</v>
      </c>
      <c r="B20" s="2449" t="s">
        <v>3188</v>
      </c>
      <c r="C20" s="2451">
        <f>'Detail Measurement'!G118</f>
        <v>97.894350000000031</v>
      </c>
      <c r="D20" s="2450" t="s">
        <v>1174</v>
      </c>
      <c r="E20" s="2526">
        <v>5000</v>
      </c>
      <c r="F20" s="2451">
        <f t="shared" si="0"/>
        <v>489471.75000000017</v>
      </c>
      <c r="G20" s="2454"/>
      <c r="H20" s="2455"/>
      <c r="I20" s="2455"/>
      <c r="J20" s="2455"/>
    </row>
    <row r="21" spans="1:10" ht="30">
      <c r="A21" s="2508">
        <v>11</v>
      </c>
      <c r="B21" s="2502" t="s">
        <v>3207</v>
      </c>
      <c r="C21" s="2511">
        <f>'Detail Measurement'!G121</f>
        <v>2</v>
      </c>
      <c r="D21" s="2511" t="s">
        <v>1753</v>
      </c>
      <c r="E21" s="2526">
        <v>5000</v>
      </c>
      <c r="F21" s="2512">
        <f t="shared" si="0"/>
        <v>10000</v>
      </c>
      <c r="G21" s="2454"/>
      <c r="H21" s="2455"/>
      <c r="I21" s="2455"/>
      <c r="J21" s="2455"/>
    </row>
    <row r="22" spans="1:10" ht="30">
      <c r="A22" s="2508">
        <v>12</v>
      </c>
      <c r="B22" s="2502" t="s">
        <v>3208</v>
      </c>
      <c r="C22" s="2511">
        <f>'Detail Measurement'!G123</f>
        <v>38</v>
      </c>
      <c r="D22" s="2511" t="s">
        <v>1174</v>
      </c>
      <c r="E22" s="2526">
        <v>2500</v>
      </c>
      <c r="F22" s="2512">
        <f t="shared" si="0"/>
        <v>95000</v>
      </c>
      <c r="G22" s="2454"/>
      <c r="H22" s="2455"/>
      <c r="I22" s="2455"/>
      <c r="J22" s="2455"/>
    </row>
    <row r="23" spans="1:10" ht="25.5" customHeight="1">
      <c r="A23" s="2508">
        <v>13</v>
      </c>
      <c r="B23" s="2502" t="s">
        <v>3209</v>
      </c>
      <c r="C23" s="2511">
        <f>'Detail Measurement'!G125</f>
        <v>38</v>
      </c>
      <c r="D23" s="2511" t="s">
        <v>1174</v>
      </c>
      <c r="E23" s="2526">
        <v>2500</v>
      </c>
      <c r="F23" s="2512">
        <f t="shared" si="0"/>
        <v>95000</v>
      </c>
      <c r="G23" s="2454"/>
      <c r="H23" s="2455"/>
      <c r="I23" s="2455"/>
      <c r="J23" s="2455"/>
    </row>
    <row r="24" spans="1:10">
      <c r="A24" s="2474"/>
      <c r="B24" s="2449"/>
      <c r="C24" s="2474"/>
      <c r="D24" s="2474"/>
      <c r="E24" s="2443" t="s">
        <v>3195</v>
      </c>
      <c r="F24" s="2476">
        <f>SUM(F12:F23)</f>
        <v>2216502.1160200005</v>
      </c>
      <c r="G24" s="2458"/>
    </row>
    <row r="25" spans="1:10">
      <c r="A25" s="2474"/>
      <c r="B25" s="2449"/>
      <c r="C25" s="2474"/>
      <c r="D25" s="2474"/>
      <c r="E25" s="2443" t="s">
        <v>3194</v>
      </c>
      <c r="F25" s="2476">
        <f>F24*0.13</f>
        <v>288145.27508260007</v>
      </c>
      <c r="G25" s="2458"/>
    </row>
    <row r="26" spans="1:10">
      <c r="A26" s="2474"/>
      <c r="B26" s="2449"/>
      <c r="C26" s="2474"/>
      <c r="D26" s="2474"/>
      <c r="E26" s="2443" t="s">
        <v>3196</v>
      </c>
      <c r="F26" s="2476">
        <f>SUM(F24:F25)</f>
        <v>2504647.3911026008</v>
      </c>
      <c r="G26" s="2458"/>
    </row>
    <row r="27" spans="1:10" s="2472" customFormat="1">
      <c r="A27" s="2460">
        <v>14</v>
      </c>
      <c r="B27" s="2471" t="s">
        <v>3176</v>
      </c>
      <c r="C27" s="2481">
        <f>'Estimate '!G94</f>
        <v>1</v>
      </c>
      <c r="D27" s="2480" t="s">
        <v>3213</v>
      </c>
      <c r="E27" s="2480">
        <v>5000</v>
      </c>
      <c r="F27" s="2482">
        <f>C27*E27</f>
        <v>5000</v>
      </c>
      <c r="G27" s="2471"/>
    </row>
    <row r="28" spans="1:10" s="2472" customFormat="1">
      <c r="A28" s="2460">
        <v>15</v>
      </c>
      <c r="B28" s="2473" t="s">
        <v>3177</v>
      </c>
      <c r="C28" s="2481">
        <f>'Estimate '!G96</f>
        <v>1</v>
      </c>
      <c r="D28" s="2480" t="s">
        <v>3213</v>
      </c>
      <c r="E28" s="2480"/>
      <c r="F28" s="2482">
        <f>C28*E28</f>
        <v>0</v>
      </c>
      <c r="G28" s="2471"/>
    </row>
    <row r="29" spans="1:10" s="2472" customFormat="1">
      <c r="A29" s="2460">
        <v>16</v>
      </c>
      <c r="B29" s="2473" t="s">
        <v>3211</v>
      </c>
      <c r="C29" s="2481">
        <f>'Estimate '!G98</f>
        <v>1</v>
      </c>
      <c r="D29" s="2480" t="s">
        <v>3213</v>
      </c>
      <c r="E29" s="2480"/>
      <c r="F29" s="2482">
        <v>0</v>
      </c>
      <c r="G29" s="2471"/>
    </row>
    <row r="30" spans="1:10" s="2472" customFormat="1">
      <c r="A30" s="2460">
        <v>17</v>
      </c>
      <c r="B30" s="2473" t="s">
        <v>3212</v>
      </c>
      <c r="C30" s="2481">
        <f>'Estimate '!G100</f>
        <v>1</v>
      </c>
      <c r="D30" s="2480" t="s">
        <v>3213</v>
      </c>
      <c r="E30" s="2480"/>
      <c r="F30" s="2482">
        <f>C30*E30</f>
        <v>0</v>
      </c>
      <c r="G30" s="2471"/>
    </row>
    <row r="31" spans="1:10" s="2472" customFormat="1">
      <c r="A31" s="2460"/>
      <c r="B31" s="2473"/>
      <c r="C31" s="2481"/>
      <c r="D31" s="2480"/>
      <c r="E31" s="2595" t="s">
        <v>3303</v>
      </c>
      <c r="F31" s="2482">
        <f>SUM(F26:F30)</f>
        <v>2509647.3911026008</v>
      </c>
      <c r="G31" s="2471"/>
    </row>
    <row r="32" spans="1:10">
      <c r="A32" s="2474"/>
      <c r="B32" s="2449"/>
      <c r="C32" s="2474"/>
      <c r="D32" s="2474"/>
      <c r="E32" s="2443" t="s">
        <v>3178</v>
      </c>
      <c r="F32" s="2476">
        <f>F24*0.03</f>
        <v>66495.063480600016</v>
      </c>
      <c r="G32" s="2477"/>
    </row>
    <row r="33" spans="1:8">
      <c r="A33" s="2474"/>
      <c r="B33" s="2449"/>
      <c r="C33" s="2474"/>
      <c r="D33" s="2474"/>
      <c r="E33" s="2443" t="s">
        <v>2626</v>
      </c>
      <c r="F33" s="2476">
        <f>SUM(F31:F32)</f>
        <v>2576142.4545832006</v>
      </c>
      <c r="G33" s="2477"/>
      <c r="H33" s="2514">
        <f>F33*0.026</f>
        <v>66979.703819163216</v>
      </c>
    </row>
    <row r="38" spans="1:8" ht="18">
      <c r="B38" s="3033"/>
      <c r="C38" s="3034"/>
      <c r="D38" s="3034"/>
    </row>
    <row r="39" spans="1:8" ht="18">
      <c r="B39" s="3035"/>
      <c r="C39" s="3034"/>
      <c r="D39" s="3034"/>
    </row>
    <row r="40" spans="1:8">
      <c r="B40" s="3030"/>
      <c r="C40" s="3030"/>
      <c r="D40" s="3030"/>
    </row>
    <row r="41" spans="1:8">
      <c r="B41" s="3030"/>
      <c r="C41" s="3030"/>
      <c r="D41" s="3030"/>
    </row>
  </sheetData>
  <mergeCells count="12">
    <mergeCell ref="B41:D41"/>
    <mergeCell ref="A9:B9"/>
    <mergeCell ref="D9:G9"/>
    <mergeCell ref="D10:G10"/>
    <mergeCell ref="B38:D38"/>
    <mergeCell ref="B39:D39"/>
    <mergeCell ref="B40:D40"/>
    <mergeCell ref="A1:G1"/>
    <mergeCell ref="A2:G2"/>
    <mergeCell ref="A3:G3"/>
    <mergeCell ref="A4:G4"/>
    <mergeCell ref="A8:B8"/>
  </mergeCells>
  <conditionalFormatting sqref="A27:A28">
    <cfRule type="top10" dxfId="3" priority="1" percent="1" rank="10"/>
  </conditionalFormatting>
  <pageMargins left="0.7" right="0.7" top="0.75" bottom="0.75" header="0.3" footer="0.3"/>
  <pageSetup paperSize="9" scale="63" orientation="portrait" verticalDpi="0" r:id="rId1"/>
  <colBreaks count="1" manualBreakCount="1">
    <brk id="7"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0000"/>
  </sheetPr>
  <dimension ref="A1:N146"/>
  <sheetViews>
    <sheetView workbookViewId="0">
      <selection activeCell="G9" sqref="G9"/>
    </sheetView>
  </sheetViews>
  <sheetFormatPr defaultColWidth="9.140625" defaultRowHeight="15.75"/>
  <cols>
    <col min="1" max="1" width="12" style="2486" customWidth="1"/>
    <col min="2" max="2" width="45.5703125" style="2441" customWidth="1"/>
    <col min="3" max="3" width="12.140625" style="2486" customWidth="1"/>
    <col min="4" max="4" width="15.140625" style="2486" customWidth="1"/>
    <col min="5" max="5" width="14.28515625" style="2486" bestFit="1" customWidth="1"/>
    <col min="6" max="6" width="13.140625" style="2478" customWidth="1"/>
    <col min="7" max="7" width="16" style="2486" bestFit="1" customWidth="1"/>
    <col min="8" max="8" width="9.85546875" style="2486" customWidth="1"/>
    <col min="9" max="9" width="17.5703125" style="2486" hidden="1" customWidth="1"/>
    <col min="10" max="10" width="20.85546875" style="2440" hidden="1" customWidth="1"/>
    <col min="11" max="11" width="17" style="2479" customWidth="1"/>
    <col min="12" max="12" width="23.140625" style="2486" customWidth="1"/>
    <col min="13" max="16384" width="9.140625" style="2486"/>
  </cols>
  <sheetData>
    <row r="1" spans="1:12" ht="20.25" customHeight="1">
      <c r="A1" s="3027" t="s">
        <v>3158</v>
      </c>
      <c r="B1" s="3027"/>
      <c r="C1" s="3027"/>
      <c r="D1" s="3027"/>
      <c r="E1" s="3027"/>
      <c r="F1" s="3027"/>
      <c r="G1" s="3027"/>
      <c r="H1" s="3027"/>
      <c r="I1" s="3027"/>
      <c r="J1" s="3027"/>
      <c r="K1" s="3027"/>
    </row>
    <row r="2" spans="1:12" ht="20.25" customHeight="1">
      <c r="A2" s="3028" t="s">
        <v>3159</v>
      </c>
      <c r="B2" s="3028"/>
      <c r="C2" s="3028"/>
      <c r="D2" s="3028"/>
      <c r="E2" s="3028"/>
      <c r="F2" s="3028"/>
      <c r="G2" s="3028"/>
      <c r="H2" s="3028"/>
      <c r="I2" s="3028"/>
      <c r="J2" s="3028"/>
      <c r="K2" s="3028"/>
    </row>
    <row r="3" spans="1:12" ht="20.25" customHeight="1">
      <c r="A3" s="3031" t="s">
        <v>3160</v>
      </c>
      <c r="B3" s="3031"/>
      <c r="C3" s="3031"/>
      <c r="D3" s="3031"/>
      <c r="E3" s="3031"/>
      <c r="F3" s="3031"/>
      <c r="G3" s="3031"/>
      <c r="H3" s="3031"/>
      <c r="I3" s="3031"/>
      <c r="J3" s="3031"/>
      <c r="K3" s="3031"/>
    </row>
    <row r="4" spans="1:12" ht="20.25" customHeight="1">
      <c r="A4" s="3027" t="s">
        <v>3304</v>
      </c>
      <c r="B4" s="3027"/>
      <c r="C4" s="3027"/>
      <c r="D4" s="3027"/>
      <c r="E4" s="3027"/>
      <c r="F4" s="3027"/>
      <c r="G4" s="3027"/>
      <c r="H4" s="3027"/>
      <c r="I4" s="3027"/>
      <c r="J4" s="3027"/>
      <c r="K4" s="3027"/>
    </row>
    <row r="5" spans="1:12" ht="20.25" customHeight="1">
      <c r="A5" s="2517" t="s">
        <v>3298</v>
      </c>
      <c r="B5" s="2516"/>
      <c r="C5" s="2516"/>
      <c r="D5" s="2516"/>
      <c r="E5" s="2516"/>
      <c r="F5" s="2516"/>
      <c r="G5" s="2516"/>
      <c r="J5" s="2486"/>
      <c r="K5" s="2486"/>
    </row>
    <row r="6" spans="1:12" ht="20.25" customHeight="1">
      <c r="A6" s="2593" t="s">
        <v>3299</v>
      </c>
      <c r="B6" s="2516"/>
      <c r="C6" s="2516"/>
      <c r="D6" s="2516"/>
      <c r="E6" s="2516"/>
      <c r="F6" s="2516"/>
      <c r="G6" s="2516"/>
      <c r="J6" s="2486"/>
      <c r="K6" s="2486"/>
    </row>
    <row r="7" spans="1:12" ht="20.25" customHeight="1">
      <c r="A7" s="2593" t="s">
        <v>3300</v>
      </c>
      <c r="B7" s="2516"/>
      <c r="C7" s="2516"/>
      <c r="D7" s="2516"/>
      <c r="E7" s="2516"/>
      <c r="F7" s="2516"/>
      <c r="G7" s="2516"/>
      <c r="J7" s="2486"/>
      <c r="K7" s="2486"/>
    </row>
    <row r="8" spans="1:12" ht="20.25" customHeight="1">
      <c r="A8" s="3029" t="s">
        <v>3162</v>
      </c>
      <c r="B8" s="3029"/>
      <c r="C8" s="3029"/>
      <c r="D8" s="3029"/>
      <c r="E8" s="3029"/>
      <c r="F8" s="3029"/>
      <c r="G8" s="2439"/>
      <c r="H8" s="2518"/>
      <c r="I8" s="2517"/>
      <c r="J8" s="2517"/>
      <c r="K8" s="2517" t="s">
        <v>3301</v>
      </c>
    </row>
    <row r="9" spans="1:12" ht="20.25" customHeight="1">
      <c r="A9" s="3032" t="s">
        <v>3163</v>
      </c>
      <c r="B9" s="3032"/>
      <c r="C9" s="3032"/>
      <c r="D9" s="3032"/>
      <c r="E9" s="3032"/>
      <c r="F9" s="3032"/>
      <c r="G9" s="2440"/>
      <c r="H9" s="3059"/>
      <c r="I9" s="3059"/>
      <c r="J9" s="3059"/>
      <c r="K9" s="3059"/>
    </row>
    <row r="10" spans="1:12" ht="20.25" customHeight="1">
      <c r="C10" s="2439"/>
      <c r="D10" s="2440"/>
      <c r="E10" s="2440"/>
      <c r="F10" s="2442"/>
      <c r="G10" s="2440"/>
      <c r="H10" s="3060" t="s">
        <v>3164</v>
      </c>
      <c r="I10" s="3060"/>
      <c r="J10" s="3060"/>
      <c r="K10" s="3060"/>
    </row>
    <row r="11" spans="1:12" ht="20.25" customHeight="1">
      <c r="A11" s="2443" t="s">
        <v>961</v>
      </c>
      <c r="B11" s="2444" t="s">
        <v>909</v>
      </c>
      <c r="C11" s="2443" t="s">
        <v>1087</v>
      </c>
      <c r="D11" s="2445" t="s">
        <v>22</v>
      </c>
      <c r="E11" s="2445" t="s">
        <v>23</v>
      </c>
      <c r="F11" s="2446" t="s">
        <v>24</v>
      </c>
      <c r="G11" s="2445" t="s">
        <v>964</v>
      </c>
      <c r="H11" s="2443" t="s">
        <v>1035</v>
      </c>
      <c r="I11" s="2445" t="s">
        <v>97</v>
      </c>
      <c r="J11" s="2447" t="s">
        <v>52</v>
      </c>
      <c r="K11" s="2448" t="s">
        <v>1055</v>
      </c>
      <c r="L11" s="2486" t="s">
        <v>3165</v>
      </c>
    </row>
    <row r="12" spans="1:12" ht="20.25" customHeight="1">
      <c r="A12" s="2450">
        <v>1</v>
      </c>
      <c r="B12" s="2449" t="s">
        <v>3181</v>
      </c>
      <c r="C12" s="2450"/>
      <c r="D12" s="2451"/>
      <c r="E12" s="2451"/>
      <c r="F12" s="2452"/>
      <c r="G12" s="2451"/>
      <c r="H12" s="2450"/>
      <c r="I12" s="2451"/>
      <c r="J12" s="2453"/>
      <c r="K12" s="2504"/>
    </row>
    <row r="13" spans="1:12" ht="20.25" customHeight="1">
      <c r="A13" s="2450"/>
      <c r="B13" s="2449" t="s">
        <v>3182</v>
      </c>
      <c r="C13" s="2450">
        <v>1</v>
      </c>
      <c r="D13" s="2451">
        <f>D95</f>
        <v>61.050000000000011</v>
      </c>
      <c r="E13" s="2451">
        <v>1.5</v>
      </c>
      <c r="F13" s="2452">
        <v>0.3</v>
      </c>
      <c r="G13" s="2451">
        <f>PRODUCT(C13:F13)</f>
        <v>27.472500000000004</v>
      </c>
      <c r="H13" s="2450"/>
      <c r="I13" s="2451"/>
      <c r="J13" s="2453"/>
      <c r="K13" s="2504"/>
    </row>
    <row r="14" spans="1:12" ht="20.25" customHeight="1">
      <c r="A14" s="2450"/>
      <c r="B14" s="2449"/>
      <c r="C14" s="2450"/>
      <c r="D14" s="2451"/>
      <c r="E14" s="2451"/>
      <c r="F14" s="2452"/>
      <c r="G14" s="2451"/>
      <c r="H14" s="2450"/>
      <c r="I14" s="2451"/>
      <c r="J14" s="2453"/>
      <c r="K14" s="2504"/>
    </row>
    <row r="15" spans="1:12" ht="20.25" customHeight="1">
      <c r="A15" s="2450"/>
      <c r="B15" s="2524" t="s">
        <v>3186</v>
      </c>
      <c r="C15" s="2450">
        <v>1</v>
      </c>
      <c r="D15" s="2451">
        <f>9.1+6.9+7.1+2.6</f>
        <v>25.700000000000003</v>
      </c>
      <c r="E15" s="2451">
        <v>1.1000000000000001</v>
      </c>
      <c r="F15" s="2452">
        <v>0.6</v>
      </c>
      <c r="G15" s="2451">
        <f t="shared" ref="G15:G22" si="0">PRODUCT(C15:F15)</f>
        <v>16.962000000000003</v>
      </c>
      <c r="H15" s="2450"/>
      <c r="I15" s="2451"/>
      <c r="J15" s="2453"/>
      <c r="K15" s="2504"/>
    </row>
    <row r="16" spans="1:12" ht="20.25" customHeight="1">
      <c r="A16" s="2450"/>
      <c r="B16" s="2449"/>
      <c r="C16" s="2450"/>
      <c r="D16" s="2451"/>
      <c r="E16" s="2451"/>
      <c r="F16" s="2452"/>
      <c r="G16" s="2451"/>
      <c r="H16" s="2450"/>
      <c r="I16" s="2451"/>
      <c r="J16" s="2453"/>
      <c r="K16" s="2504"/>
    </row>
    <row r="17" spans="1:11" ht="20.25" customHeight="1">
      <c r="A17" s="2450"/>
      <c r="B17" s="2524" t="s">
        <v>3187</v>
      </c>
      <c r="C17" s="2450">
        <v>1</v>
      </c>
      <c r="D17" s="2451">
        <f>14.8*2</f>
        <v>29.6</v>
      </c>
      <c r="E17" s="2451">
        <v>0.75</v>
      </c>
      <c r="F17" s="2452">
        <v>0.6</v>
      </c>
      <c r="G17" s="2451">
        <f t="shared" si="0"/>
        <v>13.320000000000002</v>
      </c>
      <c r="H17" s="2450"/>
      <c r="I17" s="2451"/>
      <c r="J17" s="2453"/>
      <c r="K17" s="2504" t="s">
        <v>3236</v>
      </c>
    </row>
    <row r="18" spans="1:11" ht="20.25" customHeight="1">
      <c r="A18" s="2450"/>
      <c r="B18" s="2449"/>
      <c r="C18" s="2450">
        <v>1</v>
      </c>
      <c r="D18" s="2451">
        <v>4.3499999999999996</v>
      </c>
      <c r="E18" s="2451">
        <v>0.75</v>
      </c>
      <c r="F18" s="2452">
        <v>0.3</v>
      </c>
      <c r="G18" s="2451"/>
      <c r="H18" s="2450"/>
      <c r="I18" s="2451"/>
      <c r="J18" s="2453"/>
      <c r="K18" s="2504"/>
    </row>
    <row r="19" spans="1:11" ht="20.25" customHeight="1">
      <c r="A19" s="2450"/>
      <c r="B19" s="2449"/>
      <c r="C19" s="2450"/>
      <c r="D19" s="2451"/>
      <c r="E19" s="2451"/>
      <c r="F19" s="2452"/>
      <c r="G19" s="2451"/>
      <c r="H19" s="2450"/>
      <c r="I19" s="2451"/>
      <c r="J19" s="2453"/>
      <c r="K19" s="2504"/>
    </row>
    <row r="20" spans="1:11" ht="20.25" customHeight="1">
      <c r="A20" s="2450"/>
      <c r="B20" s="2524" t="s">
        <v>3199</v>
      </c>
      <c r="C20" s="2450">
        <v>1</v>
      </c>
      <c r="D20" s="2451">
        <v>2.8</v>
      </c>
      <c r="E20" s="2451">
        <v>0.7</v>
      </c>
      <c r="F20" s="2452">
        <v>0.6</v>
      </c>
      <c r="G20" s="2451">
        <f t="shared" si="0"/>
        <v>1.1759999999999997</v>
      </c>
      <c r="H20" s="2450"/>
      <c r="I20" s="2451"/>
      <c r="J20" s="2453"/>
      <c r="K20" s="2504"/>
    </row>
    <row r="21" spans="1:11" ht="20.25" customHeight="1">
      <c r="A21" s="2450"/>
      <c r="B21" s="2524"/>
      <c r="C21" s="2450">
        <v>1</v>
      </c>
      <c r="D21" s="2451">
        <v>1.4</v>
      </c>
      <c r="E21" s="2451">
        <v>0.6</v>
      </c>
      <c r="F21" s="2452">
        <v>0.6</v>
      </c>
      <c r="G21" s="2451">
        <f t="shared" si="0"/>
        <v>0.504</v>
      </c>
      <c r="H21" s="2450"/>
      <c r="I21" s="2451"/>
      <c r="J21" s="2453"/>
      <c r="K21" s="2504"/>
    </row>
    <row r="22" spans="1:11" ht="20.25" customHeight="1">
      <c r="A22" s="2450"/>
      <c r="B22" s="2524"/>
      <c r="C22" s="2450">
        <v>1</v>
      </c>
      <c r="D22" s="2451">
        <v>1.5</v>
      </c>
      <c r="E22" s="2451">
        <v>0.7</v>
      </c>
      <c r="F22" s="2452">
        <v>0.6</v>
      </c>
      <c r="G22" s="2451">
        <f t="shared" si="0"/>
        <v>0.62999999999999989</v>
      </c>
      <c r="H22" s="2450"/>
      <c r="I22" s="2451"/>
      <c r="J22" s="2453"/>
      <c r="K22" s="2504"/>
    </row>
    <row r="23" spans="1:11" ht="20.25" customHeight="1">
      <c r="A23" s="2450"/>
      <c r="B23" s="2449" t="s">
        <v>3202</v>
      </c>
      <c r="C23" s="2450"/>
      <c r="D23" s="2451"/>
      <c r="E23" s="2451"/>
      <c r="F23" s="2452"/>
      <c r="G23" s="2451">
        <f>'Intake (v)'!H9</f>
        <v>20.399325000000001</v>
      </c>
      <c r="H23" s="2450"/>
      <c r="I23" s="2451"/>
      <c r="J23" s="2453"/>
      <c r="K23" s="2504"/>
    </row>
    <row r="24" spans="1:11" ht="20.25" customHeight="1">
      <c r="A24" s="2450"/>
      <c r="B24" s="2449"/>
      <c r="C24" s="2450"/>
      <c r="D24" s="2451"/>
      <c r="E24" s="2451"/>
      <c r="F24" s="2452"/>
      <c r="G24" s="2451">
        <f>SUM(G13:G23)</f>
        <v>80.463825000000014</v>
      </c>
      <c r="H24" s="2450" t="s">
        <v>1174</v>
      </c>
      <c r="I24" s="2451">
        <f>Analysis!R24</f>
        <v>1480.63</v>
      </c>
      <c r="J24" s="2453">
        <f>G24*I24</f>
        <v>119137.15320975003</v>
      </c>
      <c r="K24" s="2504"/>
    </row>
    <row r="25" spans="1:11" ht="20.25" customHeight="1">
      <c r="A25" s="2450"/>
      <c r="B25" s="2449"/>
      <c r="C25" s="2450"/>
      <c r="D25" s="2451"/>
      <c r="E25" s="2451"/>
      <c r="F25" s="2452"/>
      <c r="G25" s="2451"/>
      <c r="H25" s="2450"/>
      <c r="I25" s="2451"/>
      <c r="J25" s="2453"/>
      <c r="K25" s="2504"/>
    </row>
    <row r="26" spans="1:11" ht="20.25" customHeight="1">
      <c r="A26" s="2450">
        <v>2</v>
      </c>
      <c r="B26" s="2505" t="s">
        <v>151</v>
      </c>
      <c r="C26" s="2450"/>
      <c r="D26" s="2451"/>
      <c r="E26" s="2451"/>
      <c r="F26" s="2452"/>
      <c r="G26" s="2451"/>
      <c r="H26" s="2450"/>
      <c r="I26" s="2451"/>
      <c r="J26" s="2453"/>
      <c r="K26" s="2504"/>
    </row>
    <row r="27" spans="1:11" ht="20.25" customHeight="1">
      <c r="A27" s="2450"/>
      <c r="B27" s="2449" t="s">
        <v>3192</v>
      </c>
      <c r="C27" s="2450"/>
      <c r="D27" s="2451"/>
      <c r="E27" s="2451"/>
      <c r="F27" s="2452"/>
      <c r="G27" s="2451"/>
      <c r="H27" s="2450"/>
      <c r="I27" s="2451"/>
      <c r="J27" s="2453"/>
      <c r="K27" s="2504"/>
    </row>
    <row r="28" spans="1:11" ht="20.25" customHeight="1">
      <c r="A28" s="2450"/>
      <c r="B28" s="2449"/>
      <c r="C28" s="2450"/>
      <c r="D28" s="2451"/>
      <c r="E28" s="2451"/>
      <c r="F28" s="2452"/>
      <c r="G28" s="2451">
        <f>SUM(G27:G27)</f>
        <v>0</v>
      </c>
      <c r="H28" s="2450" t="s">
        <v>1174</v>
      </c>
      <c r="I28" s="2451">
        <f>Analysis!R30</f>
        <v>746.24</v>
      </c>
      <c r="J28" s="2453">
        <f>G28*I28</f>
        <v>0</v>
      </c>
      <c r="K28" s="2504"/>
    </row>
    <row r="29" spans="1:11" ht="20.25" customHeight="1">
      <c r="A29" s="2450"/>
      <c r="B29" s="2449"/>
      <c r="C29" s="2450"/>
      <c r="D29" s="2451"/>
      <c r="E29" s="2451"/>
      <c r="F29" s="2452"/>
      <c r="G29" s="2451"/>
      <c r="H29" s="2450"/>
      <c r="I29" s="2451"/>
      <c r="J29" s="2453"/>
      <c r="K29" s="2504"/>
    </row>
    <row r="30" spans="1:11" ht="20.25" customHeight="1">
      <c r="A30" s="2450"/>
      <c r="B30" s="2449"/>
      <c r="C30" s="2450"/>
      <c r="D30" s="2451"/>
      <c r="E30" s="2451"/>
      <c r="F30" s="2452"/>
      <c r="G30" s="2451"/>
      <c r="H30" s="2450"/>
      <c r="I30" s="2451"/>
      <c r="J30" s="2453"/>
      <c r="K30" s="2504"/>
    </row>
    <row r="31" spans="1:11" ht="31.5">
      <c r="A31" s="2450">
        <v>3</v>
      </c>
      <c r="B31" s="2449" t="s">
        <v>3166</v>
      </c>
      <c r="C31" s="2450"/>
      <c r="D31" s="2451"/>
      <c r="E31" s="2451"/>
      <c r="F31" s="2452"/>
      <c r="G31" s="2451"/>
      <c r="H31" s="2450"/>
      <c r="I31" s="2451"/>
      <c r="J31" s="2453"/>
      <c r="K31" s="2504"/>
    </row>
    <row r="32" spans="1:11" ht="20.25" customHeight="1">
      <c r="A32" s="2450"/>
      <c r="B32" s="2449" t="s">
        <v>3182</v>
      </c>
      <c r="C32" s="2450">
        <v>1</v>
      </c>
      <c r="D32" s="2451">
        <f>D13</f>
        <v>61.050000000000011</v>
      </c>
      <c r="E32" s="2451">
        <f>E13</f>
        <v>1.5</v>
      </c>
      <c r="F32" s="2452">
        <v>0.15</v>
      </c>
      <c r="G32" s="2451">
        <f t="shared" ref="G32:G37" si="1">PRODUCT(C32:F32)</f>
        <v>13.736250000000002</v>
      </c>
      <c r="H32" s="2450"/>
      <c r="I32" s="2451"/>
      <c r="J32" s="2453"/>
      <c r="K32" s="2504"/>
    </row>
    <row r="33" spans="1:14" ht="20.25" customHeight="1">
      <c r="A33" s="2450"/>
      <c r="B33" s="2524" t="s">
        <v>3186</v>
      </c>
      <c r="C33" s="2450">
        <f>C15</f>
        <v>1</v>
      </c>
      <c r="D33" s="2451">
        <f>D15</f>
        <v>25.700000000000003</v>
      </c>
      <c r="E33" s="2451">
        <f>E15</f>
        <v>1.1000000000000001</v>
      </c>
      <c r="F33" s="2452">
        <v>0.15</v>
      </c>
      <c r="G33" s="2451">
        <f t="shared" si="1"/>
        <v>4.2405000000000008</v>
      </c>
      <c r="H33" s="2450"/>
      <c r="I33" s="2451"/>
      <c r="J33" s="2453"/>
      <c r="K33" s="2504"/>
    </row>
    <row r="34" spans="1:14" ht="20.25" customHeight="1">
      <c r="A34" s="2450"/>
      <c r="B34" s="2524" t="s">
        <v>3187</v>
      </c>
      <c r="C34" s="2450">
        <f>C17</f>
        <v>1</v>
      </c>
      <c r="D34" s="2451">
        <f t="shared" ref="D34:E34" si="2">D17</f>
        <v>29.6</v>
      </c>
      <c r="E34" s="2451">
        <f t="shared" si="2"/>
        <v>0.75</v>
      </c>
      <c r="F34" s="2452">
        <v>0.15</v>
      </c>
      <c r="G34" s="2451">
        <f t="shared" si="1"/>
        <v>3.3300000000000005</v>
      </c>
      <c r="H34" s="2450"/>
      <c r="I34" s="2451"/>
      <c r="J34" s="2453"/>
      <c r="K34" s="2504"/>
    </row>
    <row r="35" spans="1:14" ht="20.25" customHeight="1">
      <c r="A35" s="2450"/>
      <c r="B35" s="2524" t="str">
        <f>B20</f>
        <v>Retaining wall near the old intake</v>
      </c>
      <c r="C35" s="2450">
        <f t="shared" ref="C35:E37" si="3">C20</f>
        <v>1</v>
      </c>
      <c r="D35" s="2451">
        <v>0</v>
      </c>
      <c r="E35" s="2451">
        <f t="shared" si="3"/>
        <v>0.7</v>
      </c>
      <c r="F35" s="2452">
        <v>0.15</v>
      </c>
      <c r="G35" s="2451">
        <f>PRODUCT(C35:F35)</f>
        <v>0</v>
      </c>
      <c r="H35" s="2450"/>
      <c r="I35" s="2451"/>
      <c r="J35" s="2453"/>
      <c r="K35" s="2504"/>
    </row>
    <row r="36" spans="1:14" ht="20.25" customHeight="1">
      <c r="A36" s="2450"/>
      <c r="B36" s="2449"/>
      <c r="C36" s="2450">
        <f t="shared" si="3"/>
        <v>1</v>
      </c>
      <c r="D36" s="2451">
        <f t="shared" si="3"/>
        <v>1.4</v>
      </c>
      <c r="E36" s="2451">
        <f t="shared" si="3"/>
        <v>0.6</v>
      </c>
      <c r="F36" s="2452">
        <v>0.15</v>
      </c>
      <c r="G36" s="2451">
        <f t="shared" si="1"/>
        <v>0.126</v>
      </c>
      <c r="H36" s="2450"/>
      <c r="I36" s="2451"/>
      <c r="J36" s="2453"/>
      <c r="K36" s="2504"/>
    </row>
    <row r="37" spans="1:14" ht="20.25" customHeight="1">
      <c r="A37" s="2450"/>
      <c r="B37" s="2449"/>
      <c r="C37" s="2450">
        <f t="shared" si="3"/>
        <v>1</v>
      </c>
      <c r="D37" s="2451">
        <f t="shared" si="3"/>
        <v>1.5</v>
      </c>
      <c r="E37" s="2451">
        <f t="shared" si="3"/>
        <v>0.7</v>
      </c>
      <c r="F37" s="2452">
        <v>0.15</v>
      </c>
      <c r="G37" s="2451">
        <f t="shared" si="1"/>
        <v>0.15749999999999997</v>
      </c>
      <c r="H37" s="2450"/>
      <c r="I37" s="2451"/>
      <c r="J37" s="2453"/>
      <c r="K37" s="2504"/>
    </row>
    <row r="38" spans="1:14" ht="20.25" customHeight="1">
      <c r="A38" s="2450"/>
      <c r="B38" s="2449" t="s">
        <v>3200</v>
      </c>
      <c r="C38" s="2450"/>
      <c r="D38" s="2451"/>
      <c r="E38" s="2451"/>
      <c r="F38" s="2452"/>
      <c r="G38" s="2451">
        <f>'Intake (v)'!H13</f>
        <v>5.4179999999999993</v>
      </c>
      <c r="H38" s="2450"/>
      <c r="I38" s="2451"/>
      <c r="J38" s="2453"/>
      <c r="K38" s="2504"/>
    </row>
    <row r="39" spans="1:14" ht="20.25" customHeight="1">
      <c r="A39" s="2450"/>
      <c r="B39" s="2449"/>
      <c r="C39" s="2450"/>
      <c r="D39" s="2451"/>
      <c r="E39" s="2451"/>
      <c r="F39" s="2452"/>
      <c r="G39" s="2451">
        <f>SUM(G32:G38)</f>
        <v>27.008250000000004</v>
      </c>
      <c r="H39" s="2450" t="s">
        <v>1174</v>
      </c>
      <c r="I39" s="2451">
        <f>Analysis!R40</f>
        <v>5523.35</v>
      </c>
      <c r="J39" s="2451">
        <f>G39*I39</f>
        <v>149176.01763750004</v>
      </c>
      <c r="K39" s="2504"/>
    </row>
    <row r="40" spans="1:14" ht="20.25" customHeight="1">
      <c r="A40" s="2450"/>
      <c r="B40" s="2449"/>
      <c r="C40" s="2450"/>
      <c r="D40" s="2451"/>
      <c r="E40" s="2451"/>
      <c r="F40" s="2452"/>
      <c r="G40" s="2451"/>
      <c r="H40" s="2450"/>
      <c r="I40" s="2451"/>
      <c r="J40" s="2453"/>
      <c r="K40" s="2504"/>
    </row>
    <row r="41" spans="1:14" ht="25.5" customHeight="1">
      <c r="A41" s="2450">
        <v>4</v>
      </c>
      <c r="B41" s="2506" t="s">
        <v>3167</v>
      </c>
      <c r="C41" s="2450"/>
      <c r="D41" s="2451"/>
      <c r="E41" s="2451"/>
      <c r="F41" s="2452"/>
      <c r="G41" s="2451"/>
      <c r="H41" s="2450"/>
      <c r="I41" s="2451"/>
      <c r="J41" s="2451"/>
      <c r="K41" s="2454"/>
      <c r="L41" s="2455"/>
      <c r="M41" s="2455"/>
      <c r="N41" s="2455"/>
    </row>
    <row r="42" spans="1:14">
      <c r="A42" s="2450"/>
      <c r="B42" s="2449" t="s">
        <v>3182</v>
      </c>
      <c r="C42" s="2450">
        <v>1</v>
      </c>
      <c r="D42" s="2451">
        <f>D32</f>
        <v>61.050000000000011</v>
      </c>
      <c r="E42" s="2451">
        <f>E32</f>
        <v>1.5</v>
      </c>
      <c r="F42" s="2456">
        <v>7.4999999999999997E-2</v>
      </c>
      <c r="G42" s="2451">
        <f t="shared" ref="G42:G47" si="4">PRODUCT(C42:F42)</f>
        <v>6.8681250000000009</v>
      </c>
      <c r="H42" s="2454"/>
      <c r="I42" s="2454"/>
      <c r="J42" s="2457"/>
      <c r="K42" s="2454"/>
      <c r="L42" s="2455"/>
      <c r="M42" s="2455"/>
      <c r="N42" s="2455"/>
    </row>
    <row r="43" spans="1:14">
      <c r="A43" s="2450"/>
      <c r="B43" s="2449"/>
      <c r="C43" s="2450"/>
      <c r="D43" s="2451"/>
      <c r="E43" s="2451"/>
      <c r="F43" s="2456"/>
      <c r="G43" s="2451"/>
      <c r="H43" s="2454"/>
      <c r="I43" s="2454"/>
      <c r="J43" s="2457"/>
      <c r="K43" s="2454"/>
      <c r="L43" s="2455"/>
      <c r="M43" s="2455"/>
      <c r="N43" s="2455"/>
    </row>
    <row r="44" spans="1:14">
      <c r="A44" s="2450"/>
      <c r="B44" s="2524" t="str">
        <f>B33</f>
        <v>Retaining wall at boundary</v>
      </c>
      <c r="C44" s="2450">
        <f>C33</f>
        <v>1</v>
      </c>
      <c r="D44" s="2451">
        <f>D33</f>
        <v>25.700000000000003</v>
      </c>
      <c r="E44" s="2451">
        <f>E33</f>
        <v>1.1000000000000001</v>
      </c>
      <c r="F44" s="2456">
        <v>7.4999999999999997E-2</v>
      </c>
      <c r="G44" s="2451">
        <f t="shared" si="4"/>
        <v>2.1202500000000004</v>
      </c>
      <c r="H44" s="2454"/>
      <c r="I44" s="2454"/>
      <c r="J44" s="2457"/>
      <c r="K44" s="2454"/>
      <c r="L44" s="2455"/>
      <c r="M44" s="2455"/>
      <c r="N44" s="2455"/>
    </row>
    <row r="45" spans="1:14">
      <c r="A45" s="2450"/>
      <c r="B45" s="2449"/>
      <c r="C45" s="2450">
        <f>C44</f>
        <v>1</v>
      </c>
      <c r="D45" s="2451">
        <f>D44</f>
        <v>25.700000000000003</v>
      </c>
      <c r="E45" s="2451">
        <v>0.6</v>
      </c>
      <c r="F45" s="2456">
        <v>0.05</v>
      </c>
      <c r="G45" s="2451">
        <f t="shared" si="4"/>
        <v>0.77100000000000013</v>
      </c>
      <c r="H45" s="2454"/>
      <c r="I45" s="2454"/>
      <c r="J45" s="2457"/>
      <c r="K45" s="2454"/>
      <c r="L45" s="2455"/>
      <c r="M45" s="2455"/>
      <c r="N45" s="2455"/>
    </row>
    <row r="46" spans="1:14">
      <c r="A46" s="2450"/>
      <c r="B46" s="2524" t="str">
        <f>B34</f>
        <v>Retaining wall  near roughing filter</v>
      </c>
      <c r="C46" s="2450">
        <f>C34</f>
        <v>1</v>
      </c>
      <c r="D46" s="2451">
        <f>D34</f>
        <v>29.6</v>
      </c>
      <c r="E46" s="2451">
        <f>E34</f>
        <v>0.75</v>
      </c>
      <c r="F46" s="2456">
        <v>7.4999999999999997E-2</v>
      </c>
      <c r="G46" s="2451">
        <f t="shared" si="4"/>
        <v>1.6650000000000003</v>
      </c>
      <c r="H46" s="2454"/>
      <c r="I46" s="2454"/>
      <c r="J46" s="2457"/>
      <c r="K46" s="2454"/>
      <c r="L46" s="2455"/>
      <c r="M46" s="2455"/>
      <c r="N46" s="2455"/>
    </row>
    <row r="47" spans="1:14">
      <c r="A47" s="2450"/>
      <c r="B47" s="2449"/>
      <c r="C47" s="2450">
        <f>C46</f>
        <v>1</v>
      </c>
      <c r="D47" s="2451">
        <f>D46</f>
        <v>29.6</v>
      </c>
      <c r="E47" s="2451">
        <v>0.75</v>
      </c>
      <c r="F47" s="2456">
        <v>0.05</v>
      </c>
      <c r="G47" s="2451">
        <f t="shared" si="4"/>
        <v>1.1100000000000001</v>
      </c>
      <c r="H47" s="2454"/>
      <c r="I47" s="2454"/>
      <c r="J47" s="2457"/>
      <c r="K47" s="2454"/>
      <c r="L47" s="2455"/>
      <c r="M47" s="2455"/>
      <c r="N47" s="2455"/>
    </row>
    <row r="48" spans="1:14">
      <c r="A48" s="2450"/>
      <c r="B48" s="2524" t="str">
        <f>B35</f>
        <v>Retaining wall near the old intake</v>
      </c>
      <c r="C48" s="2450"/>
      <c r="D48" s="2451"/>
      <c r="E48" s="2451"/>
      <c r="F48" s="2456"/>
      <c r="G48" s="2451"/>
      <c r="H48" s="2454"/>
      <c r="I48" s="2454"/>
      <c r="J48" s="2457"/>
      <c r="K48" s="2454"/>
      <c r="L48" s="2455"/>
      <c r="M48" s="2455"/>
      <c r="N48" s="2455"/>
    </row>
    <row r="49" spans="1:14">
      <c r="A49" s="2450"/>
      <c r="B49" s="2449"/>
      <c r="C49" s="2450"/>
      <c r="D49" s="2451"/>
      <c r="E49" s="2451"/>
      <c r="F49" s="2456"/>
      <c r="G49" s="2451"/>
      <c r="H49" s="2454"/>
      <c r="I49" s="2454"/>
      <c r="J49" s="2457"/>
      <c r="K49" s="2454"/>
      <c r="L49" s="2455"/>
      <c r="M49" s="2455"/>
      <c r="N49" s="2455"/>
    </row>
    <row r="50" spans="1:14">
      <c r="A50" s="2450"/>
      <c r="B50" s="2449" t="s">
        <v>3201</v>
      </c>
      <c r="C50" s="2450"/>
      <c r="D50" s="2451"/>
      <c r="E50" s="2451"/>
      <c r="F50" s="2456"/>
      <c r="G50" s="2451">
        <f>'Intake (v)'!H20</f>
        <v>3.0348749999999995</v>
      </c>
      <c r="H50" s="2454"/>
      <c r="I50" s="2454"/>
      <c r="J50" s="2457"/>
      <c r="K50" s="2454"/>
      <c r="L50" s="2455"/>
      <c r="M50" s="2455"/>
      <c r="N50" s="2455"/>
    </row>
    <row r="51" spans="1:14">
      <c r="A51" s="2450"/>
      <c r="B51" s="2449"/>
      <c r="C51" s="2450"/>
      <c r="D51" s="2451"/>
      <c r="E51" s="2451"/>
      <c r="F51" s="2456"/>
      <c r="G51" s="2451"/>
      <c r="H51" s="2454"/>
      <c r="I51" s="2454"/>
      <c r="J51" s="2457"/>
      <c r="K51" s="2454"/>
      <c r="L51" s="2455"/>
      <c r="M51" s="2455"/>
      <c r="N51" s="2455"/>
    </row>
    <row r="52" spans="1:14" ht="25.5" customHeight="1">
      <c r="A52" s="2450"/>
      <c r="B52" s="2449"/>
      <c r="C52" s="2450"/>
      <c r="D52" s="2451"/>
      <c r="E52" s="2451"/>
      <c r="F52" s="2452"/>
      <c r="G52" s="2451">
        <f>SUM(G42:G50)</f>
        <v>15.569250000000002</v>
      </c>
      <c r="H52" s="2450" t="s">
        <v>1174</v>
      </c>
      <c r="I52" s="2451">
        <f>Analysis!R72</f>
        <v>16022.87</v>
      </c>
      <c r="J52" s="2451">
        <f>G52*I52</f>
        <v>249464.06874750004</v>
      </c>
      <c r="K52" s="2454"/>
      <c r="L52" s="2455"/>
      <c r="M52" s="2455"/>
      <c r="N52" s="2455"/>
    </row>
    <row r="53" spans="1:14" ht="25.5" customHeight="1">
      <c r="A53" s="2450"/>
      <c r="B53" s="2449"/>
      <c r="C53" s="2450"/>
      <c r="D53" s="2451"/>
      <c r="E53" s="2451"/>
      <c r="F53" s="2452"/>
      <c r="G53" s="2451"/>
      <c r="H53" s="2450"/>
      <c r="I53" s="2451"/>
      <c r="J53" s="2451"/>
      <c r="K53" s="2454"/>
      <c r="L53" s="2455"/>
      <c r="M53" s="2455"/>
      <c r="N53" s="2455"/>
    </row>
    <row r="54" spans="1:14" ht="25.5" customHeight="1">
      <c r="A54" s="2450"/>
      <c r="B54" s="2449"/>
      <c r="C54" s="2450"/>
      <c r="D54" s="2451"/>
      <c r="E54" s="2451"/>
      <c r="F54" s="2452"/>
      <c r="G54" s="2451"/>
      <c r="H54" s="2450"/>
      <c r="I54" s="2451"/>
      <c r="J54" s="2451"/>
      <c r="K54" s="2454"/>
      <c r="L54" s="2455"/>
      <c r="M54" s="2455"/>
      <c r="N54" s="2455"/>
    </row>
    <row r="55" spans="1:14" ht="25.5" customHeight="1">
      <c r="A55" s="2450"/>
      <c r="B55" s="2449"/>
      <c r="C55" s="2450"/>
      <c r="D55" s="2451"/>
      <c r="E55" s="2451"/>
      <c r="F55" s="2452"/>
      <c r="G55" s="2451"/>
      <c r="H55" s="2450"/>
      <c r="I55" s="2451"/>
      <c r="J55" s="2451"/>
      <c r="K55" s="2454"/>
      <c r="L55" s="2455"/>
      <c r="M55" s="2455"/>
      <c r="N55" s="2455"/>
    </row>
    <row r="56" spans="1:14" ht="31.5">
      <c r="A56" s="2450">
        <v>5</v>
      </c>
      <c r="B56" s="2507" t="s">
        <v>3197</v>
      </c>
      <c r="C56" s="2450"/>
      <c r="D56" s="2451"/>
      <c r="E56" s="2451"/>
      <c r="F56" s="2452"/>
      <c r="G56" s="2451"/>
      <c r="H56" s="2450"/>
      <c r="I56" s="2451"/>
      <c r="J56" s="2451"/>
      <c r="K56" s="2454"/>
      <c r="L56" s="2455"/>
      <c r="M56" s="2455"/>
      <c r="N56" s="2455"/>
    </row>
    <row r="57" spans="1:14">
      <c r="A57" s="2450"/>
      <c r="B57" s="2458"/>
      <c r="C57" s="2454"/>
      <c r="D57" s="2454"/>
      <c r="E57" s="2454"/>
      <c r="F57" s="2456"/>
      <c r="G57" s="2454"/>
      <c r="H57" s="2454"/>
      <c r="I57" s="2454"/>
      <c r="J57" s="2457"/>
      <c r="K57" s="2454"/>
      <c r="L57" s="2455"/>
      <c r="M57" s="2455"/>
      <c r="N57" s="2455"/>
    </row>
    <row r="58" spans="1:14">
      <c r="A58" s="2450"/>
      <c r="B58" s="2458" t="s">
        <v>3206</v>
      </c>
      <c r="C58" s="2454"/>
      <c r="D58" s="2454"/>
      <c r="E58" s="2454"/>
      <c r="F58" s="2456"/>
      <c r="G58" s="2454">
        <f>'Intake (v)'!H63</f>
        <v>22.206499999999998</v>
      </c>
      <c r="H58" s="2454"/>
      <c r="I58" s="2454"/>
      <c r="J58" s="2457"/>
      <c r="K58" s="2454"/>
      <c r="L58" s="2455"/>
      <c r="M58" s="2455"/>
      <c r="N58" s="2455"/>
    </row>
    <row r="59" spans="1:14" ht="25.5" customHeight="1">
      <c r="A59" s="2450"/>
      <c r="B59" s="2449"/>
      <c r="C59" s="2450"/>
      <c r="D59" s="2451"/>
      <c r="E59" s="2451"/>
      <c r="F59" s="2452"/>
      <c r="G59" s="2451">
        <f>SUM(G57:G58)</f>
        <v>22.206499999999998</v>
      </c>
      <c r="H59" s="2450" t="s">
        <v>1182</v>
      </c>
      <c r="I59" s="2451">
        <f>Analysis!R159+Analysis!R174</f>
        <v>849.87</v>
      </c>
      <c r="J59" s="2451">
        <f>G59*I59</f>
        <v>18872.638154999997</v>
      </c>
      <c r="K59" s="2454"/>
      <c r="L59" s="2455"/>
      <c r="M59" s="2455"/>
      <c r="N59" s="2455"/>
    </row>
    <row r="60" spans="1:14" ht="25.5" customHeight="1">
      <c r="A60" s="2450"/>
      <c r="B60" s="2449" t="s">
        <v>113</v>
      </c>
      <c r="C60" s="2450"/>
      <c r="D60" s="2451"/>
      <c r="E60" s="2451"/>
      <c r="F60" s="2452"/>
      <c r="G60" s="2451"/>
      <c r="H60" s="2450"/>
      <c r="I60" s="2451"/>
      <c r="J60" s="2451"/>
      <c r="K60" s="2454"/>
      <c r="L60" s="2455"/>
      <c r="M60" s="2455"/>
      <c r="N60" s="2455"/>
    </row>
    <row r="61" spans="1:14" ht="25.5" customHeight="1">
      <c r="A61" s="2450"/>
      <c r="B61" s="2449"/>
      <c r="C61" s="2450"/>
      <c r="D61" s="2451"/>
      <c r="E61" s="2451"/>
      <c r="F61" s="2452"/>
      <c r="G61" s="2451"/>
      <c r="H61" s="2450"/>
      <c r="I61" s="2451"/>
      <c r="J61" s="2451"/>
      <c r="K61" s="2454"/>
      <c r="L61" s="2455"/>
      <c r="M61" s="2455"/>
      <c r="N61" s="2455"/>
    </row>
    <row r="62" spans="1:14" ht="25.5" customHeight="1">
      <c r="A62" s="2450"/>
      <c r="B62" s="2449"/>
      <c r="C62" s="2450"/>
      <c r="D62" s="2451"/>
      <c r="E62" s="2451"/>
      <c r="F62" s="2452"/>
      <c r="G62" s="2451"/>
      <c r="H62" s="2450"/>
      <c r="I62" s="2451"/>
      <c r="J62" s="2451"/>
      <c r="K62" s="2454"/>
      <c r="L62" s="2455"/>
      <c r="M62" s="2455"/>
      <c r="N62" s="2455"/>
    </row>
    <row r="63" spans="1:14" ht="25.5" customHeight="1">
      <c r="A63" s="2450">
        <v>6</v>
      </c>
      <c r="B63" s="2449" t="s">
        <v>3191</v>
      </c>
      <c r="C63" s="2450"/>
      <c r="D63" s="2451"/>
      <c r="E63" s="2451"/>
      <c r="F63" s="2452"/>
      <c r="G63" s="2451"/>
      <c r="H63" s="2450"/>
      <c r="I63" s="2451"/>
      <c r="J63" s="2451"/>
      <c r="K63" s="2454"/>
      <c r="L63" s="2455"/>
      <c r="M63" s="2455"/>
      <c r="N63" s="2455"/>
    </row>
    <row r="64" spans="1:14" ht="25.5" customHeight="1">
      <c r="A64" s="2450"/>
      <c r="B64" s="2449" t="str">
        <f>B13</f>
        <v>RCC drain</v>
      </c>
      <c r="C64" s="2450">
        <v>2</v>
      </c>
      <c r="D64" s="2451">
        <f>D65</f>
        <v>61.050000000000011</v>
      </c>
      <c r="E64" s="2451"/>
      <c r="F64" s="2452">
        <v>0.6</v>
      </c>
      <c r="G64" s="2451">
        <f>PRODUCT(C64:F64)</f>
        <v>73.260000000000005</v>
      </c>
      <c r="H64" s="2450"/>
      <c r="I64" s="2451"/>
      <c r="J64" s="2451"/>
      <c r="K64" s="2454"/>
      <c r="L64" s="2455"/>
      <c r="M64" s="2455"/>
      <c r="N64" s="2455"/>
    </row>
    <row r="65" spans="1:14" ht="25.5" customHeight="1">
      <c r="A65" s="2450"/>
      <c r="B65" s="2449" t="s">
        <v>3183</v>
      </c>
      <c r="C65" s="2450">
        <v>3</v>
      </c>
      <c r="D65" s="2459">
        <f>D42</f>
        <v>61.050000000000011</v>
      </c>
      <c r="E65" s="2451"/>
      <c r="F65" s="2452">
        <v>0.91</v>
      </c>
      <c r="G65" s="2451">
        <f>PRODUCT(C65:F65)</f>
        <v>166.66650000000004</v>
      </c>
      <c r="H65" s="2450"/>
      <c r="I65" s="2451"/>
      <c r="J65" s="2451"/>
      <c r="K65" s="2454"/>
      <c r="L65" s="2455"/>
      <c r="M65" s="2455"/>
      <c r="N65" s="2455"/>
    </row>
    <row r="66" spans="1:14" ht="25.5" customHeight="1">
      <c r="A66" s="2450"/>
      <c r="B66" s="2449" t="s">
        <v>3204</v>
      </c>
      <c r="C66" s="2450"/>
      <c r="D66" s="2459"/>
      <c r="E66" s="2459"/>
      <c r="F66" s="2452"/>
      <c r="G66" s="2451">
        <f>'Intake (v)'!H49</f>
        <v>83.338999999999984</v>
      </c>
      <c r="H66" s="2450"/>
      <c r="I66" s="2451"/>
      <c r="J66" s="2451"/>
      <c r="K66" s="2454"/>
      <c r="L66" s="2455"/>
      <c r="M66" s="2455"/>
      <c r="N66" s="2455"/>
    </row>
    <row r="67" spans="1:14" ht="25.5" customHeight="1">
      <c r="A67" s="2450"/>
      <c r="B67" s="2449"/>
      <c r="C67" s="2450"/>
      <c r="D67" s="2451"/>
      <c r="E67" s="2451"/>
      <c r="F67" s="2452"/>
      <c r="G67" s="2451">
        <f>SUM(G64:G66)</f>
        <v>323.26550000000003</v>
      </c>
      <c r="H67" s="2450" t="s">
        <v>1182</v>
      </c>
      <c r="I67" s="2451">
        <f>Analysis!R93</f>
        <v>1322.68</v>
      </c>
      <c r="J67" s="2451">
        <f>G67*I67</f>
        <v>427576.81154000008</v>
      </c>
      <c r="K67" s="2454"/>
      <c r="L67" s="2455"/>
      <c r="M67" s="2455"/>
      <c r="N67" s="2455"/>
    </row>
    <row r="68" spans="1:14" ht="25.5" customHeight="1">
      <c r="A68" s="2450"/>
      <c r="B68" s="2449"/>
      <c r="C68" s="2450"/>
      <c r="D68" s="2451"/>
      <c r="E68" s="2451"/>
      <c r="F68" s="2452"/>
      <c r="G68" s="2451"/>
      <c r="H68" s="2450"/>
      <c r="I68" s="2451"/>
      <c r="J68" s="2451"/>
      <c r="K68" s="2454"/>
      <c r="L68" s="2455"/>
      <c r="M68" s="2455"/>
      <c r="N68" s="2455"/>
    </row>
    <row r="69" spans="1:14" ht="47.25">
      <c r="A69" s="2450">
        <v>7</v>
      </c>
      <c r="B69" s="2449" t="s">
        <v>3169</v>
      </c>
      <c r="C69" s="2450"/>
      <c r="D69" s="2451"/>
      <c r="E69" s="2451"/>
      <c r="F69" s="2452"/>
      <c r="G69" s="2451"/>
      <c r="H69" s="2450"/>
      <c r="I69" s="2451"/>
      <c r="J69" s="2451"/>
      <c r="K69" s="2454"/>
      <c r="L69" s="2455"/>
      <c r="M69" s="2455"/>
      <c r="N69" s="2455"/>
    </row>
    <row r="70" spans="1:14" ht="25.5" customHeight="1">
      <c r="A70" s="2450"/>
      <c r="B70" s="2449" t="str">
        <f>B42</f>
        <v>RCC drain</v>
      </c>
      <c r="C70" s="2450"/>
      <c r="D70" s="2451"/>
      <c r="E70" s="2451"/>
      <c r="F70" s="2452"/>
      <c r="G70" s="2451"/>
      <c r="H70" s="2450"/>
      <c r="I70" s="2451"/>
      <c r="J70" s="2451"/>
      <c r="K70" s="2454"/>
      <c r="L70" s="2455"/>
      <c r="M70" s="2455"/>
      <c r="N70" s="2455"/>
    </row>
    <row r="71" spans="1:14" ht="25.5" customHeight="1">
      <c r="A71" s="2450"/>
      <c r="B71" s="2449" t="s">
        <v>3237</v>
      </c>
      <c r="C71" s="2450">
        <v>1</v>
      </c>
      <c r="D71" s="2451">
        <v>3</v>
      </c>
      <c r="E71" s="2451">
        <v>1.5</v>
      </c>
      <c r="F71" s="2452">
        <v>0.15</v>
      </c>
      <c r="G71" s="2451">
        <f>PRODUCT(C71:F71)</f>
        <v>0.67499999999999993</v>
      </c>
      <c r="H71" s="2450"/>
      <c r="I71" s="2451"/>
      <c r="J71" s="2451"/>
      <c r="K71" s="2454"/>
      <c r="L71" s="2455"/>
      <c r="M71" s="2455"/>
      <c r="N71" s="2455"/>
    </row>
    <row r="72" spans="1:14" ht="25.5" customHeight="1">
      <c r="A72" s="2450"/>
      <c r="B72" s="2449"/>
      <c r="C72" s="2450">
        <v>2</v>
      </c>
      <c r="D72" s="2451">
        <v>3</v>
      </c>
      <c r="E72" s="2451">
        <v>0.15</v>
      </c>
      <c r="F72" s="2452">
        <v>0.6</v>
      </c>
      <c r="G72" s="2451">
        <f t="shared" ref="G72:G94" si="5">PRODUCT(C72:F72)</f>
        <v>0.53999999999999992</v>
      </c>
      <c r="H72" s="2450"/>
      <c r="I72" s="2451"/>
      <c r="J72" s="2451"/>
      <c r="K72" s="2454"/>
      <c r="L72" s="2455"/>
      <c r="M72" s="2455"/>
      <c r="N72" s="2455"/>
    </row>
    <row r="73" spans="1:14" ht="25.5" customHeight="1">
      <c r="A73" s="2450"/>
      <c r="B73" s="2449" t="s">
        <v>3238</v>
      </c>
      <c r="C73" s="2450">
        <v>1</v>
      </c>
      <c r="D73" s="2451">
        <v>9.8000000000000007</v>
      </c>
      <c r="E73" s="2451">
        <v>1.5</v>
      </c>
      <c r="F73" s="2452">
        <v>0.15</v>
      </c>
      <c r="G73" s="2451">
        <f t="shared" si="5"/>
        <v>2.2050000000000001</v>
      </c>
      <c r="H73" s="2450"/>
      <c r="I73" s="2451"/>
      <c r="J73" s="2451"/>
      <c r="K73" s="2454"/>
      <c r="L73" s="2455"/>
      <c r="M73" s="2455"/>
      <c r="N73" s="2455"/>
    </row>
    <row r="74" spans="1:14" ht="25.5" customHeight="1">
      <c r="A74" s="2450"/>
      <c r="B74" s="2449"/>
      <c r="C74" s="2450">
        <v>2</v>
      </c>
      <c r="D74" s="2451">
        <v>9.8000000000000007</v>
      </c>
      <c r="E74" s="2451">
        <v>0.15</v>
      </c>
      <c r="F74" s="2452">
        <v>0.6</v>
      </c>
      <c r="G74" s="2451">
        <f t="shared" si="5"/>
        <v>1.764</v>
      </c>
      <c r="H74" s="2450"/>
      <c r="I74" s="2451"/>
      <c r="J74" s="2451"/>
      <c r="K74" s="2454"/>
      <c r="L74" s="2455"/>
      <c r="M74" s="2455"/>
      <c r="N74" s="2455"/>
    </row>
    <row r="75" spans="1:14" ht="25.5" customHeight="1">
      <c r="A75" s="2450"/>
      <c r="B75" s="2449" t="s">
        <v>3239</v>
      </c>
      <c r="C75" s="2450">
        <v>1</v>
      </c>
      <c r="D75" s="2451">
        <v>9.1</v>
      </c>
      <c r="E75" s="2451">
        <v>1.65</v>
      </c>
      <c r="F75" s="2452">
        <v>0.15</v>
      </c>
      <c r="G75" s="2451">
        <f t="shared" si="5"/>
        <v>2.2522499999999996</v>
      </c>
      <c r="H75" s="2450"/>
      <c r="I75" s="2451"/>
      <c r="J75" s="2451"/>
      <c r="K75" s="2454"/>
      <c r="L75" s="2455"/>
      <c r="M75" s="2455"/>
      <c r="N75" s="2455"/>
    </row>
    <row r="76" spans="1:14" ht="25.5" customHeight="1">
      <c r="A76" s="2450"/>
      <c r="B76" s="2449"/>
      <c r="C76" s="2450">
        <v>2</v>
      </c>
      <c r="D76" s="2451">
        <v>9.1</v>
      </c>
      <c r="E76" s="2451">
        <v>0.15</v>
      </c>
      <c r="F76" s="2452">
        <v>0.6</v>
      </c>
      <c r="G76" s="2451">
        <f t="shared" si="5"/>
        <v>1.6379999999999999</v>
      </c>
      <c r="H76" s="2450"/>
      <c r="I76" s="2451"/>
      <c r="J76" s="2451"/>
      <c r="K76" s="2454"/>
      <c r="L76" s="2455"/>
      <c r="M76" s="2455"/>
      <c r="N76" s="2455"/>
    </row>
    <row r="77" spans="1:14" ht="25.5" customHeight="1">
      <c r="A77" s="2450"/>
      <c r="B77" s="2449" t="s">
        <v>3240</v>
      </c>
      <c r="C77" s="2450">
        <v>1</v>
      </c>
      <c r="D77" s="2451">
        <v>5.2</v>
      </c>
      <c r="E77" s="2451">
        <v>1.9</v>
      </c>
      <c r="F77" s="2452">
        <v>0.15</v>
      </c>
      <c r="G77" s="2451">
        <f t="shared" si="5"/>
        <v>1.4819999999999998</v>
      </c>
      <c r="H77" s="2450"/>
      <c r="I77" s="2451"/>
      <c r="J77" s="2451"/>
      <c r="K77" s="2454"/>
      <c r="L77" s="2455"/>
      <c r="M77" s="2455"/>
      <c r="N77" s="2455"/>
    </row>
    <row r="78" spans="1:14" ht="25.5" customHeight="1">
      <c r="A78" s="2450"/>
      <c r="B78" s="2449"/>
      <c r="C78" s="2450">
        <v>2</v>
      </c>
      <c r="D78" s="2451">
        <v>5.2</v>
      </c>
      <c r="E78" s="2451">
        <v>0.15</v>
      </c>
      <c r="F78" s="2452">
        <v>0.65</v>
      </c>
      <c r="G78" s="2451">
        <f t="shared" si="5"/>
        <v>1.014</v>
      </c>
      <c r="H78" s="2450"/>
      <c r="I78" s="2451"/>
      <c r="J78" s="2451"/>
      <c r="K78" s="2454"/>
      <c r="L78" s="2455"/>
      <c r="M78" s="2455"/>
      <c r="N78" s="2455"/>
    </row>
    <row r="79" spans="1:14" ht="25.5" customHeight="1">
      <c r="A79" s="2450"/>
      <c r="B79" s="2449" t="s">
        <v>3241</v>
      </c>
      <c r="C79" s="2450">
        <v>1</v>
      </c>
      <c r="D79" s="2451">
        <v>2.5</v>
      </c>
      <c r="E79" s="2451">
        <v>2.4500000000000002</v>
      </c>
      <c r="F79" s="2452">
        <v>0.15</v>
      </c>
      <c r="G79" s="2451">
        <f t="shared" si="5"/>
        <v>0.91874999999999996</v>
      </c>
      <c r="H79" s="2450"/>
      <c r="I79" s="2451"/>
      <c r="J79" s="2451"/>
      <c r="K79" s="2454"/>
      <c r="L79" s="2455"/>
      <c r="M79" s="2455"/>
      <c r="N79" s="2455"/>
    </row>
    <row r="80" spans="1:14" ht="25.5" customHeight="1">
      <c r="A80" s="2450"/>
      <c r="B80" s="2449"/>
      <c r="C80" s="2450">
        <v>2</v>
      </c>
      <c r="D80" s="2451">
        <v>2.5</v>
      </c>
      <c r="E80" s="2451">
        <v>0.15</v>
      </c>
      <c r="F80" s="2452">
        <v>0.6</v>
      </c>
      <c r="G80" s="2451">
        <f t="shared" si="5"/>
        <v>0.44999999999999996</v>
      </c>
      <c r="H80" s="2450"/>
      <c r="I80" s="2451"/>
      <c r="J80" s="2451"/>
      <c r="K80" s="2454"/>
      <c r="L80" s="2455"/>
      <c r="M80" s="2455"/>
      <c r="N80" s="2455"/>
    </row>
    <row r="81" spans="1:14" ht="25.5" customHeight="1">
      <c r="A81" s="2450"/>
      <c r="B81" s="2449" t="s">
        <v>3242</v>
      </c>
      <c r="C81" s="2450">
        <v>1</v>
      </c>
      <c r="D81" s="2451">
        <v>5.8</v>
      </c>
      <c r="E81" s="2451">
        <v>2.6</v>
      </c>
      <c r="F81" s="2452">
        <v>0.15</v>
      </c>
      <c r="G81" s="2451">
        <f t="shared" si="5"/>
        <v>2.262</v>
      </c>
      <c r="H81" s="2450"/>
      <c r="I81" s="2451"/>
      <c r="J81" s="2451"/>
      <c r="K81" s="2454"/>
      <c r="L81" s="2455"/>
      <c r="M81" s="2455"/>
      <c r="N81" s="2455"/>
    </row>
    <row r="82" spans="1:14" ht="25.5" customHeight="1">
      <c r="A82" s="2450"/>
      <c r="B82" s="2449"/>
      <c r="C82" s="2450">
        <v>2</v>
      </c>
      <c r="D82" s="2451">
        <v>5.8</v>
      </c>
      <c r="E82" s="2451">
        <v>0.15</v>
      </c>
      <c r="F82" s="2452">
        <v>0.6</v>
      </c>
      <c r="G82" s="2451">
        <f t="shared" si="5"/>
        <v>1.044</v>
      </c>
      <c r="H82" s="2450"/>
      <c r="I82" s="2451"/>
      <c r="J82" s="2451"/>
      <c r="K82" s="2454"/>
      <c r="L82" s="2455"/>
      <c r="M82" s="2455"/>
      <c r="N82" s="2455"/>
    </row>
    <row r="83" spans="1:14" ht="25.5" customHeight="1">
      <c r="A83" s="2450"/>
      <c r="B83" s="2449" t="s">
        <v>3243</v>
      </c>
      <c r="C83" s="2450">
        <v>1</v>
      </c>
      <c r="D83" s="2451">
        <v>1.1000000000000001</v>
      </c>
      <c r="E83" s="2451">
        <v>1.2</v>
      </c>
      <c r="F83" s="2452">
        <v>0.15</v>
      </c>
      <c r="G83" s="2451">
        <f t="shared" si="5"/>
        <v>0.19800000000000001</v>
      </c>
      <c r="H83" s="2450"/>
      <c r="I83" s="2451"/>
      <c r="J83" s="2451"/>
      <c r="K83" s="2454"/>
      <c r="L83" s="2455"/>
      <c r="M83" s="2455"/>
      <c r="N83" s="2455"/>
    </row>
    <row r="84" spans="1:14" ht="25.5" customHeight="1">
      <c r="A84" s="2450"/>
      <c r="B84" s="2449"/>
      <c r="C84" s="2450">
        <v>1</v>
      </c>
      <c r="D84" s="2451">
        <v>1.1000000000000001</v>
      </c>
      <c r="E84" s="2451">
        <v>0.15</v>
      </c>
      <c r="F84" s="2452">
        <v>0.6</v>
      </c>
      <c r="G84" s="2451">
        <f t="shared" si="5"/>
        <v>9.9000000000000005E-2</v>
      </c>
      <c r="H84" s="2450"/>
      <c r="I84" s="2451"/>
      <c r="J84" s="2451"/>
      <c r="K84" s="2454"/>
      <c r="L84" s="2455"/>
      <c r="M84" s="2455"/>
      <c r="N84" s="2455"/>
    </row>
    <row r="85" spans="1:14" ht="25.5" customHeight="1">
      <c r="A85" s="2450"/>
      <c r="B85" s="2449" t="s">
        <v>3244</v>
      </c>
      <c r="C85" s="2450">
        <v>1</v>
      </c>
      <c r="D85" s="2451">
        <v>1.2</v>
      </c>
      <c r="E85" s="2451">
        <v>1.2</v>
      </c>
      <c r="F85" s="2452">
        <v>0.15</v>
      </c>
      <c r="G85" s="2451">
        <f t="shared" si="5"/>
        <v>0.216</v>
      </c>
      <c r="H85" s="2450"/>
      <c r="I85" s="2451"/>
      <c r="J85" s="2451"/>
      <c r="K85" s="2454"/>
      <c r="L85" s="2455"/>
      <c r="M85" s="2455"/>
      <c r="N85" s="2455"/>
    </row>
    <row r="86" spans="1:14" ht="25.5" customHeight="1">
      <c r="A86" s="2450"/>
      <c r="B86" s="2449"/>
      <c r="C86" s="2450">
        <v>2</v>
      </c>
      <c r="D86" s="2451">
        <v>1.2</v>
      </c>
      <c r="E86" s="2451">
        <v>0.15</v>
      </c>
      <c r="F86" s="2452">
        <v>0.9</v>
      </c>
      <c r="G86" s="2451">
        <f t="shared" si="5"/>
        <v>0.32400000000000001</v>
      </c>
      <c r="H86" s="2450"/>
      <c r="I86" s="2451"/>
      <c r="J86" s="2451"/>
      <c r="K86" s="2454"/>
      <c r="L86" s="2455"/>
      <c r="M86" s="2455"/>
      <c r="N86" s="2455"/>
    </row>
    <row r="87" spans="1:14" ht="25.5" customHeight="1">
      <c r="A87" s="2450"/>
      <c r="B87" s="2449" t="s">
        <v>3245</v>
      </c>
      <c r="C87" s="2450">
        <v>1</v>
      </c>
      <c r="D87" s="2451">
        <v>2.2999999999999998</v>
      </c>
      <c r="E87" s="2451">
        <v>1.25</v>
      </c>
      <c r="F87" s="2452">
        <v>0.15</v>
      </c>
      <c r="G87" s="2451">
        <f t="shared" si="5"/>
        <v>0.43124999999999997</v>
      </c>
      <c r="H87" s="2450"/>
      <c r="I87" s="2451"/>
      <c r="J87" s="2451"/>
      <c r="K87" s="2454"/>
      <c r="L87" s="2455"/>
      <c r="M87" s="2455"/>
      <c r="N87" s="2455"/>
    </row>
    <row r="88" spans="1:14" ht="25.5" customHeight="1">
      <c r="A88" s="2450"/>
      <c r="B88" s="2449"/>
      <c r="C88" s="2450">
        <v>2</v>
      </c>
      <c r="D88" s="2451">
        <v>2.2999999999999998</v>
      </c>
      <c r="E88" s="2451">
        <v>0.15</v>
      </c>
      <c r="F88" s="2452">
        <v>0.6</v>
      </c>
      <c r="G88" s="2451">
        <f t="shared" si="5"/>
        <v>0.41399999999999998</v>
      </c>
      <c r="H88" s="2450"/>
      <c r="I88" s="2451"/>
      <c r="J88" s="2451"/>
      <c r="K88" s="2454"/>
      <c r="L88" s="2455"/>
      <c r="M88" s="2455"/>
      <c r="N88" s="2455"/>
    </row>
    <row r="89" spans="1:14" ht="25.5" customHeight="1">
      <c r="A89" s="2450"/>
      <c r="B89" s="2449" t="s">
        <v>3246</v>
      </c>
      <c r="C89" s="2450">
        <v>1</v>
      </c>
      <c r="D89" s="2451">
        <v>2.4500000000000002</v>
      </c>
      <c r="E89" s="2451">
        <v>1.5</v>
      </c>
      <c r="F89" s="2452">
        <v>0.15</v>
      </c>
      <c r="G89" s="2451">
        <f t="shared" si="5"/>
        <v>0.55125000000000002</v>
      </c>
      <c r="H89" s="2450"/>
      <c r="I89" s="2451"/>
      <c r="J89" s="2451"/>
      <c r="K89" s="2454"/>
      <c r="L89" s="2455"/>
      <c r="M89" s="2455"/>
      <c r="N89" s="2455"/>
    </row>
    <row r="90" spans="1:14" ht="25.5" customHeight="1">
      <c r="A90" s="2450"/>
      <c r="B90" s="2449"/>
      <c r="C90" s="2450">
        <v>2</v>
      </c>
      <c r="D90" s="2451">
        <v>2.4500000000000002</v>
      </c>
      <c r="E90" s="2451">
        <v>0.15</v>
      </c>
      <c r="F90" s="2452">
        <v>0.65</v>
      </c>
      <c r="G90" s="2451">
        <f t="shared" si="5"/>
        <v>0.47775000000000001</v>
      </c>
      <c r="H90" s="2450"/>
      <c r="I90" s="2451"/>
      <c r="J90" s="2451"/>
      <c r="K90" s="2454"/>
      <c r="L90" s="2455"/>
      <c r="M90" s="2455"/>
      <c r="N90" s="2455"/>
    </row>
    <row r="91" spans="1:14" ht="25.5" customHeight="1">
      <c r="A91" s="2450"/>
      <c r="B91" s="2449" t="s">
        <v>3247</v>
      </c>
      <c r="C91" s="2450">
        <v>1</v>
      </c>
      <c r="D91" s="2451">
        <v>11.7</v>
      </c>
      <c r="E91" s="2451">
        <v>0.65</v>
      </c>
      <c r="F91" s="2452">
        <v>0.15</v>
      </c>
      <c r="G91" s="2451">
        <f t="shared" si="5"/>
        <v>1.1407499999999999</v>
      </c>
      <c r="H91" s="2450"/>
      <c r="I91" s="2451"/>
      <c r="J91" s="2451"/>
      <c r="K91" s="2454"/>
      <c r="L91" s="2455"/>
      <c r="M91" s="2455"/>
      <c r="N91" s="2455"/>
    </row>
    <row r="92" spans="1:14" ht="25.5" customHeight="1">
      <c r="A92" s="2450"/>
      <c r="B92" s="2449"/>
      <c r="C92" s="2450">
        <v>2</v>
      </c>
      <c r="D92" s="2451">
        <v>11.7</v>
      </c>
      <c r="E92" s="2451">
        <v>0.15</v>
      </c>
      <c r="F92" s="2452">
        <v>0.62</v>
      </c>
      <c r="G92" s="2451">
        <f t="shared" si="5"/>
        <v>2.1761999999999997</v>
      </c>
      <c r="H92" s="2450"/>
      <c r="I92" s="2451"/>
      <c r="J92" s="2451"/>
      <c r="K92" s="2454"/>
      <c r="L92" s="2455"/>
      <c r="M92" s="2455"/>
      <c r="N92" s="2455"/>
    </row>
    <row r="93" spans="1:14" ht="25.5" customHeight="1">
      <c r="A93" s="2450"/>
      <c r="B93" s="2449" t="s">
        <v>3248</v>
      </c>
      <c r="C93" s="2450">
        <v>1</v>
      </c>
      <c r="D93" s="2451">
        <v>6.9</v>
      </c>
      <c r="E93" s="2451">
        <v>0.7</v>
      </c>
      <c r="F93" s="2452">
        <v>0.15</v>
      </c>
      <c r="G93" s="2451">
        <f t="shared" si="5"/>
        <v>0.72450000000000003</v>
      </c>
      <c r="H93" s="2450"/>
      <c r="I93" s="2451"/>
      <c r="J93" s="2451"/>
      <c r="K93" s="2454"/>
      <c r="L93" s="2455"/>
      <c r="M93" s="2455"/>
      <c r="N93" s="2455"/>
    </row>
    <row r="94" spans="1:14" ht="25.5" customHeight="1">
      <c r="A94" s="2450"/>
      <c r="B94" s="2449"/>
      <c r="C94" s="2450">
        <v>2</v>
      </c>
      <c r="D94" s="2451">
        <v>6.9</v>
      </c>
      <c r="E94" s="2451">
        <v>0.15</v>
      </c>
      <c r="F94" s="2452">
        <v>0.65</v>
      </c>
      <c r="G94" s="2451">
        <f t="shared" si="5"/>
        <v>1.3454999999999999</v>
      </c>
      <c r="H94" s="2450"/>
      <c r="I94" s="2451"/>
      <c r="J94" s="2451"/>
      <c r="K94" s="2454"/>
      <c r="L94" s="2455"/>
      <c r="M94" s="2455"/>
      <c r="N94" s="2455"/>
    </row>
    <row r="95" spans="1:14" ht="25.5" customHeight="1">
      <c r="A95" s="2450"/>
      <c r="B95" s="2471" t="s">
        <v>3203</v>
      </c>
      <c r="C95" s="2460"/>
      <c r="D95" s="2459">
        <f>SUM(D71:D94)/2</f>
        <v>61.050000000000011</v>
      </c>
      <c r="E95" s="2459">
        <f>(E93+E91+E89+E87+E85+E83+E81+E79+E77+E75+E73+E71)/12</f>
        <v>1.5083333333333335</v>
      </c>
      <c r="F95" s="2460"/>
      <c r="G95" s="2459">
        <f>'Intake (v)'!H34</f>
        <v>28.572329999999997</v>
      </c>
      <c r="H95" s="2450"/>
      <c r="I95" s="2451"/>
      <c r="J95" s="2451"/>
      <c r="K95" s="2454"/>
      <c r="L95" s="2455"/>
      <c r="M95" s="2455"/>
      <c r="N95" s="2455"/>
    </row>
    <row r="96" spans="1:14" ht="25.5" customHeight="1">
      <c r="A96" s="2450"/>
      <c r="B96" s="2449"/>
      <c r="C96" s="2450"/>
      <c r="D96" s="2451" t="s">
        <v>3170</v>
      </c>
      <c r="E96" s="2451"/>
      <c r="F96" s="2452" t="s">
        <v>1108</v>
      </c>
      <c r="G96" s="2451">
        <f>SUM(G70:G95)</f>
        <v>52.915530000000004</v>
      </c>
      <c r="H96" s="2450" t="s">
        <v>1174</v>
      </c>
      <c r="I96" s="2451">
        <f>Analysis!R65</f>
        <v>17163.13</v>
      </c>
      <c r="J96" s="2451">
        <f>G96*I96</f>
        <v>908196.12040890008</v>
      </c>
      <c r="K96" s="2454"/>
      <c r="L96" s="2455"/>
      <c r="M96" s="2455"/>
      <c r="N96" s="2455"/>
    </row>
    <row r="97" spans="1:14" ht="25.5" customHeight="1">
      <c r="A97" s="2450"/>
      <c r="B97" s="2449"/>
      <c r="C97" s="2450"/>
      <c r="D97" s="2451"/>
      <c r="E97" s="2451"/>
      <c r="F97" s="2452"/>
      <c r="G97" s="2451"/>
      <c r="H97" s="2450"/>
      <c r="I97" s="2451"/>
      <c r="J97" s="2451"/>
      <c r="K97" s="2454"/>
      <c r="L97" s="2455"/>
      <c r="M97" s="2455"/>
      <c r="N97" s="2455"/>
    </row>
    <row r="98" spans="1:14" ht="25.5" customHeight="1">
      <c r="A98" s="2450"/>
      <c r="B98" s="2449"/>
      <c r="C98" s="2450"/>
      <c r="D98" s="2451"/>
      <c r="E98" s="2451"/>
      <c r="F98" s="2452"/>
      <c r="G98" s="2451"/>
      <c r="H98" s="2450"/>
      <c r="I98" s="2451"/>
      <c r="J98" s="2451"/>
      <c r="K98" s="2454"/>
      <c r="L98" s="2455"/>
      <c r="M98" s="2455"/>
      <c r="N98" s="2455"/>
    </row>
    <row r="99" spans="1:14" ht="25.5" customHeight="1">
      <c r="A99" s="2450"/>
      <c r="B99" s="2449"/>
      <c r="C99" s="2450"/>
      <c r="D99" s="2451"/>
      <c r="E99" s="2451"/>
      <c r="F99" s="2452"/>
      <c r="G99" s="2451"/>
      <c r="H99" s="2450"/>
      <c r="I99" s="2451"/>
      <c r="J99" s="2451"/>
      <c r="K99" s="2454"/>
      <c r="L99" s="2455"/>
      <c r="M99" s="2455"/>
      <c r="N99" s="2455"/>
    </row>
    <row r="100" spans="1:14" ht="31.5">
      <c r="A100" s="2450">
        <v>8</v>
      </c>
      <c r="B100" s="2449" t="s">
        <v>3190</v>
      </c>
      <c r="C100" s="2450" t="s">
        <v>1753</v>
      </c>
      <c r="D100" s="2451" t="s">
        <v>3171</v>
      </c>
      <c r="E100" s="2462" t="s">
        <v>3172</v>
      </c>
      <c r="F100" s="2452" t="s">
        <v>1067</v>
      </c>
      <c r="G100" s="2462" t="s">
        <v>3173</v>
      </c>
      <c r="H100" s="2450"/>
      <c r="I100" s="2451"/>
      <c r="J100" s="2451"/>
      <c r="K100" s="2454"/>
      <c r="L100" s="2455"/>
      <c r="M100" s="2455"/>
      <c r="N100" s="2455"/>
    </row>
    <row r="101" spans="1:14">
      <c r="A101" s="2450"/>
      <c r="B101" s="2449"/>
      <c r="C101" s="2461"/>
      <c r="D101" s="2451"/>
      <c r="E101" s="2462"/>
      <c r="F101" s="2452"/>
      <c r="G101" s="2462"/>
      <c r="H101" s="2450"/>
      <c r="I101" s="2451"/>
      <c r="J101" s="2451"/>
      <c r="K101" s="2454"/>
      <c r="L101" s="2455"/>
      <c r="M101" s="2455"/>
      <c r="N101" s="2455"/>
    </row>
    <row r="102" spans="1:14">
      <c r="A102" s="2450"/>
      <c r="B102" s="2469" t="s">
        <v>3185</v>
      </c>
      <c r="C102" s="2463"/>
      <c r="D102" s="2463"/>
      <c r="E102" s="2464"/>
      <c r="F102" s="2464"/>
      <c r="G102" s="2465"/>
      <c r="H102" s="2485"/>
      <c r="I102" s="2451"/>
      <c r="J102" s="2451"/>
      <c r="K102" s="2454"/>
      <c r="L102" s="2455"/>
      <c r="M102" s="2455"/>
      <c r="N102" s="2455"/>
    </row>
    <row r="103" spans="1:14">
      <c r="A103" s="2450"/>
      <c r="B103" s="2466" t="s">
        <v>3249</v>
      </c>
      <c r="C103" s="2468">
        <f>D95/0.15+1</f>
        <v>408.00000000000011</v>
      </c>
      <c r="D103" s="2467">
        <v>3.65</v>
      </c>
      <c r="E103" s="2464">
        <v>0.62</v>
      </c>
      <c r="F103" s="2464" t="s">
        <v>1067</v>
      </c>
      <c r="G103" s="2465">
        <f>PRODUCT(C103:F103)</f>
        <v>923.3040000000002</v>
      </c>
      <c r="H103" s="2485"/>
      <c r="I103" s="2451"/>
      <c r="J103" s="2451"/>
      <c r="K103" s="2454"/>
      <c r="L103" s="2455"/>
      <c r="M103" s="2455"/>
      <c r="N103" s="2455"/>
    </row>
    <row r="104" spans="1:14">
      <c r="A104" s="2450"/>
      <c r="B104" s="2466" t="s">
        <v>3250</v>
      </c>
      <c r="C104" s="2468">
        <f>ROUND(D103/0.2+1,0)</f>
        <v>19</v>
      </c>
      <c r="D104" s="2465">
        <f>D95*1.1</f>
        <v>67.155000000000015</v>
      </c>
      <c r="E104" s="2464">
        <v>0.62</v>
      </c>
      <c r="F104" s="2464" t="s">
        <v>1067</v>
      </c>
      <c r="G104" s="2465">
        <f t="shared" ref="G104" si="6">PRODUCT(C104:F104)</f>
        <v>791.08590000000027</v>
      </c>
      <c r="H104" s="2485"/>
      <c r="I104" s="2451"/>
      <c r="J104" s="2451"/>
      <c r="K104" s="2454"/>
      <c r="L104" s="2455"/>
      <c r="M104" s="2455"/>
      <c r="N104" s="2455"/>
    </row>
    <row r="105" spans="1:14">
      <c r="A105" s="2450"/>
      <c r="B105" s="2469"/>
      <c r="C105" s="2468"/>
      <c r="D105" s="2464"/>
      <c r="E105" s="2464"/>
      <c r="F105" s="2464"/>
      <c r="G105" s="2465"/>
      <c r="H105" s="2485"/>
      <c r="I105" s="2451"/>
      <c r="J105" s="2451"/>
      <c r="K105" s="2454"/>
      <c r="L105" s="2455"/>
      <c r="M105" s="2455"/>
      <c r="N105" s="2455"/>
    </row>
    <row r="106" spans="1:14">
      <c r="A106" s="2450"/>
      <c r="B106" s="2470" t="s">
        <v>3203</v>
      </c>
      <c r="C106" s="2463"/>
      <c r="D106" s="2468"/>
      <c r="E106" s="2464"/>
      <c r="F106" s="2464"/>
      <c r="G106" s="2465">
        <f>'Intake (v)'!H51</f>
        <v>1794.3423239999997</v>
      </c>
      <c r="H106" s="2485"/>
      <c r="I106" s="2451"/>
      <c r="J106" s="2451"/>
      <c r="K106" s="2454"/>
      <c r="L106" s="2455"/>
      <c r="M106" s="2455"/>
      <c r="N106" s="2455"/>
    </row>
    <row r="107" spans="1:14" ht="25.5" customHeight="1">
      <c r="A107" s="2450"/>
      <c r="B107" s="2449"/>
      <c r="C107" s="2450"/>
      <c r="D107" s="2451"/>
      <c r="E107" s="2451"/>
      <c r="F107" s="2452"/>
      <c r="G107" s="2451">
        <f>SUM(G103:G106)</f>
        <v>3508.7322240000003</v>
      </c>
      <c r="H107" s="2450"/>
      <c r="I107" s="2451"/>
      <c r="J107" s="2451"/>
      <c r="K107" s="2454"/>
      <c r="L107" s="2455"/>
      <c r="M107" s="2455"/>
      <c r="N107" s="2455"/>
    </row>
    <row r="108" spans="1:14" ht="25.5" customHeight="1">
      <c r="A108" s="2450"/>
      <c r="B108" s="2449"/>
      <c r="C108" s="2450" t="s">
        <v>1489</v>
      </c>
      <c r="D108" s="2451"/>
      <c r="E108" s="2451"/>
      <c r="F108" s="2452"/>
      <c r="G108" s="2451">
        <f>SUM(G107)</f>
        <v>3508.7322240000003</v>
      </c>
      <c r="H108" s="2450" t="s">
        <v>1034</v>
      </c>
      <c r="I108" s="2451">
        <f>Analysis!R81</f>
        <v>125.35</v>
      </c>
      <c r="J108" s="2451">
        <f>G108*I108</f>
        <v>439819.5842784</v>
      </c>
      <c r="K108" s="2454"/>
      <c r="L108" s="2455"/>
      <c r="M108" s="2455"/>
      <c r="N108" s="2455"/>
    </row>
    <row r="109" spans="1:14" ht="25.5" customHeight="1">
      <c r="A109" s="2450"/>
      <c r="B109" s="2449"/>
      <c r="C109" s="2450"/>
      <c r="D109" s="2451"/>
      <c r="E109" s="2451"/>
      <c r="F109" s="2452"/>
      <c r="G109" s="2451"/>
      <c r="H109" s="2450"/>
      <c r="I109" s="2451"/>
      <c r="J109" s="2451"/>
      <c r="K109" s="2454"/>
      <c r="L109" s="2455"/>
      <c r="M109" s="2455"/>
      <c r="N109" s="2455"/>
    </row>
    <row r="110" spans="1:14" ht="47.25">
      <c r="A110" s="2450">
        <v>9</v>
      </c>
      <c r="B110" s="2449" t="s">
        <v>3188</v>
      </c>
      <c r="C110" s="2450"/>
      <c r="D110" s="2451"/>
      <c r="E110" s="2451"/>
      <c r="F110" s="2452"/>
      <c r="G110" s="2451"/>
      <c r="H110" s="2450"/>
      <c r="I110" s="2451"/>
      <c r="J110" s="2451"/>
      <c r="K110" s="2454"/>
      <c r="L110" s="2455"/>
      <c r="M110" s="2455"/>
      <c r="N110" s="2455"/>
    </row>
    <row r="111" spans="1:14" ht="25.5" customHeight="1">
      <c r="A111" s="2450"/>
      <c r="B111" s="2524" t="s">
        <v>3186</v>
      </c>
      <c r="C111" s="2450">
        <f t="shared" ref="C111:D112" si="7">C33</f>
        <v>1</v>
      </c>
      <c r="D111" s="2451">
        <f t="shared" si="7"/>
        <v>25.700000000000003</v>
      </c>
      <c r="E111" s="2451">
        <f>AVERAGE(E44:E45)</f>
        <v>0.85000000000000009</v>
      </c>
      <c r="F111" s="2452">
        <v>2.4300000000000002</v>
      </c>
      <c r="G111" s="2451">
        <f>PRODUCT(C111:F111)</f>
        <v>53.083350000000017</v>
      </c>
      <c r="H111" s="2450"/>
      <c r="I111" s="2451"/>
      <c r="J111" s="2451"/>
      <c r="K111" s="2454"/>
      <c r="L111" s="2455"/>
      <c r="M111" s="2455"/>
      <c r="N111" s="2455"/>
    </row>
    <row r="112" spans="1:14" ht="25.5" customHeight="1">
      <c r="A112" s="2450"/>
      <c r="B112" s="2524" t="s">
        <v>3187</v>
      </c>
      <c r="C112" s="2450">
        <f t="shared" si="7"/>
        <v>1</v>
      </c>
      <c r="D112" s="2451">
        <f t="shared" si="7"/>
        <v>29.6</v>
      </c>
      <c r="E112" s="2451">
        <f>AVERAGE(E46:E47)</f>
        <v>0.75</v>
      </c>
      <c r="F112" s="2452">
        <v>1.35</v>
      </c>
      <c r="G112" s="2451">
        <f>PRODUCT(C112:F112)</f>
        <v>29.970000000000006</v>
      </c>
      <c r="H112" s="2450"/>
      <c r="I112" s="2451"/>
      <c r="J112" s="2451"/>
      <c r="K112" s="2454"/>
      <c r="L112" s="2455"/>
      <c r="M112" s="2455"/>
      <c r="N112" s="2455"/>
    </row>
    <row r="113" spans="1:14" ht="25.5" customHeight="1">
      <c r="A113" s="2450"/>
      <c r="B113" s="2524"/>
      <c r="C113" s="2450">
        <v>1</v>
      </c>
      <c r="D113" s="2451">
        <f>D18</f>
        <v>4.3499999999999996</v>
      </c>
      <c r="E113" s="2451">
        <f>E18</f>
        <v>0.75</v>
      </c>
      <c r="F113" s="2452">
        <v>1.2</v>
      </c>
      <c r="G113" s="2451">
        <f>PRODUCT(C113:F113)</f>
        <v>3.9149999999999996</v>
      </c>
      <c r="H113" s="2450"/>
      <c r="I113" s="2451"/>
      <c r="J113" s="2451"/>
      <c r="K113" s="2454"/>
      <c r="L113" s="2455"/>
      <c r="M113" s="2455"/>
      <c r="N113" s="2455"/>
    </row>
    <row r="114" spans="1:14" ht="25.5" customHeight="1">
      <c r="A114" s="2450"/>
      <c r="B114" s="2449" t="s">
        <v>3189</v>
      </c>
      <c r="C114" s="2450">
        <v>12</v>
      </c>
      <c r="D114" s="2451">
        <v>1.5</v>
      </c>
      <c r="E114" s="2451">
        <v>0.35</v>
      </c>
      <c r="F114" s="2452">
        <v>1</v>
      </c>
      <c r="G114" s="2451">
        <f>PRODUCT(C114:F114)</f>
        <v>6.3</v>
      </c>
      <c r="H114" s="2450"/>
      <c r="I114" s="2451"/>
      <c r="J114" s="2451"/>
      <c r="K114" s="2454"/>
      <c r="L114" s="2455"/>
      <c r="M114" s="2455"/>
      <c r="N114" s="2455"/>
    </row>
    <row r="115" spans="1:14" ht="25.5" customHeight="1">
      <c r="A115" s="2450"/>
      <c r="B115" s="2449" t="s">
        <v>3193</v>
      </c>
      <c r="C115" s="2450">
        <f t="shared" ref="C115:D117" si="8">C20</f>
        <v>1</v>
      </c>
      <c r="D115" s="2451">
        <f t="shared" si="8"/>
        <v>2.8</v>
      </c>
      <c r="E115" s="2451">
        <v>0.6</v>
      </c>
      <c r="F115" s="2452">
        <v>1.4</v>
      </c>
      <c r="G115" s="2451">
        <f t="shared" ref="G115:G117" si="9">PRODUCT(C115:F115)</f>
        <v>2.3519999999999999</v>
      </c>
      <c r="H115" s="2450"/>
      <c r="I115" s="2451"/>
      <c r="J115" s="2451"/>
      <c r="K115" s="2454"/>
      <c r="L115" s="2455"/>
      <c r="M115" s="2455"/>
      <c r="N115" s="2455"/>
    </row>
    <row r="116" spans="1:14" ht="25.5" customHeight="1">
      <c r="A116" s="2450"/>
      <c r="B116" s="2449"/>
      <c r="C116" s="2450">
        <f t="shared" si="8"/>
        <v>1</v>
      </c>
      <c r="D116" s="2451">
        <f t="shared" si="8"/>
        <v>1.4</v>
      </c>
      <c r="E116" s="2451">
        <v>0.6</v>
      </c>
      <c r="F116" s="2452">
        <v>1.1000000000000001</v>
      </c>
      <c r="G116" s="2451">
        <f t="shared" si="9"/>
        <v>0.92400000000000004</v>
      </c>
      <c r="H116" s="2450"/>
      <c r="I116" s="2451"/>
      <c r="J116" s="2451"/>
      <c r="K116" s="2454"/>
      <c r="L116" s="2455"/>
      <c r="M116" s="2455"/>
      <c r="N116" s="2455"/>
    </row>
    <row r="117" spans="1:14" ht="25.5" customHeight="1">
      <c r="A117" s="2450"/>
      <c r="B117" s="2449"/>
      <c r="C117" s="2450">
        <f t="shared" si="8"/>
        <v>1</v>
      </c>
      <c r="D117" s="2451">
        <f t="shared" si="8"/>
        <v>1.5</v>
      </c>
      <c r="E117" s="2451">
        <v>0.6</v>
      </c>
      <c r="F117" s="2452">
        <v>1.5</v>
      </c>
      <c r="G117" s="2451">
        <f t="shared" si="9"/>
        <v>1.3499999999999999</v>
      </c>
      <c r="H117" s="2450"/>
      <c r="I117" s="2451"/>
      <c r="J117" s="2451"/>
      <c r="K117" s="2454"/>
      <c r="L117" s="2455"/>
      <c r="M117" s="2455"/>
      <c r="N117" s="2455"/>
    </row>
    <row r="118" spans="1:14" ht="25.5" customHeight="1">
      <c r="A118" s="2450"/>
      <c r="B118" s="2449"/>
      <c r="C118" s="2450"/>
      <c r="D118" s="2451"/>
      <c r="E118" s="2451"/>
      <c r="F118" s="2452"/>
      <c r="G118" s="2451">
        <f>SUM(G111:G117)</f>
        <v>97.894350000000031</v>
      </c>
      <c r="H118" s="2450" t="s">
        <v>1174</v>
      </c>
      <c r="I118" s="2451">
        <f>Analysis!R51</f>
        <v>14917.39</v>
      </c>
      <c r="J118" s="2451">
        <f>G118*I118</f>
        <v>1460328.1977465004</v>
      </c>
      <c r="K118" s="2454"/>
      <c r="L118" s="2455"/>
      <c r="M118" s="2455"/>
      <c r="N118" s="2455"/>
    </row>
    <row r="119" spans="1:14" ht="25.5" customHeight="1">
      <c r="A119" s="2508"/>
      <c r="B119" s="2509"/>
      <c r="C119" s="2484"/>
      <c r="D119" s="2484"/>
      <c r="E119" s="2483"/>
      <c r="F119" s="2483"/>
      <c r="G119" s="2483"/>
      <c r="H119" s="2483"/>
      <c r="I119" s="2483"/>
      <c r="J119" s="2483"/>
      <c r="K119" s="2454"/>
      <c r="L119" s="2455"/>
      <c r="M119" s="2455"/>
      <c r="N119" s="2455"/>
    </row>
    <row r="120" spans="1:14" ht="25.5" customHeight="1">
      <c r="A120" s="2508"/>
      <c r="B120" s="2509"/>
      <c r="C120" s="2510"/>
      <c r="D120" s="2510"/>
      <c r="E120" s="2511"/>
      <c r="F120" s="2511"/>
      <c r="G120" s="2511"/>
      <c r="H120" s="2511"/>
      <c r="I120" s="2511"/>
      <c r="J120" s="2512"/>
      <c r="K120" s="2454"/>
      <c r="L120" s="2455"/>
      <c r="M120" s="2455"/>
      <c r="N120" s="2455"/>
    </row>
    <row r="121" spans="1:14" ht="45">
      <c r="A121" s="2508">
        <v>11</v>
      </c>
      <c r="B121" s="2502" t="s">
        <v>3207</v>
      </c>
      <c r="C121" s="2511">
        <f>'Intake (v)'!H68</f>
        <v>2</v>
      </c>
      <c r="D121" s="2510"/>
      <c r="E121" s="2511"/>
      <c r="F121" s="2511"/>
      <c r="G121" s="2511">
        <f>PRODUCT(C121:F121)</f>
        <v>2</v>
      </c>
      <c r="H121" s="2511" t="s">
        <v>1753</v>
      </c>
      <c r="I121" s="2511">
        <v>10755</v>
      </c>
      <c r="J121" s="2512">
        <f>G121*I121</f>
        <v>21510</v>
      </c>
      <c r="K121" s="2454"/>
      <c r="L121" s="2455"/>
      <c r="M121" s="2455"/>
      <c r="N121" s="2455"/>
    </row>
    <row r="122" spans="1:14" ht="25.5" customHeight="1">
      <c r="A122" s="2508"/>
      <c r="B122" s="2503"/>
      <c r="C122" s="2510"/>
      <c r="D122" s="2510"/>
      <c r="E122" s="2511"/>
      <c r="F122" s="2511"/>
      <c r="G122" s="2511"/>
      <c r="H122" s="2511"/>
      <c r="I122" s="2511"/>
      <c r="J122" s="2512"/>
      <c r="K122" s="2454"/>
      <c r="L122" s="2455"/>
      <c r="M122" s="2455"/>
      <c r="N122" s="2455"/>
    </row>
    <row r="123" spans="1:14" ht="30">
      <c r="A123" s="2508">
        <v>12</v>
      </c>
      <c r="B123" s="2502" t="s">
        <v>3208</v>
      </c>
      <c r="C123" s="2510">
        <f>'Intake (v)'!D66</f>
        <v>19</v>
      </c>
      <c r="D123" s="2510">
        <v>2</v>
      </c>
      <c r="E123" s="2511">
        <v>1</v>
      </c>
      <c r="F123" s="2511">
        <v>1</v>
      </c>
      <c r="G123" s="2511">
        <f>PRODUCT(C123:F123)</f>
        <v>38</v>
      </c>
      <c r="H123" s="2511" t="s">
        <v>1174</v>
      </c>
      <c r="I123" s="2511">
        <f>Analysis!R196</f>
        <v>2574.62</v>
      </c>
      <c r="J123" s="2512">
        <f>G123*I123</f>
        <v>97835.56</v>
      </c>
      <c r="K123" s="2454"/>
      <c r="L123" s="2455"/>
      <c r="M123" s="2455"/>
      <c r="N123" s="2455"/>
    </row>
    <row r="124" spans="1:14" ht="25.5" customHeight="1">
      <c r="A124" s="2508"/>
      <c r="B124" s="2503"/>
      <c r="C124" s="2510"/>
      <c r="D124" s="2510"/>
      <c r="E124" s="2511"/>
      <c r="F124" s="2511"/>
      <c r="G124" s="2511"/>
      <c r="H124" s="2511"/>
      <c r="I124" s="2511"/>
      <c r="J124" s="2512"/>
      <c r="K124" s="2454"/>
      <c r="L124" s="2455"/>
      <c r="M124" s="2455"/>
      <c r="N124" s="2455"/>
    </row>
    <row r="125" spans="1:14" ht="25.5" customHeight="1">
      <c r="A125" s="2508">
        <v>13</v>
      </c>
      <c r="B125" s="2502" t="s">
        <v>3209</v>
      </c>
      <c r="C125" s="2510"/>
      <c r="D125" s="2510"/>
      <c r="E125" s="2511"/>
      <c r="F125" s="2511"/>
      <c r="G125" s="2511">
        <f>G123</f>
        <v>38</v>
      </c>
      <c r="H125" s="2511" t="s">
        <v>1174</v>
      </c>
      <c r="I125" s="2511">
        <f>Analysis!R200</f>
        <v>4056.82</v>
      </c>
      <c r="J125" s="2512">
        <f>G125*I125</f>
        <v>154159.16</v>
      </c>
      <c r="K125" s="2454"/>
      <c r="L125" s="2455"/>
      <c r="M125" s="2455"/>
      <c r="N125" s="2455"/>
    </row>
    <row r="126" spans="1:14" ht="25.5" customHeight="1">
      <c r="A126" s="2508"/>
      <c r="B126" s="2502"/>
      <c r="C126" s="2484"/>
      <c r="D126" s="2484"/>
      <c r="E126" s="2483"/>
      <c r="F126" s="2483"/>
      <c r="G126" s="2483"/>
      <c r="H126" s="2483"/>
      <c r="I126" s="2483"/>
      <c r="J126" s="2483"/>
      <c r="K126" s="2454"/>
      <c r="L126" s="2455"/>
      <c r="M126" s="2455"/>
      <c r="N126" s="2455"/>
    </row>
    <row r="127" spans="1:14">
      <c r="A127" s="2474"/>
      <c r="B127" s="2449"/>
      <c r="C127" s="2474"/>
      <c r="D127" s="2474"/>
      <c r="E127" s="2474"/>
      <c r="F127" s="2475"/>
      <c r="G127" s="2474"/>
      <c r="H127" s="2474"/>
      <c r="I127" s="2443" t="s">
        <v>3195</v>
      </c>
      <c r="J127" s="2476">
        <f>SUM(J24:J126)</f>
        <v>4046075.3117235508</v>
      </c>
      <c r="K127" s="2458"/>
    </row>
    <row r="128" spans="1:14">
      <c r="A128" s="2474"/>
      <c r="B128" s="2449"/>
      <c r="C128" s="2474"/>
      <c r="D128" s="2474"/>
      <c r="E128" s="2474"/>
      <c r="F128" s="2475"/>
      <c r="G128" s="2474"/>
      <c r="H128" s="2474"/>
      <c r="I128" s="2443" t="s">
        <v>3194</v>
      </c>
      <c r="J128" s="2476">
        <f>J127*0.13</f>
        <v>525989.79052406165</v>
      </c>
      <c r="K128" s="2458"/>
    </row>
    <row r="129" spans="1:12">
      <c r="A129" s="2474"/>
      <c r="B129" s="2449"/>
      <c r="C129" s="2474"/>
      <c r="D129" s="2474"/>
      <c r="E129" s="2474"/>
      <c r="F129" s="2475"/>
      <c r="G129" s="2474"/>
      <c r="H129" s="2474"/>
      <c r="I129" s="2443" t="s">
        <v>3196</v>
      </c>
      <c r="J129" s="2476">
        <f>SUM(J127:J128)</f>
        <v>4572065.1022476126</v>
      </c>
      <c r="K129" s="2458"/>
    </row>
    <row r="130" spans="1:12" s="2472" customFormat="1">
      <c r="A130" s="2460">
        <v>14</v>
      </c>
      <c r="B130" s="2471" t="s">
        <v>3176</v>
      </c>
      <c r="C130" s="2480"/>
      <c r="D130" s="2480"/>
      <c r="E130" s="2480"/>
      <c r="F130" s="2480"/>
      <c r="G130" s="2481">
        <v>1</v>
      </c>
      <c r="H130" s="2480" t="s">
        <v>3168</v>
      </c>
      <c r="I130" s="2480">
        <v>5000</v>
      </c>
      <c r="J130" s="2482">
        <f>G130*I130</f>
        <v>5000</v>
      </c>
      <c r="K130" s="2471"/>
    </row>
    <row r="131" spans="1:12" s="2472" customFormat="1">
      <c r="A131" s="2460"/>
      <c r="B131" s="2473"/>
      <c r="C131" s="2480"/>
      <c r="D131" s="2480"/>
      <c r="E131" s="2480"/>
      <c r="F131" s="2480"/>
      <c r="G131" s="2481"/>
      <c r="H131" s="2480"/>
      <c r="I131" s="2480"/>
      <c r="J131" s="2481"/>
      <c r="K131" s="2471"/>
    </row>
    <row r="132" spans="1:12" s="2472" customFormat="1">
      <c r="A132" s="2460">
        <v>15</v>
      </c>
      <c r="B132" s="2473" t="s">
        <v>3177</v>
      </c>
      <c r="C132" s="2480"/>
      <c r="D132" s="2480"/>
      <c r="E132" s="2480"/>
      <c r="F132" s="2480"/>
      <c r="G132" s="2481">
        <v>1</v>
      </c>
      <c r="H132" s="2480" t="s">
        <v>3168</v>
      </c>
      <c r="I132" s="2480">
        <v>20000</v>
      </c>
      <c r="J132" s="2482">
        <f>G132*I132</f>
        <v>20000</v>
      </c>
      <c r="K132" s="2471"/>
    </row>
    <row r="133" spans="1:12" s="2472" customFormat="1">
      <c r="A133" s="2460"/>
      <c r="B133" s="2473"/>
      <c r="C133" s="2480"/>
      <c r="D133" s="2480"/>
      <c r="E133" s="2480"/>
      <c r="F133" s="2480"/>
      <c r="G133" s="2481"/>
      <c r="H133" s="2480"/>
      <c r="I133" s="2480"/>
      <c r="J133" s="2482"/>
      <c r="K133" s="2471"/>
    </row>
    <row r="134" spans="1:12" s="2472" customFormat="1">
      <c r="A134" s="2460">
        <v>16</v>
      </c>
      <c r="B134" s="2473" t="s">
        <v>3211</v>
      </c>
      <c r="C134" s="2480"/>
      <c r="D134" s="2480"/>
      <c r="E134" s="2480"/>
      <c r="F134" s="2480"/>
      <c r="G134" s="2481">
        <v>1</v>
      </c>
      <c r="H134" s="2480" t="s">
        <v>3168</v>
      </c>
      <c r="I134" s="2480">
        <v>20000</v>
      </c>
      <c r="J134" s="2482">
        <v>20000</v>
      </c>
      <c r="K134" s="2471"/>
    </row>
    <row r="135" spans="1:12" s="2472" customFormat="1">
      <c r="A135" s="2460"/>
      <c r="B135" s="2473"/>
      <c r="C135" s="2480"/>
      <c r="D135" s="2480"/>
      <c r="E135" s="2480"/>
      <c r="F135" s="2480"/>
      <c r="G135" s="2481"/>
      <c r="H135" s="2480"/>
      <c r="I135" s="2480"/>
      <c r="J135" s="2482"/>
      <c r="K135" s="2471"/>
    </row>
    <row r="136" spans="1:12" s="2472" customFormat="1">
      <c r="A136" s="2460">
        <v>17</v>
      </c>
      <c r="B136" s="2473" t="s">
        <v>3212</v>
      </c>
      <c r="C136" s="2480"/>
      <c r="D136" s="2480"/>
      <c r="E136" s="2480"/>
      <c r="F136" s="2480"/>
      <c r="G136" s="2481">
        <v>1</v>
      </c>
      <c r="H136" s="2480" t="s">
        <v>3213</v>
      </c>
      <c r="I136" s="2480">
        <v>100000</v>
      </c>
      <c r="J136" s="2482">
        <f>G136*I136</f>
        <v>100000</v>
      </c>
      <c r="K136" s="2471"/>
    </row>
    <row r="137" spans="1:12">
      <c r="A137" s="2474"/>
      <c r="B137" s="2449"/>
      <c r="C137" s="2474"/>
      <c r="D137" s="2474"/>
      <c r="E137" s="2474"/>
      <c r="F137" s="2475"/>
      <c r="G137" s="2474"/>
      <c r="H137" s="2474"/>
      <c r="I137" s="2443" t="s">
        <v>3178</v>
      </c>
      <c r="J137" s="2476">
        <f>J127*0.03</f>
        <v>121382.25935170653</v>
      </c>
      <c r="K137" s="2477"/>
    </row>
    <row r="138" spans="1:12">
      <c r="A138" s="2474"/>
      <c r="B138" s="2449"/>
      <c r="C138" s="2474"/>
      <c r="D138" s="2474"/>
      <c r="E138" s="2474"/>
      <c r="F138" s="2475"/>
      <c r="G138" s="2474"/>
      <c r="H138" s="2474"/>
      <c r="I138" s="2443" t="s">
        <v>2626</v>
      </c>
      <c r="J138" s="2476">
        <f>SUM(J129:J137)</f>
        <v>4838447.3615993187</v>
      </c>
      <c r="K138" s="2477"/>
      <c r="L138" s="2514">
        <f>J138*0.026</f>
        <v>125799.63140158229</v>
      </c>
    </row>
    <row r="143" spans="1:12" ht="18">
      <c r="B143" s="3033"/>
      <c r="C143" s="3034"/>
      <c r="D143" s="3034"/>
      <c r="E143" s="3034"/>
      <c r="F143" s="3034"/>
      <c r="G143" s="3034"/>
      <c r="H143" s="3034"/>
    </row>
    <row r="144" spans="1:12" ht="18">
      <c r="B144" s="3035"/>
      <c r="C144" s="3034"/>
      <c r="D144" s="3034"/>
      <c r="E144" s="3034"/>
      <c r="F144" s="3034"/>
      <c r="G144" s="3034"/>
      <c r="H144" s="3034"/>
    </row>
    <row r="145" spans="2:8">
      <c r="B145" s="3030"/>
      <c r="C145" s="3030"/>
      <c r="D145" s="3030"/>
      <c r="E145" s="3030"/>
      <c r="F145" s="3030"/>
      <c r="G145" s="3030"/>
      <c r="H145" s="3030"/>
    </row>
    <row r="146" spans="2:8">
      <c r="B146" s="3030"/>
      <c r="C146" s="3030"/>
      <c r="D146" s="3030"/>
      <c r="E146" s="3030"/>
      <c r="F146" s="3030"/>
      <c r="G146" s="3030"/>
      <c r="H146" s="3030"/>
    </row>
  </sheetData>
  <mergeCells count="12">
    <mergeCell ref="A1:K1"/>
    <mergeCell ref="A2:K2"/>
    <mergeCell ref="A3:K3"/>
    <mergeCell ref="A4:K4"/>
    <mergeCell ref="B146:H146"/>
    <mergeCell ref="A8:F8"/>
    <mergeCell ref="A9:F9"/>
    <mergeCell ref="H9:K9"/>
    <mergeCell ref="H10:K10"/>
    <mergeCell ref="B143:H143"/>
    <mergeCell ref="B144:H144"/>
    <mergeCell ref="B145:H145"/>
  </mergeCells>
  <conditionalFormatting sqref="A130:A132">
    <cfRule type="top10" dxfId="2" priority="1" percent="1" rank="10"/>
  </conditionalFormatting>
  <pageMargins left="0.7" right="0.7" top="0.75" bottom="0.75" header="0.3" footer="0.3"/>
  <pageSetup paperSize="9" scale="57" orientation="portrait" verticalDpi="0" r:id="rId1"/>
  <colBreaks count="1" manualBreakCount="1">
    <brk id="11" max="1048575" man="1"/>
  </col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O123"/>
  <sheetViews>
    <sheetView view="pageBreakPreview" zoomScale="60" workbookViewId="0">
      <selection activeCell="B6" sqref="B6"/>
    </sheetView>
  </sheetViews>
  <sheetFormatPr defaultColWidth="9.140625" defaultRowHeight="15"/>
  <cols>
    <col min="1" max="1" width="5.42578125" style="1961" customWidth="1"/>
    <col min="2" max="2" width="43.7109375" style="1961" bestFit="1" customWidth="1"/>
    <col min="3" max="3" width="5.140625" style="1961" bestFit="1" customWidth="1"/>
    <col min="4" max="4" width="4.5703125" style="1961" bestFit="1" customWidth="1"/>
    <col min="5" max="5" width="8.7109375" style="1961" bestFit="1" customWidth="1"/>
    <col min="6" max="6" width="9.42578125" style="1961" bestFit="1" customWidth="1"/>
    <col min="7" max="7" width="8.42578125" style="1961" bestFit="1" customWidth="1"/>
    <col min="8" max="8" width="11.140625" style="1961" bestFit="1" customWidth="1"/>
    <col min="9" max="10" width="11.140625" style="1961" hidden="1" customWidth="1"/>
    <col min="11" max="11" width="8.28515625" style="1961" bestFit="1" customWidth="1"/>
    <col min="12" max="12" width="9.140625" style="1961"/>
    <col min="13" max="13" width="10.28515625" style="1961" bestFit="1" customWidth="1"/>
    <col min="14" max="15" width="9.28515625" style="1961" bestFit="1" customWidth="1"/>
    <col min="16" max="16384" width="9.140625" style="1961"/>
  </cols>
  <sheetData>
    <row r="1" spans="1:15">
      <c r="A1" s="3018" t="s">
        <v>3302</v>
      </c>
      <c r="B1" s="3018"/>
      <c r="C1" s="3018"/>
      <c r="D1" s="3018"/>
      <c r="E1" s="3018"/>
      <c r="F1" s="3018"/>
      <c r="G1" s="3018"/>
      <c r="H1" s="3018"/>
      <c r="I1" s="3018"/>
      <c r="J1" s="3018"/>
      <c r="K1" s="3018"/>
    </row>
    <row r="2" spans="1:15" s="1963" customFormat="1">
      <c r="A2" s="3019" t="s">
        <v>3049</v>
      </c>
      <c r="B2" s="3019"/>
      <c r="C2" s="3019"/>
      <c r="D2" s="3019"/>
      <c r="E2" s="1962"/>
      <c r="F2" s="1962"/>
      <c r="G2" s="1962"/>
      <c r="H2" s="1962"/>
      <c r="I2" s="1962"/>
      <c r="J2" s="1962"/>
      <c r="K2" s="1962"/>
    </row>
    <row r="3" spans="1:15" s="1963" customFormat="1">
      <c r="A3" s="1964" t="s">
        <v>908</v>
      </c>
      <c r="B3" s="1965" t="s">
        <v>2861</v>
      </c>
      <c r="C3" s="1965" t="s">
        <v>1035</v>
      </c>
      <c r="D3" s="1965" t="s">
        <v>1087</v>
      </c>
      <c r="E3" s="1965" t="s">
        <v>2895</v>
      </c>
      <c r="F3" s="1965" t="s">
        <v>2896</v>
      </c>
      <c r="G3" s="1965" t="s">
        <v>2897</v>
      </c>
      <c r="H3" s="1965" t="s">
        <v>964</v>
      </c>
      <c r="I3" s="2487" t="s">
        <v>97</v>
      </c>
      <c r="J3" s="2487" t="s">
        <v>52</v>
      </c>
      <c r="K3" s="1966" t="s">
        <v>1055</v>
      </c>
    </row>
    <row r="4" spans="1:15" s="1963" customFormat="1">
      <c r="A4" s="1967">
        <v>1</v>
      </c>
      <c r="B4" s="1968" t="s">
        <v>26</v>
      </c>
      <c r="C4" s="1969"/>
      <c r="D4" s="1969"/>
      <c r="E4" s="1969"/>
      <c r="F4" s="1969"/>
      <c r="G4" s="1969"/>
      <c r="H4" s="1970"/>
      <c r="I4" s="2488"/>
      <c r="J4" s="2488"/>
      <c r="K4" s="1971"/>
    </row>
    <row r="5" spans="1:15" s="1963" customFormat="1">
      <c r="A5" s="1967">
        <v>2</v>
      </c>
      <c r="B5" s="1972" t="s">
        <v>2898</v>
      </c>
      <c r="C5" s="1969"/>
      <c r="D5" s="1969"/>
      <c r="E5" s="1969"/>
      <c r="F5" s="1969"/>
      <c r="G5" s="1969"/>
      <c r="H5" s="1970"/>
      <c r="I5" s="2488"/>
      <c r="J5" s="2488"/>
      <c r="K5" s="1971"/>
    </row>
    <row r="6" spans="1:15" s="1963" customFormat="1">
      <c r="A6" s="1973"/>
      <c r="B6" s="2521" t="s">
        <v>3221</v>
      </c>
      <c r="C6" s="2521"/>
      <c r="D6" s="2521">
        <v>1</v>
      </c>
      <c r="E6" s="2521">
        <v>4.17</v>
      </c>
      <c r="F6" s="2521">
        <v>2.4500000000000002</v>
      </c>
      <c r="G6" s="2521">
        <f>(1.5+0.6)/2</f>
        <v>1.05</v>
      </c>
      <c r="H6" s="1970">
        <f>PRODUCT(D6:G6)</f>
        <v>10.727325</v>
      </c>
      <c r="I6" s="2488"/>
      <c r="J6" s="2488"/>
      <c r="K6" s="1971"/>
      <c r="N6" s="1963">
        <f>1.5+0.1+0.15</f>
        <v>1.75</v>
      </c>
      <c r="O6" s="1963">
        <f>0.31+0.1+0.15</f>
        <v>0.56000000000000005</v>
      </c>
    </row>
    <row r="7" spans="1:15" s="1963" customFormat="1">
      <c r="A7" s="1973"/>
      <c r="B7" s="2521" t="s">
        <v>3222</v>
      </c>
      <c r="C7" s="2521"/>
      <c r="D7" s="2521">
        <v>2</v>
      </c>
      <c r="E7" s="2521">
        <v>5.2</v>
      </c>
      <c r="F7" s="2521">
        <v>0.3</v>
      </c>
      <c r="G7" s="2521">
        <v>0.6</v>
      </c>
      <c r="H7" s="1970">
        <f t="shared" ref="H7:H8" si="0">PRODUCT(D7:G7)</f>
        <v>1.8719999999999999</v>
      </c>
      <c r="I7" s="2488"/>
      <c r="J7" s="2488"/>
      <c r="K7" s="1971"/>
    </row>
    <row r="8" spans="1:15" s="1963" customFormat="1">
      <c r="A8" s="1973"/>
      <c r="B8" s="2521" t="s">
        <v>3223</v>
      </c>
      <c r="C8" s="2521"/>
      <c r="D8" s="2521">
        <v>1</v>
      </c>
      <c r="E8" s="2521">
        <v>5.2</v>
      </c>
      <c r="F8" s="2521">
        <v>5</v>
      </c>
      <c r="G8" s="2521">
        <v>0.3</v>
      </c>
      <c r="H8" s="1970">
        <f t="shared" si="0"/>
        <v>7.8</v>
      </c>
      <c r="I8" s="2488"/>
      <c r="J8" s="2488"/>
      <c r="K8" s="1971"/>
    </row>
    <row r="9" spans="1:15" s="1963" customFormat="1">
      <c r="A9" s="1973"/>
      <c r="B9" s="1969"/>
      <c r="C9" s="1979" t="s">
        <v>1084</v>
      </c>
      <c r="D9" s="1969"/>
      <c r="E9" s="1969"/>
      <c r="F9" s="1969"/>
      <c r="G9" s="1972" t="s">
        <v>1108</v>
      </c>
      <c r="H9" s="2501">
        <f>SUM(H6:H8)</f>
        <v>20.399325000000001</v>
      </c>
      <c r="I9" s="2490"/>
      <c r="J9" s="2490"/>
      <c r="K9" s="1971"/>
    </row>
    <row r="10" spans="1:15" s="1963" customFormat="1">
      <c r="A10" s="1973">
        <v>3</v>
      </c>
      <c r="B10" s="1968" t="s">
        <v>2886</v>
      </c>
      <c r="C10" s="1979"/>
      <c r="D10" s="1969"/>
      <c r="E10" s="1969"/>
      <c r="F10" s="1969"/>
      <c r="G10" s="1972"/>
      <c r="H10" s="1980"/>
      <c r="I10" s="2490"/>
      <c r="J10" s="2490"/>
      <c r="K10" s="1971"/>
    </row>
    <row r="11" spans="1:15" s="1963" customFormat="1">
      <c r="A11" s="1973"/>
      <c r="B11" s="2522" t="s">
        <v>3224</v>
      </c>
      <c r="C11" s="1977"/>
      <c r="D11" s="2521">
        <v>1</v>
      </c>
      <c r="E11" s="2521">
        <f>0.3+1+0.3+2.5+0.3</f>
        <v>4.3999999999999995</v>
      </c>
      <c r="F11" s="2521">
        <v>2.2999999999999998</v>
      </c>
      <c r="G11" s="2521">
        <v>0.15</v>
      </c>
      <c r="H11" s="1970">
        <f>PRODUCT(D11:G11)</f>
        <v>1.5179999999999996</v>
      </c>
      <c r="I11" s="2488"/>
      <c r="J11" s="2488"/>
      <c r="K11" s="1971"/>
    </row>
    <row r="12" spans="1:15" s="1963" customFormat="1">
      <c r="A12" s="1973"/>
      <c r="B12" s="2521" t="s">
        <v>3225</v>
      </c>
      <c r="C12" s="1977"/>
      <c r="D12" s="2521">
        <v>1</v>
      </c>
      <c r="E12" s="2521">
        <v>5.2</v>
      </c>
      <c r="F12" s="2521">
        <v>5</v>
      </c>
      <c r="G12" s="2521">
        <v>0.15</v>
      </c>
      <c r="H12" s="1970">
        <f>PRODUCT(D12:G12)</f>
        <v>3.9</v>
      </c>
      <c r="I12" s="2488"/>
      <c r="J12" s="2488"/>
      <c r="K12" s="1971"/>
    </row>
    <row r="13" spans="1:15" s="1963" customFormat="1">
      <c r="A13" s="1973"/>
      <c r="B13" s="1969"/>
      <c r="C13" s="1979" t="s">
        <v>1084</v>
      </c>
      <c r="D13" s="1969"/>
      <c r="E13" s="1969"/>
      <c r="F13" s="1969"/>
      <c r="G13" s="1972" t="s">
        <v>1108</v>
      </c>
      <c r="H13" s="2501">
        <f>SUM(H11:H12)</f>
        <v>5.4179999999999993</v>
      </c>
      <c r="I13" s="2490"/>
      <c r="J13" s="2490"/>
      <c r="K13" s="1971"/>
    </row>
    <row r="14" spans="1:15" s="1963" customFormat="1">
      <c r="A14" s="1973"/>
      <c r="B14" s="1969"/>
      <c r="C14" s="1977"/>
      <c r="D14" s="1969"/>
      <c r="E14" s="1969"/>
      <c r="F14" s="1969"/>
      <c r="G14" s="1969"/>
      <c r="H14" s="1970"/>
      <c r="I14" s="2488"/>
      <c r="J14" s="2488"/>
      <c r="K14" s="1971"/>
    </row>
    <row r="15" spans="1:15" s="1963" customFormat="1">
      <c r="A15" s="1973">
        <v>4.0999999999999996</v>
      </c>
      <c r="B15" s="1972" t="s">
        <v>3205</v>
      </c>
      <c r="C15" s="1977"/>
      <c r="D15" s="1969"/>
      <c r="E15" s="1981"/>
      <c r="F15" s="1969"/>
      <c r="G15" s="1969"/>
      <c r="H15" s="1970"/>
      <c r="I15" s="2488"/>
      <c r="J15" s="2488"/>
      <c r="K15" s="1971"/>
    </row>
    <row r="16" spans="1:15" s="1963" customFormat="1">
      <c r="A16" s="1973"/>
      <c r="B16" s="2522" t="s">
        <v>3224</v>
      </c>
      <c r="C16" s="1977"/>
      <c r="D16" s="2521">
        <v>1</v>
      </c>
      <c r="E16" s="2521">
        <f>0.3+1+0.3+2.5+0.3</f>
        <v>4.3999999999999995</v>
      </c>
      <c r="F16" s="2521">
        <v>2.2999999999999998</v>
      </c>
      <c r="G16" s="2521">
        <v>7.4999999999999997E-2</v>
      </c>
      <c r="H16" s="1970">
        <f>PRODUCT(D16:G16)</f>
        <v>0.75899999999999979</v>
      </c>
      <c r="I16" s="2488"/>
      <c r="J16" s="2488"/>
      <c r="K16" s="1971"/>
    </row>
    <row r="17" spans="1:11" s="1963" customFormat="1">
      <c r="A17" s="1973"/>
      <c r="B17" s="2521" t="s">
        <v>3222</v>
      </c>
      <c r="C17" s="1977"/>
      <c r="D17" s="2521">
        <v>2</v>
      </c>
      <c r="E17" s="2521">
        <v>5.2</v>
      </c>
      <c r="F17" s="2521">
        <v>0.3</v>
      </c>
      <c r="G17" s="2521">
        <v>7.4999999999999997E-2</v>
      </c>
      <c r="H17" s="1970">
        <f t="shared" ref="H17:H19" si="1">PRODUCT(D17:G17)</f>
        <v>0.23399999999999999</v>
      </c>
      <c r="I17" s="2488"/>
      <c r="J17" s="2488"/>
      <c r="K17" s="1971"/>
    </row>
    <row r="18" spans="1:11" s="1963" customFormat="1">
      <c r="A18" s="1973"/>
      <c r="B18" s="2521" t="s">
        <v>3225</v>
      </c>
      <c r="C18" s="1977"/>
      <c r="D18" s="2521">
        <v>1</v>
      </c>
      <c r="E18" s="2521">
        <v>5.2</v>
      </c>
      <c r="F18" s="2521">
        <v>5</v>
      </c>
      <c r="G18" s="2521">
        <v>7.4999999999999997E-2</v>
      </c>
      <c r="H18" s="1970">
        <f t="shared" si="1"/>
        <v>1.95</v>
      </c>
      <c r="I18" s="2488"/>
      <c r="J18" s="2488"/>
      <c r="K18" s="1971"/>
    </row>
    <row r="19" spans="1:11" s="1963" customFormat="1">
      <c r="A19" s="1973"/>
      <c r="B19" s="2521" t="s">
        <v>3183</v>
      </c>
      <c r="C19" s="1977"/>
      <c r="D19" s="2521">
        <v>1</v>
      </c>
      <c r="E19" s="2521">
        <v>3.5</v>
      </c>
      <c r="F19" s="2521">
        <v>0.35</v>
      </c>
      <c r="G19" s="2521">
        <v>7.4999999999999997E-2</v>
      </c>
      <c r="H19" s="1970">
        <f t="shared" si="1"/>
        <v>9.1874999999999984E-2</v>
      </c>
      <c r="I19" s="2488"/>
      <c r="J19" s="2488"/>
      <c r="K19" s="1971"/>
    </row>
    <row r="20" spans="1:11" s="1963" customFormat="1">
      <c r="A20" s="1973"/>
      <c r="B20" s="1969"/>
      <c r="C20" s="1979" t="s">
        <v>1084</v>
      </c>
      <c r="D20" s="1969"/>
      <c r="E20" s="1969"/>
      <c r="F20" s="1969"/>
      <c r="G20" s="1972" t="s">
        <v>1108</v>
      </c>
      <c r="H20" s="2501">
        <f>SUM(H16:H19)</f>
        <v>3.0348749999999995</v>
      </c>
      <c r="I20" s="2490"/>
      <c r="J20" s="2490"/>
      <c r="K20" s="1971"/>
    </row>
    <row r="21" spans="1:11" s="1963" customFormat="1">
      <c r="A21" s="1973">
        <v>4.2</v>
      </c>
      <c r="B21" s="1972" t="s">
        <v>2865</v>
      </c>
      <c r="C21" s="1979"/>
      <c r="D21" s="1969"/>
      <c r="E21" s="1969"/>
      <c r="F21" s="1969"/>
      <c r="G21" s="1972"/>
      <c r="H21" s="1980"/>
      <c r="I21" s="2490"/>
      <c r="J21" s="2490"/>
      <c r="K21" s="1971"/>
    </row>
    <row r="22" spans="1:11" s="1963" customFormat="1">
      <c r="A22" s="1973"/>
      <c r="B22" s="2522" t="s">
        <v>3226</v>
      </c>
      <c r="C22" s="1977"/>
      <c r="D22" s="2521">
        <v>1</v>
      </c>
      <c r="E22" s="2521">
        <v>4.17</v>
      </c>
      <c r="F22" s="2521">
        <v>0.3</v>
      </c>
      <c r="G22" s="2523">
        <v>1.4</v>
      </c>
      <c r="H22" s="1970">
        <f>PRODUCT(D22:G22)</f>
        <v>1.7513999999999996</v>
      </c>
      <c r="I22" s="2488"/>
      <c r="J22" s="2488"/>
      <c r="K22" s="1971"/>
    </row>
    <row r="23" spans="1:11" s="1963" customFormat="1">
      <c r="A23" s="1973"/>
      <c r="B23" s="2522"/>
      <c r="C23" s="1977"/>
      <c r="D23" s="2521">
        <v>1</v>
      </c>
      <c r="E23" s="2521">
        <v>3.8</v>
      </c>
      <c r="F23" s="2521">
        <v>0.3</v>
      </c>
      <c r="G23" s="2523">
        <v>1.4</v>
      </c>
      <c r="H23" s="1970">
        <f t="shared" ref="H23:H33" si="2">PRODUCT(D23:G23)</f>
        <v>1.5959999999999999</v>
      </c>
      <c r="I23" s="2488"/>
      <c r="J23" s="2488"/>
      <c r="K23" s="1971"/>
    </row>
    <row r="24" spans="1:11" s="1963" customFormat="1">
      <c r="A24" s="1973"/>
      <c r="B24" s="2522" t="s">
        <v>3227</v>
      </c>
      <c r="C24" s="1977"/>
      <c r="D24" s="2521">
        <v>3</v>
      </c>
      <c r="E24" s="2521">
        <f>2.3-0.3-0.3</f>
        <v>1.6999999999999997</v>
      </c>
      <c r="F24" s="2521">
        <v>0.3</v>
      </c>
      <c r="G24" s="2523">
        <v>1.4</v>
      </c>
      <c r="H24" s="1970">
        <f t="shared" si="2"/>
        <v>2.1419999999999995</v>
      </c>
      <c r="I24" s="2488"/>
      <c r="J24" s="2488"/>
      <c r="K24" s="1971"/>
    </row>
    <row r="25" spans="1:11" s="1963" customFormat="1">
      <c r="A25" s="1973"/>
      <c r="B25" s="2522" t="s">
        <v>3228</v>
      </c>
      <c r="C25" s="1977"/>
      <c r="D25" s="2521">
        <v>1</v>
      </c>
      <c r="E25" s="2521">
        <f>(4.17+3.8)/2</f>
        <v>3.9849999999999999</v>
      </c>
      <c r="F25" s="2521">
        <v>2.46</v>
      </c>
      <c r="G25" s="2523">
        <v>0.3</v>
      </c>
      <c r="H25" s="1970">
        <f t="shared" si="2"/>
        <v>2.9409299999999994</v>
      </c>
      <c r="I25" s="2488"/>
      <c r="J25" s="2488"/>
      <c r="K25" s="1971"/>
    </row>
    <row r="26" spans="1:11" s="1963" customFormat="1">
      <c r="A26" s="1973"/>
      <c r="B26" s="2522" t="s">
        <v>3229</v>
      </c>
      <c r="C26" s="1977"/>
      <c r="D26" s="2521">
        <v>1</v>
      </c>
      <c r="E26" s="2521">
        <f>(4.17+3.8)/2</f>
        <v>3.9849999999999999</v>
      </c>
      <c r="F26" s="2521">
        <v>2.4</v>
      </c>
      <c r="G26" s="2523">
        <v>0.125</v>
      </c>
      <c r="H26" s="1970">
        <f t="shared" si="2"/>
        <v>1.1955</v>
      </c>
      <c r="I26" s="2488"/>
      <c r="J26" s="2488"/>
      <c r="K26" s="1971"/>
    </row>
    <row r="27" spans="1:11" s="1963" customFormat="1">
      <c r="A27" s="1967"/>
      <c r="B27" s="2522" t="s">
        <v>3230</v>
      </c>
      <c r="C27" s="1969"/>
      <c r="D27" s="2521">
        <v>1</v>
      </c>
      <c r="E27" s="2521">
        <v>4</v>
      </c>
      <c r="F27" s="2521">
        <v>0.3</v>
      </c>
      <c r="G27" s="2523">
        <v>0.2</v>
      </c>
      <c r="H27" s="1970">
        <f t="shared" si="2"/>
        <v>0.24</v>
      </c>
      <c r="I27" s="2488"/>
      <c r="J27" s="2488"/>
      <c r="K27" s="1971"/>
    </row>
    <row r="28" spans="1:11" s="1963" customFormat="1">
      <c r="A28" s="1967"/>
      <c r="B28" s="2521" t="s">
        <v>3222</v>
      </c>
      <c r="C28" s="1969"/>
      <c r="D28" s="2521">
        <v>2</v>
      </c>
      <c r="E28" s="2521">
        <v>5.2</v>
      </c>
      <c r="F28" s="2521">
        <v>0.3</v>
      </c>
      <c r="G28" s="2523">
        <v>0.6</v>
      </c>
      <c r="H28" s="1970">
        <f t="shared" si="2"/>
        <v>1.8719999999999999</v>
      </c>
      <c r="I28" s="2488"/>
      <c r="J28" s="2488"/>
      <c r="K28" s="1971"/>
    </row>
    <row r="29" spans="1:11" s="1963" customFormat="1">
      <c r="A29" s="1967"/>
      <c r="B29" s="2521" t="s">
        <v>3231</v>
      </c>
      <c r="C29" s="1969"/>
      <c r="D29" s="2521">
        <v>1</v>
      </c>
      <c r="E29" s="2521">
        <v>5.2</v>
      </c>
      <c r="F29" s="2521">
        <v>5</v>
      </c>
      <c r="G29" s="2523">
        <v>0.3</v>
      </c>
      <c r="H29" s="1970">
        <f t="shared" si="2"/>
        <v>7.8</v>
      </c>
      <c r="I29" s="2488"/>
      <c r="J29" s="2488"/>
      <c r="K29" s="1971"/>
    </row>
    <row r="30" spans="1:11" s="1963" customFormat="1">
      <c r="A30" s="1967"/>
      <c r="B30" s="2521" t="s">
        <v>3183</v>
      </c>
      <c r="C30" s="1969"/>
      <c r="D30" s="2521">
        <v>1</v>
      </c>
      <c r="E30" s="2521">
        <v>3.5</v>
      </c>
      <c r="F30" s="2521">
        <v>0.3</v>
      </c>
      <c r="G30" s="2523">
        <v>2.1</v>
      </c>
      <c r="H30" s="1970">
        <f t="shared" si="2"/>
        <v>2.2050000000000001</v>
      </c>
      <c r="I30" s="2488"/>
      <c r="J30" s="2488"/>
      <c r="K30" s="1971"/>
    </row>
    <row r="31" spans="1:11" s="1963" customFormat="1">
      <c r="A31" s="1967"/>
      <c r="B31" s="2521" t="s">
        <v>3232</v>
      </c>
      <c r="C31" s="1969"/>
      <c r="D31" s="2521">
        <v>1</v>
      </c>
      <c r="E31" s="2521">
        <v>5.3</v>
      </c>
      <c r="F31" s="2521">
        <f>(0.3+1.5)/2</f>
        <v>0.9</v>
      </c>
      <c r="G31" s="2523">
        <v>1.1000000000000001</v>
      </c>
      <c r="H31" s="1970">
        <f t="shared" si="2"/>
        <v>5.2469999999999999</v>
      </c>
      <c r="I31" s="2488"/>
      <c r="J31" s="2488"/>
      <c r="K31" s="1971"/>
    </row>
    <row r="32" spans="1:11" s="1963" customFormat="1">
      <c r="A32" s="1967"/>
      <c r="B32" s="2521" t="s">
        <v>3233</v>
      </c>
      <c r="C32" s="1969"/>
      <c r="D32" s="2521">
        <v>1</v>
      </c>
      <c r="E32" s="2521">
        <v>1.7</v>
      </c>
      <c r="F32" s="2521">
        <f>(0.3+1.2)/2</f>
        <v>0.75</v>
      </c>
      <c r="G32" s="2523">
        <v>0.8</v>
      </c>
      <c r="H32" s="1970">
        <f t="shared" si="2"/>
        <v>1.02</v>
      </c>
      <c r="I32" s="2488"/>
      <c r="J32" s="2488"/>
      <c r="K32" s="1971"/>
    </row>
    <row r="33" spans="1:11" s="1963" customFormat="1">
      <c r="A33" s="1967"/>
      <c r="B33" s="1969"/>
      <c r="C33" s="1969"/>
      <c r="D33" s="2521">
        <v>1</v>
      </c>
      <c r="E33" s="2521">
        <f>(0.8+1.7)/2</f>
        <v>1.25</v>
      </c>
      <c r="F33" s="2521">
        <v>0.3</v>
      </c>
      <c r="G33" s="2523">
        <v>1.5</v>
      </c>
      <c r="H33" s="1970">
        <f t="shared" si="2"/>
        <v>0.5625</v>
      </c>
      <c r="I33" s="2490"/>
      <c r="J33" s="2490"/>
      <c r="K33" s="1971"/>
    </row>
    <row r="34" spans="1:11" s="1963" customFormat="1">
      <c r="A34" s="1967"/>
      <c r="B34" s="1969"/>
      <c r="C34" s="1972" t="s">
        <v>1084</v>
      </c>
      <c r="D34" s="1969"/>
      <c r="E34" s="1969"/>
      <c r="F34" s="1969"/>
      <c r="G34" s="1972" t="s">
        <v>1108</v>
      </c>
      <c r="H34" s="2501">
        <f>SUM(H22:H33)</f>
        <v>28.572329999999997</v>
      </c>
      <c r="I34" s="2490"/>
      <c r="J34" s="2490"/>
      <c r="K34" s="1971"/>
    </row>
    <row r="35" spans="1:11" s="1963" customFormat="1">
      <c r="A35" s="1967"/>
      <c r="B35" s="1969"/>
      <c r="C35" s="1972"/>
      <c r="D35" s="1969"/>
      <c r="E35" s="1969"/>
      <c r="F35" s="1969"/>
      <c r="G35" s="1972"/>
      <c r="H35" s="2501"/>
      <c r="I35" s="2490"/>
      <c r="J35" s="2490"/>
      <c r="K35" s="1971"/>
    </row>
    <row r="36" spans="1:11" s="1963" customFormat="1">
      <c r="A36" s="1967">
        <v>6</v>
      </c>
      <c r="B36" s="1972" t="s">
        <v>2866</v>
      </c>
      <c r="C36" s="1972"/>
      <c r="D36" s="1969"/>
      <c r="E36" s="1969"/>
      <c r="F36" s="1969"/>
      <c r="G36" s="1972"/>
      <c r="H36" s="1980"/>
      <c r="I36" s="2490"/>
      <c r="J36" s="2490"/>
      <c r="K36" s="1971"/>
    </row>
    <row r="37" spans="1:11" s="1963" customFormat="1">
      <c r="A37" s="1967"/>
      <c r="B37" s="2522" t="s">
        <v>3226</v>
      </c>
      <c r="C37" s="1969"/>
      <c r="D37" s="2521">
        <f>1*2</f>
        <v>2</v>
      </c>
      <c r="E37" s="2521">
        <v>4.17</v>
      </c>
      <c r="F37" s="2521"/>
      <c r="G37" s="2523">
        <v>1.4</v>
      </c>
      <c r="H37" s="1970">
        <f>PRODUCT(D37:G37)</f>
        <v>11.675999999999998</v>
      </c>
      <c r="I37" s="2488"/>
      <c r="J37" s="2488"/>
      <c r="K37" s="1971"/>
    </row>
    <row r="38" spans="1:11" s="1963" customFormat="1">
      <c r="A38" s="1967"/>
      <c r="B38" s="2522"/>
      <c r="C38" s="1969"/>
      <c r="D38" s="2521">
        <f>1*2</f>
        <v>2</v>
      </c>
      <c r="E38" s="2521">
        <v>3.8</v>
      </c>
      <c r="F38" s="2521"/>
      <c r="G38" s="2523">
        <v>1.4</v>
      </c>
      <c r="H38" s="1970">
        <f t="shared" ref="H38:H47" si="3">PRODUCT(D38:G38)</f>
        <v>10.639999999999999</v>
      </c>
      <c r="I38" s="2488"/>
      <c r="J38" s="2488"/>
      <c r="K38" s="1971"/>
    </row>
    <row r="39" spans="1:11" s="1963" customFormat="1">
      <c r="A39" s="1967"/>
      <c r="B39" s="2522" t="s">
        <v>3227</v>
      </c>
      <c r="C39" s="1969"/>
      <c r="D39" s="2521">
        <f>3*2</f>
        <v>6</v>
      </c>
      <c r="E39" s="2521">
        <f>2.3-0.3-0.3</f>
        <v>1.6999999999999997</v>
      </c>
      <c r="F39" s="2521"/>
      <c r="G39" s="2523">
        <v>1.4</v>
      </c>
      <c r="H39" s="1970">
        <f t="shared" si="3"/>
        <v>14.279999999999998</v>
      </c>
      <c r="I39" s="2488"/>
      <c r="J39" s="2488"/>
      <c r="K39" s="1971"/>
    </row>
    <row r="40" spans="1:11" s="1963" customFormat="1">
      <c r="A40" s="1967"/>
      <c r="B40" s="2522" t="s">
        <v>3234</v>
      </c>
      <c r="C40" s="1969"/>
      <c r="D40" s="2521">
        <v>1</v>
      </c>
      <c r="E40" s="2521">
        <f>4.17+3.8+2.3+2.46</f>
        <v>12.73</v>
      </c>
      <c r="F40" s="2521"/>
      <c r="G40" s="2523">
        <v>0.3</v>
      </c>
      <c r="H40" s="1970">
        <f t="shared" si="3"/>
        <v>3.819</v>
      </c>
      <c r="I40" s="2488"/>
      <c r="J40" s="2488"/>
      <c r="K40" s="1971"/>
    </row>
    <row r="41" spans="1:11" s="1963" customFormat="1">
      <c r="A41" s="1967"/>
      <c r="B41" s="2522" t="s">
        <v>3229</v>
      </c>
      <c r="C41" s="1969"/>
      <c r="D41" s="2521">
        <v>1</v>
      </c>
      <c r="E41" s="2521">
        <f>(4.17+3.8)/2</f>
        <v>3.9849999999999999</v>
      </c>
      <c r="F41" s="2521">
        <v>2.4</v>
      </c>
      <c r="G41" s="2523"/>
      <c r="H41" s="1970">
        <f t="shared" si="3"/>
        <v>9.5640000000000001</v>
      </c>
      <c r="I41" s="2488"/>
      <c r="J41" s="2488"/>
      <c r="K41" s="1971"/>
    </row>
    <row r="42" spans="1:11" s="1963" customFormat="1">
      <c r="A42" s="1967"/>
      <c r="B42" s="2522" t="s">
        <v>3230</v>
      </c>
      <c r="C42" s="1969"/>
      <c r="D42" s="2521">
        <f>1*2</f>
        <v>2</v>
      </c>
      <c r="E42" s="2521">
        <v>4</v>
      </c>
      <c r="F42" s="2521"/>
      <c r="G42" s="2523">
        <v>0.2</v>
      </c>
      <c r="H42" s="1970">
        <f t="shared" si="3"/>
        <v>1.6</v>
      </c>
      <c r="I42" s="2488"/>
      <c r="J42" s="2488"/>
      <c r="K42" s="1971"/>
    </row>
    <row r="43" spans="1:11" s="1963" customFormat="1">
      <c r="A43" s="1967"/>
      <c r="B43" s="2521" t="s">
        <v>3231</v>
      </c>
      <c r="C43" s="1969"/>
      <c r="D43" s="2521">
        <v>1</v>
      </c>
      <c r="E43" s="2521">
        <f>5.2+5.2+5+5</f>
        <v>20.399999999999999</v>
      </c>
      <c r="F43" s="2521"/>
      <c r="G43" s="2523">
        <v>0.3</v>
      </c>
      <c r="H43" s="1970">
        <f t="shared" si="3"/>
        <v>6.1199999999999992</v>
      </c>
      <c r="I43" s="2488"/>
      <c r="J43" s="2488"/>
      <c r="K43" s="1971"/>
    </row>
    <row r="44" spans="1:11" s="1963" customFormat="1">
      <c r="A44" s="1967"/>
      <c r="B44" s="2521" t="s">
        <v>3183</v>
      </c>
      <c r="C44" s="1969"/>
      <c r="D44" s="2521">
        <f>1*2</f>
        <v>2</v>
      </c>
      <c r="E44" s="2521">
        <v>3.5</v>
      </c>
      <c r="F44" s="2521"/>
      <c r="G44" s="2523">
        <v>2.1</v>
      </c>
      <c r="H44" s="1970">
        <f t="shared" si="3"/>
        <v>14.700000000000001</v>
      </c>
      <c r="I44" s="2488"/>
      <c r="J44" s="2488"/>
      <c r="K44" s="1971"/>
    </row>
    <row r="45" spans="1:11" s="1963" customFormat="1">
      <c r="A45" s="1985"/>
      <c r="B45" s="2521" t="s">
        <v>3232</v>
      </c>
      <c r="C45" s="1969"/>
      <c r="D45" s="2521">
        <v>1</v>
      </c>
      <c r="E45" s="2521">
        <v>5.3</v>
      </c>
      <c r="F45" s="2521"/>
      <c r="G45" s="2523">
        <v>1.1000000000000001</v>
      </c>
      <c r="H45" s="1970">
        <f t="shared" si="3"/>
        <v>5.83</v>
      </c>
      <c r="I45" s="2488"/>
      <c r="J45" s="2488"/>
      <c r="K45" s="1971"/>
    </row>
    <row r="46" spans="1:11" s="1963" customFormat="1">
      <c r="A46" s="1985"/>
      <c r="B46" s="2521" t="s">
        <v>3233</v>
      </c>
      <c r="C46" s="1969"/>
      <c r="D46" s="2521">
        <v>1</v>
      </c>
      <c r="E46" s="2521">
        <v>1.7</v>
      </c>
      <c r="F46" s="2521"/>
      <c r="G46" s="2523">
        <v>0.8</v>
      </c>
      <c r="H46" s="1970">
        <f t="shared" si="3"/>
        <v>1.36</v>
      </c>
      <c r="I46" s="2488"/>
      <c r="J46" s="2488"/>
      <c r="K46" s="1971"/>
    </row>
    <row r="47" spans="1:11" s="1963" customFormat="1">
      <c r="A47" s="1985"/>
      <c r="B47" s="2521" t="s">
        <v>3235</v>
      </c>
      <c r="C47" s="1969"/>
      <c r="D47" s="2521">
        <f>1*2</f>
        <v>2</v>
      </c>
      <c r="E47" s="2521">
        <f>(0.8+1.7)/2</f>
        <v>1.25</v>
      </c>
      <c r="F47" s="2521"/>
      <c r="G47" s="2523">
        <v>1.5</v>
      </c>
      <c r="H47" s="1970">
        <f t="shared" si="3"/>
        <v>3.75</v>
      </c>
      <c r="I47" s="2488"/>
      <c r="J47" s="2488"/>
      <c r="K47" s="1971"/>
    </row>
    <row r="48" spans="1:11" s="1963" customFormat="1">
      <c r="A48" s="1985"/>
      <c r="B48" s="1974"/>
      <c r="C48" s="1969"/>
      <c r="D48" s="1969"/>
      <c r="E48" s="1970"/>
      <c r="F48" s="1969"/>
      <c r="G48" s="1972"/>
      <c r="H48" s="1970"/>
      <c r="I48" s="2488"/>
      <c r="J48" s="2488"/>
      <c r="K48" s="1971"/>
    </row>
    <row r="49" spans="1:11" s="1963" customFormat="1">
      <c r="A49" s="1985"/>
      <c r="B49" s="1969"/>
      <c r="C49" s="1972" t="s">
        <v>2862</v>
      </c>
      <c r="D49" s="1969"/>
      <c r="E49" s="1969"/>
      <c r="F49" s="1969"/>
      <c r="G49" s="1972" t="s">
        <v>1108</v>
      </c>
      <c r="H49" s="2501">
        <f>SUM(H37:H48)</f>
        <v>83.338999999999984</v>
      </c>
      <c r="I49" s="2490"/>
      <c r="J49" s="2490"/>
      <c r="K49" s="1971"/>
    </row>
    <row r="50" spans="1:11" s="1963" customFormat="1">
      <c r="A50" s="1985"/>
      <c r="B50" s="1969"/>
      <c r="C50" s="1972"/>
      <c r="D50" s="1969"/>
      <c r="E50" s="1969"/>
      <c r="F50" s="1969"/>
      <c r="G50" s="1972"/>
      <c r="H50" s="1980"/>
      <c r="I50" s="2490"/>
      <c r="J50" s="2490"/>
      <c r="K50" s="1971"/>
    </row>
    <row r="51" spans="1:11" s="1963" customFormat="1">
      <c r="A51" s="1967">
        <v>7</v>
      </c>
      <c r="B51" s="1972" t="s">
        <v>2867</v>
      </c>
      <c r="C51" s="1972" t="s">
        <v>1034</v>
      </c>
      <c r="D51" s="1969"/>
      <c r="E51" s="1969"/>
      <c r="F51" s="1969"/>
      <c r="G51" s="1969"/>
      <c r="H51" s="2501">
        <f>H34*7850*0.008</f>
        <v>1794.3423239999997</v>
      </c>
      <c r="I51" s="2490"/>
      <c r="J51" s="1980"/>
      <c r="K51" s="1971"/>
    </row>
    <row r="52" spans="1:11" s="1963" customFormat="1" ht="17.25" customHeight="1">
      <c r="A52" s="1986"/>
      <c r="B52" s="1987"/>
      <c r="C52" s="1987"/>
      <c r="D52" s="1976"/>
      <c r="E52" s="1976"/>
      <c r="F52" s="1976"/>
      <c r="G52" s="1976"/>
      <c r="H52" s="1988"/>
      <c r="I52" s="2491"/>
      <c r="J52" s="2491"/>
      <c r="K52" s="1989"/>
    </row>
    <row r="53" spans="1:11" s="1963" customFormat="1" hidden="1">
      <c r="A53" s="1986">
        <v>10</v>
      </c>
      <c r="B53" s="1987" t="s">
        <v>2908</v>
      </c>
      <c r="C53" s="1976"/>
      <c r="D53" s="1976"/>
      <c r="E53" s="1976"/>
      <c r="F53" s="1976"/>
      <c r="G53" s="1976"/>
      <c r="H53" s="1990"/>
      <c r="I53" s="2492"/>
      <c r="J53" s="2492"/>
      <c r="K53" s="1989"/>
    </row>
    <row r="54" spans="1:11" s="1963" customFormat="1" hidden="1">
      <c r="A54" s="1991"/>
      <c r="B54" s="1969" t="s">
        <v>1324</v>
      </c>
      <c r="C54" s="1969" t="s">
        <v>2862</v>
      </c>
      <c r="D54" s="1976">
        <v>1</v>
      </c>
      <c r="E54" s="1976">
        <v>2.5</v>
      </c>
      <c r="F54" s="1976">
        <v>1.5</v>
      </c>
      <c r="G54" s="1976"/>
      <c r="H54" s="1970">
        <f>+ROUND(PRODUCT(D54:G54),2)</f>
        <v>3.75</v>
      </c>
      <c r="I54" s="2492"/>
      <c r="J54" s="2492"/>
      <c r="K54" s="1989"/>
    </row>
    <row r="55" spans="1:11" s="1963" customFormat="1" hidden="1">
      <c r="A55" s="1991"/>
      <c r="B55" s="1974" t="s">
        <v>2903</v>
      </c>
      <c r="C55" s="1969" t="s">
        <v>2862</v>
      </c>
      <c r="D55" s="1976">
        <v>2</v>
      </c>
      <c r="E55" s="1976">
        <f>+(E54+F54)*2</f>
        <v>8</v>
      </c>
      <c r="F55" s="1976"/>
      <c r="G55" s="1976">
        <v>2.15</v>
      </c>
      <c r="H55" s="1970">
        <f>+ROUND(PRODUCT(D55:G55),2)</f>
        <v>34.4</v>
      </c>
      <c r="I55" s="2492"/>
      <c r="J55" s="2492"/>
      <c r="K55" s="1989"/>
    </row>
    <row r="56" spans="1:11" s="1963" customFormat="1" hidden="1">
      <c r="A56" s="1991"/>
      <c r="B56" s="1969" t="s">
        <v>1624</v>
      </c>
      <c r="C56" s="1969" t="s">
        <v>2862</v>
      </c>
      <c r="D56" s="1976">
        <v>1</v>
      </c>
      <c r="E56" s="1976">
        <v>1.5</v>
      </c>
      <c r="F56" s="1976">
        <v>1</v>
      </c>
      <c r="G56" s="1976"/>
      <c r="H56" s="1970">
        <f>+ROUND(PRODUCT(D56:G56),2)</f>
        <v>1.5</v>
      </c>
      <c r="I56" s="2492"/>
      <c r="J56" s="2492"/>
      <c r="K56" s="1989"/>
    </row>
    <row r="57" spans="1:11" s="1963" customFormat="1" hidden="1">
      <c r="A57" s="1991"/>
      <c r="B57" s="1974" t="s">
        <v>2903</v>
      </c>
      <c r="C57" s="1969" t="s">
        <v>2862</v>
      </c>
      <c r="D57" s="1976">
        <v>2</v>
      </c>
      <c r="E57" s="1976">
        <f>+(E56+F56)*2</f>
        <v>5</v>
      </c>
      <c r="F57" s="1976"/>
      <c r="G57" s="1990">
        <f>G46</f>
        <v>0.8</v>
      </c>
      <c r="H57" s="1970">
        <f>+ROUND(PRODUCT(D57:G57),2)</f>
        <v>8</v>
      </c>
      <c r="I57" s="2492"/>
      <c r="J57" s="2492"/>
      <c r="K57" s="1989"/>
    </row>
    <row r="58" spans="1:11" s="1963" customFormat="1" hidden="1">
      <c r="A58" s="1991"/>
      <c r="B58" s="1976"/>
      <c r="C58" s="1972" t="s">
        <v>2862</v>
      </c>
      <c r="D58" s="1969"/>
      <c r="E58" s="1969"/>
      <c r="F58" s="1969"/>
      <c r="G58" s="1972" t="s">
        <v>1108</v>
      </c>
      <c r="H58" s="1980">
        <f>SUM(H54:H57)</f>
        <v>47.65</v>
      </c>
      <c r="I58" s="2491"/>
      <c r="J58" s="2491"/>
      <c r="K58" s="1989"/>
    </row>
    <row r="59" spans="1:11" s="1963" customFormat="1" ht="25.5">
      <c r="A59" s="1986">
        <v>11</v>
      </c>
      <c r="B59" s="1992" t="s">
        <v>2870</v>
      </c>
      <c r="C59" s="1976"/>
      <c r="D59" s="1976"/>
      <c r="E59" s="1976"/>
      <c r="F59" s="1976"/>
      <c r="G59" s="1976"/>
      <c r="H59" s="1990"/>
      <c r="I59" s="2492"/>
      <c r="J59" s="2492"/>
      <c r="K59" s="1989"/>
    </row>
    <row r="60" spans="1:11" s="1963" customFormat="1">
      <c r="A60" s="1991"/>
      <c r="B60" s="1969"/>
      <c r="C60" s="1976"/>
      <c r="D60" s="1976">
        <v>2</v>
      </c>
      <c r="E60" s="1976">
        <v>2.15</v>
      </c>
      <c r="F60" s="1976"/>
      <c r="G60" s="1976">
        <v>1.4</v>
      </c>
      <c r="H60" s="1990">
        <f>PRODUCT(D60:G60)</f>
        <v>6.02</v>
      </c>
      <c r="I60" s="2492"/>
      <c r="J60" s="2492"/>
      <c r="K60" s="1989"/>
    </row>
    <row r="61" spans="1:11" s="1963" customFormat="1">
      <c r="A61" s="1991"/>
      <c r="B61" s="1974"/>
      <c r="C61" s="1969"/>
      <c r="D61" s="1976">
        <v>2</v>
      </c>
      <c r="E61" s="1976">
        <v>3.27</v>
      </c>
      <c r="F61" s="1976"/>
      <c r="G61" s="1976">
        <v>1.4</v>
      </c>
      <c r="H61" s="1990">
        <f t="shared" ref="H61:H62" si="4">PRODUCT(D61:G61)</f>
        <v>9.1559999999999988</v>
      </c>
      <c r="I61" s="2492"/>
      <c r="J61" s="2492"/>
      <c r="K61" s="1989"/>
    </row>
    <row r="62" spans="1:11" s="1963" customFormat="1">
      <c r="A62" s="1991"/>
      <c r="B62" s="1974"/>
      <c r="C62" s="1969"/>
      <c r="D62" s="1976">
        <v>1</v>
      </c>
      <c r="E62" s="1976">
        <v>2.15</v>
      </c>
      <c r="F62" s="1976">
        <v>3.27</v>
      </c>
      <c r="G62" s="1976"/>
      <c r="H62" s="1990">
        <f t="shared" si="4"/>
        <v>7.0305</v>
      </c>
      <c r="I62" s="2492"/>
      <c r="J62" s="2492"/>
      <c r="K62" s="1989"/>
    </row>
    <row r="63" spans="1:11" s="1963" customFormat="1">
      <c r="A63" s="1991"/>
      <c r="B63" s="1993"/>
      <c r="C63" s="1972" t="s">
        <v>2862</v>
      </c>
      <c r="D63" s="1969"/>
      <c r="E63" s="1969"/>
      <c r="F63" s="1969"/>
      <c r="G63" s="1972" t="s">
        <v>1108</v>
      </c>
      <c r="H63" s="1980">
        <f>SUM(H60:H62)</f>
        <v>22.206499999999998</v>
      </c>
      <c r="I63" s="2491"/>
      <c r="J63" s="2491"/>
      <c r="K63" s="1989"/>
    </row>
    <row r="64" spans="1:11" s="1963" customFormat="1">
      <c r="A64" s="1986">
        <v>12</v>
      </c>
      <c r="B64" s="1994" t="s">
        <v>2871</v>
      </c>
      <c r="C64" s="1972"/>
      <c r="D64" s="1976"/>
      <c r="E64" s="1976"/>
      <c r="F64" s="1976"/>
      <c r="G64" s="1976"/>
      <c r="H64" s="1980"/>
      <c r="I64" s="2491"/>
      <c r="J64" s="2491"/>
      <c r="K64" s="1989"/>
    </row>
    <row r="65" spans="1:11" s="1963" customFormat="1">
      <c r="A65" s="1991"/>
      <c r="B65" s="1995" t="s">
        <v>2909</v>
      </c>
      <c r="C65" s="1969"/>
      <c r="D65" s="1976"/>
      <c r="E65" s="1976"/>
      <c r="F65" s="1976"/>
      <c r="G65" s="1976"/>
      <c r="H65" s="1980"/>
      <c r="I65" s="2491"/>
      <c r="J65" s="2491"/>
      <c r="K65" s="1989"/>
    </row>
    <row r="66" spans="1:11" s="1963" customFormat="1">
      <c r="A66" s="1991"/>
      <c r="B66" s="1995" t="s">
        <v>3210</v>
      </c>
      <c r="C66" s="1969" t="s">
        <v>1084</v>
      </c>
      <c r="D66" s="1976">
        <v>19</v>
      </c>
      <c r="E66" s="1976">
        <v>2</v>
      </c>
      <c r="F66" s="1976">
        <v>1</v>
      </c>
      <c r="G66" s="1976">
        <v>1</v>
      </c>
      <c r="H66" s="1970">
        <f>+ROUND(PRODUCT(D66:G66),2)</f>
        <v>38</v>
      </c>
      <c r="I66" s="2492"/>
      <c r="J66" s="2492"/>
      <c r="K66" s="1989"/>
    </row>
    <row r="67" spans="1:11" s="1963" customFormat="1">
      <c r="A67" s="1991"/>
      <c r="B67" s="1995"/>
      <c r="C67" s="1976"/>
      <c r="D67" s="1976"/>
      <c r="E67" s="1976"/>
      <c r="F67" s="1976"/>
      <c r="G67" s="1976"/>
      <c r="H67" s="1990"/>
      <c r="I67" s="2492"/>
      <c r="J67" s="2492"/>
      <c r="K67" s="1989"/>
    </row>
    <row r="68" spans="1:11" s="1963" customFormat="1">
      <c r="A68" s="1996">
        <v>13</v>
      </c>
      <c r="B68" s="1997" t="s">
        <v>2874</v>
      </c>
      <c r="C68" s="1998" t="s">
        <v>1087</v>
      </c>
      <c r="D68" s="1998">
        <v>2</v>
      </c>
      <c r="E68" s="1998"/>
      <c r="F68" s="1998"/>
      <c r="G68" s="1998"/>
      <c r="H68" s="1999">
        <f t="shared" ref="H68:H77" si="5">+ROUND(PRODUCT(D68:G68),2)</f>
        <v>2</v>
      </c>
      <c r="I68" s="2493"/>
      <c r="J68" s="2493"/>
      <c r="K68" s="2000"/>
    </row>
    <row r="69" spans="1:11" s="1963" customFormat="1" hidden="1">
      <c r="A69" s="2001">
        <v>15</v>
      </c>
      <c r="B69" s="2002" t="s">
        <v>2875</v>
      </c>
      <c r="C69" s="2003"/>
      <c r="D69" s="2003"/>
      <c r="E69" s="2003"/>
      <c r="F69" s="2003"/>
      <c r="G69" s="2003"/>
      <c r="H69" s="2004"/>
      <c r="I69" s="2494"/>
      <c r="J69" s="2494"/>
      <c r="K69" s="2005"/>
    </row>
    <row r="70" spans="1:11" s="2009" customFormat="1" ht="12.75" hidden="1">
      <c r="A70" s="2006"/>
      <c r="B70" s="2007" t="s">
        <v>2876</v>
      </c>
      <c r="C70" s="1969" t="s">
        <v>1087</v>
      </c>
      <c r="D70" s="1969">
        <v>2</v>
      </c>
      <c r="E70" s="2008"/>
      <c r="F70" s="2008"/>
      <c r="G70" s="2008"/>
      <c r="H70" s="1970">
        <f t="shared" si="5"/>
        <v>2</v>
      </c>
      <c r="I70" s="2488"/>
      <c r="J70" s="2488"/>
      <c r="K70" s="1971"/>
    </row>
    <row r="71" spans="1:11" s="2009" customFormat="1" ht="12.75" hidden="1">
      <c r="A71" s="2006"/>
      <c r="B71" s="2007" t="s">
        <v>2877</v>
      </c>
      <c r="C71" s="1969" t="s">
        <v>1087</v>
      </c>
      <c r="D71" s="1969">
        <v>2</v>
      </c>
      <c r="E71" s="2008"/>
      <c r="F71" s="2008"/>
      <c r="G71" s="2008"/>
      <c r="H71" s="1970">
        <f t="shared" si="5"/>
        <v>2</v>
      </c>
      <c r="I71" s="2488"/>
      <c r="J71" s="2488"/>
      <c r="K71" s="1971"/>
    </row>
    <row r="72" spans="1:11" s="2009" customFormat="1" ht="12.75" hidden="1">
      <c r="A72" s="2006"/>
      <c r="B72" s="2007" t="s">
        <v>2878</v>
      </c>
      <c r="C72" s="1969" t="s">
        <v>1087</v>
      </c>
      <c r="D72" s="1969">
        <v>10</v>
      </c>
      <c r="E72" s="2008"/>
      <c r="F72" s="2008"/>
      <c r="G72" s="2008"/>
      <c r="H72" s="1970">
        <f t="shared" si="5"/>
        <v>10</v>
      </c>
      <c r="I72" s="2488"/>
      <c r="J72" s="2488"/>
      <c r="K72" s="1971"/>
    </row>
    <row r="73" spans="1:11" s="2009" customFormat="1" ht="12.75" hidden="1">
      <c r="A73" s="2006"/>
      <c r="B73" s="2007" t="s">
        <v>2879</v>
      </c>
      <c r="C73" s="1969" t="s">
        <v>1087</v>
      </c>
      <c r="D73" s="1969">
        <v>2</v>
      </c>
      <c r="E73" s="2008"/>
      <c r="F73" s="2008"/>
      <c r="G73" s="2008"/>
      <c r="H73" s="1970">
        <f t="shared" si="5"/>
        <v>2</v>
      </c>
      <c r="I73" s="2488"/>
      <c r="J73" s="2488"/>
      <c r="K73" s="1971"/>
    </row>
    <row r="74" spans="1:11" s="2009" customFormat="1" ht="12.75" hidden="1">
      <c r="A74" s="2006"/>
      <c r="B74" s="2007" t="s">
        <v>2880</v>
      </c>
      <c r="C74" s="1969" t="s">
        <v>1087</v>
      </c>
      <c r="D74" s="1969">
        <v>2</v>
      </c>
      <c r="E74" s="2008"/>
      <c r="F74" s="2008"/>
      <c r="G74" s="2008"/>
      <c r="H74" s="1970">
        <f t="shared" si="5"/>
        <v>2</v>
      </c>
      <c r="I74" s="2488"/>
      <c r="J74" s="2488"/>
      <c r="K74" s="1971"/>
    </row>
    <row r="75" spans="1:11" s="2009" customFormat="1" ht="12.75" hidden="1">
      <c r="A75" s="2006"/>
      <c r="B75" s="2007" t="s">
        <v>2881</v>
      </c>
      <c r="C75" s="1969" t="s">
        <v>1087</v>
      </c>
      <c r="D75" s="1969">
        <v>2</v>
      </c>
      <c r="E75" s="2008"/>
      <c r="F75" s="2008"/>
      <c r="G75" s="2008"/>
      <c r="H75" s="1970">
        <f t="shared" si="5"/>
        <v>2</v>
      </c>
      <c r="I75" s="2488"/>
      <c r="J75" s="2488"/>
      <c r="K75" s="1971"/>
    </row>
    <row r="76" spans="1:11" s="2009" customFormat="1" ht="12.75" hidden="1">
      <c r="A76" s="2006"/>
      <c r="B76" s="2007" t="s">
        <v>2882</v>
      </c>
      <c r="C76" s="1969" t="s">
        <v>1087</v>
      </c>
      <c r="D76" s="1969">
        <v>2</v>
      </c>
      <c r="E76" s="2008"/>
      <c r="F76" s="2008"/>
      <c r="G76" s="2008"/>
      <c r="H76" s="1970">
        <f t="shared" si="5"/>
        <v>2</v>
      </c>
      <c r="I76" s="2488"/>
      <c r="J76" s="2488"/>
      <c r="K76" s="1971"/>
    </row>
    <row r="77" spans="1:11" s="2009" customFormat="1" ht="12.75" hidden="1">
      <c r="A77" s="2010"/>
      <c r="B77" s="2011" t="s">
        <v>2883</v>
      </c>
      <c r="C77" s="1998" t="s">
        <v>1087</v>
      </c>
      <c r="D77" s="1998">
        <v>1</v>
      </c>
      <c r="E77" s="2012"/>
      <c r="F77" s="2012"/>
      <c r="G77" s="2012"/>
      <c r="H77" s="1999">
        <f t="shared" si="5"/>
        <v>1</v>
      </c>
      <c r="I77" s="2493"/>
      <c r="J77" s="2493"/>
      <c r="K77" s="2000"/>
    </row>
    <row r="78" spans="1:11" s="2009" customFormat="1" ht="12.75">
      <c r="B78" s="2013"/>
      <c r="C78" s="2014"/>
      <c r="D78" s="2015"/>
      <c r="E78" s="2016"/>
      <c r="F78" s="2016"/>
      <c r="G78" s="2017"/>
    </row>
    <row r="79" spans="1:11" hidden="1">
      <c r="A79" s="3020" t="s">
        <v>2924</v>
      </c>
      <c r="B79" s="3020"/>
      <c r="C79" s="1962"/>
      <c r="D79" s="1962"/>
      <c r="E79" s="1962"/>
      <c r="F79" s="1962"/>
      <c r="G79" s="1962"/>
      <c r="H79" s="1962"/>
      <c r="I79" s="1962"/>
      <c r="J79" s="1962"/>
      <c r="K79" s="1962"/>
    </row>
    <row r="80" spans="1:11" hidden="1">
      <c r="A80" s="1964" t="s">
        <v>908</v>
      </c>
      <c r="B80" s="1965" t="s">
        <v>2861</v>
      </c>
      <c r="C80" s="1965" t="s">
        <v>1035</v>
      </c>
      <c r="D80" s="1965" t="s">
        <v>1087</v>
      </c>
      <c r="E80" s="1965" t="s">
        <v>2895</v>
      </c>
      <c r="F80" s="1965" t="s">
        <v>2896</v>
      </c>
      <c r="G80" s="1965" t="s">
        <v>2897</v>
      </c>
      <c r="H80" s="1965" t="s">
        <v>964</v>
      </c>
      <c r="I80" s="2487"/>
      <c r="J80" s="2487"/>
      <c r="K80" s="1966" t="s">
        <v>1055</v>
      </c>
    </row>
    <row r="81" spans="1:15" hidden="1">
      <c r="A81" s="2018">
        <v>1</v>
      </c>
      <c r="B81" s="1972" t="s">
        <v>2898</v>
      </c>
      <c r="C81" s="2019"/>
      <c r="D81" s="2019"/>
      <c r="E81" s="2019"/>
      <c r="F81" s="2019"/>
      <c r="G81" s="2019"/>
      <c r="H81" s="2019"/>
      <c r="I81" s="2495"/>
      <c r="J81" s="2495"/>
      <c r="K81" s="2020"/>
    </row>
    <row r="82" spans="1:15" hidden="1">
      <c r="A82" s="2021"/>
      <c r="B82" s="2019"/>
      <c r="C82" s="1969" t="s">
        <v>520</v>
      </c>
      <c r="D82" s="2022">
        <v>1</v>
      </c>
      <c r="E82" s="2022">
        <v>50</v>
      </c>
      <c r="F82" s="2022">
        <f>1.68+1</f>
        <v>2.6799999999999997</v>
      </c>
      <c r="G82" s="2022">
        <v>1</v>
      </c>
      <c r="H82" s="1970">
        <f>+ROUND(PRODUCT(D82:G82),2)</f>
        <v>134</v>
      </c>
      <c r="I82" s="2496"/>
      <c r="J82" s="2496"/>
      <c r="K82" s="2020"/>
    </row>
    <row r="83" spans="1:15" hidden="1">
      <c r="A83" s="2021"/>
      <c r="B83" s="2019"/>
      <c r="C83" s="1972" t="s">
        <v>520</v>
      </c>
      <c r="D83" s="2022"/>
      <c r="E83" s="2022"/>
      <c r="F83" s="2022"/>
      <c r="G83" s="2022"/>
      <c r="H83" s="2023">
        <f>SUM(H82:H82)</f>
        <v>134</v>
      </c>
      <c r="I83" s="2497"/>
      <c r="J83" s="2497"/>
      <c r="K83" s="2020"/>
    </row>
    <row r="84" spans="1:15" hidden="1">
      <c r="A84" s="2021">
        <v>2</v>
      </c>
      <c r="B84" s="2024" t="s">
        <v>2884</v>
      </c>
      <c r="C84" s="2025"/>
      <c r="D84" s="2022"/>
      <c r="E84" s="2022"/>
      <c r="F84" s="2022"/>
      <c r="G84" s="2022"/>
      <c r="H84" s="2023"/>
      <c r="I84" s="2497"/>
      <c r="J84" s="2497"/>
      <c r="K84" s="2020"/>
    </row>
    <row r="85" spans="1:15" hidden="1">
      <c r="A85" s="2021"/>
      <c r="B85" s="2019"/>
      <c r="C85" s="1969" t="s">
        <v>520</v>
      </c>
      <c r="D85" s="2022">
        <v>1</v>
      </c>
      <c r="E85" s="2022">
        <f>E82*50%</f>
        <v>25</v>
      </c>
      <c r="F85" s="2022">
        <v>1.2</v>
      </c>
      <c r="G85" s="2022">
        <f>G82</f>
        <v>1</v>
      </c>
      <c r="H85" s="1970">
        <f>+ROUND(PRODUCT(D85:G85),2)</f>
        <v>30</v>
      </c>
      <c r="I85" s="2496"/>
      <c r="J85" s="2496"/>
      <c r="K85" s="2020"/>
    </row>
    <row r="86" spans="1:15" hidden="1">
      <c r="A86" s="2021"/>
      <c r="B86" s="2019"/>
      <c r="C86" s="1972" t="s">
        <v>520</v>
      </c>
      <c r="D86" s="2022"/>
      <c r="E86" s="2022"/>
      <c r="F86" s="2022"/>
      <c r="G86" s="2022"/>
      <c r="H86" s="2023">
        <f>SUM(H85:H85)</f>
        <v>30</v>
      </c>
      <c r="I86" s="2497"/>
      <c r="J86" s="2497"/>
      <c r="K86" s="2020"/>
    </row>
    <row r="87" spans="1:15" hidden="1">
      <c r="A87" s="2021"/>
      <c r="B87" s="2019"/>
      <c r="C87" s="2025"/>
      <c r="D87" s="2022"/>
      <c r="E87" s="2022"/>
      <c r="F87" s="2022"/>
      <c r="G87" s="2022"/>
      <c r="H87" s="2023"/>
      <c r="I87" s="2497"/>
      <c r="J87" s="2497"/>
      <c r="K87" s="2020"/>
    </row>
    <row r="88" spans="1:15" hidden="1">
      <c r="A88" s="2021">
        <v>4</v>
      </c>
      <c r="B88" s="2024" t="s">
        <v>2885</v>
      </c>
      <c r="C88" s="2019"/>
      <c r="D88" s="2019"/>
      <c r="E88" s="2019"/>
      <c r="F88" s="2019"/>
      <c r="G88" s="2019"/>
      <c r="H88" s="2019"/>
      <c r="I88" s="2495"/>
      <c r="J88" s="2495"/>
      <c r="K88" s="2020"/>
    </row>
    <row r="89" spans="1:15" hidden="1">
      <c r="A89" s="2021">
        <v>4.0999999999999996</v>
      </c>
      <c r="B89" s="2024" t="s">
        <v>2886</v>
      </c>
      <c r="C89" s="1969" t="s">
        <v>520</v>
      </c>
      <c r="D89" s="2022">
        <v>1</v>
      </c>
      <c r="E89" s="2022">
        <f>E82</f>
        <v>50</v>
      </c>
      <c r="F89" s="2022">
        <v>1.68</v>
      </c>
      <c r="G89" s="2022">
        <v>0.2</v>
      </c>
      <c r="H89" s="1970">
        <f>+ROUND(PRODUCT(D89:G89),2)</f>
        <v>16.8</v>
      </c>
      <c r="I89" s="2496"/>
      <c r="J89" s="2496"/>
      <c r="K89" s="2020"/>
    </row>
    <row r="90" spans="1:15" hidden="1">
      <c r="A90" s="2021"/>
      <c r="B90" s="2019"/>
      <c r="C90" s="1972" t="s">
        <v>520</v>
      </c>
      <c r="D90" s="2019"/>
      <c r="E90" s="2019"/>
      <c r="F90" s="2019"/>
      <c r="G90" s="2019"/>
      <c r="H90" s="1980">
        <f>SUM(H89:H89)</f>
        <v>16.8</v>
      </c>
      <c r="I90" s="2497"/>
      <c r="J90" s="2497"/>
      <c r="K90" s="2020"/>
    </row>
    <row r="91" spans="1:15" hidden="1">
      <c r="A91" s="2021">
        <v>4.3</v>
      </c>
      <c r="B91" s="2024" t="s">
        <v>2887</v>
      </c>
      <c r="C91" s="1969"/>
      <c r="D91" s="2022"/>
      <c r="E91" s="2022"/>
      <c r="F91" s="2022"/>
      <c r="G91" s="2022"/>
      <c r="H91" s="1970"/>
      <c r="I91" s="2496"/>
      <c r="J91" s="2496"/>
      <c r="K91" s="2020"/>
    </row>
    <row r="92" spans="1:15" hidden="1">
      <c r="A92" s="2021"/>
      <c r="B92" s="2019"/>
      <c r="C92" s="1969" t="s">
        <v>520</v>
      </c>
      <c r="D92" s="2022">
        <v>1</v>
      </c>
      <c r="E92" s="2022">
        <f>E89</f>
        <v>50</v>
      </c>
      <c r="F92" s="2022">
        <v>0.35</v>
      </c>
      <c r="G92" s="2022">
        <v>0.32</v>
      </c>
      <c r="H92" s="1970">
        <f>+ROUND(PRODUCT(D92:G92),2)</f>
        <v>5.6</v>
      </c>
      <c r="I92" s="2496"/>
      <c r="J92" s="2496"/>
      <c r="K92" s="2020"/>
      <c r="N92" s="1961">
        <f>7/3.281</f>
        <v>2.1334958854007922</v>
      </c>
      <c r="O92" s="1961">
        <f>1.5*3.281</f>
        <v>4.9215</v>
      </c>
    </row>
    <row r="93" spans="1:15" hidden="1">
      <c r="A93" s="2021"/>
      <c r="B93" s="1982" t="s">
        <v>2910</v>
      </c>
      <c r="C93" s="1969" t="s">
        <v>520</v>
      </c>
      <c r="D93" s="2022">
        <v>2</v>
      </c>
      <c r="E93" s="2022">
        <v>0.45</v>
      </c>
      <c r="F93" s="2022">
        <v>0.45</v>
      </c>
      <c r="G93" s="2022">
        <v>1.5</v>
      </c>
      <c r="H93" s="1970">
        <f>+ROUND(PRODUCT(D93:G93),2)</f>
        <v>0.61</v>
      </c>
      <c r="I93" s="2496"/>
      <c r="J93" s="2496"/>
      <c r="K93" s="2020"/>
    </row>
    <row r="94" spans="1:15" hidden="1">
      <c r="A94" s="2021"/>
      <c r="B94" s="2019"/>
      <c r="C94" s="1972" t="s">
        <v>520</v>
      </c>
      <c r="D94" s="2022"/>
      <c r="E94" s="2022"/>
      <c r="F94" s="2022"/>
      <c r="G94" s="2022"/>
      <c r="H94" s="1980">
        <f>SUM(H92:H93)</f>
        <v>6.21</v>
      </c>
      <c r="I94" s="2497"/>
      <c r="J94" s="2497"/>
      <c r="K94" s="2020"/>
    </row>
    <row r="95" spans="1:15" hidden="1">
      <c r="A95" s="2021">
        <v>5</v>
      </c>
      <c r="B95" s="2024" t="s">
        <v>2864</v>
      </c>
      <c r="C95" s="1972"/>
      <c r="D95" s="2022"/>
      <c r="E95" s="2022"/>
      <c r="F95" s="2022"/>
      <c r="G95" s="2022"/>
      <c r="H95" s="1980"/>
      <c r="I95" s="2497"/>
      <c r="J95" s="2497"/>
      <c r="K95" s="2020"/>
    </row>
    <row r="96" spans="1:15" hidden="1">
      <c r="A96" s="2021"/>
      <c r="B96" s="2024" t="s">
        <v>2888</v>
      </c>
      <c r="C96" s="1972"/>
      <c r="D96" s="2022"/>
      <c r="E96" s="2022"/>
      <c r="F96" s="2022"/>
      <c r="G96" s="2022"/>
      <c r="H96" s="1980"/>
      <c r="I96" s="2497"/>
      <c r="J96" s="2497"/>
      <c r="K96" s="2020"/>
    </row>
    <row r="97" spans="1:11" hidden="1">
      <c r="A97" s="2021"/>
      <c r="B97" s="2024"/>
      <c r="C97" s="1969" t="s">
        <v>520</v>
      </c>
      <c r="D97" s="2022">
        <f>D92</f>
        <v>1</v>
      </c>
      <c r="E97" s="2022">
        <f>E92</f>
        <v>50</v>
      </c>
      <c r="F97" s="2022">
        <f>F89</f>
        <v>1.68</v>
      </c>
      <c r="G97" s="2022">
        <v>0.1</v>
      </c>
      <c r="H97" s="1970">
        <f>+ROUND(PRODUCT(D97:G97),2)</f>
        <v>8.4</v>
      </c>
      <c r="I97" s="2496"/>
      <c r="J97" s="2496"/>
      <c r="K97" s="2020"/>
    </row>
    <row r="98" spans="1:11" hidden="1">
      <c r="A98" s="2021"/>
      <c r="B98" s="1982" t="s">
        <v>2911</v>
      </c>
      <c r="C98" s="1969" t="s">
        <v>520</v>
      </c>
      <c r="D98" s="2022">
        <f>E92/2+3</f>
        <v>28</v>
      </c>
      <c r="E98" s="2026">
        <v>0.13</v>
      </c>
      <c r="F98" s="2027">
        <v>0.13</v>
      </c>
      <c r="G98" s="2027">
        <v>0.05</v>
      </c>
      <c r="H98" s="1970">
        <f>+ROUND(PRODUCT(D98:G98),2)</f>
        <v>0.02</v>
      </c>
      <c r="I98" s="2496"/>
      <c r="J98" s="2496"/>
      <c r="K98" s="2020"/>
    </row>
    <row r="99" spans="1:11" hidden="1">
      <c r="A99" s="2021"/>
      <c r="B99" s="1982" t="s">
        <v>2912</v>
      </c>
      <c r="C99" s="1969" t="s">
        <v>520</v>
      </c>
      <c r="D99" s="2022">
        <f>D98</f>
        <v>28</v>
      </c>
      <c r="E99" s="2026">
        <v>0.13</v>
      </c>
      <c r="F99" s="2026">
        <v>3.5000000000000003E-2</v>
      </c>
      <c r="G99" s="2026">
        <v>0.26</v>
      </c>
      <c r="H99" s="1970">
        <f>+ROUND(PRODUCT(D99:G99),2)</f>
        <v>0.03</v>
      </c>
      <c r="I99" s="2496"/>
      <c r="J99" s="2496"/>
      <c r="K99" s="2020"/>
    </row>
    <row r="100" spans="1:11" hidden="1">
      <c r="A100" s="2021"/>
      <c r="B100" s="2024"/>
      <c r="C100" s="1972" t="s">
        <v>520</v>
      </c>
      <c r="D100" s="2022"/>
      <c r="E100" s="2022"/>
      <c r="F100" s="2022"/>
      <c r="G100" s="2022"/>
      <c r="H100" s="1980">
        <f>SUM(H97:H99)</f>
        <v>8.4499999999999993</v>
      </c>
      <c r="I100" s="2497"/>
      <c r="J100" s="2497"/>
      <c r="K100" s="2020"/>
    </row>
    <row r="101" spans="1:11" hidden="1">
      <c r="A101" s="2021"/>
      <c r="B101" s="2024" t="s">
        <v>2889</v>
      </c>
      <c r="C101" s="1972"/>
      <c r="D101" s="2022"/>
      <c r="E101" s="2022"/>
      <c r="F101" s="2022"/>
      <c r="G101" s="2022"/>
      <c r="H101" s="1980"/>
      <c r="I101" s="2497"/>
      <c r="J101" s="2497"/>
      <c r="K101" s="2020"/>
    </row>
    <row r="102" spans="1:11" hidden="1">
      <c r="A102" s="2021"/>
      <c r="B102" s="1982" t="s">
        <v>2913</v>
      </c>
      <c r="C102" s="1969" t="s">
        <v>520</v>
      </c>
      <c r="D102" s="2022">
        <f>D97</f>
        <v>1</v>
      </c>
      <c r="E102" s="2022">
        <f>E97</f>
        <v>50</v>
      </c>
      <c r="F102" s="2022">
        <f>F92</f>
        <v>0.35</v>
      </c>
      <c r="G102" s="2022">
        <v>0.05</v>
      </c>
      <c r="H102" s="1970">
        <f>+ROUND(PRODUCT(D102:G102),2)</f>
        <v>0.88</v>
      </c>
      <c r="I102" s="2496"/>
      <c r="J102" s="2496"/>
      <c r="K102" s="2020"/>
    </row>
    <row r="103" spans="1:11" hidden="1">
      <c r="A103" s="2021"/>
      <c r="B103" s="2019"/>
      <c r="C103" s="1972" t="s">
        <v>520</v>
      </c>
      <c r="D103" s="2022"/>
      <c r="E103" s="2022"/>
      <c r="F103" s="2022"/>
      <c r="G103" s="2022"/>
      <c r="H103" s="1980">
        <f>SUM(H102:H102)</f>
        <v>0.88</v>
      </c>
      <c r="I103" s="2497"/>
      <c r="J103" s="2497"/>
      <c r="K103" s="2020"/>
    </row>
    <row r="104" spans="1:11" hidden="1">
      <c r="A104" s="2021">
        <v>6</v>
      </c>
      <c r="B104" s="2024" t="s">
        <v>362</v>
      </c>
      <c r="C104" s="1972"/>
      <c r="D104" s="2022"/>
      <c r="E104" s="2022"/>
      <c r="F104" s="2022"/>
      <c r="G104" s="2022"/>
      <c r="H104" s="1980"/>
      <c r="I104" s="2497"/>
      <c r="J104" s="2497"/>
      <c r="K104" s="2020"/>
    </row>
    <row r="105" spans="1:11" hidden="1">
      <c r="A105" s="2021"/>
      <c r="B105" s="2019"/>
      <c r="C105" s="1969" t="s">
        <v>2862</v>
      </c>
      <c r="D105" s="2022">
        <v>2</v>
      </c>
      <c r="E105" s="2022">
        <f>E97+F97</f>
        <v>51.68</v>
      </c>
      <c r="F105" s="2022"/>
      <c r="G105" s="2022">
        <f>G97</f>
        <v>0.1</v>
      </c>
      <c r="H105" s="1970">
        <f>+ROUND(PRODUCT(D105:G105),2)</f>
        <v>10.34</v>
      </c>
      <c r="I105" s="2496"/>
      <c r="J105" s="2496"/>
      <c r="K105" s="2020"/>
    </row>
    <row r="106" spans="1:11" hidden="1">
      <c r="A106" s="2021"/>
      <c r="B106" s="1982" t="s">
        <v>2913</v>
      </c>
      <c r="C106" s="1969" t="s">
        <v>2862</v>
      </c>
      <c r="D106" s="2022">
        <v>2</v>
      </c>
      <c r="E106" s="2022">
        <f>E102+F102</f>
        <v>50.35</v>
      </c>
      <c r="F106" s="2022"/>
      <c r="G106" s="2022">
        <f>G102</f>
        <v>0.05</v>
      </c>
      <c r="H106" s="1970">
        <f>+ROUND(PRODUCT(D106:G106),2)</f>
        <v>5.04</v>
      </c>
      <c r="I106" s="2496"/>
      <c r="J106" s="2496"/>
      <c r="K106" s="2020"/>
    </row>
    <row r="107" spans="1:11" hidden="1">
      <c r="A107" s="2021"/>
      <c r="B107" s="1982"/>
      <c r="C107" s="1972" t="s">
        <v>2862</v>
      </c>
      <c r="D107" s="2022"/>
      <c r="E107" s="2022"/>
      <c r="F107" s="2022"/>
      <c r="G107" s="2022"/>
      <c r="H107" s="1980">
        <f>SUM(H105:H106)</f>
        <v>15.379999999999999</v>
      </c>
      <c r="I107" s="2497"/>
      <c r="J107" s="2497"/>
      <c r="K107" s="2020"/>
    </row>
    <row r="108" spans="1:11" ht="25.5" hidden="1">
      <c r="A108" s="2021">
        <v>7</v>
      </c>
      <c r="B108" s="2028" t="s">
        <v>2914</v>
      </c>
      <c r="C108" s="1972"/>
      <c r="D108" s="2022"/>
      <c r="E108" s="2022"/>
      <c r="F108" s="2022"/>
      <c r="G108" s="2022"/>
      <c r="H108" s="1980"/>
      <c r="I108" s="2497"/>
      <c r="J108" s="2497"/>
      <c r="K108" s="2020"/>
    </row>
    <row r="109" spans="1:11" hidden="1">
      <c r="A109" s="2021"/>
      <c r="B109" s="2019"/>
      <c r="C109" s="1969" t="s">
        <v>2862</v>
      </c>
      <c r="D109" s="2022">
        <v>2</v>
      </c>
      <c r="E109" s="2022">
        <f>E98</f>
        <v>0.13</v>
      </c>
      <c r="F109" s="2022"/>
      <c r="G109" s="2022">
        <f>G92+G102+0.125</f>
        <v>0.495</v>
      </c>
      <c r="H109" s="1970">
        <f>+ROUND(PRODUCT(D109:G109),2)</f>
        <v>0.13</v>
      </c>
      <c r="I109" s="2496"/>
      <c r="J109" s="2496"/>
      <c r="K109" s="2020"/>
    </row>
    <row r="110" spans="1:11" hidden="1">
      <c r="A110" s="2021"/>
      <c r="B110" s="2019"/>
      <c r="C110" s="1972" t="s">
        <v>2862</v>
      </c>
      <c r="D110" s="2022"/>
      <c r="E110" s="2022"/>
      <c r="F110" s="2022"/>
      <c r="G110" s="2022"/>
      <c r="H110" s="1980">
        <f>SUM(H109:H109)</f>
        <v>0.13</v>
      </c>
      <c r="I110" s="2497"/>
      <c r="J110" s="2497"/>
      <c r="K110" s="2020"/>
    </row>
    <row r="111" spans="1:11" ht="36" hidden="1">
      <c r="A111" s="2021">
        <v>8</v>
      </c>
      <c r="B111" s="2029" t="s">
        <v>2891</v>
      </c>
      <c r="C111" s="2030"/>
      <c r="D111" s="2031"/>
      <c r="E111" s="2022"/>
      <c r="F111" s="2022"/>
      <c r="G111" s="2022"/>
      <c r="H111" s="1980"/>
      <c r="I111" s="2497"/>
      <c r="J111" s="2497"/>
      <c r="K111" s="2020"/>
    </row>
    <row r="112" spans="1:11" hidden="1">
      <c r="A112" s="2021"/>
      <c r="B112" s="2019"/>
      <c r="C112" s="1969" t="s">
        <v>2862</v>
      </c>
      <c r="D112" s="2022">
        <v>1</v>
      </c>
      <c r="E112" s="2022">
        <f>E109</f>
        <v>0.13</v>
      </c>
      <c r="F112" s="2022"/>
      <c r="G112" s="2022">
        <v>1.78</v>
      </c>
      <c r="H112" s="1970">
        <f>+ROUND(PRODUCT(D112:G112),2)</f>
        <v>0.23</v>
      </c>
      <c r="I112" s="2496"/>
      <c r="J112" s="2496"/>
      <c r="K112" s="2020"/>
    </row>
    <row r="113" spans="1:11" hidden="1">
      <c r="A113" s="2021" t="s">
        <v>2915</v>
      </c>
      <c r="B113" s="2019"/>
      <c r="C113" s="1972" t="s">
        <v>2862</v>
      </c>
      <c r="D113" s="2022"/>
      <c r="E113" s="2022"/>
      <c r="F113" s="2022"/>
      <c r="G113" s="2022"/>
      <c r="H113" s="1980">
        <f>SUM(H112:H112)</f>
        <v>0.23</v>
      </c>
      <c r="I113" s="2497"/>
      <c r="J113" s="2497"/>
      <c r="K113" s="2020"/>
    </row>
    <row r="114" spans="1:11" hidden="1">
      <c r="A114" s="2032">
        <v>9</v>
      </c>
      <c r="B114" s="2002" t="s">
        <v>2871</v>
      </c>
      <c r="C114" s="1987"/>
      <c r="D114" s="2033"/>
      <c r="E114" s="2033"/>
      <c r="F114" s="2033"/>
      <c r="G114" s="2033"/>
      <c r="H114" s="1988"/>
      <c r="I114" s="2498"/>
      <c r="J114" s="2498"/>
      <c r="K114" s="2034"/>
    </row>
    <row r="115" spans="1:11" hidden="1">
      <c r="A115" s="2032"/>
      <c r="B115" s="2035" t="s">
        <v>2893</v>
      </c>
      <c r="C115" s="1969" t="s">
        <v>520</v>
      </c>
      <c r="D115" s="2022">
        <f>8*2</f>
        <v>16</v>
      </c>
      <c r="E115" s="2022">
        <v>2</v>
      </c>
      <c r="F115" s="2022">
        <v>1</v>
      </c>
      <c r="G115" s="2022">
        <v>1</v>
      </c>
      <c r="H115" s="1970">
        <f>+ROUND(PRODUCT(D115:G115),2)</f>
        <v>32</v>
      </c>
      <c r="I115" s="2499"/>
      <c r="J115" s="2499"/>
      <c r="K115" s="2034"/>
    </row>
    <row r="116" spans="1:11" hidden="1">
      <c r="A116" s="2036"/>
      <c r="B116" s="1998"/>
      <c r="C116" s="2037" t="s">
        <v>520</v>
      </c>
      <c r="D116" s="2038"/>
      <c r="E116" s="2038"/>
      <c r="F116" s="2038"/>
      <c r="G116" s="2038"/>
      <c r="H116" s="2039">
        <f>SUM(H115:H115)</f>
        <v>32</v>
      </c>
      <c r="I116" s="2500"/>
      <c r="J116" s="2500"/>
      <c r="K116" s="2000"/>
    </row>
    <row r="117" spans="1:11" hidden="1">
      <c r="A117" s="2040"/>
      <c r="B117" s="2040"/>
      <c r="C117" s="2040"/>
      <c r="D117" s="2040"/>
      <c r="E117" s="2040"/>
      <c r="F117" s="2040"/>
      <c r="G117" s="2040"/>
      <c r="H117" s="2040"/>
      <c r="I117" s="2040"/>
      <c r="J117" s="2040"/>
      <c r="K117" s="2040"/>
    </row>
    <row r="118" spans="1:11" hidden="1">
      <c r="A118" s="1962"/>
      <c r="B118" s="1962"/>
      <c r="C118" s="1962"/>
      <c r="D118" s="1962"/>
      <c r="E118" s="1962"/>
      <c r="F118" s="1962"/>
      <c r="G118" s="1962"/>
      <c r="H118" s="1962"/>
      <c r="I118" s="1962"/>
      <c r="J118" s="1962"/>
      <c r="K118" s="1962"/>
    </row>
    <row r="119" spans="1:11" hidden="1"/>
    <row r="120" spans="1:11">
      <c r="A120" s="2040"/>
      <c r="B120" s="2040"/>
      <c r="C120" s="2040"/>
      <c r="D120" s="2040"/>
      <c r="E120" s="2040"/>
      <c r="F120" s="2040"/>
      <c r="G120" s="2040"/>
      <c r="H120" s="2040"/>
      <c r="I120" s="2040"/>
      <c r="J120" s="2040"/>
      <c r="K120" s="2040"/>
    </row>
    <row r="121" spans="1:11">
      <c r="A121" s="2040"/>
      <c r="B121" s="2040"/>
      <c r="C121" s="2040"/>
      <c r="D121" s="2040"/>
      <c r="E121" s="2040"/>
      <c r="F121" s="2040"/>
      <c r="G121" s="2040"/>
      <c r="H121" s="2040"/>
      <c r="I121" s="2040"/>
      <c r="J121" s="2040"/>
      <c r="K121" s="2040"/>
    </row>
    <row r="122" spans="1:11">
      <c r="A122" s="2040"/>
      <c r="B122" s="2040"/>
      <c r="C122" s="2040"/>
      <c r="D122" s="2040"/>
      <c r="E122" s="2040"/>
      <c r="F122" s="2040"/>
      <c r="G122" s="2040"/>
      <c r="H122" s="2040"/>
      <c r="I122" s="2040"/>
      <c r="J122" s="2040"/>
      <c r="K122" s="2040"/>
    </row>
    <row r="123" spans="1:11">
      <c r="A123" s="2040"/>
      <c r="B123" s="2040"/>
      <c r="C123" s="2040"/>
      <c r="D123" s="2040"/>
      <c r="E123" s="2040"/>
      <c r="F123" s="2040"/>
      <c r="G123" s="2040"/>
      <c r="H123" s="2040"/>
      <c r="I123" s="2040"/>
      <c r="J123" s="2040"/>
      <c r="K123" s="2040"/>
    </row>
  </sheetData>
  <mergeCells count="3">
    <mergeCell ref="A1:K1"/>
    <mergeCell ref="A2:D2"/>
    <mergeCell ref="A79:B79"/>
  </mergeCells>
  <pageMargins left="0.7" right="0.7" top="0.75" bottom="0.75" header="0.3" footer="0.3"/>
  <pageSetup paperSize="9" scale="85" orientation="portrait" r:id="rId1"/>
  <rowBreaks count="1" manualBreakCount="1">
    <brk id="63" max="10" man="1"/>
  </rowBreaks>
  <colBreaks count="1" manualBreakCount="1">
    <brk id="11"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J37"/>
  <sheetViews>
    <sheetView topLeftCell="A13" workbookViewId="0">
      <selection activeCell="E24" sqref="E24:E27"/>
    </sheetView>
  </sheetViews>
  <sheetFormatPr defaultColWidth="9.140625" defaultRowHeight="15.75"/>
  <cols>
    <col min="1" max="1" width="12" style="2486" customWidth="1"/>
    <col min="2" max="2" width="57.42578125" style="2441" customWidth="1"/>
    <col min="3" max="3" width="16" style="2486" bestFit="1" customWidth="1"/>
    <col min="4" max="4" width="14.5703125" style="2486" customWidth="1"/>
    <col min="5" max="5" width="17.5703125" style="2486" bestFit="1" customWidth="1"/>
    <col min="6" max="6" width="20.85546875" style="2440" customWidth="1"/>
    <col min="7" max="7" width="17" style="2479" customWidth="1"/>
    <col min="8" max="8" width="23.140625" style="2486" customWidth="1"/>
    <col min="9" max="16384" width="9.140625" style="2486"/>
  </cols>
  <sheetData>
    <row r="1" spans="1:10" ht="20.25" customHeight="1">
      <c r="A1" s="3027" t="s">
        <v>3158</v>
      </c>
      <c r="B1" s="3027"/>
      <c r="C1" s="3027"/>
      <c r="D1" s="3027"/>
      <c r="E1" s="3027"/>
      <c r="F1" s="3027"/>
      <c r="G1" s="3027"/>
    </row>
    <row r="2" spans="1:10" ht="20.25" customHeight="1">
      <c r="A2" s="3028" t="s">
        <v>3159</v>
      </c>
      <c r="B2" s="3028"/>
      <c r="C2" s="3028"/>
      <c r="D2" s="3028"/>
      <c r="E2" s="3028"/>
      <c r="F2" s="3028"/>
      <c r="G2" s="3028"/>
    </row>
    <row r="3" spans="1:10" ht="20.25" customHeight="1">
      <c r="A3" s="3031" t="s">
        <v>3160</v>
      </c>
      <c r="B3" s="3031"/>
      <c r="C3" s="3031"/>
      <c r="D3" s="3031"/>
      <c r="E3" s="3031"/>
      <c r="F3" s="3031"/>
      <c r="G3" s="3031"/>
    </row>
    <row r="4" spans="1:10" ht="20.25" customHeight="1">
      <c r="A4" s="3027" t="s">
        <v>3161</v>
      </c>
      <c r="B4" s="3027"/>
      <c r="C4" s="3027"/>
      <c r="D4" s="3027"/>
      <c r="E4" s="3027"/>
      <c r="F4" s="3027"/>
      <c r="G4" s="3027"/>
    </row>
    <row r="5" spans="1:10" ht="20.25" customHeight="1">
      <c r="A5" s="3029" t="s">
        <v>3162</v>
      </c>
      <c r="B5" s="3029"/>
      <c r="C5" s="2439"/>
      <c r="D5" s="3061"/>
      <c r="E5" s="3029"/>
      <c r="F5" s="3029"/>
      <c r="G5" s="3029"/>
    </row>
    <row r="6" spans="1:10" ht="20.25" customHeight="1">
      <c r="A6" s="3032" t="s">
        <v>3163</v>
      </c>
      <c r="B6" s="3032"/>
      <c r="C6" s="2440"/>
      <c r="D6" s="3059"/>
      <c r="E6" s="3059"/>
      <c r="F6" s="3059"/>
      <c r="G6" s="3059"/>
    </row>
    <row r="7" spans="1:10" ht="20.25" customHeight="1">
      <c r="C7" s="2440"/>
      <c r="D7" s="3060" t="s">
        <v>3164</v>
      </c>
      <c r="E7" s="3060"/>
      <c r="F7" s="3060"/>
      <c r="G7" s="3060"/>
    </row>
    <row r="8" spans="1:10" ht="20.25" customHeight="1">
      <c r="A8" s="2443" t="s">
        <v>961</v>
      </c>
      <c r="B8" s="2444" t="s">
        <v>909</v>
      </c>
      <c r="C8" s="2445" t="s">
        <v>964</v>
      </c>
      <c r="D8" s="2443" t="s">
        <v>1035</v>
      </c>
      <c r="E8" s="2445" t="s">
        <v>97</v>
      </c>
      <c r="F8" s="2447" t="s">
        <v>52</v>
      </c>
      <c r="G8" s="2448" t="s">
        <v>1055</v>
      </c>
      <c r="H8" s="2486" t="s">
        <v>3165</v>
      </c>
    </row>
    <row r="9" spans="1:10" ht="20.25" customHeight="1">
      <c r="A9" s="2450">
        <v>1</v>
      </c>
      <c r="B9" s="2449" t="s">
        <v>3214</v>
      </c>
      <c r="C9" s="2451">
        <f>'Estimate '!G15</f>
        <v>164.47604878048782</v>
      </c>
      <c r="D9" s="2450" t="s">
        <v>1174</v>
      </c>
      <c r="E9" s="2451">
        <f>Analysis!R24</f>
        <v>1480.63</v>
      </c>
      <c r="F9" s="2453">
        <f t="shared" ref="F9:F20" si="0">C9*E9</f>
        <v>243528.17210585368</v>
      </c>
      <c r="G9" s="2504"/>
    </row>
    <row r="10" spans="1:10" ht="30">
      <c r="A10" s="2450">
        <v>2</v>
      </c>
      <c r="B10" s="2515" t="s">
        <v>3215</v>
      </c>
      <c r="C10" s="2451">
        <f>'Estimate '!G19</f>
        <v>63.95</v>
      </c>
      <c r="D10" s="2450" t="s">
        <v>1174</v>
      </c>
      <c r="E10" s="2451">
        <f>Analysis!R30</f>
        <v>746.24</v>
      </c>
      <c r="F10" s="2453">
        <f t="shared" si="0"/>
        <v>47722.048000000003</v>
      </c>
      <c r="G10" s="2504"/>
    </row>
    <row r="11" spans="1:10" ht="31.5">
      <c r="A11" s="2450">
        <v>3</v>
      </c>
      <c r="B11" s="2449" t="s">
        <v>3216</v>
      </c>
      <c r="C11" s="2451">
        <f>'Estimate '!G28</f>
        <v>45.684378048780488</v>
      </c>
      <c r="D11" s="2450" t="s">
        <v>1174</v>
      </c>
      <c r="E11" s="2451">
        <f>Analysis!R40</f>
        <v>5523.35</v>
      </c>
      <c r="F11" s="2451">
        <f t="shared" si="0"/>
        <v>252330.80949573172</v>
      </c>
      <c r="G11" s="2504"/>
    </row>
    <row r="12" spans="1:10" ht="31.5">
      <c r="A12" s="2450">
        <v>4</v>
      </c>
      <c r="B12" s="2506" t="s">
        <v>3217</v>
      </c>
      <c r="C12" s="2451">
        <f>'Estimate '!G40</f>
        <v>25.690689024390245</v>
      </c>
      <c r="D12" s="2450" t="s">
        <v>1174</v>
      </c>
      <c r="E12" s="2451">
        <f>Analysis!R72</f>
        <v>16022.87</v>
      </c>
      <c r="F12" s="2451">
        <f t="shared" si="0"/>
        <v>411638.57044823177</v>
      </c>
      <c r="G12" s="2454"/>
      <c r="H12" s="2455"/>
      <c r="I12" s="2455"/>
      <c r="J12" s="2455"/>
    </row>
    <row r="13" spans="1:10" ht="31.5">
      <c r="A13" s="2450">
        <v>5</v>
      </c>
      <c r="B13" s="2507" t="s">
        <v>3218</v>
      </c>
      <c r="C13" s="2451">
        <f>'Estimate '!G47</f>
        <v>416.71500000000003</v>
      </c>
      <c r="D13" s="2450" t="s">
        <v>1182</v>
      </c>
      <c r="E13" s="2451">
        <f>Analysis!R159+Analysis!R174</f>
        <v>849.87</v>
      </c>
      <c r="F13" s="2451">
        <f t="shared" si="0"/>
        <v>354153.57705000002</v>
      </c>
      <c r="G13" s="2454"/>
      <c r="H13" s="2455"/>
      <c r="I13" s="2455"/>
      <c r="J13" s="2455"/>
    </row>
    <row r="14" spans="1:10" ht="31.5">
      <c r="A14" s="2450">
        <v>6</v>
      </c>
      <c r="B14" s="2449" t="s">
        <v>3219</v>
      </c>
      <c r="C14" s="2451">
        <f>'Estimate '!G55</f>
        <v>326.86</v>
      </c>
      <c r="D14" s="2450" t="s">
        <v>1182</v>
      </c>
      <c r="E14" s="2451">
        <f>Analysis!R93</f>
        <v>1322.68</v>
      </c>
      <c r="F14" s="2451">
        <f t="shared" si="0"/>
        <v>432331.18480000005</v>
      </c>
      <c r="G14" s="2454"/>
      <c r="H14" s="2455"/>
      <c r="I14" s="2455"/>
      <c r="J14" s="2455"/>
    </row>
    <row r="15" spans="1:10" ht="36" customHeight="1">
      <c r="A15" s="2450">
        <v>7</v>
      </c>
      <c r="B15" s="2449" t="s">
        <v>3169</v>
      </c>
      <c r="C15" s="2451">
        <f>'Estimate '!G62</f>
        <v>212.1266819512195</v>
      </c>
      <c r="D15" s="2450" t="s">
        <v>1174</v>
      </c>
      <c r="E15" s="2451">
        <f>Analysis!R65</f>
        <v>17163.13</v>
      </c>
      <c r="F15" s="2451">
        <f t="shared" si="0"/>
        <v>3640757.8187974342</v>
      </c>
      <c r="G15" s="2454"/>
      <c r="H15" s="2455"/>
      <c r="I15" s="2455"/>
      <c r="J15" s="2455"/>
    </row>
    <row r="16" spans="1:10" ht="31.5">
      <c r="A16" s="2450">
        <v>8</v>
      </c>
      <c r="B16" s="2449" t="s">
        <v>3220</v>
      </c>
      <c r="C16" s="2451">
        <f>'Estimate '!G74</f>
        <v>9324.5713333333333</v>
      </c>
      <c r="D16" s="2450" t="s">
        <v>1034</v>
      </c>
      <c r="E16" s="2451">
        <f>Analysis!R81</f>
        <v>125.35</v>
      </c>
      <c r="F16" s="2451">
        <f t="shared" si="0"/>
        <v>1168835.0166333332</v>
      </c>
      <c r="G16" s="2454"/>
      <c r="H16" s="2455"/>
      <c r="I16" s="2455"/>
      <c r="J16" s="2455"/>
    </row>
    <row r="17" spans="1:10" ht="31.5">
      <c r="A17" s="2450">
        <v>9</v>
      </c>
      <c r="B17" s="2449" t="s">
        <v>3188</v>
      </c>
      <c r="C17" s="2451">
        <f>'Estimate '!G82</f>
        <v>259.09899999999999</v>
      </c>
      <c r="D17" s="2450" t="s">
        <v>1174</v>
      </c>
      <c r="E17" s="2451">
        <f>Analysis!R51</f>
        <v>14917.39</v>
      </c>
      <c r="F17" s="2451">
        <f t="shared" si="0"/>
        <v>3865080.8316099998</v>
      </c>
      <c r="G17" s="2454"/>
      <c r="H17" s="2455"/>
      <c r="I17" s="2455"/>
      <c r="J17" s="2455"/>
    </row>
    <row r="18" spans="1:10" ht="30">
      <c r="A18" s="2508">
        <v>11</v>
      </c>
      <c r="B18" s="2502" t="s">
        <v>3207</v>
      </c>
      <c r="C18" s="2511">
        <f>'Estimate '!G85</f>
        <v>2</v>
      </c>
      <c r="D18" s="2511" t="s">
        <v>1753</v>
      </c>
      <c r="E18" s="2511">
        <v>10755</v>
      </c>
      <c r="F18" s="2512">
        <f t="shared" si="0"/>
        <v>21510</v>
      </c>
      <c r="G18" s="2454"/>
      <c r="H18" s="2455"/>
      <c r="I18" s="2455"/>
      <c r="J18" s="2455"/>
    </row>
    <row r="19" spans="1:10" ht="30">
      <c r="A19" s="2508">
        <v>12</v>
      </c>
      <c r="B19" s="2502" t="s">
        <v>3208</v>
      </c>
      <c r="C19" s="2511">
        <f>'Estimate '!G87</f>
        <v>48</v>
      </c>
      <c r="D19" s="2511" t="s">
        <v>1174</v>
      </c>
      <c r="E19" s="2511">
        <f>Analysis!R196</f>
        <v>2574.62</v>
      </c>
      <c r="F19" s="2512">
        <f t="shared" si="0"/>
        <v>123581.75999999999</v>
      </c>
      <c r="G19" s="2454"/>
      <c r="H19" s="2455"/>
      <c r="I19" s="2455"/>
      <c r="J19" s="2455"/>
    </row>
    <row r="20" spans="1:10" ht="25.5" customHeight="1">
      <c r="A20" s="2508">
        <v>13</v>
      </c>
      <c r="B20" s="2502" t="s">
        <v>3209</v>
      </c>
      <c r="C20" s="2511">
        <f>'Estimate '!G89</f>
        <v>48</v>
      </c>
      <c r="D20" s="2511" t="s">
        <v>1174</v>
      </c>
      <c r="E20" s="2511">
        <f>Analysis!R200</f>
        <v>4056.82</v>
      </c>
      <c r="F20" s="2512">
        <f t="shared" si="0"/>
        <v>194727.36000000002</v>
      </c>
      <c r="G20" s="2454"/>
      <c r="H20" s="2455"/>
      <c r="I20" s="2455"/>
      <c r="J20" s="2455"/>
    </row>
    <row r="21" spans="1:10">
      <c r="A21" s="2474"/>
      <c r="B21" s="2449"/>
      <c r="C21" s="2474"/>
      <c r="D21" s="2474"/>
      <c r="E21" s="2443" t="s">
        <v>3195</v>
      </c>
      <c r="F21" s="2476">
        <f>SUM(F9:F20)</f>
        <v>10756197.148940584</v>
      </c>
      <c r="G21" s="2458"/>
    </row>
    <row r="22" spans="1:10">
      <c r="A22" s="2474"/>
      <c r="B22" s="2449"/>
      <c r="C22" s="2474"/>
      <c r="D22" s="2474"/>
      <c r="E22" s="2443" t="s">
        <v>3194</v>
      </c>
      <c r="F22" s="2476">
        <f>F21*0.13</f>
        <v>1398305.6293622758</v>
      </c>
      <c r="G22" s="2458"/>
    </row>
    <row r="23" spans="1:10">
      <c r="A23" s="2474"/>
      <c r="B23" s="2449"/>
      <c r="C23" s="2474"/>
      <c r="D23" s="2474"/>
      <c r="E23" s="2443" t="s">
        <v>3196</v>
      </c>
      <c r="F23" s="2476">
        <f>SUM(F21:F22)</f>
        <v>12154502.77830286</v>
      </c>
      <c r="G23" s="2458"/>
    </row>
    <row r="24" spans="1:10" s="2472" customFormat="1">
      <c r="A24" s="2460">
        <v>14</v>
      </c>
      <c r="B24" s="2471" t="s">
        <v>3176</v>
      </c>
      <c r="C24" s="2481">
        <f>'Estimate '!G94</f>
        <v>1</v>
      </c>
      <c r="D24" s="2480" t="s">
        <v>3213</v>
      </c>
      <c r="E24" s="2480">
        <v>5000</v>
      </c>
      <c r="F24" s="2482">
        <f>C24*E24</f>
        <v>5000</v>
      </c>
      <c r="G24" s="2471"/>
    </row>
    <row r="25" spans="1:10" s="2472" customFormat="1">
      <c r="A25" s="2460">
        <v>15</v>
      </c>
      <c r="B25" s="2473" t="s">
        <v>3177</v>
      </c>
      <c r="C25" s="2481">
        <f>'Estimate '!G96</f>
        <v>1</v>
      </c>
      <c r="D25" s="2480" t="s">
        <v>3213</v>
      </c>
      <c r="E25" s="2480">
        <v>20000</v>
      </c>
      <c r="F25" s="2482">
        <f>C25*E25</f>
        <v>20000</v>
      </c>
      <c r="G25" s="2471"/>
    </row>
    <row r="26" spans="1:10" s="2472" customFormat="1">
      <c r="A26" s="2460">
        <v>16</v>
      </c>
      <c r="B26" s="2473" t="s">
        <v>3211</v>
      </c>
      <c r="C26" s="2481">
        <f>'Estimate '!G98</f>
        <v>1</v>
      </c>
      <c r="D26" s="2480" t="s">
        <v>3213</v>
      </c>
      <c r="E26" s="2480">
        <v>20000</v>
      </c>
      <c r="F26" s="2482">
        <v>20000</v>
      </c>
      <c r="G26" s="2471"/>
    </row>
    <row r="27" spans="1:10" s="2472" customFormat="1">
      <c r="A27" s="2460">
        <v>17</v>
      </c>
      <c r="B27" s="2473" t="s">
        <v>3212</v>
      </c>
      <c r="C27" s="2481">
        <f>'Estimate '!G100</f>
        <v>1</v>
      </c>
      <c r="D27" s="2480" t="s">
        <v>3213</v>
      </c>
      <c r="E27" s="2480">
        <v>100000</v>
      </c>
      <c r="F27" s="2482">
        <f>C27*E27</f>
        <v>100000</v>
      </c>
      <c r="G27" s="2471"/>
    </row>
    <row r="28" spans="1:10">
      <c r="A28" s="2474"/>
      <c r="B28" s="2449"/>
      <c r="C28" s="2474"/>
      <c r="D28" s="2474"/>
      <c r="E28" s="2443" t="s">
        <v>3178</v>
      </c>
      <c r="F28" s="2476">
        <f>F21*0.03</f>
        <v>322685.91446821752</v>
      </c>
      <c r="G28" s="2477"/>
    </row>
    <row r="29" spans="1:10">
      <c r="A29" s="2474"/>
      <c r="B29" s="2449"/>
      <c r="C29" s="2474"/>
      <c r="D29" s="2474"/>
      <c r="E29" s="2443" t="s">
        <v>2626</v>
      </c>
      <c r="F29" s="2476">
        <f>SUM(F23:F28)</f>
        <v>12622188.692771077</v>
      </c>
      <c r="G29" s="2477"/>
      <c r="H29" s="2514">
        <f>F29*0.026</f>
        <v>328176.90601204801</v>
      </c>
    </row>
    <row r="34" spans="2:4" ht="18">
      <c r="B34" s="3033"/>
      <c r="C34" s="3034"/>
      <c r="D34" s="3034"/>
    </row>
    <row r="35" spans="2:4" ht="18">
      <c r="B35" s="3035"/>
      <c r="C35" s="3034"/>
      <c r="D35" s="3034"/>
    </row>
    <row r="36" spans="2:4">
      <c r="B36" s="3030"/>
      <c r="C36" s="3030"/>
      <c r="D36" s="3030"/>
    </row>
    <row r="37" spans="2:4">
      <c r="B37" s="3030"/>
      <c r="C37" s="3030"/>
      <c r="D37" s="3030"/>
    </row>
  </sheetData>
  <mergeCells count="13">
    <mergeCell ref="A1:G1"/>
    <mergeCell ref="A2:G2"/>
    <mergeCell ref="A3:G3"/>
    <mergeCell ref="A4:G4"/>
    <mergeCell ref="A5:B5"/>
    <mergeCell ref="D5:G5"/>
    <mergeCell ref="B37:D37"/>
    <mergeCell ref="A6:B6"/>
    <mergeCell ref="D6:G6"/>
    <mergeCell ref="D7:G7"/>
    <mergeCell ref="B34:D34"/>
    <mergeCell ref="B35:D35"/>
    <mergeCell ref="B36:D36"/>
  </mergeCells>
  <conditionalFormatting sqref="A24:A25">
    <cfRule type="top10" dxfId="1" priority="2" percent="1" rank="10"/>
  </conditionalFormatting>
  <pageMargins left="0.7" right="0.7" top="0.75" bottom="0.75" header="0.3" footer="0.3"/>
  <pageSetup paperSize="9" scale="63" orientation="landscape" verticalDpi="0" r:id="rId1"/>
  <colBreaks count="1" manualBreakCount="1">
    <brk id="7" max="1048575" man="1"/>
  </col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N110"/>
  <sheetViews>
    <sheetView topLeftCell="A7" workbookViewId="0">
      <selection activeCell="B18" sqref="B18"/>
    </sheetView>
  </sheetViews>
  <sheetFormatPr defaultColWidth="9.140625" defaultRowHeight="15.75"/>
  <cols>
    <col min="1" max="1" width="12" style="2486" customWidth="1"/>
    <col min="2" max="2" width="45.5703125" style="2441" customWidth="1"/>
    <col min="3" max="3" width="12.140625" style="2486" customWidth="1"/>
    <col min="4" max="4" width="15.140625" style="2486" customWidth="1"/>
    <col min="5" max="5" width="14.28515625" style="2486" bestFit="1" customWidth="1"/>
    <col min="6" max="6" width="13.140625" style="2478" customWidth="1"/>
    <col min="7" max="7" width="16" style="2486" bestFit="1" customWidth="1"/>
    <col min="8" max="8" width="9.85546875" style="2486" customWidth="1"/>
    <col min="9" max="9" width="17.5703125" style="2486" hidden="1" customWidth="1"/>
    <col min="10" max="10" width="20.85546875" style="2440" hidden="1" customWidth="1"/>
    <col min="11" max="11" width="17" style="2479" customWidth="1"/>
    <col min="12" max="12" width="23.140625" style="2486" customWidth="1"/>
    <col min="13" max="16384" width="9.140625" style="2486"/>
  </cols>
  <sheetData>
    <row r="1" spans="1:12" ht="20.25" customHeight="1">
      <c r="A1" s="3027" t="s">
        <v>3158</v>
      </c>
      <c r="B1" s="3027"/>
      <c r="C1" s="3027"/>
      <c r="D1" s="3027"/>
      <c r="E1" s="3027"/>
      <c r="F1" s="3027"/>
      <c r="G1" s="3027"/>
      <c r="H1" s="3027"/>
      <c r="I1" s="3027"/>
      <c r="J1" s="3027"/>
      <c r="K1" s="3027"/>
    </row>
    <row r="2" spans="1:12" ht="20.25" customHeight="1">
      <c r="A2" s="3028" t="s">
        <v>3159</v>
      </c>
      <c r="B2" s="3028"/>
      <c r="C2" s="3028"/>
      <c r="D2" s="3028"/>
      <c r="E2" s="3028"/>
      <c r="F2" s="3028"/>
      <c r="G2" s="3028"/>
      <c r="H2" s="3028"/>
      <c r="I2" s="3028"/>
      <c r="J2" s="3028"/>
      <c r="K2" s="3028"/>
    </row>
    <row r="3" spans="1:12" ht="20.25" customHeight="1">
      <c r="A3" s="3031" t="s">
        <v>3160</v>
      </c>
      <c r="B3" s="3031"/>
      <c r="C3" s="3031"/>
      <c r="D3" s="3031"/>
      <c r="E3" s="3031"/>
      <c r="F3" s="3031"/>
      <c r="G3" s="3031"/>
      <c r="H3" s="3031"/>
      <c r="I3" s="3031"/>
      <c r="J3" s="3031"/>
      <c r="K3" s="3031"/>
    </row>
    <row r="4" spans="1:12" ht="20.25" customHeight="1">
      <c r="A4" s="3027" t="s">
        <v>3161</v>
      </c>
      <c r="B4" s="3027"/>
      <c r="C4" s="3027"/>
      <c r="D4" s="3027"/>
      <c r="E4" s="3027"/>
      <c r="F4" s="3027"/>
      <c r="G4" s="3027"/>
      <c r="H4" s="3027"/>
      <c r="I4" s="3027"/>
      <c r="J4" s="3027"/>
      <c r="K4" s="3027"/>
    </row>
    <row r="5" spans="1:12" ht="20.25" customHeight="1">
      <c r="A5" s="3029" t="s">
        <v>3162</v>
      </c>
      <c r="B5" s="3029"/>
      <c r="C5" s="3029"/>
      <c r="D5" s="3029"/>
      <c r="E5" s="3029"/>
      <c r="F5" s="3029"/>
      <c r="G5" s="2439"/>
      <c r="H5" s="3061"/>
      <c r="I5" s="3029"/>
      <c r="J5" s="3029"/>
      <c r="K5" s="3029"/>
    </row>
    <row r="6" spans="1:12" ht="20.25" customHeight="1">
      <c r="A6" s="3032" t="s">
        <v>3163</v>
      </c>
      <c r="B6" s="3032"/>
      <c r="C6" s="3032"/>
      <c r="D6" s="3032"/>
      <c r="E6" s="3032"/>
      <c r="F6" s="3032"/>
      <c r="G6" s="2440"/>
      <c r="H6" s="3059"/>
      <c r="I6" s="3059"/>
      <c r="J6" s="3059"/>
      <c r="K6" s="3059"/>
    </row>
    <row r="7" spans="1:12" ht="20.25" customHeight="1">
      <c r="C7" s="2439"/>
      <c r="D7" s="2440"/>
      <c r="E7" s="2440"/>
      <c r="F7" s="2442"/>
      <c r="G7" s="2440"/>
      <c r="H7" s="3060" t="s">
        <v>3164</v>
      </c>
      <c r="I7" s="3060"/>
      <c r="J7" s="3060"/>
      <c r="K7" s="3060"/>
    </row>
    <row r="8" spans="1:12" ht="20.25" customHeight="1">
      <c r="A8" s="2443" t="s">
        <v>961</v>
      </c>
      <c r="B8" s="2444" t="s">
        <v>909</v>
      </c>
      <c r="C8" s="2443" t="s">
        <v>1087</v>
      </c>
      <c r="D8" s="2445" t="s">
        <v>22</v>
      </c>
      <c r="E8" s="2445" t="s">
        <v>23</v>
      </c>
      <c r="F8" s="2446" t="s">
        <v>24</v>
      </c>
      <c r="G8" s="2445" t="s">
        <v>964</v>
      </c>
      <c r="H8" s="2443" t="s">
        <v>1035</v>
      </c>
      <c r="I8" s="2445" t="s">
        <v>97</v>
      </c>
      <c r="J8" s="2447" t="s">
        <v>52</v>
      </c>
      <c r="K8" s="2448" t="s">
        <v>1055</v>
      </c>
      <c r="L8" s="2486" t="s">
        <v>3165</v>
      </c>
    </row>
    <row r="9" spans="1:12" ht="20.25" customHeight="1">
      <c r="A9" s="2450">
        <v>1</v>
      </c>
      <c r="B9" s="2449" t="s">
        <v>3181</v>
      </c>
      <c r="C9" s="2450"/>
      <c r="D9" s="2451"/>
      <c r="E9" s="2451"/>
      <c r="F9" s="2452"/>
      <c r="G9" s="2451"/>
      <c r="H9" s="2450"/>
      <c r="I9" s="2451"/>
      <c r="J9" s="2453"/>
      <c r="K9" s="2504"/>
    </row>
    <row r="10" spans="1:12" ht="20.25" customHeight="1">
      <c r="A10" s="2450"/>
      <c r="B10" s="2449" t="s">
        <v>3182</v>
      </c>
      <c r="C10" s="2450">
        <v>1</v>
      </c>
      <c r="D10" s="2451">
        <v>74</v>
      </c>
      <c r="E10" s="2451">
        <f>6/3.28</f>
        <v>1.8292682926829269</v>
      </c>
      <c r="F10" s="2452">
        <v>0.35</v>
      </c>
      <c r="G10" s="2451">
        <f t="shared" ref="G10:G13" si="0">PRODUCT(C10:F10)</f>
        <v>47.378048780487802</v>
      </c>
      <c r="H10" s="2450"/>
      <c r="I10" s="2451"/>
      <c r="J10" s="2453"/>
      <c r="K10" s="2504"/>
    </row>
    <row r="11" spans="1:12" ht="20.25" customHeight="1">
      <c r="A11" s="2450"/>
      <c r="B11" s="2449" t="s">
        <v>3186</v>
      </c>
      <c r="C11" s="2450">
        <v>1</v>
      </c>
      <c r="D11" s="2451">
        <v>37.5</v>
      </c>
      <c r="E11" s="2451">
        <f>0.4*2.5</f>
        <v>1</v>
      </c>
      <c r="F11" s="2452">
        <v>0.6</v>
      </c>
      <c r="G11" s="2451">
        <f t="shared" si="0"/>
        <v>22.5</v>
      </c>
      <c r="H11" s="2450"/>
      <c r="I11" s="2451"/>
      <c r="J11" s="2453"/>
      <c r="K11" s="2504"/>
    </row>
    <row r="12" spans="1:12" ht="20.25" customHeight="1">
      <c r="A12" s="2450"/>
      <c r="B12" s="2449" t="s">
        <v>3187</v>
      </c>
      <c r="C12" s="2450">
        <v>1</v>
      </c>
      <c r="D12" s="2451">
        <v>26.45</v>
      </c>
      <c r="E12" s="2451">
        <f>3.5*0.4</f>
        <v>1.4000000000000001</v>
      </c>
      <c r="F12" s="2452">
        <v>0.6</v>
      </c>
      <c r="G12" s="2451">
        <f t="shared" si="0"/>
        <v>22.218</v>
      </c>
      <c r="H12" s="2450"/>
      <c r="I12" s="2451"/>
      <c r="J12" s="2453"/>
      <c r="K12" s="2504"/>
    </row>
    <row r="13" spans="1:12" ht="20.25" customHeight="1">
      <c r="A13" s="2450"/>
      <c r="B13" s="2449" t="s">
        <v>3199</v>
      </c>
      <c r="C13" s="2450">
        <v>1</v>
      </c>
      <c r="D13" s="2451">
        <v>18</v>
      </c>
      <c r="E13" s="2451">
        <f>0.45*4</f>
        <v>1.8</v>
      </c>
      <c r="F13" s="2452">
        <v>0.6</v>
      </c>
      <c r="G13" s="2451">
        <f t="shared" si="0"/>
        <v>19.439999999999998</v>
      </c>
      <c r="H13" s="2450"/>
      <c r="I13" s="2451"/>
      <c r="J13" s="2453"/>
      <c r="K13" s="2504"/>
    </row>
    <row r="14" spans="1:12" ht="20.25" customHeight="1">
      <c r="A14" s="2450"/>
      <c r="B14" s="2449" t="s">
        <v>3202</v>
      </c>
      <c r="C14" s="2450"/>
      <c r="D14" s="2451"/>
      <c r="E14" s="2451"/>
      <c r="F14" s="2452"/>
      <c r="G14" s="2451">
        <f>Intake!H12</f>
        <v>52.94</v>
      </c>
      <c r="H14" s="2450"/>
      <c r="I14" s="2451"/>
      <c r="J14" s="2453"/>
      <c r="K14" s="2504"/>
    </row>
    <row r="15" spans="1:12" ht="20.25" customHeight="1">
      <c r="A15" s="2450"/>
      <c r="B15" s="2449"/>
      <c r="C15" s="2450"/>
      <c r="D15" s="2451"/>
      <c r="E15" s="2451"/>
      <c r="F15" s="2452"/>
      <c r="G15" s="2451">
        <f>SUM(G10:G14)</f>
        <v>164.47604878048782</v>
      </c>
      <c r="H15" s="2450" t="s">
        <v>1174</v>
      </c>
      <c r="I15" s="2451">
        <f>Analysis!R24</f>
        <v>1480.63</v>
      </c>
      <c r="J15" s="2453">
        <f>G15*I15</f>
        <v>243528.17210585368</v>
      </c>
      <c r="K15" s="2504"/>
    </row>
    <row r="16" spans="1:12" ht="20.25" customHeight="1">
      <c r="A16" s="2450"/>
      <c r="B16" s="2449"/>
      <c r="C16" s="2450"/>
      <c r="D16" s="2451"/>
      <c r="E16" s="2451"/>
      <c r="F16" s="2452"/>
      <c r="G16" s="2451"/>
      <c r="H16" s="2450"/>
      <c r="I16" s="2451"/>
      <c r="J16" s="2453"/>
      <c r="K16" s="2504"/>
    </row>
    <row r="17" spans="1:14" ht="20.25" customHeight="1">
      <c r="A17" s="2450">
        <v>2</v>
      </c>
      <c r="B17" s="2505" t="s">
        <v>151</v>
      </c>
      <c r="C17" s="2450"/>
      <c r="D17" s="2451"/>
      <c r="E17" s="2451"/>
      <c r="F17" s="2452"/>
      <c r="G17" s="2451"/>
      <c r="H17" s="2450"/>
      <c r="I17" s="2451"/>
      <c r="J17" s="2453"/>
      <c r="K17" s="2504"/>
    </row>
    <row r="18" spans="1:14" ht="20.25" customHeight="1">
      <c r="A18" s="2450"/>
      <c r="B18" s="2449" t="s">
        <v>3192</v>
      </c>
      <c r="C18" s="2450">
        <v>1</v>
      </c>
      <c r="D18" s="2451">
        <f>SUM(D11:D12)</f>
        <v>63.95</v>
      </c>
      <c r="E18" s="2451">
        <v>1</v>
      </c>
      <c r="F18" s="2452">
        <v>1</v>
      </c>
      <c r="G18" s="2451">
        <f>PRODUCT(C18:F18)</f>
        <v>63.95</v>
      </c>
      <c r="H18" s="2450"/>
      <c r="I18" s="2451"/>
      <c r="J18" s="2453"/>
      <c r="K18" s="2504"/>
    </row>
    <row r="19" spans="1:14" ht="20.25" customHeight="1">
      <c r="A19" s="2450"/>
      <c r="B19" s="2449"/>
      <c r="C19" s="2450"/>
      <c r="D19" s="2451"/>
      <c r="E19" s="2451"/>
      <c r="F19" s="2452"/>
      <c r="G19" s="2451">
        <f>SUM(G18:G18)</f>
        <v>63.95</v>
      </c>
      <c r="H19" s="2450" t="s">
        <v>1174</v>
      </c>
      <c r="I19" s="2451">
        <f>Analysis!R30</f>
        <v>746.24</v>
      </c>
      <c r="J19" s="2453">
        <f>G19*I19</f>
        <v>47722.048000000003</v>
      </c>
      <c r="K19" s="2504"/>
    </row>
    <row r="20" spans="1:14" ht="20.25" customHeight="1">
      <c r="A20" s="2450"/>
      <c r="B20" s="2449"/>
      <c r="C20" s="2450"/>
      <c r="D20" s="2451"/>
      <c r="E20" s="2451"/>
      <c r="F20" s="2452"/>
      <c r="G20" s="2451"/>
      <c r="H20" s="2450"/>
      <c r="I20" s="2451"/>
      <c r="J20" s="2453"/>
      <c r="K20" s="2504"/>
    </row>
    <row r="21" spans="1:14" ht="20.25" customHeight="1">
      <c r="A21" s="2450"/>
      <c r="B21" s="2449"/>
      <c r="C21" s="2450"/>
      <c r="D21" s="2451"/>
      <c r="E21" s="2451"/>
      <c r="F21" s="2452"/>
      <c r="G21" s="2451"/>
      <c r="H21" s="2450"/>
      <c r="I21" s="2451"/>
      <c r="J21" s="2453"/>
      <c r="K21" s="2504"/>
    </row>
    <row r="22" spans="1:14" ht="31.5">
      <c r="A22" s="2450">
        <v>3</v>
      </c>
      <c r="B22" s="2449" t="s">
        <v>3166</v>
      </c>
      <c r="C22" s="2450"/>
      <c r="D22" s="2451"/>
      <c r="E22" s="2451"/>
      <c r="F22" s="2452"/>
      <c r="G22" s="2451"/>
      <c r="H22" s="2450"/>
      <c r="I22" s="2451"/>
      <c r="J22" s="2453"/>
      <c r="K22" s="2504"/>
    </row>
    <row r="23" spans="1:14" ht="20.25" customHeight="1">
      <c r="A23" s="2450"/>
      <c r="B23" s="2449" t="s">
        <v>3182</v>
      </c>
      <c r="C23" s="2450">
        <v>1</v>
      </c>
      <c r="D23" s="2451">
        <f t="shared" ref="D23:E25" si="1">D10</f>
        <v>74</v>
      </c>
      <c r="E23" s="2451">
        <f t="shared" si="1"/>
        <v>1.8292682926829269</v>
      </c>
      <c r="F23" s="2452">
        <v>0.15</v>
      </c>
      <c r="G23" s="2451">
        <f t="shared" ref="G23:G26" si="2">PRODUCT(C23:F23)</f>
        <v>20.304878048780488</v>
      </c>
      <c r="H23" s="2450"/>
      <c r="I23" s="2451"/>
      <c r="J23" s="2453"/>
      <c r="K23" s="2504"/>
    </row>
    <row r="24" spans="1:14" ht="20.25" customHeight="1">
      <c r="A24" s="2450"/>
      <c r="B24" s="2449" t="s">
        <v>3186</v>
      </c>
      <c r="C24" s="2450">
        <f>C11</f>
        <v>1</v>
      </c>
      <c r="D24" s="2451">
        <f t="shared" si="1"/>
        <v>37.5</v>
      </c>
      <c r="E24" s="2451">
        <f t="shared" si="1"/>
        <v>1</v>
      </c>
      <c r="F24" s="2452">
        <v>0.15</v>
      </c>
      <c r="G24" s="2451">
        <f t="shared" si="2"/>
        <v>5.625</v>
      </c>
      <c r="H24" s="2450"/>
      <c r="I24" s="2451"/>
      <c r="J24" s="2453"/>
      <c r="K24" s="2504"/>
    </row>
    <row r="25" spans="1:14" ht="20.25" customHeight="1">
      <c r="A25" s="2450"/>
      <c r="B25" s="2449" t="s">
        <v>3187</v>
      </c>
      <c r="C25" s="2450">
        <f>C12</f>
        <v>1</v>
      </c>
      <c r="D25" s="2451">
        <f t="shared" si="1"/>
        <v>26.45</v>
      </c>
      <c r="E25" s="2451">
        <f t="shared" si="1"/>
        <v>1.4000000000000001</v>
      </c>
      <c r="F25" s="2452">
        <v>0.15</v>
      </c>
      <c r="G25" s="2451">
        <f t="shared" si="2"/>
        <v>5.5545</v>
      </c>
      <c r="H25" s="2450"/>
      <c r="I25" s="2451"/>
      <c r="J25" s="2453"/>
      <c r="K25" s="2504"/>
    </row>
    <row r="26" spans="1:14" ht="20.25" customHeight="1">
      <c r="A26" s="2450"/>
      <c r="B26" s="2449" t="str">
        <f t="shared" ref="B26:E26" si="3">B13</f>
        <v>Retaining wall near the old intake</v>
      </c>
      <c r="C26" s="2450">
        <f t="shared" si="3"/>
        <v>1</v>
      </c>
      <c r="D26" s="2451">
        <f t="shared" si="3"/>
        <v>18</v>
      </c>
      <c r="E26" s="2451">
        <f t="shared" si="3"/>
        <v>1.8</v>
      </c>
      <c r="F26" s="2452">
        <v>0.15</v>
      </c>
      <c r="G26" s="2451">
        <f t="shared" si="2"/>
        <v>4.8599999999999994</v>
      </c>
      <c r="H26" s="2450"/>
      <c r="I26" s="2451"/>
      <c r="J26" s="2453"/>
      <c r="K26" s="2504"/>
    </row>
    <row r="27" spans="1:14" ht="20.25" customHeight="1">
      <c r="A27" s="2450"/>
      <c r="B27" s="2449" t="s">
        <v>3200</v>
      </c>
      <c r="C27" s="2450"/>
      <c r="D27" s="2451"/>
      <c r="E27" s="2451"/>
      <c r="F27" s="2452"/>
      <c r="G27" s="2451">
        <f>Intake!H18</f>
        <v>9.34</v>
      </c>
      <c r="H27" s="2450"/>
      <c r="I27" s="2451"/>
      <c r="J27" s="2453"/>
      <c r="K27" s="2504"/>
    </row>
    <row r="28" spans="1:14" ht="20.25" customHeight="1">
      <c r="A28" s="2450"/>
      <c r="B28" s="2449"/>
      <c r="C28" s="2450"/>
      <c r="D28" s="2451"/>
      <c r="E28" s="2451"/>
      <c r="F28" s="2452"/>
      <c r="G28" s="2451">
        <f>SUM(G23:G27)</f>
        <v>45.684378048780488</v>
      </c>
      <c r="H28" s="2450" t="s">
        <v>1174</v>
      </c>
      <c r="I28" s="2451">
        <f>Analysis!R40</f>
        <v>5523.35</v>
      </c>
      <c r="J28" s="2451">
        <f>G28*I28</f>
        <v>252330.80949573172</v>
      </c>
      <c r="K28" s="2504"/>
    </row>
    <row r="29" spans="1:14" ht="20.25" customHeight="1">
      <c r="A29" s="2450"/>
      <c r="B29" s="2449"/>
      <c r="C29" s="2450"/>
      <c r="D29" s="2451"/>
      <c r="E29" s="2451"/>
      <c r="F29" s="2452"/>
      <c r="G29" s="2451"/>
      <c r="H29" s="2450"/>
      <c r="I29" s="2451"/>
      <c r="J29" s="2453"/>
      <c r="K29" s="2504"/>
    </row>
    <row r="30" spans="1:14" ht="25.5" customHeight="1">
      <c r="A30" s="2450">
        <v>4</v>
      </c>
      <c r="B30" s="2506" t="s">
        <v>3167</v>
      </c>
      <c r="C30" s="2450"/>
      <c r="D30" s="2451"/>
      <c r="E30" s="2451"/>
      <c r="F30" s="2452"/>
      <c r="G30" s="2451"/>
      <c r="H30" s="2450"/>
      <c r="I30" s="2451"/>
      <c r="J30" s="2451"/>
      <c r="K30" s="2454"/>
      <c r="L30" s="2455"/>
      <c r="M30" s="2455"/>
      <c r="N30" s="2455"/>
    </row>
    <row r="31" spans="1:14">
      <c r="A31" s="2450"/>
      <c r="B31" s="2449" t="s">
        <v>3182</v>
      </c>
      <c r="C31" s="2450">
        <v>1</v>
      </c>
      <c r="D31" s="2451">
        <f>D23</f>
        <v>74</v>
      </c>
      <c r="E31" s="2451">
        <f>E23</f>
        <v>1.8292682926829269</v>
      </c>
      <c r="F31" s="2456">
        <v>7.4999999999999997E-2</v>
      </c>
      <c r="G31" s="2451">
        <f t="shared" ref="G31:G37" si="4">PRODUCT(C31:F31)</f>
        <v>10.152439024390244</v>
      </c>
      <c r="H31" s="2454"/>
      <c r="I31" s="2454"/>
      <c r="J31" s="2457"/>
      <c r="K31" s="2454"/>
      <c r="L31" s="2455"/>
      <c r="M31" s="2455"/>
      <c r="N31" s="2455"/>
    </row>
    <row r="32" spans="1:14">
      <c r="A32" s="2450"/>
      <c r="B32" s="2449" t="str">
        <f>B24</f>
        <v>Retaining wall at boundary</v>
      </c>
      <c r="C32" s="2450">
        <f>C24</f>
        <v>1</v>
      </c>
      <c r="D32" s="2451">
        <f>D24</f>
        <v>37.5</v>
      </c>
      <c r="E32" s="2451">
        <f>E24</f>
        <v>1</v>
      </c>
      <c r="F32" s="2456">
        <v>7.4999999999999997E-2</v>
      </c>
      <c r="G32" s="2451">
        <f t="shared" si="4"/>
        <v>2.8125</v>
      </c>
      <c r="H32" s="2454"/>
      <c r="I32" s="2454"/>
      <c r="J32" s="2457"/>
      <c r="K32" s="2454"/>
      <c r="L32" s="2455"/>
      <c r="M32" s="2455"/>
      <c r="N32" s="2455"/>
    </row>
    <row r="33" spans="1:14">
      <c r="A33" s="2450"/>
      <c r="B33" s="2449"/>
      <c r="C33" s="2450">
        <f>C32</f>
        <v>1</v>
      </c>
      <c r="D33" s="2451">
        <f>D32</f>
        <v>37.5</v>
      </c>
      <c r="E33" s="2451">
        <v>0.6</v>
      </c>
      <c r="F33" s="2456">
        <v>0.05</v>
      </c>
      <c r="G33" s="2451">
        <f t="shared" si="4"/>
        <v>1.125</v>
      </c>
      <c r="H33" s="2454"/>
      <c r="I33" s="2454"/>
      <c r="J33" s="2457"/>
      <c r="K33" s="2454"/>
      <c r="L33" s="2455"/>
      <c r="M33" s="2455"/>
      <c r="N33" s="2455"/>
    </row>
    <row r="34" spans="1:14">
      <c r="A34" s="2450"/>
      <c r="B34" s="2449" t="str">
        <f>B25</f>
        <v>Retaining wall  near roughing filter</v>
      </c>
      <c r="C34" s="2450">
        <f>C25</f>
        <v>1</v>
      </c>
      <c r="D34" s="2451">
        <f>D25</f>
        <v>26.45</v>
      </c>
      <c r="E34" s="2451">
        <f>E25</f>
        <v>1.4000000000000001</v>
      </c>
      <c r="F34" s="2456">
        <v>7.4999999999999997E-2</v>
      </c>
      <c r="G34" s="2451">
        <f t="shared" si="4"/>
        <v>2.77725</v>
      </c>
      <c r="H34" s="2454"/>
      <c r="I34" s="2454"/>
      <c r="J34" s="2457"/>
      <c r="K34" s="2454"/>
      <c r="L34" s="2455"/>
      <c r="M34" s="2455"/>
      <c r="N34" s="2455"/>
    </row>
    <row r="35" spans="1:14">
      <c r="A35" s="2450"/>
      <c r="B35" s="2449"/>
      <c r="C35" s="2450">
        <f>C34</f>
        <v>1</v>
      </c>
      <c r="D35" s="2451">
        <f>D34</f>
        <v>26.45</v>
      </c>
      <c r="E35" s="2451">
        <v>0.6</v>
      </c>
      <c r="F35" s="2456">
        <v>0.05</v>
      </c>
      <c r="G35" s="2451">
        <f t="shared" si="4"/>
        <v>0.79349999999999998</v>
      </c>
      <c r="H35" s="2454"/>
      <c r="I35" s="2454"/>
      <c r="J35" s="2457"/>
      <c r="K35" s="2454"/>
      <c r="L35" s="2455"/>
      <c r="M35" s="2455"/>
      <c r="N35" s="2455"/>
    </row>
    <row r="36" spans="1:14">
      <c r="A36" s="2450"/>
      <c r="B36" s="2449" t="str">
        <f>B26</f>
        <v>Retaining wall near the old intake</v>
      </c>
      <c r="C36" s="2450">
        <f>C26</f>
        <v>1</v>
      </c>
      <c r="D36" s="2451">
        <f>D26</f>
        <v>18</v>
      </c>
      <c r="E36" s="2451">
        <f>E26</f>
        <v>1.8</v>
      </c>
      <c r="F36" s="2456">
        <v>7.4999999999999997E-2</v>
      </c>
      <c r="G36" s="2451">
        <f t="shared" si="4"/>
        <v>2.4299999999999997</v>
      </c>
      <c r="H36" s="2454"/>
      <c r="I36" s="2454"/>
      <c r="J36" s="2457"/>
      <c r="K36" s="2454"/>
      <c r="L36" s="2455"/>
      <c r="M36" s="2455"/>
      <c r="N36" s="2455"/>
    </row>
    <row r="37" spans="1:14">
      <c r="A37" s="2450"/>
      <c r="B37" s="2449"/>
      <c r="C37" s="2450">
        <f>C36</f>
        <v>1</v>
      </c>
      <c r="D37" s="2451">
        <f>D36</f>
        <v>18</v>
      </c>
      <c r="E37" s="2451">
        <v>0.6</v>
      </c>
      <c r="F37" s="2456">
        <v>0.05</v>
      </c>
      <c r="G37" s="2451">
        <f t="shared" si="4"/>
        <v>0.53999999999999992</v>
      </c>
      <c r="H37" s="2454"/>
      <c r="I37" s="2454"/>
      <c r="J37" s="2457"/>
      <c r="K37" s="2454"/>
      <c r="L37" s="2455"/>
      <c r="M37" s="2455"/>
      <c r="N37" s="2455"/>
    </row>
    <row r="38" spans="1:14">
      <c r="A38" s="2450"/>
      <c r="B38" s="2449" t="s">
        <v>3201</v>
      </c>
      <c r="C38" s="2450"/>
      <c r="D38" s="2451"/>
      <c r="E38" s="2451"/>
      <c r="F38" s="2456"/>
      <c r="G38" s="2451">
        <f>Intake!H27</f>
        <v>5.0600000000000005</v>
      </c>
      <c r="H38" s="2454"/>
      <c r="I38" s="2454"/>
      <c r="J38" s="2457"/>
      <c r="K38" s="2454"/>
      <c r="L38" s="2455"/>
      <c r="M38" s="2455"/>
      <c r="N38" s="2455"/>
    </row>
    <row r="39" spans="1:14">
      <c r="A39" s="2450"/>
      <c r="B39" s="2449"/>
      <c r="C39" s="2450"/>
      <c r="D39" s="2451"/>
      <c r="E39" s="2451"/>
      <c r="F39" s="2456"/>
      <c r="G39" s="2451"/>
      <c r="H39" s="2454"/>
      <c r="I39" s="2454"/>
      <c r="J39" s="2457"/>
      <c r="K39" s="2454"/>
      <c r="L39" s="2455"/>
      <c r="M39" s="2455"/>
      <c r="N39" s="2455"/>
    </row>
    <row r="40" spans="1:14" ht="25.5" customHeight="1">
      <c r="A40" s="2450"/>
      <c r="B40" s="2449"/>
      <c r="C40" s="2450"/>
      <c r="D40" s="2451"/>
      <c r="E40" s="2451"/>
      <c r="F40" s="2452"/>
      <c r="G40" s="2451">
        <f>SUM(G31:G38)</f>
        <v>25.690689024390245</v>
      </c>
      <c r="H40" s="2450" t="s">
        <v>1174</v>
      </c>
      <c r="I40" s="2451">
        <f>Analysis!R72</f>
        <v>16022.87</v>
      </c>
      <c r="J40" s="2451">
        <f>G40*I40</f>
        <v>411638.57044823177</v>
      </c>
      <c r="K40" s="2454"/>
      <c r="L40" s="2455"/>
      <c r="M40" s="2455"/>
      <c r="N40" s="2455"/>
    </row>
    <row r="41" spans="1:14" ht="25.5" customHeight="1">
      <c r="A41" s="2450"/>
      <c r="B41" s="2449"/>
      <c r="C41" s="2450"/>
      <c r="D41" s="2451"/>
      <c r="E41" s="2451"/>
      <c r="F41" s="2452"/>
      <c r="G41" s="2451"/>
      <c r="H41" s="2450"/>
      <c r="I41" s="2451"/>
      <c r="J41" s="2451"/>
      <c r="K41" s="2454"/>
      <c r="L41" s="2455"/>
      <c r="M41" s="2455"/>
      <c r="N41" s="2455"/>
    </row>
    <row r="42" spans="1:14" ht="25.5" customHeight="1">
      <c r="A42" s="2450"/>
      <c r="B42" s="2449"/>
      <c r="C42" s="2450"/>
      <c r="D42" s="2451"/>
      <c r="E42" s="2451"/>
      <c r="F42" s="2452"/>
      <c r="G42" s="2451"/>
      <c r="H42" s="2450"/>
      <c r="I42" s="2451"/>
      <c r="J42" s="2451"/>
      <c r="K42" s="2454"/>
      <c r="L42" s="2455"/>
      <c r="M42" s="2455"/>
      <c r="N42" s="2455"/>
    </row>
    <row r="43" spans="1:14" ht="25.5" customHeight="1">
      <c r="A43" s="2450"/>
      <c r="B43" s="2449"/>
      <c r="C43" s="2450"/>
      <c r="D43" s="2451"/>
      <c r="E43" s="2451"/>
      <c r="F43" s="2452"/>
      <c r="G43" s="2451"/>
      <c r="H43" s="2450"/>
      <c r="I43" s="2451"/>
      <c r="J43" s="2451"/>
      <c r="K43" s="2454"/>
      <c r="L43" s="2455"/>
      <c r="M43" s="2455"/>
      <c r="N43" s="2455"/>
    </row>
    <row r="44" spans="1:14" ht="31.5">
      <c r="A44" s="2450">
        <v>5</v>
      </c>
      <c r="B44" s="2507" t="s">
        <v>3197</v>
      </c>
      <c r="C44" s="2450"/>
      <c r="D44" s="2451"/>
      <c r="E44" s="2451"/>
      <c r="F44" s="2452"/>
      <c r="G44" s="2451"/>
      <c r="H44" s="2450"/>
      <c r="I44" s="2451"/>
      <c r="J44" s="2451"/>
      <c r="K44" s="2454"/>
      <c r="L44" s="2455"/>
      <c r="M44" s="2455"/>
      <c r="N44" s="2455"/>
    </row>
    <row r="45" spans="1:14">
      <c r="A45" s="2450"/>
      <c r="B45" s="2458" t="str">
        <f>B10</f>
        <v>RCC drain</v>
      </c>
      <c r="C45" s="2454">
        <v>1</v>
      </c>
      <c r="D45" s="2454">
        <f>D10</f>
        <v>74</v>
      </c>
      <c r="E45" s="2454">
        <f>1.83+2*0.91</f>
        <v>3.6500000000000004</v>
      </c>
      <c r="F45" s="2456">
        <v>1.25</v>
      </c>
      <c r="G45" s="2454">
        <f>PRODUCT(C45:F45)</f>
        <v>337.625</v>
      </c>
      <c r="H45" s="2454"/>
      <c r="I45" s="2454"/>
      <c r="J45" s="2457"/>
      <c r="K45" s="2454"/>
      <c r="L45" s="2455"/>
      <c r="M45" s="2455"/>
      <c r="N45" s="2455"/>
    </row>
    <row r="46" spans="1:14">
      <c r="A46" s="2450"/>
      <c r="B46" s="2458" t="s">
        <v>3206</v>
      </c>
      <c r="C46" s="2454"/>
      <c r="D46" s="2454"/>
      <c r="E46" s="2454"/>
      <c r="F46" s="2456"/>
      <c r="G46" s="2454">
        <f>Intake!$H$79</f>
        <v>79.09</v>
      </c>
      <c r="H46" s="2454"/>
      <c r="I46" s="2454"/>
      <c r="J46" s="2457"/>
      <c r="K46" s="2454"/>
      <c r="L46" s="2455"/>
      <c r="M46" s="2455"/>
      <c r="N46" s="2455"/>
    </row>
    <row r="47" spans="1:14" ht="25.5" customHeight="1">
      <c r="A47" s="2450"/>
      <c r="B47" s="2449"/>
      <c r="C47" s="2450"/>
      <c r="D47" s="2451"/>
      <c r="E47" s="2451"/>
      <c r="F47" s="2452"/>
      <c r="G47" s="2451">
        <f>SUM(G45:G46)</f>
        <v>416.71500000000003</v>
      </c>
      <c r="H47" s="2450" t="s">
        <v>1182</v>
      </c>
      <c r="I47" s="2451">
        <f>Analysis!R159+Analysis!R174</f>
        <v>849.87</v>
      </c>
      <c r="J47" s="2451">
        <f>G47*I47</f>
        <v>354153.57705000002</v>
      </c>
      <c r="K47" s="2454"/>
      <c r="L47" s="2455"/>
      <c r="M47" s="2455"/>
      <c r="N47" s="2455"/>
    </row>
    <row r="48" spans="1:14" ht="25.5" customHeight="1">
      <c r="A48" s="2450"/>
      <c r="B48" s="2449" t="s">
        <v>113</v>
      </c>
      <c r="C48" s="2450"/>
      <c r="D48" s="2451"/>
      <c r="E48" s="2451"/>
      <c r="F48" s="2452"/>
      <c r="G48" s="2451"/>
      <c r="H48" s="2450"/>
      <c r="I48" s="2451"/>
      <c r="J48" s="2451"/>
      <c r="K48" s="2454"/>
      <c r="L48" s="2455"/>
      <c r="M48" s="2455"/>
      <c r="N48" s="2455"/>
    </row>
    <row r="49" spans="1:14" ht="25.5" customHeight="1">
      <c r="A49" s="2450"/>
      <c r="B49" s="2449"/>
      <c r="C49" s="2450"/>
      <c r="D49" s="2451"/>
      <c r="E49" s="2451"/>
      <c r="F49" s="2452"/>
      <c r="G49" s="2451"/>
      <c r="H49" s="2450"/>
      <c r="I49" s="2451"/>
      <c r="J49" s="2451"/>
      <c r="K49" s="2454"/>
      <c r="L49" s="2455"/>
      <c r="M49" s="2455"/>
      <c r="N49" s="2455"/>
    </row>
    <row r="50" spans="1:14" ht="25.5" customHeight="1">
      <c r="A50" s="2450"/>
      <c r="B50" s="2449"/>
      <c r="C50" s="2450"/>
      <c r="D50" s="2451"/>
      <c r="E50" s="2451"/>
      <c r="F50" s="2452"/>
      <c r="G50" s="2451"/>
      <c r="H50" s="2450"/>
      <c r="I50" s="2451"/>
      <c r="J50" s="2451"/>
      <c r="K50" s="2454"/>
      <c r="L50" s="2455"/>
      <c r="M50" s="2455"/>
      <c r="N50" s="2455"/>
    </row>
    <row r="51" spans="1:14" ht="25.5" customHeight="1">
      <c r="A51" s="2450">
        <v>6</v>
      </c>
      <c r="B51" s="2449" t="s">
        <v>3191</v>
      </c>
      <c r="C51" s="2450"/>
      <c r="D51" s="2451"/>
      <c r="E51" s="2451"/>
      <c r="F51" s="2452"/>
      <c r="G51" s="2451"/>
      <c r="H51" s="2450"/>
      <c r="I51" s="2451"/>
      <c r="J51" s="2451"/>
      <c r="K51" s="2454"/>
      <c r="L51" s="2455"/>
      <c r="M51" s="2455"/>
      <c r="N51" s="2455"/>
    </row>
    <row r="52" spans="1:14" ht="25.5" customHeight="1">
      <c r="A52" s="2450"/>
      <c r="B52" s="2449" t="str">
        <f>B10</f>
        <v>RCC drain</v>
      </c>
      <c r="C52" s="2450"/>
      <c r="D52" s="2451"/>
      <c r="E52" s="2451"/>
      <c r="F52" s="2452"/>
      <c r="G52" s="2451"/>
      <c r="H52" s="2450"/>
      <c r="I52" s="2451"/>
      <c r="J52" s="2451"/>
      <c r="K52" s="2454"/>
      <c r="L52" s="2455"/>
      <c r="M52" s="2455"/>
      <c r="N52" s="2455"/>
    </row>
    <row r="53" spans="1:14" ht="25.5" customHeight="1">
      <c r="A53" s="2450"/>
      <c r="B53" s="2449" t="s">
        <v>3183</v>
      </c>
      <c r="C53" s="2450">
        <v>3</v>
      </c>
      <c r="D53" s="2459">
        <f>D31</f>
        <v>74</v>
      </c>
      <c r="E53" s="2451"/>
      <c r="F53" s="2452">
        <v>0.91</v>
      </c>
      <c r="G53" s="2451">
        <f>PRODUCT(C53:F53)</f>
        <v>202.02</v>
      </c>
      <c r="H53" s="2450"/>
      <c r="I53" s="2451"/>
      <c r="J53" s="2451"/>
      <c r="K53" s="2454"/>
      <c r="L53" s="2455"/>
      <c r="M53" s="2455"/>
      <c r="N53" s="2455"/>
    </row>
    <row r="54" spans="1:14" ht="25.5" customHeight="1">
      <c r="A54" s="2450"/>
      <c r="B54" s="2449" t="s">
        <v>3204</v>
      </c>
      <c r="C54" s="2450"/>
      <c r="D54" s="2459"/>
      <c r="E54" s="2459"/>
      <c r="F54" s="2452"/>
      <c r="G54" s="2451">
        <f>Intake!H61</f>
        <v>124.84</v>
      </c>
      <c r="H54" s="2450"/>
      <c r="I54" s="2451"/>
      <c r="J54" s="2451"/>
      <c r="K54" s="2454"/>
      <c r="L54" s="2455"/>
      <c r="M54" s="2455"/>
      <c r="N54" s="2455"/>
    </row>
    <row r="55" spans="1:14" ht="25.5" customHeight="1">
      <c r="A55" s="2450"/>
      <c r="B55" s="2449"/>
      <c r="C55" s="2450"/>
      <c r="D55" s="2451"/>
      <c r="E55" s="2451"/>
      <c r="F55" s="2452"/>
      <c r="G55" s="2451">
        <f>SUM(G52:G54)</f>
        <v>326.86</v>
      </c>
      <c r="H55" s="2450" t="s">
        <v>1182</v>
      </c>
      <c r="I55" s="2451">
        <f>Analysis!R93</f>
        <v>1322.68</v>
      </c>
      <c r="J55" s="2451">
        <f>G55*I55</f>
        <v>432331.18480000005</v>
      </c>
      <c r="K55" s="2454"/>
      <c r="L55" s="2455"/>
      <c r="M55" s="2455"/>
      <c r="N55" s="2455"/>
    </row>
    <row r="56" spans="1:14" ht="25.5" customHeight="1">
      <c r="A56" s="2450"/>
      <c r="B56" s="2449"/>
      <c r="C56" s="2450"/>
      <c r="D56" s="2451"/>
      <c r="E56" s="2451"/>
      <c r="F56" s="2452"/>
      <c r="G56" s="2451"/>
      <c r="H56" s="2450"/>
      <c r="I56" s="2451"/>
      <c r="J56" s="2451"/>
      <c r="K56" s="2454"/>
      <c r="L56" s="2455"/>
      <c r="M56" s="2455"/>
      <c r="N56" s="2455"/>
    </row>
    <row r="57" spans="1:14" ht="47.25">
      <c r="A57" s="2450">
        <v>7</v>
      </c>
      <c r="B57" s="2449" t="s">
        <v>3169</v>
      </c>
      <c r="C57" s="2450"/>
      <c r="D57" s="2451"/>
      <c r="E57" s="2451"/>
      <c r="F57" s="2452"/>
      <c r="G57" s="2451"/>
      <c r="H57" s="2450"/>
      <c r="I57" s="2451"/>
      <c r="J57" s="2451"/>
      <c r="K57" s="2454"/>
      <c r="L57" s="2455"/>
      <c r="M57" s="2455"/>
      <c r="N57" s="2455"/>
    </row>
    <row r="58" spans="1:14" ht="25.5" customHeight="1">
      <c r="A58" s="2450"/>
      <c r="B58" s="2449" t="str">
        <f>B31</f>
        <v>RCC drain</v>
      </c>
      <c r="C58" s="2450"/>
      <c r="D58" s="2451"/>
      <c r="E58" s="2451"/>
      <c r="F58" s="2452"/>
      <c r="G58" s="2451"/>
      <c r="H58" s="2450"/>
      <c r="I58" s="2451"/>
      <c r="J58" s="2451"/>
      <c r="K58" s="2454"/>
      <c r="L58" s="2455"/>
      <c r="M58" s="2455"/>
      <c r="N58" s="2455"/>
    </row>
    <row r="59" spans="1:14" ht="25.5" customHeight="1">
      <c r="A59" s="2450"/>
      <c r="B59" s="2471" t="s">
        <v>920</v>
      </c>
      <c r="C59" s="2450">
        <v>2</v>
      </c>
      <c r="D59" s="2451">
        <f>D53</f>
        <v>74</v>
      </c>
      <c r="E59" s="2451">
        <f>E31</f>
        <v>1.8292682926829269</v>
      </c>
      <c r="F59" s="2452">
        <v>0.41699999999999998</v>
      </c>
      <c r="G59" s="2451">
        <f t="shared" ref="G59" si="5">PRODUCT(C59:F59)</f>
        <v>112.89512195121951</v>
      </c>
      <c r="H59" s="2450"/>
      <c r="I59" s="2451"/>
      <c r="J59" s="2451"/>
      <c r="K59" s="2454"/>
      <c r="L59" s="2455"/>
      <c r="M59" s="2455"/>
      <c r="N59" s="2455"/>
    </row>
    <row r="60" spans="1:14" ht="25.5" customHeight="1">
      <c r="A60" s="2450"/>
      <c r="B60" s="2471" t="s">
        <v>3184</v>
      </c>
      <c r="C60" s="2460">
        <v>2</v>
      </c>
      <c r="D60" s="2459">
        <f>D59</f>
        <v>74</v>
      </c>
      <c r="E60" s="2460">
        <v>0.41699999999999998</v>
      </c>
      <c r="F60" s="2460">
        <v>0.91</v>
      </c>
      <c r="G60" s="2459">
        <f>+F60*E60*D60*C60</f>
        <v>56.161559999999994</v>
      </c>
      <c r="H60" s="2450"/>
      <c r="I60" s="2451"/>
      <c r="J60" s="2451"/>
      <c r="K60" s="2454"/>
      <c r="L60" s="2455"/>
      <c r="M60" s="2455"/>
      <c r="N60" s="2455"/>
    </row>
    <row r="61" spans="1:14" ht="25.5" customHeight="1">
      <c r="A61" s="2450"/>
      <c r="B61" s="2471" t="s">
        <v>3203</v>
      </c>
      <c r="C61" s="2460"/>
      <c r="D61" s="2459"/>
      <c r="E61" s="2459"/>
      <c r="F61" s="2460"/>
      <c r="G61" s="2459">
        <f>Intake!H46</f>
        <v>43.07</v>
      </c>
      <c r="H61" s="2450"/>
      <c r="I61" s="2451"/>
      <c r="J61" s="2451"/>
      <c r="K61" s="2454"/>
      <c r="L61" s="2455"/>
      <c r="M61" s="2455"/>
      <c r="N61" s="2455"/>
    </row>
    <row r="62" spans="1:14" ht="25.5" customHeight="1">
      <c r="A62" s="2450"/>
      <c r="B62" s="2449"/>
      <c r="C62" s="2450"/>
      <c r="D62" s="2451" t="s">
        <v>3170</v>
      </c>
      <c r="E62" s="2451"/>
      <c r="F62" s="2452" t="s">
        <v>1108</v>
      </c>
      <c r="G62" s="2451">
        <f>SUM(G58:G61)</f>
        <v>212.1266819512195</v>
      </c>
      <c r="H62" s="2450" t="s">
        <v>1174</v>
      </c>
      <c r="I62" s="2451">
        <f>Analysis!R65</f>
        <v>17163.13</v>
      </c>
      <c r="J62" s="2451">
        <f>G62*I62</f>
        <v>3640757.8187974342</v>
      </c>
      <c r="K62" s="2454"/>
      <c r="L62" s="2455"/>
      <c r="M62" s="2455"/>
      <c r="N62" s="2455"/>
    </row>
    <row r="63" spans="1:14" ht="25.5" customHeight="1">
      <c r="A63" s="2450"/>
      <c r="B63" s="2449"/>
      <c r="C63" s="2450"/>
      <c r="D63" s="2451"/>
      <c r="E63" s="2451"/>
      <c r="F63" s="2452"/>
      <c r="G63" s="2451"/>
      <c r="H63" s="2450"/>
      <c r="I63" s="2451"/>
      <c r="J63" s="2451"/>
      <c r="K63" s="2454"/>
      <c r="L63" s="2455"/>
      <c r="M63" s="2455"/>
      <c r="N63" s="2455"/>
    </row>
    <row r="64" spans="1:14" ht="25.5" customHeight="1">
      <c r="A64" s="2450"/>
      <c r="B64" s="2449"/>
      <c r="C64" s="2450"/>
      <c r="D64" s="2451"/>
      <c r="E64" s="2451"/>
      <c r="F64" s="2452"/>
      <c r="G64" s="2451"/>
      <c r="H64" s="2450"/>
      <c r="I64" s="2451"/>
      <c r="J64" s="2451"/>
      <c r="K64" s="2454"/>
      <c r="L64" s="2455"/>
      <c r="M64" s="2455"/>
      <c r="N64" s="2455"/>
    </row>
    <row r="65" spans="1:14" ht="25.5" customHeight="1">
      <c r="A65" s="2450"/>
      <c r="B65" s="2449"/>
      <c r="C65" s="2450"/>
      <c r="D65" s="2451"/>
      <c r="E65" s="2451"/>
      <c r="F65" s="2452"/>
      <c r="G65" s="2451"/>
      <c r="H65" s="2450"/>
      <c r="I65" s="2451"/>
      <c r="J65" s="2451"/>
      <c r="K65" s="2454"/>
      <c r="L65" s="2455"/>
      <c r="M65" s="2455"/>
      <c r="N65" s="2455"/>
    </row>
    <row r="66" spans="1:14" ht="31.5">
      <c r="A66" s="2450">
        <v>8</v>
      </c>
      <c r="B66" s="2449" t="s">
        <v>3190</v>
      </c>
      <c r="C66" s="2450" t="s">
        <v>1753</v>
      </c>
      <c r="D66" s="2451" t="s">
        <v>3171</v>
      </c>
      <c r="E66" s="2462" t="s">
        <v>3172</v>
      </c>
      <c r="F66" s="2452" t="s">
        <v>1067</v>
      </c>
      <c r="G66" s="2462" t="s">
        <v>3173</v>
      </c>
      <c r="H66" s="2450"/>
      <c r="I66" s="2451"/>
      <c r="J66" s="2451"/>
      <c r="K66" s="2454"/>
      <c r="L66" s="2455"/>
      <c r="M66" s="2455"/>
      <c r="N66" s="2455"/>
    </row>
    <row r="67" spans="1:14">
      <c r="A67" s="2450"/>
      <c r="B67" s="2449"/>
      <c r="C67" s="2461"/>
      <c r="D67" s="2451"/>
      <c r="E67" s="2462"/>
      <c r="F67" s="2452"/>
      <c r="G67" s="2462"/>
      <c r="H67" s="2450"/>
      <c r="I67" s="2451"/>
      <c r="J67" s="2451"/>
      <c r="K67" s="2454"/>
      <c r="L67" s="2455"/>
      <c r="M67" s="2455"/>
      <c r="N67" s="2455"/>
    </row>
    <row r="68" spans="1:14">
      <c r="A68" s="2450"/>
      <c r="B68" s="2469" t="s">
        <v>3185</v>
      </c>
      <c r="C68" s="2463"/>
      <c r="D68" s="2463"/>
      <c r="E68" s="2464"/>
      <c r="F68" s="2464"/>
      <c r="G68" s="2465"/>
      <c r="H68" s="2485"/>
      <c r="I68" s="2451"/>
      <c r="J68" s="2451"/>
      <c r="K68" s="2454"/>
      <c r="L68" s="2455"/>
      <c r="M68" s="2455"/>
      <c r="N68" s="2455"/>
    </row>
    <row r="69" spans="1:14">
      <c r="A69" s="2450"/>
      <c r="B69" s="2466" t="s">
        <v>3174</v>
      </c>
      <c r="C69" s="2468">
        <f>D59/0.15+1</f>
        <v>494.33333333333337</v>
      </c>
      <c r="D69" s="2467">
        <v>3.65</v>
      </c>
      <c r="E69" s="2464">
        <v>0.89</v>
      </c>
      <c r="F69" s="2464" t="s">
        <v>1067</v>
      </c>
      <c r="G69" s="2465">
        <f>PRODUCT(C69:F69)</f>
        <v>1605.8418333333334</v>
      </c>
      <c r="H69" s="2485"/>
      <c r="I69" s="2451"/>
      <c r="J69" s="2451"/>
      <c r="K69" s="2454"/>
      <c r="L69" s="2455"/>
      <c r="M69" s="2455"/>
      <c r="N69" s="2455"/>
    </row>
    <row r="70" spans="1:14">
      <c r="A70" s="2450"/>
      <c r="B70" s="2466" t="s">
        <v>3175</v>
      </c>
      <c r="C70" s="2468">
        <f>ROUND(D69/0.2+1,0)</f>
        <v>19</v>
      </c>
      <c r="D70" s="2465">
        <f>D60*1.1</f>
        <v>81.400000000000006</v>
      </c>
      <c r="E70" s="2464">
        <v>0.4</v>
      </c>
      <c r="F70" s="2464" t="s">
        <v>1067</v>
      </c>
      <c r="G70" s="2465">
        <f t="shared" ref="G70" si="6">PRODUCT(C70:F70)</f>
        <v>618.6400000000001</v>
      </c>
      <c r="H70" s="2485"/>
      <c r="I70" s="2451"/>
      <c r="J70" s="2451"/>
      <c r="K70" s="2454"/>
      <c r="L70" s="2455"/>
      <c r="M70" s="2455"/>
      <c r="N70" s="2455"/>
    </row>
    <row r="71" spans="1:14">
      <c r="A71" s="2450"/>
      <c r="B71" s="2469"/>
      <c r="C71" s="2468"/>
      <c r="D71" s="2464"/>
      <c r="E71" s="2464"/>
      <c r="F71" s="2464"/>
      <c r="G71" s="2465"/>
      <c r="H71" s="2485"/>
      <c r="I71" s="2451"/>
      <c r="J71" s="2451"/>
      <c r="K71" s="2454"/>
      <c r="L71" s="2455"/>
      <c r="M71" s="2455"/>
      <c r="N71" s="2455"/>
    </row>
    <row r="72" spans="1:14">
      <c r="A72" s="2450"/>
      <c r="B72" s="2470" t="s">
        <v>3203</v>
      </c>
      <c r="C72" s="2463"/>
      <c r="D72" s="2468"/>
      <c r="E72" s="2464"/>
      <c r="F72" s="2464"/>
      <c r="G72" s="2465">
        <f>Intake!H63</f>
        <v>7100.0895</v>
      </c>
      <c r="H72" s="2485"/>
      <c r="I72" s="2451"/>
      <c r="J72" s="2451"/>
      <c r="K72" s="2454"/>
      <c r="L72" s="2455"/>
      <c r="M72" s="2455"/>
      <c r="N72" s="2455"/>
    </row>
    <row r="73" spans="1:14" ht="25.5" customHeight="1">
      <c r="A73" s="2450"/>
      <c r="B73" s="2449"/>
      <c r="C73" s="2450"/>
      <c r="D73" s="2451"/>
      <c r="E73" s="2451"/>
      <c r="F73" s="2452"/>
      <c r="G73" s="2451">
        <f>SUM(G69:G72)</f>
        <v>9324.5713333333333</v>
      </c>
      <c r="H73" s="2450"/>
      <c r="I73" s="2451"/>
      <c r="J73" s="2451"/>
      <c r="K73" s="2454"/>
      <c r="L73" s="2455"/>
      <c r="M73" s="2455"/>
      <c r="N73" s="2455"/>
    </row>
    <row r="74" spans="1:14" ht="25.5" customHeight="1">
      <c r="A74" s="2450"/>
      <c r="B74" s="2449"/>
      <c r="C74" s="2450" t="s">
        <v>1489</v>
      </c>
      <c r="D74" s="2451"/>
      <c r="E74" s="2451"/>
      <c r="F74" s="2452"/>
      <c r="G74" s="2451">
        <f>SUM(G73)</f>
        <v>9324.5713333333333</v>
      </c>
      <c r="H74" s="2450" t="s">
        <v>1034</v>
      </c>
      <c r="I74" s="2451">
        <f>Analysis!R81</f>
        <v>125.35</v>
      </c>
      <c r="J74" s="2451">
        <f>G74*I74</f>
        <v>1168835.0166333332</v>
      </c>
      <c r="K74" s="2454"/>
      <c r="L74" s="2455"/>
      <c r="M74" s="2455"/>
      <c r="N74" s="2455"/>
    </row>
    <row r="75" spans="1:14" ht="25.5" customHeight="1">
      <c r="A75" s="2450"/>
      <c r="B75" s="2449"/>
      <c r="C75" s="2450"/>
      <c r="D75" s="2451"/>
      <c r="E75" s="2451"/>
      <c r="F75" s="2452"/>
      <c r="G75" s="2451"/>
      <c r="H75" s="2450"/>
      <c r="I75" s="2451"/>
      <c r="J75" s="2451"/>
      <c r="K75" s="2454"/>
      <c r="L75" s="2455"/>
      <c r="M75" s="2455"/>
      <c r="N75" s="2455"/>
    </row>
    <row r="76" spans="1:14" ht="47.25">
      <c r="A76" s="2450">
        <v>9</v>
      </c>
      <c r="B76" s="2449" t="s">
        <v>3188</v>
      </c>
      <c r="C76" s="2450"/>
      <c r="D76" s="2451"/>
      <c r="E76" s="2451"/>
      <c r="F76" s="2452"/>
      <c r="G76" s="2451"/>
      <c r="H76" s="2450"/>
      <c r="I76" s="2451"/>
      <c r="J76" s="2451"/>
      <c r="K76" s="2454"/>
      <c r="L76" s="2455"/>
      <c r="M76" s="2455"/>
      <c r="N76" s="2455"/>
    </row>
    <row r="77" spans="1:14" ht="25.5" customHeight="1">
      <c r="A77" s="2450"/>
      <c r="B77" s="2449" t="s">
        <v>3186</v>
      </c>
      <c r="C77" s="2450">
        <f t="shared" ref="C77:D78" si="7">C24</f>
        <v>1</v>
      </c>
      <c r="D77" s="2451">
        <f t="shared" si="7"/>
        <v>37.5</v>
      </c>
      <c r="E77" s="2451">
        <f>AVERAGE(E32:E33)</f>
        <v>0.8</v>
      </c>
      <c r="F77" s="2452">
        <v>2.5</v>
      </c>
      <c r="G77" s="2451">
        <f>PRODUCT(C77:F77)</f>
        <v>75</v>
      </c>
      <c r="H77" s="2450"/>
      <c r="I77" s="2451"/>
      <c r="J77" s="2451"/>
      <c r="K77" s="2454"/>
      <c r="L77" s="2455"/>
      <c r="M77" s="2455"/>
      <c r="N77" s="2455"/>
    </row>
    <row r="78" spans="1:14" ht="25.5" customHeight="1">
      <c r="A78" s="2450"/>
      <c r="B78" s="2449" t="s">
        <v>3187</v>
      </c>
      <c r="C78" s="2450">
        <f t="shared" si="7"/>
        <v>1</v>
      </c>
      <c r="D78" s="2451">
        <f t="shared" si="7"/>
        <v>26.45</v>
      </c>
      <c r="E78" s="2451">
        <f>AVERAGE(E34:E35)</f>
        <v>1</v>
      </c>
      <c r="F78" s="2452">
        <v>3.5</v>
      </c>
      <c r="G78" s="2451">
        <f>PRODUCT(C78:F78)</f>
        <v>92.575000000000003</v>
      </c>
      <c r="H78" s="2450"/>
      <c r="I78" s="2451"/>
      <c r="J78" s="2451"/>
      <c r="K78" s="2454"/>
      <c r="L78" s="2455"/>
      <c r="M78" s="2455"/>
      <c r="N78" s="2455"/>
    </row>
    <row r="79" spans="1:14" ht="25.5" customHeight="1">
      <c r="A79" s="2450"/>
      <c r="B79" s="2449" t="s">
        <v>3189</v>
      </c>
      <c r="C79" s="2450">
        <v>8</v>
      </c>
      <c r="D79" s="2451">
        <v>1.83</v>
      </c>
      <c r="E79" s="2451">
        <v>0.35</v>
      </c>
      <c r="F79" s="2452">
        <v>1</v>
      </c>
      <c r="G79" s="2451">
        <f>PRODUCT(C79:F79)</f>
        <v>5.1239999999999997</v>
      </c>
      <c r="H79" s="2450"/>
      <c r="I79" s="2451"/>
      <c r="J79" s="2451"/>
      <c r="K79" s="2454"/>
      <c r="L79" s="2455"/>
      <c r="M79" s="2455"/>
      <c r="N79" s="2455"/>
    </row>
    <row r="80" spans="1:14" ht="25.5" customHeight="1">
      <c r="A80" s="2450"/>
      <c r="B80" s="2449" t="s">
        <v>3193</v>
      </c>
      <c r="C80" s="2450">
        <v>1</v>
      </c>
      <c r="D80" s="2451">
        <f>D37</f>
        <v>18</v>
      </c>
      <c r="E80" s="2451">
        <f>AVERAGE(E36:E37)</f>
        <v>1.2</v>
      </c>
      <c r="F80" s="2452">
        <v>4</v>
      </c>
      <c r="G80" s="2451">
        <f>PRODUCT(C80:F80)</f>
        <v>86.399999999999991</v>
      </c>
      <c r="H80" s="2450"/>
      <c r="I80" s="2451"/>
      <c r="J80" s="2451"/>
      <c r="K80" s="2454"/>
      <c r="L80" s="2455"/>
      <c r="M80" s="2455"/>
      <c r="N80" s="2455"/>
    </row>
    <row r="81" spans="1:14" ht="25.5" customHeight="1">
      <c r="A81" s="2450"/>
      <c r="B81" s="2449"/>
      <c r="C81" s="2450"/>
      <c r="D81" s="2451"/>
      <c r="E81" s="2451"/>
      <c r="F81" s="2452"/>
      <c r="G81" s="2451"/>
      <c r="H81" s="2450"/>
      <c r="I81" s="2451"/>
      <c r="J81" s="2451"/>
      <c r="K81" s="2454"/>
      <c r="L81" s="2455"/>
      <c r="M81" s="2455"/>
      <c r="N81" s="2455"/>
    </row>
    <row r="82" spans="1:14" ht="25.5" customHeight="1">
      <c r="A82" s="2450"/>
      <c r="B82" s="2449"/>
      <c r="C82" s="2450"/>
      <c r="D82" s="2451"/>
      <c r="E82" s="2451"/>
      <c r="F82" s="2452"/>
      <c r="G82" s="2451">
        <f>SUM(G77:G80)</f>
        <v>259.09899999999999</v>
      </c>
      <c r="H82" s="2450" t="s">
        <v>1174</v>
      </c>
      <c r="I82" s="2451">
        <f>Analysis!R51</f>
        <v>14917.39</v>
      </c>
      <c r="J82" s="2451">
        <f>G82*I82</f>
        <v>3865080.8316099998</v>
      </c>
      <c r="K82" s="2454"/>
      <c r="L82" s="2455"/>
      <c r="M82" s="2455"/>
      <c r="N82" s="2455"/>
    </row>
    <row r="83" spans="1:14" ht="25.5" customHeight="1">
      <c r="A83" s="2508"/>
      <c r="B83" s="2509"/>
      <c r="C83" s="2484"/>
      <c r="D83" s="2484"/>
      <c r="E83" s="2483"/>
      <c r="F83" s="2483"/>
      <c r="G83" s="2483"/>
      <c r="H83" s="2483"/>
      <c r="I83" s="2483"/>
      <c r="J83" s="2483"/>
      <c r="K83" s="2454"/>
      <c r="L83" s="2455"/>
      <c r="M83" s="2455"/>
      <c r="N83" s="2455"/>
    </row>
    <row r="84" spans="1:14" ht="25.5" customHeight="1">
      <c r="A84" s="2508"/>
      <c r="B84" s="2509"/>
      <c r="C84" s="2510"/>
      <c r="D84" s="2510"/>
      <c r="E84" s="2511"/>
      <c r="F84" s="2511"/>
      <c r="G84" s="2511"/>
      <c r="H84" s="2511"/>
      <c r="I84" s="2511"/>
      <c r="J84" s="2512"/>
      <c r="K84" s="2454"/>
      <c r="L84" s="2455"/>
      <c r="M84" s="2455"/>
      <c r="N84" s="2455"/>
    </row>
    <row r="85" spans="1:14" ht="45">
      <c r="A85" s="2508">
        <v>11</v>
      </c>
      <c r="B85" s="2502" t="s">
        <v>3207</v>
      </c>
      <c r="C85" s="2510">
        <v>2</v>
      </c>
      <c r="D85" s="2510"/>
      <c r="E85" s="2511"/>
      <c r="F85" s="2511"/>
      <c r="G85" s="2511">
        <f>PRODUCT(C85:F85)</f>
        <v>2</v>
      </c>
      <c r="H85" s="2511" t="s">
        <v>1753</v>
      </c>
      <c r="I85" s="2511">
        <v>10755</v>
      </c>
      <c r="J85" s="2512">
        <f>G85*I85</f>
        <v>21510</v>
      </c>
      <c r="K85" s="2454"/>
      <c r="L85" s="2455"/>
      <c r="M85" s="2455"/>
      <c r="N85" s="2455"/>
    </row>
    <row r="86" spans="1:14" ht="25.5" customHeight="1">
      <c r="A86" s="2508"/>
      <c r="B86" s="2503"/>
      <c r="C86" s="2510"/>
      <c r="D86" s="2510"/>
      <c r="E86" s="2511"/>
      <c r="F86" s="2511"/>
      <c r="G86" s="2511"/>
      <c r="H86" s="2511"/>
      <c r="I86" s="2511"/>
      <c r="J86" s="2512"/>
      <c r="K86" s="2454"/>
      <c r="L86" s="2455"/>
      <c r="M86" s="2455"/>
      <c r="N86" s="2455"/>
    </row>
    <row r="87" spans="1:14" ht="30">
      <c r="A87" s="2508">
        <v>12</v>
      </c>
      <c r="B87" s="2502" t="s">
        <v>3208</v>
      </c>
      <c r="C87" s="2510">
        <v>24</v>
      </c>
      <c r="D87" s="2510">
        <v>2</v>
      </c>
      <c r="E87" s="2511">
        <v>1</v>
      </c>
      <c r="F87" s="2511">
        <v>1</v>
      </c>
      <c r="G87" s="2511">
        <f>PRODUCT(C87:F87)</f>
        <v>48</v>
      </c>
      <c r="H87" s="2511" t="s">
        <v>1174</v>
      </c>
      <c r="I87" s="2511">
        <f>Analysis!R196</f>
        <v>2574.62</v>
      </c>
      <c r="J87" s="2512">
        <f>G87*I87</f>
        <v>123581.75999999999</v>
      </c>
      <c r="K87" s="2454"/>
      <c r="L87" s="2455"/>
      <c r="M87" s="2455"/>
      <c r="N87" s="2455"/>
    </row>
    <row r="88" spans="1:14" ht="25.5" customHeight="1">
      <c r="A88" s="2508"/>
      <c r="B88" s="2503"/>
      <c r="C88" s="2510"/>
      <c r="D88" s="2510"/>
      <c r="E88" s="2511"/>
      <c r="F88" s="2511"/>
      <c r="G88" s="2511"/>
      <c r="H88" s="2511"/>
      <c r="I88" s="2511"/>
      <c r="J88" s="2512"/>
      <c r="K88" s="2454"/>
      <c r="L88" s="2455"/>
      <c r="M88" s="2455"/>
      <c r="N88" s="2455"/>
    </row>
    <row r="89" spans="1:14" ht="25.5" customHeight="1">
      <c r="A89" s="2508">
        <v>13</v>
      </c>
      <c r="B89" s="2502" t="s">
        <v>3209</v>
      </c>
      <c r="C89" s="2510"/>
      <c r="D89" s="2510"/>
      <c r="E89" s="2511"/>
      <c r="F89" s="2511"/>
      <c r="G89" s="2511">
        <f>G87</f>
        <v>48</v>
      </c>
      <c r="H89" s="2511" t="s">
        <v>1174</v>
      </c>
      <c r="I89" s="2511">
        <f>Analysis!R200</f>
        <v>4056.82</v>
      </c>
      <c r="J89" s="2512">
        <f>G89*I89</f>
        <v>194727.36000000002</v>
      </c>
      <c r="K89" s="2454"/>
      <c r="L89" s="2455"/>
      <c r="M89" s="2455"/>
      <c r="N89" s="2455"/>
    </row>
    <row r="90" spans="1:14" ht="25.5" customHeight="1">
      <c r="A90" s="2508"/>
      <c r="B90" s="2502"/>
      <c r="C90" s="2484"/>
      <c r="D90" s="2484"/>
      <c r="E90" s="2483"/>
      <c r="F90" s="2483"/>
      <c r="G90" s="2483"/>
      <c r="H90" s="2483"/>
      <c r="I90" s="2483"/>
      <c r="J90" s="2483"/>
      <c r="K90" s="2454"/>
      <c r="L90" s="2455"/>
      <c r="M90" s="2455"/>
      <c r="N90" s="2455"/>
    </row>
    <row r="91" spans="1:14">
      <c r="A91" s="2474"/>
      <c r="B91" s="2449"/>
      <c r="C91" s="2474"/>
      <c r="D91" s="2474"/>
      <c r="E91" s="2474"/>
      <c r="F91" s="2475"/>
      <c r="G91" s="2474"/>
      <c r="H91" s="2474"/>
      <c r="I91" s="2443" t="s">
        <v>3195</v>
      </c>
      <c r="J91" s="2476">
        <f>SUM(J15:J90)</f>
        <v>10756197.148940584</v>
      </c>
      <c r="K91" s="2458"/>
    </row>
    <row r="92" spans="1:14">
      <c r="A92" s="2474"/>
      <c r="B92" s="2449"/>
      <c r="C92" s="2474"/>
      <c r="D92" s="2474"/>
      <c r="E92" s="2474"/>
      <c r="F92" s="2475"/>
      <c r="G92" s="2474"/>
      <c r="H92" s="2474"/>
      <c r="I92" s="2443" t="s">
        <v>3194</v>
      </c>
      <c r="J92" s="2476">
        <f>J91*0.13</f>
        <v>1398305.6293622758</v>
      </c>
      <c r="K92" s="2458"/>
    </row>
    <row r="93" spans="1:14">
      <c r="A93" s="2474"/>
      <c r="B93" s="2449"/>
      <c r="C93" s="2474"/>
      <c r="D93" s="2474"/>
      <c r="E93" s="2474"/>
      <c r="F93" s="2475"/>
      <c r="G93" s="2474"/>
      <c r="H93" s="2474"/>
      <c r="I93" s="2443" t="s">
        <v>3196</v>
      </c>
      <c r="J93" s="2476">
        <f>SUM(J91:J92)</f>
        <v>12154502.77830286</v>
      </c>
      <c r="K93" s="2458"/>
    </row>
    <row r="94" spans="1:14" s="2472" customFormat="1">
      <c r="A94" s="2460">
        <v>14</v>
      </c>
      <c r="B94" s="2471" t="s">
        <v>3176</v>
      </c>
      <c r="C94" s="2480"/>
      <c r="D94" s="2480"/>
      <c r="E94" s="2480"/>
      <c r="F94" s="2480"/>
      <c r="G94" s="2481">
        <v>1</v>
      </c>
      <c r="H94" s="2480" t="s">
        <v>3168</v>
      </c>
      <c r="I94" s="2480">
        <v>5000</v>
      </c>
      <c r="J94" s="2482">
        <f>G94*I94</f>
        <v>5000</v>
      </c>
      <c r="K94" s="2471"/>
    </row>
    <row r="95" spans="1:14" s="2472" customFormat="1">
      <c r="A95" s="2460"/>
      <c r="B95" s="2473"/>
      <c r="C95" s="2480"/>
      <c r="D95" s="2480"/>
      <c r="E95" s="2480"/>
      <c r="F95" s="2480"/>
      <c r="G95" s="2481"/>
      <c r="H95" s="2480"/>
      <c r="I95" s="2480"/>
      <c r="J95" s="2481"/>
      <c r="K95" s="2471"/>
    </row>
    <row r="96" spans="1:14" s="2472" customFormat="1">
      <c r="A96" s="2460">
        <v>15</v>
      </c>
      <c r="B96" s="2473" t="s">
        <v>3177</v>
      </c>
      <c r="C96" s="2480"/>
      <c r="D96" s="2480"/>
      <c r="E96" s="2480"/>
      <c r="F96" s="2480"/>
      <c r="G96" s="2481">
        <v>1</v>
      </c>
      <c r="H96" s="2480" t="s">
        <v>3168</v>
      </c>
      <c r="I96" s="2480">
        <v>20000</v>
      </c>
      <c r="J96" s="2482">
        <f>G96*I96</f>
        <v>20000</v>
      </c>
      <c r="K96" s="2471"/>
    </row>
    <row r="97" spans="1:12" s="2472" customFormat="1">
      <c r="A97" s="2460"/>
      <c r="B97" s="2473"/>
      <c r="C97" s="2480"/>
      <c r="D97" s="2480"/>
      <c r="E97" s="2480"/>
      <c r="F97" s="2480"/>
      <c r="G97" s="2481"/>
      <c r="H97" s="2480"/>
      <c r="I97" s="2480"/>
      <c r="J97" s="2482"/>
      <c r="K97" s="2471"/>
    </row>
    <row r="98" spans="1:12" s="2472" customFormat="1">
      <c r="A98" s="2460">
        <v>16</v>
      </c>
      <c r="B98" s="2473" t="s">
        <v>3211</v>
      </c>
      <c r="C98" s="2480"/>
      <c r="D98" s="2480"/>
      <c r="E98" s="2480"/>
      <c r="F98" s="2480"/>
      <c r="G98" s="2481">
        <v>1</v>
      </c>
      <c r="H98" s="2480" t="s">
        <v>3168</v>
      </c>
      <c r="I98" s="2480">
        <v>20000</v>
      </c>
      <c r="J98" s="2482">
        <v>20000</v>
      </c>
      <c r="K98" s="2471"/>
    </row>
    <row r="99" spans="1:12" s="2472" customFormat="1">
      <c r="A99" s="2460"/>
      <c r="B99" s="2473"/>
      <c r="C99" s="2480"/>
      <c r="D99" s="2480"/>
      <c r="E99" s="2480"/>
      <c r="F99" s="2480"/>
      <c r="G99" s="2481"/>
      <c r="H99" s="2480"/>
      <c r="I99" s="2480"/>
      <c r="J99" s="2482"/>
      <c r="K99" s="2471"/>
    </row>
    <row r="100" spans="1:12" s="2472" customFormat="1">
      <c r="A100" s="2460">
        <v>17</v>
      </c>
      <c r="B100" s="2473" t="s">
        <v>3212</v>
      </c>
      <c r="C100" s="2480"/>
      <c r="D100" s="2480"/>
      <c r="E100" s="2480"/>
      <c r="F100" s="2480"/>
      <c r="G100" s="2481">
        <v>1</v>
      </c>
      <c r="H100" s="2480" t="s">
        <v>3213</v>
      </c>
      <c r="I100" s="2480">
        <v>100000</v>
      </c>
      <c r="J100" s="2482">
        <f>G100*I100</f>
        <v>100000</v>
      </c>
      <c r="K100" s="2471"/>
    </row>
    <row r="101" spans="1:12">
      <c r="A101" s="2474"/>
      <c r="B101" s="2449"/>
      <c r="C101" s="2474"/>
      <c r="D101" s="2474"/>
      <c r="E101" s="2474"/>
      <c r="F101" s="2475"/>
      <c r="G101" s="2474"/>
      <c r="H101" s="2474"/>
      <c r="I101" s="2443" t="s">
        <v>3178</v>
      </c>
      <c r="J101" s="2476">
        <f>J91*0.03</f>
        <v>322685.91446821752</v>
      </c>
      <c r="K101" s="2477"/>
    </row>
    <row r="102" spans="1:12">
      <c r="A102" s="2474"/>
      <c r="B102" s="2449"/>
      <c r="C102" s="2474"/>
      <c r="D102" s="2474"/>
      <c r="E102" s="2474"/>
      <c r="F102" s="2475"/>
      <c r="G102" s="2474"/>
      <c r="H102" s="2474"/>
      <c r="I102" s="2443" t="s">
        <v>2626</v>
      </c>
      <c r="J102" s="2476">
        <f>SUM(J93:J101)</f>
        <v>12622188.692771077</v>
      </c>
      <c r="K102" s="2477"/>
      <c r="L102" s="2514">
        <f>J102*0.026</f>
        <v>328176.90601204801</v>
      </c>
    </row>
    <row r="107" spans="1:12" ht="18">
      <c r="B107" s="3033"/>
      <c r="C107" s="3034"/>
      <c r="D107" s="3034"/>
      <c r="E107" s="3034"/>
      <c r="F107" s="3034"/>
      <c r="G107" s="3034"/>
      <c r="H107" s="3034"/>
    </row>
    <row r="108" spans="1:12" ht="18">
      <c r="B108" s="3035"/>
      <c r="C108" s="3034"/>
      <c r="D108" s="3034"/>
      <c r="E108" s="3034"/>
      <c r="F108" s="3034"/>
      <c r="G108" s="3034"/>
      <c r="H108" s="3034"/>
    </row>
    <row r="109" spans="1:12">
      <c r="B109" s="3030"/>
      <c r="C109" s="3030"/>
      <c r="D109" s="3030"/>
      <c r="E109" s="3030"/>
      <c r="F109" s="3030"/>
      <c r="G109" s="3030"/>
      <c r="H109" s="3030"/>
    </row>
    <row r="110" spans="1:12">
      <c r="B110" s="3030"/>
      <c r="C110" s="3030"/>
      <c r="D110" s="3030"/>
      <c r="E110" s="3030"/>
      <c r="F110" s="3030"/>
      <c r="G110" s="3030"/>
      <c r="H110" s="3030"/>
    </row>
  </sheetData>
  <mergeCells count="13">
    <mergeCell ref="B107:H107"/>
    <mergeCell ref="B108:H108"/>
    <mergeCell ref="B109:H109"/>
    <mergeCell ref="B110:H110"/>
    <mergeCell ref="A6:F6"/>
    <mergeCell ref="H6:K6"/>
    <mergeCell ref="H7:K7"/>
    <mergeCell ref="A1:K1"/>
    <mergeCell ref="A2:K2"/>
    <mergeCell ref="A3:K3"/>
    <mergeCell ref="A4:K4"/>
    <mergeCell ref="A5:F5"/>
    <mergeCell ref="H5:K5"/>
  </mergeCells>
  <conditionalFormatting sqref="A94:A96">
    <cfRule type="top10" dxfId="0" priority="1" percent="1" rank="10"/>
  </conditionalFormatting>
  <pageMargins left="0.7" right="0.7" top="0.75" bottom="0.75" header="0.3" footer="0.3"/>
  <pageSetup paperSize="9" scale="57" orientation="portrait" verticalDpi="0" r:id="rId1"/>
  <colBreaks count="1" manualBreakCount="1">
    <brk id="11"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O139"/>
  <sheetViews>
    <sheetView topLeftCell="A61" workbookViewId="0">
      <selection activeCell="H46" sqref="H46"/>
    </sheetView>
  </sheetViews>
  <sheetFormatPr defaultColWidth="9.140625" defaultRowHeight="15"/>
  <cols>
    <col min="1" max="1" width="5.42578125" style="1961" customWidth="1"/>
    <col min="2" max="2" width="43.7109375" style="1961" bestFit="1" customWidth="1"/>
    <col min="3" max="3" width="5.140625" style="1961" bestFit="1" customWidth="1"/>
    <col min="4" max="4" width="4.5703125" style="1961" bestFit="1" customWidth="1"/>
    <col min="5" max="5" width="8.7109375" style="1961" bestFit="1" customWidth="1"/>
    <col min="6" max="6" width="9.42578125" style="1961" bestFit="1" customWidth="1"/>
    <col min="7" max="7" width="8.42578125" style="1961" bestFit="1" customWidth="1"/>
    <col min="8" max="8" width="11.140625" style="1961" bestFit="1" customWidth="1"/>
    <col min="9" max="10" width="11.140625" style="1961" hidden="1" customWidth="1"/>
    <col min="11" max="11" width="8.28515625" style="1961" bestFit="1" customWidth="1"/>
    <col min="12" max="12" width="9.140625" style="1961"/>
    <col min="13" max="13" width="10.28515625" style="1961" bestFit="1" customWidth="1"/>
    <col min="14" max="15" width="9.28515625" style="1961" bestFit="1" customWidth="1"/>
    <col min="16" max="16384" width="9.140625" style="1961"/>
  </cols>
  <sheetData>
    <row r="1" spans="1:15">
      <c r="A1" s="3018" t="s">
        <v>2894</v>
      </c>
      <c r="B1" s="3018"/>
      <c r="C1" s="3018"/>
      <c r="D1" s="3018"/>
      <c r="E1" s="3018"/>
      <c r="F1" s="3018"/>
      <c r="G1" s="3018"/>
      <c r="H1" s="3018"/>
      <c r="I1" s="3018"/>
      <c r="J1" s="3018"/>
      <c r="K1" s="3018"/>
    </row>
    <row r="2" spans="1:15" s="1963" customFormat="1">
      <c r="A2" s="3019" t="s">
        <v>3049</v>
      </c>
      <c r="B2" s="3019"/>
      <c r="C2" s="3019"/>
      <c r="D2" s="3019"/>
      <c r="E2" s="1962"/>
      <c r="F2" s="1962"/>
      <c r="G2" s="1962"/>
      <c r="H2" s="1962"/>
      <c r="I2" s="1962"/>
      <c r="J2" s="1962"/>
      <c r="K2" s="1962"/>
    </row>
    <row r="3" spans="1:15" s="1963" customFormat="1">
      <c r="A3" s="1964" t="s">
        <v>908</v>
      </c>
      <c r="B3" s="1965" t="s">
        <v>2861</v>
      </c>
      <c r="C3" s="1965" t="s">
        <v>1035</v>
      </c>
      <c r="D3" s="1965" t="s">
        <v>1087</v>
      </c>
      <c r="E3" s="1965" t="s">
        <v>2895</v>
      </c>
      <c r="F3" s="1965" t="s">
        <v>2896</v>
      </c>
      <c r="G3" s="1965" t="s">
        <v>2897</v>
      </c>
      <c r="H3" s="1965" t="s">
        <v>964</v>
      </c>
      <c r="I3" s="2487" t="s">
        <v>97</v>
      </c>
      <c r="J3" s="2487" t="s">
        <v>52</v>
      </c>
      <c r="K3" s="1966" t="s">
        <v>1055</v>
      </c>
    </row>
    <row r="4" spans="1:15" s="1963" customFormat="1">
      <c r="A4" s="1967">
        <v>1</v>
      </c>
      <c r="B4" s="1968" t="s">
        <v>26</v>
      </c>
      <c r="C4" s="1969" t="s">
        <v>2862</v>
      </c>
      <c r="D4" s="1969">
        <v>1</v>
      </c>
      <c r="E4" s="1969">
        <f>8+1</f>
        <v>9</v>
      </c>
      <c r="F4" s="1969">
        <f>14+0.3+3+3+1</f>
        <v>21.3</v>
      </c>
      <c r="G4" s="1969"/>
      <c r="H4" s="1970">
        <f>+ROUND(PRODUCT(D4:G4),2)</f>
        <v>191.7</v>
      </c>
      <c r="I4" s="2488"/>
      <c r="J4" s="2488"/>
      <c r="K4" s="1971"/>
    </row>
    <row r="5" spans="1:15" s="1963" customFormat="1">
      <c r="A5" s="1967">
        <v>2</v>
      </c>
      <c r="B5" s="1972" t="s">
        <v>2898</v>
      </c>
      <c r="C5" s="1969"/>
      <c r="D5" s="1969"/>
      <c r="E5" s="1969"/>
      <c r="F5" s="1969"/>
      <c r="G5" s="1969"/>
      <c r="H5" s="1970"/>
      <c r="I5" s="2488"/>
      <c r="J5" s="2488"/>
      <c r="K5" s="1971"/>
    </row>
    <row r="6" spans="1:15" s="1963" customFormat="1">
      <c r="A6" s="1973"/>
      <c r="B6" s="1974" t="s">
        <v>2899</v>
      </c>
      <c r="C6" s="1975" t="s">
        <v>1084</v>
      </c>
      <c r="D6" s="1976">
        <v>1</v>
      </c>
      <c r="E6" s="1976">
        <v>6</v>
      </c>
      <c r="F6" s="1969">
        <v>0.3</v>
      </c>
      <c r="G6" s="1976">
        <v>1.5249999999999999</v>
      </c>
      <c r="H6" s="1970">
        <f t="shared" ref="H6:H24" si="0">+ROUND(PRODUCT(D6:G6),2)</f>
        <v>2.75</v>
      </c>
      <c r="I6" s="2488"/>
      <c r="J6" s="2488"/>
      <c r="K6" s="1971"/>
      <c r="N6" s="1963">
        <f>1.5+0.1+0.15</f>
        <v>1.75</v>
      </c>
      <c r="O6" s="1963">
        <f>0.31+0.1+0.15</f>
        <v>0.56000000000000005</v>
      </c>
    </row>
    <row r="7" spans="1:15" s="1963" customFormat="1">
      <c r="A7" s="1973"/>
      <c r="B7" s="1974"/>
      <c r="C7" s="1975" t="s">
        <v>1084</v>
      </c>
      <c r="D7" s="1976">
        <v>1</v>
      </c>
      <c r="E7" s="1976">
        <f>E6</f>
        <v>6</v>
      </c>
      <c r="F7" s="1969">
        <f>2-0.3</f>
        <v>1.7</v>
      </c>
      <c r="G7" s="1976">
        <v>0.52500000000000002</v>
      </c>
      <c r="H7" s="1970">
        <f t="shared" si="0"/>
        <v>5.36</v>
      </c>
      <c r="I7" s="2488"/>
      <c r="J7" s="2488"/>
      <c r="K7" s="1971"/>
    </row>
    <row r="8" spans="1:15" s="1963" customFormat="1">
      <c r="A8" s="1973"/>
      <c r="B8" s="1974"/>
      <c r="C8" s="1975" t="s">
        <v>1084</v>
      </c>
      <c r="D8" s="1976">
        <v>1</v>
      </c>
      <c r="E8" s="1976">
        <f>+E7</f>
        <v>6</v>
      </c>
      <c r="F8" s="1976">
        <v>0.3</v>
      </c>
      <c r="G8" s="1976">
        <f>+G6</f>
        <v>1.5249999999999999</v>
      </c>
      <c r="H8" s="1970">
        <f t="shared" si="0"/>
        <v>2.75</v>
      </c>
      <c r="I8" s="2488"/>
      <c r="J8" s="2488"/>
      <c r="K8" s="1971"/>
    </row>
    <row r="9" spans="1:15" s="1963" customFormat="1">
      <c r="A9" s="1973"/>
      <c r="B9" s="1974"/>
      <c r="C9" s="1975" t="s">
        <v>1084</v>
      </c>
      <c r="D9" s="1976">
        <v>1</v>
      </c>
      <c r="E9" s="1976">
        <f>+E8</f>
        <v>6</v>
      </c>
      <c r="F9" s="1976">
        <v>3</v>
      </c>
      <c r="G9" s="1976">
        <v>0.52500000000000002</v>
      </c>
      <c r="H9" s="1970">
        <f t="shared" si="0"/>
        <v>9.4499999999999993</v>
      </c>
      <c r="I9" s="2488"/>
      <c r="J9" s="2488"/>
      <c r="K9" s="1971"/>
    </row>
    <row r="10" spans="1:15" s="1963" customFormat="1">
      <c r="A10" s="1973"/>
      <c r="B10" s="1974" t="s">
        <v>2900</v>
      </c>
      <c r="C10" s="1977" t="s">
        <v>1084</v>
      </c>
      <c r="D10" s="1969">
        <v>1</v>
      </c>
      <c r="E10" s="1969">
        <v>2.1</v>
      </c>
      <c r="F10" s="1969">
        <f>2.5+0.3*2+1+0.25</f>
        <v>4.3499999999999996</v>
      </c>
      <c r="G10" s="1969">
        <f>1.5+0.3</f>
        <v>1.8</v>
      </c>
      <c r="H10" s="1978">
        <f t="shared" si="0"/>
        <v>16.440000000000001</v>
      </c>
      <c r="I10" s="2489"/>
      <c r="J10" s="2489"/>
      <c r="K10" s="1971"/>
    </row>
    <row r="11" spans="1:15" s="1963" customFormat="1">
      <c r="A11" s="1973"/>
      <c r="B11" s="1974" t="s">
        <v>1198</v>
      </c>
      <c r="C11" s="1977" t="s">
        <v>520</v>
      </c>
      <c r="D11" s="1969">
        <v>1</v>
      </c>
      <c r="E11" s="1969">
        <v>8.3000000000000007</v>
      </c>
      <c r="F11" s="1969">
        <v>1.3</v>
      </c>
      <c r="G11" s="1969">
        <v>1.5</v>
      </c>
      <c r="H11" s="1978">
        <f t="shared" si="0"/>
        <v>16.190000000000001</v>
      </c>
      <c r="I11" s="2489"/>
      <c r="J11" s="2489"/>
      <c r="K11" s="1971"/>
    </row>
    <row r="12" spans="1:15" s="1963" customFormat="1">
      <c r="A12" s="1973"/>
      <c r="B12" s="1969"/>
      <c r="C12" s="1979" t="s">
        <v>1084</v>
      </c>
      <c r="D12" s="1969"/>
      <c r="E12" s="1969"/>
      <c r="F12" s="1969"/>
      <c r="G12" s="1972" t="s">
        <v>1108</v>
      </c>
      <c r="H12" s="2501">
        <f>SUM(H6:H11)</f>
        <v>52.94</v>
      </c>
      <c r="I12" s="2490"/>
      <c r="J12" s="2490"/>
      <c r="K12" s="1971"/>
    </row>
    <row r="13" spans="1:15" s="1963" customFormat="1">
      <c r="A13" s="1973">
        <v>3</v>
      </c>
      <c r="B13" s="1968" t="s">
        <v>2886</v>
      </c>
      <c r="C13" s="1979"/>
      <c r="D13" s="1969"/>
      <c r="E13" s="1969"/>
      <c r="F13" s="1969"/>
      <c r="G13" s="1972"/>
      <c r="H13" s="1980"/>
      <c r="I13" s="2490"/>
      <c r="J13" s="2490"/>
      <c r="K13" s="1971"/>
    </row>
    <row r="14" spans="1:15" s="1963" customFormat="1">
      <c r="A14" s="1973"/>
      <c r="B14" s="1974" t="s">
        <v>2899</v>
      </c>
      <c r="C14" s="1977" t="s">
        <v>1084</v>
      </c>
      <c r="D14" s="1969">
        <v>1</v>
      </c>
      <c r="E14" s="1969">
        <f>E6</f>
        <v>6</v>
      </c>
      <c r="F14" s="1969">
        <f>3+0.3+2</f>
        <v>5.3</v>
      </c>
      <c r="G14" s="1969">
        <v>0.15</v>
      </c>
      <c r="H14" s="1970">
        <f t="shared" si="0"/>
        <v>4.7699999999999996</v>
      </c>
      <c r="I14" s="2488"/>
      <c r="J14" s="2488"/>
      <c r="K14" s="1971"/>
    </row>
    <row r="15" spans="1:15" s="1963" customFormat="1">
      <c r="A15" s="1973"/>
      <c r="B15" s="1974"/>
      <c r="C15" s="1977"/>
      <c r="D15" s="1969">
        <v>1</v>
      </c>
      <c r="E15" s="1969">
        <f>4+0.3+3</f>
        <v>7.3</v>
      </c>
      <c r="F15" s="1969">
        <v>1.3</v>
      </c>
      <c r="G15" s="1969">
        <v>0.15</v>
      </c>
      <c r="H15" s="1970">
        <f>+ROUND(PRODUCT(D15:G15),2)</f>
        <v>1.42</v>
      </c>
      <c r="I15" s="2488"/>
      <c r="J15" s="2488"/>
      <c r="K15" s="1971"/>
    </row>
    <row r="16" spans="1:15" s="1963" customFormat="1">
      <c r="A16" s="1973"/>
      <c r="B16" s="1974" t="s">
        <v>2900</v>
      </c>
      <c r="C16" s="1977" t="s">
        <v>1084</v>
      </c>
      <c r="D16" s="1969">
        <v>1</v>
      </c>
      <c r="E16" s="1969">
        <f>+E10</f>
        <v>2.1</v>
      </c>
      <c r="F16" s="1969">
        <v>4.8499999999999996</v>
      </c>
      <c r="G16" s="1969">
        <f>G14</f>
        <v>0.15</v>
      </c>
      <c r="H16" s="1970">
        <f t="shared" si="0"/>
        <v>1.53</v>
      </c>
      <c r="I16" s="2488"/>
      <c r="J16" s="2488"/>
      <c r="K16" s="1971"/>
    </row>
    <row r="17" spans="1:11" s="1963" customFormat="1">
      <c r="A17" s="1973"/>
      <c r="B17" s="1974" t="s">
        <v>1198</v>
      </c>
      <c r="C17" s="1977" t="s">
        <v>520</v>
      </c>
      <c r="D17" s="1969">
        <v>1</v>
      </c>
      <c r="E17" s="1969">
        <v>8.3000000000000007</v>
      </c>
      <c r="F17" s="1969">
        <v>1.3</v>
      </c>
      <c r="G17" s="1969">
        <v>0.15</v>
      </c>
      <c r="H17" s="1978">
        <f t="shared" ref="H17" si="1">+ROUND(PRODUCT(D17:G17),2)</f>
        <v>1.62</v>
      </c>
      <c r="I17" s="2488"/>
      <c r="J17" s="2488"/>
      <c r="K17" s="1971"/>
    </row>
    <row r="18" spans="1:11" s="1963" customFormat="1">
      <c r="A18" s="1973"/>
      <c r="B18" s="1969"/>
      <c r="C18" s="1979" t="s">
        <v>1084</v>
      </c>
      <c r="D18" s="1969"/>
      <c r="E18" s="1969"/>
      <c r="F18" s="1969"/>
      <c r="G18" s="1972" t="s">
        <v>1108</v>
      </c>
      <c r="H18" s="2501">
        <f>SUM(H14:H17)</f>
        <v>9.34</v>
      </c>
      <c r="I18" s="2490"/>
      <c r="J18" s="2490"/>
      <c r="K18" s="1971"/>
    </row>
    <row r="19" spans="1:11" s="1963" customFormat="1">
      <c r="A19" s="1973"/>
      <c r="B19" s="1969"/>
      <c r="C19" s="1977"/>
      <c r="D19" s="1969"/>
      <c r="E19" s="1969"/>
      <c r="F19" s="1969"/>
      <c r="G19" s="1969"/>
      <c r="H19" s="1970"/>
      <c r="I19" s="2488"/>
      <c r="J19" s="2488"/>
      <c r="K19" s="1971"/>
    </row>
    <row r="20" spans="1:11" s="1963" customFormat="1">
      <c r="A20" s="1973">
        <v>4.0999999999999996</v>
      </c>
      <c r="B20" s="1972" t="s">
        <v>3205</v>
      </c>
      <c r="C20" s="1977"/>
      <c r="D20" s="1969"/>
      <c r="E20" s="1981"/>
      <c r="F20" s="1969"/>
      <c r="G20" s="1969"/>
      <c r="H20" s="1970"/>
      <c r="I20" s="2488"/>
      <c r="J20" s="2488"/>
      <c r="K20" s="1971"/>
    </row>
    <row r="21" spans="1:11" s="1963" customFormat="1">
      <c r="A21" s="1973"/>
      <c r="B21" s="1974" t="s">
        <v>2899</v>
      </c>
      <c r="C21" s="1977" t="s">
        <v>1084</v>
      </c>
      <c r="D21" s="1969">
        <v>1</v>
      </c>
      <c r="E21" s="1981">
        <f t="shared" ref="E21:F23" si="2">E14</f>
        <v>6</v>
      </c>
      <c r="F21" s="1969">
        <f t="shared" si="2"/>
        <v>5.3</v>
      </c>
      <c r="G21" s="1969">
        <v>7.4999999999999997E-2</v>
      </c>
      <c r="H21" s="1970">
        <f>+ROUND(PRODUCT(D21:G21),2)</f>
        <v>2.39</v>
      </c>
      <c r="I21" s="2488"/>
      <c r="J21" s="2488"/>
      <c r="K21" s="1971"/>
    </row>
    <row r="22" spans="1:11" s="1963" customFormat="1">
      <c r="A22" s="1973"/>
      <c r="B22" s="1974"/>
      <c r="C22" s="1977" t="s">
        <v>1084</v>
      </c>
      <c r="D22" s="1969">
        <v>1</v>
      </c>
      <c r="E22" s="1969">
        <f t="shared" si="2"/>
        <v>7.3</v>
      </c>
      <c r="F22" s="1969">
        <f t="shared" si="2"/>
        <v>1.3</v>
      </c>
      <c r="G22" s="1969">
        <v>7.4999999999999997E-2</v>
      </c>
      <c r="H22" s="1970">
        <f>+ROUND(PRODUCT(D22:G22),2)</f>
        <v>0.71</v>
      </c>
      <c r="I22" s="2488"/>
      <c r="J22" s="2488"/>
      <c r="K22" s="1971"/>
    </row>
    <row r="23" spans="1:11" s="1963" customFormat="1">
      <c r="A23" s="1973"/>
      <c r="B23" s="1974" t="s">
        <v>2900</v>
      </c>
      <c r="C23" s="1977" t="s">
        <v>1084</v>
      </c>
      <c r="D23" s="1969">
        <v>1</v>
      </c>
      <c r="E23" s="1969">
        <f t="shared" si="2"/>
        <v>2.1</v>
      </c>
      <c r="F23" s="1969">
        <f t="shared" si="2"/>
        <v>4.8499999999999996</v>
      </c>
      <c r="G23" s="1969">
        <v>7.4999999999999997E-2</v>
      </c>
      <c r="H23" s="1970">
        <f t="shared" si="0"/>
        <v>0.76</v>
      </c>
      <c r="I23" s="2488"/>
      <c r="J23" s="2488"/>
      <c r="K23" s="1971"/>
    </row>
    <row r="24" spans="1:11" s="1963" customFormat="1">
      <c r="A24" s="1973"/>
      <c r="B24" s="1974" t="s">
        <v>1198</v>
      </c>
      <c r="C24" s="1977" t="s">
        <v>520</v>
      </c>
      <c r="D24" s="1969">
        <v>1</v>
      </c>
      <c r="E24" s="1969">
        <v>8.3000000000000007</v>
      </c>
      <c r="F24" s="1969">
        <v>1.3</v>
      </c>
      <c r="G24" s="1969">
        <v>7.4999999999999997E-2</v>
      </c>
      <c r="H24" s="1978">
        <f t="shared" si="0"/>
        <v>0.81</v>
      </c>
      <c r="I24" s="2488"/>
      <c r="J24" s="2488"/>
      <c r="K24" s="1971"/>
    </row>
    <row r="25" spans="1:11" s="1963" customFormat="1">
      <c r="A25" s="1991"/>
      <c r="B25" s="1969" t="s">
        <v>1324</v>
      </c>
      <c r="C25" s="1969" t="s">
        <v>2862</v>
      </c>
      <c r="D25" s="1976">
        <v>1</v>
      </c>
      <c r="E25" s="1976">
        <v>2.5</v>
      </c>
      <c r="F25" s="1976">
        <v>1.5</v>
      </c>
      <c r="G25" s="1969">
        <v>7.4999999999999997E-2</v>
      </c>
      <c r="H25" s="1970">
        <f>+ROUND(PRODUCT(D25:G25),2)</f>
        <v>0.28000000000000003</v>
      </c>
      <c r="I25" s="2492"/>
      <c r="J25" s="2492"/>
      <c r="K25" s="1989"/>
    </row>
    <row r="26" spans="1:11" s="1963" customFormat="1">
      <c r="A26" s="1991"/>
      <c r="B26" s="1969" t="s">
        <v>1624</v>
      </c>
      <c r="C26" s="1969" t="s">
        <v>2862</v>
      </c>
      <c r="D26" s="1976">
        <v>1</v>
      </c>
      <c r="E26" s="1976">
        <v>1.5</v>
      </c>
      <c r="F26" s="1976">
        <v>1</v>
      </c>
      <c r="G26" s="1969">
        <v>7.4999999999999997E-2</v>
      </c>
      <c r="H26" s="1970">
        <f>+ROUND(PRODUCT(D26:G26),2)</f>
        <v>0.11</v>
      </c>
      <c r="I26" s="2492"/>
      <c r="J26" s="2492"/>
      <c r="K26" s="1989"/>
    </row>
    <row r="27" spans="1:11" s="1963" customFormat="1">
      <c r="A27" s="1973"/>
      <c r="B27" s="1969"/>
      <c r="C27" s="1979" t="s">
        <v>1084</v>
      </c>
      <c r="D27" s="1969"/>
      <c r="E27" s="1969"/>
      <c r="F27" s="1969"/>
      <c r="G27" s="1972" t="s">
        <v>1108</v>
      </c>
      <c r="H27" s="2501">
        <f>SUM(H21:H26)</f>
        <v>5.0600000000000005</v>
      </c>
      <c r="I27" s="2490"/>
      <c r="J27" s="2490"/>
      <c r="K27" s="1971"/>
    </row>
    <row r="28" spans="1:11" s="1963" customFormat="1">
      <c r="A28" s="1973">
        <v>4.2</v>
      </c>
      <c r="B28" s="1972" t="s">
        <v>2865</v>
      </c>
      <c r="C28" s="1979"/>
      <c r="D28" s="1969"/>
      <c r="E28" s="1969"/>
      <c r="F28" s="1969"/>
      <c r="G28" s="1972"/>
      <c r="H28" s="1980"/>
      <c r="I28" s="2490"/>
      <c r="J28" s="2490"/>
      <c r="K28" s="1971"/>
    </row>
    <row r="29" spans="1:11" s="1963" customFormat="1">
      <c r="A29" s="1973"/>
      <c r="B29" s="1974" t="s">
        <v>2902</v>
      </c>
      <c r="C29" s="1977" t="s">
        <v>520</v>
      </c>
      <c r="D29" s="1969">
        <v>1</v>
      </c>
      <c r="E29" s="1969">
        <f>E21+2</f>
        <v>8</v>
      </c>
      <c r="F29" s="1969">
        <v>0.3</v>
      </c>
      <c r="G29" s="1970">
        <v>1.53</v>
      </c>
      <c r="H29" s="1970">
        <f t="shared" ref="H29:H37" si="3">+ROUND(PRODUCT(D29:G29),2)</f>
        <v>3.67</v>
      </c>
      <c r="I29" s="2488"/>
      <c r="J29" s="2488"/>
      <c r="K29" s="1971"/>
    </row>
    <row r="30" spans="1:11" s="1963" customFormat="1">
      <c r="A30" s="1973"/>
      <c r="B30" s="1982"/>
      <c r="C30" s="1977" t="s">
        <v>520</v>
      </c>
      <c r="D30" s="1969">
        <v>1</v>
      </c>
      <c r="E30" s="1981">
        <f>E29</f>
        <v>8</v>
      </c>
      <c r="F30" s="1969">
        <f>2-0.3</f>
        <v>1.7</v>
      </c>
      <c r="G30" s="1970">
        <v>0.3</v>
      </c>
      <c r="H30" s="1970">
        <f t="shared" si="3"/>
        <v>4.08</v>
      </c>
      <c r="I30" s="2488"/>
      <c r="J30" s="2488"/>
      <c r="K30" s="1971"/>
    </row>
    <row r="31" spans="1:11" s="1963" customFormat="1">
      <c r="A31" s="1973"/>
      <c r="B31" s="1982"/>
      <c r="C31" s="1977" t="s">
        <v>520</v>
      </c>
      <c r="D31" s="1969">
        <f>D30</f>
        <v>1</v>
      </c>
      <c r="E31" s="1981">
        <f>E30-2</f>
        <v>6</v>
      </c>
      <c r="F31" s="1983">
        <v>0.3</v>
      </c>
      <c r="G31" s="1978">
        <f>1+0.995+0.3</f>
        <v>2.2949999999999999</v>
      </c>
      <c r="H31" s="1970">
        <f>+ROUND(PRODUCT(D31:G31),2)</f>
        <v>4.13</v>
      </c>
      <c r="I31" s="2488"/>
      <c r="J31" s="2488"/>
      <c r="K31" s="1971"/>
    </row>
    <row r="32" spans="1:11" s="1963" customFormat="1">
      <c r="A32" s="1973"/>
      <c r="B32" s="1982"/>
      <c r="C32" s="1977" t="s">
        <v>520</v>
      </c>
      <c r="D32" s="1969">
        <f>D31</f>
        <v>1</v>
      </c>
      <c r="E32" s="1981">
        <f>E31</f>
        <v>6</v>
      </c>
      <c r="F32" s="1983">
        <v>3</v>
      </c>
      <c r="G32" s="1977">
        <v>0.3</v>
      </c>
      <c r="H32" s="1970">
        <f>+ROUND(PRODUCT(D32:G32),2)</f>
        <v>5.4</v>
      </c>
      <c r="I32" s="2488"/>
      <c r="J32" s="2488"/>
      <c r="K32" s="1971"/>
    </row>
    <row r="33" spans="1:11" s="1963" customFormat="1">
      <c r="A33" s="1973"/>
      <c r="B33" s="1982"/>
      <c r="C33" s="1977" t="s">
        <v>520</v>
      </c>
      <c r="D33" s="1969">
        <v>0.5</v>
      </c>
      <c r="E33" s="1981">
        <f>E32</f>
        <v>6</v>
      </c>
      <c r="F33" s="1983">
        <v>1.75</v>
      </c>
      <c r="G33" s="1977">
        <v>1</v>
      </c>
      <c r="H33" s="1970">
        <f>+ROUND(PRODUCT(D33:G33),2)</f>
        <v>5.25</v>
      </c>
      <c r="I33" s="2488"/>
      <c r="J33" s="2488"/>
      <c r="K33" s="1971"/>
    </row>
    <row r="34" spans="1:11" s="1963" customFormat="1">
      <c r="A34" s="1967"/>
      <c r="B34" s="1984" t="s">
        <v>1324</v>
      </c>
      <c r="C34" s="1969" t="s">
        <v>520</v>
      </c>
      <c r="D34" s="1969">
        <f>D23</f>
        <v>1</v>
      </c>
      <c r="E34" s="1981">
        <f>E23</f>
        <v>2.1</v>
      </c>
      <c r="F34" s="1969">
        <f>F23</f>
        <v>4.8499999999999996</v>
      </c>
      <c r="G34" s="1969">
        <v>0.3</v>
      </c>
      <c r="H34" s="1970">
        <f t="shared" si="3"/>
        <v>3.06</v>
      </c>
      <c r="I34" s="2488"/>
      <c r="J34" s="2488"/>
      <c r="K34" s="1971"/>
    </row>
    <row r="35" spans="1:11" s="1963" customFormat="1">
      <c r="A35" s="1967"/>
      <c r="B35" s="1984"/>
      <c r="C35" s="1969" t="s">
        <v>520</v>
      </c>
      <c r="D35" s="1969">
        <v>2</v>
      </c>
      <c r="E35" s="1981">
        <v>2.1</v>
      </c>
      <c r="F35" s="1969">
        <v>0.3</v>
      </c>
      <c r="G35" s="1969">
        <v>2.15</v>
      </c>
      <c r="H35" s="1970">
        <f t="shared" si="3"/>
        <v>2.71</v>
      </c>
      <c r="I35" s="2488"/>
      <c r="J35" s="2488"/>
      <c r="K35" s="1971"/>
    </row>
    <row r="36" spans="1:11" s="1963" customFormat="1">
      <c r="A36" s="1967"/>
      <c r="B36" s="1974" t="s">
        <v>2903</v>
      </c>
      <c r="C36" s="1969" t="s">
        <v>520</v>
      </c>
      <c r="D36" s="1969">
        <v>2</v>
      </c>
      <c r="E36" s="1969">
        <v>4.3449999999999998</v>
      </c>
      <c r="F36" s="1969">
        <v>0.3</v>
      </c>
      <c r="G36" s="1969">
        <v>2.15</v>
      </c>
      <c r="H36" s="1970">
        <f t="shared" si="3"/>
        <v>5.61</v>
      </c>
      <c r="I36" s="2488"/>
      <c r="J36" s="2488"/>
      <c r="K36" s="1971"/>
    </row>
    <row r="37" spans="1:11" s="1963" customFormat="1">
      <c r="A37" s="1967"/>
      <c r="B37" s="1974" t="s">
        <v>1510</v>
      </c>
      <c r="C37" s="1969" t="s">
        <v>520</v>
      </c>
      <c r="D37" s="1969">
        <v>1</v>
      </c>
      <c r="E37" s="1981">
        <v>2.1</v>
      </c>
      <c r="F37" s="1969">
        <f>2.5+0.3+0.3</f>
        <v>3.0999999999999996</v>
      </c>
      <c r="G37" s="1969">
        <v>0.15</v>
      </c>
      <c r="H37" s="1970">
        <f t="shared" si="3"/>
        <v>0.98</v>
      </c>
      <c r="I37" s="2488"/>
      <c r="J37" s="2488"/>
      <c r="K37" s="1971"/>
    </row>
    <row r="38" spans="1:11" s="1963" customFormat="1">
      <c r="A38" s="1967"/>
      <c r="B38" s="1974"/>
      <c r="C38" s="1969"/>
      <c r="D38" s="1969"/>
      <c r="E38" s="1981"/>
      <c r="F38" s="1969"/>
      <c r="G38" s="1969"/>
      <c r="H38" s="1970"/>
      <c r="I38" s="2488"/>
      <c r="J38" s="2488"/>
      <c r="K38" s="1971"/>
    </row>
    <row r="39" spans="1:11" s="1963" customFormat="1">
      <c r="A39" s="1967"/>
      <c r="B39" s="1974"/>
      <c r="C39" s="1969"/>
      <c r="D39" s="1969"/>
      <c r="E39" s="1981"/>
      <c r="F39" s="1969"/>
      <c r="G39" s="1969"/>
      <c r="H39" s="1970"/>
      <c r="I39" s="2488"/>
      <c r="J39" s="2488"/>
      <c r="K39" s="1971"/>
    </row>
    <row r="40" spans="1:11" s="1963" customFormat="1">
      <c r="A40" s="1967"/>
      <c r="B40" s="1969" t="s">
        <v>1624</v>
      </c>
      <c r="C40" s="1969"/>
      <c r="D40" s="1969"/>
      <c r="E40" s="1981"/>
      <c r="F40" s="1969"/>
      <c r="G40" s="1972"/>
      <c r="H40" s="1980"/>
      <c r="I40" s="2490"/>
      <c r="J40" s="2490"/>
      <c r="K40" s="1971"/>
    </row>
    <row r="41" spans="1:11" s="1963" customFormat="1">
      <c r="A41" s="1967"/>
      <c r="B41" s="1974" t="s">
        <v>2903</v>
      </c>
      <c r="C41" s="1969" t="s">
        <v>520</v>
      </c>
      <c r="D41" s="1969">
        <v>1</v>
      </c>
      <c r="E41" s="1981">
        <f>1.25*2+2.1</f>
        <v>4.5999999999999996</v>
      </c>
      <c r="F41" s="1969">
        <v>0.25</v>
      </c>
      <c r="G41" s="1970">
        <f>G36</f>
        <v>2.15</v>
      </c>
      <c r="H41" s="1970">
        <f>+ROUND(PRODUCT(D41:G41),2)</f>
        <v>2.4700000000000002</v>
      </c>
      <c r="I41" s="2488"/>
      <c r="J41" s="2488"/>
      <c r="K41" s="1971"/>
    </row>
    <row r="42" spans="1:11" s="1963" customFormat="1">
      <c r="A42" s="1967"/>
      <c r="B42" s="1974" t="s">
        <v>1510</v>
      </c>
      <c r="C42" s="1969" t="s">
        <v>520</v>
      </c>
      <c r="D42" s="1969">
        <v>1</v>
      </c>
      <c r="E42" s="1969">
        <v>2.1</v>
      </c>
      <c r="F42" s="1969">
        <v>1.25</v>
      </c>
      <c r="G42" s="1969">
        <v>0.15</v>
      </c>
      <c r="H42" s="1970">
        <f>+ROUND(PRODUCT(D42:G42),2)</f>
        <v>0.39</v>
      </c>
      <c r="I42" s="2488"/>
      <c r="J42" s="2488"/>
      <c r="K42" s="1971"/>
    </row>
    <row r="43" spans="1:11" s="1963" customFormat="1">
      <c r="A43" s="1967"/>
      <c r="B43" s="1974" t="s">
        <v>2904</v>
      </c>
      <c r="C43" s="1969" t="s">
        <v>520</v>
      </c>
      <c r="D43" s="1969">
        <v>-2</v>
      </c>
      <c r="E43" s="1970">
        <f>3.14*0.6^2/4</f>
        <v>0.28260000000000002</v>
      </c>
      <c r="F43" s="1969">
        <v>0.3</v>
      </c>
      <c r="G43" s="1969">
        <v>0.15</v>
      </c>
      <c r="H43" s="1970">
        <f>+ROUND(PRODUCT(D43:G43),2)</f>
        <v>-0.03</v>
      </c>
      <c r="I43" s="2488"/>
      <c r="J43" s="2488"/>
      <c r="K43" s="1971"/>
    </row>
    <row r="44" spans="1:11" s="1963" customFormat="1">
      <c r="A44" s="1967"/>
      <c r="B44" s="1974"/>
      <c r="C44" s="1969"/>
      <c r="D44" s="1969"/>
      <c r="E44" s="1970"/>
      <c r="F44" s="1969"/>
      <c r="G44" s="1969"/>
      <c r="H44" s="1970"/>
      <c r="I44" s="2488"/>
      <c r="J44" s="2488"/>
      <c r="K44" s="1971"/>
    </row>
    <row r="45" spans="1:11" s="1963" customFormat="1">
      <c r="A45" s="1967"/>
      <c r="B45" s="1974" t="s">
        <v>3198</v>
      </c>
      <c r="C45" s="1969" t="s">
        <v>520</v>
      </c>
      <c r="D45" s="1969">
        <v>1</v>
      </c>
      <c r="E45" s="1969">
        <v>8.3000000000000007</v>
      </c>
      <c r="F45" s="1969">
        <v>0.3</v>
      </c>
      <c r="G45" s="1969">
        <v>2.15</v>
      </c>
      <c r="H45" s="1970">
        <f t="shared" ref="H45" si="4">+ROUND(PRODUCT(D45:G45),2)</f>
        <v>5.35</v>
      </c>
      <c r="I45" s="2488"/>
      <c r="J45" s="2488"/>
      <c r="K45" s="1971"/>
    </row>
    <row r="46" spans="1:11" s="1963" customFormat="1">
      <c r="A46" s="1967"/>
      <c r="B46" s="1969"/>
      <c r="C46" s="1972" t="s">
        <v>1084</v>
      </c>
      <c r="D46" s="1969"/>
      <c r="E46" s="1969"/>
      <c r="F46" s="1969"/>
      <c r="G46" s="1972" t="s">
        <v>1108</v>
      </c>
      <c r="H46" s="2501">
        <f>SUM(H29:H45)</f>
        <v>43.07</v>
      </c>
      <c r="I46" s="2490"/>
      <c r="J46" s="2490"/>
      <c r="K46" s="1971"/>
    </row>
    <row r="47" spans="1:11" s="1963" customFormat="1">
      <c r="A47" s="1967"/>
      <c r="B47" s="1969"/>
      <c r="C47" s="1972"/>
      <c r="D47" s="1969"/>
      <c r="E47" s="1969"/>
      <c r="F47" s="1969"/>
      <c r="G47" s="1972"/>
      <c r="H47" s="2501"/>
      <c r="I47" s="2490"/>
      <c r="J47" s="2490"/>
      <c r="K47" s="1971"/>
    </row>
    <row r="48" spans="1:11" s="1963" customFormat="1">
      <c r="A48" s="1967">
        <v>6</v>
      </c>
      <c r="B48" s="1972" t="s">
        <v>2866</v>
      </c>
      <c r="C48" s="1972"/>
      <c r="D48" s="1969"/>
      <c r="E48" s="1969"/>
      <c r="F48" s="1969"/>
      <c r="G48" s="1972"/>
      <c r="H48" s="1980"/>
      <c r="I48" s="2490"/>
      <c r="J48" s="2490"/>
      <c r="K48" s="1971"/>
    </row>
    <row r="49" spans="1:11" s="1963" customFormat="1">
      <c r="A49" s="1967"/>
      <c r="B49" s="1974" t="s">
        <v>2906</v>
      </c>
      <c r="C49" s="1969" t="s">
        <v>2862</v>
      </c>
      <c r="D49" s="1969">
        <v>1</v>
      </c>
      <c r="E49" s="1969">
        <f>2*(E21+F21)</f>
        <v>22.6</v>
      </c>
      <c r="F49" s="1969"/>
      <c r="G49" s="1969">
        <f>+G21</f>
        <v>7.4999999999999997E-2</v>
      </c>
      <c r="H49" s="1970">
        <f t="shared" ref="H49:H56" si="5">+ROUND(PRODUCT(D49:G49),2)</f>
        <v>1.7</v>
      </c>
      <c r="I49" s="2488"/>
      <c r="J49" s="2488"/>
      <c r="K49" s="1971"/>
    </row>
    <row r="50" spans="1:11" s="1963" customFormat="1">
      <c r="A50" s="1967"/>
      <c r="B50" s="1974" t="s">
        <v>2902</v>
      </c>
      <c r="C50" s="1969" t="s">
        <v>2862</v>
      </c>
      <c r="D50" s="1969">
        <v>1</v>
      </c>
      <c r="E50" s="1969">
        <f>+(E29+F29)*2</f>
        <v>16.600000000000001</v>
      </c>
      <c r="F50" s="1969"/>
      <c r="G50" s="1970">
        <f>G29</f>
        <v>1.53</v>
      </c>
      <c r="H50" s="1970">
        <f t="shared" si="5"/>
        <v>25.4</v>
      </c>
      <c r="I50" s="2488"/>
      <c r="J50" s="2488"/>
      <c r="K50" s="1971"/>
    </row>
    <row r="51" spans="1:11" s="1963" customFormat="1">
      <c r="A51" s="1967"/>
      <c r="B51" s="1974"/>
      <c r="C51" s="1969" t="s">
        <v>2862</v>
      </c>
      <c r="D51" s="1969">
        <v>1</v>
      </c>
      <c r="E51" s="1969">
        <f>2*(E30+F30)</f>
        <v>19.399999999999999</v>
      </c>
      <c r="F51" s="1969"/>
      <c r="G51" s="1970">
        <f>G30</f>
        <v>0.3</v>
      </c>
      <c r="H51" s="1970">
        <f t="shared" si="5"/>
        <v>5.82</v>
      </c>
      <c r="I51" s="2488"/>
      <c r="J51" s="2488"/>
      <c r="K51" s="1971"/>
    </row>
    <row r="52" spans="1:11" s="1963" customFormat="1">
      <c r="A52" s="1967"/>
      <c r="B52" s="1974"/>
      <c r="C52" s="1969" t="s">
        <v>2862</v>
      </c>
      <c r="D52" s="1969">
        <v>1</v>
      </c>
      <c r="E52" s="1969">
        <f>2*(E31+F31)</f>
        <v>12.6</v>
      </c>
      <c r="F52" s="1969"/>
      <c r="G52" s="1970">
        <f>G31</f>
        <v>2.2949999999999999</v>
      </c>
      <c r="H52" s="1970">
        <f>+ROUND(PRODUCT(D52:G52),2)</f>
        <v>28.92</v>
      </c>
      <c r="I52" s="2488"/>
      <c r="J52" s="2488"/>
      <c r="K52" s="1971"/>
    </row>
    <row r="53" spans="1:11" s="1963" customFormat="1">
      <c r="A53" s="1967"/>
      <c r="B53" s="1974"/>
      <c r="C53" s="1969" t="s">
        <v>2862</v>
      </c>
      <c r="D53" s="1969">
        <v>1</v>
      </c>
      <c r="E53" s="1969">
        <f>E32+2*F32</f>
        <v>12</v>
      </c>
      <c r="F53" s="1969"/>
      <c r="G53" s="1969">
        <f>G32</f>
        <v>0.3</v>
      </c>
      <c r="H53" s="1970">
        <f t="shared" si="5"/>
        <v>3.6</v>
      </c>
      <c r="I53" s="2488"/>
      <c r="J53" s="2488"/>
      <c r="K53" s="1971"/>
    </row>
    <row r="54" spans="1:11" s="1963" customFormat="1">
      <c r="A54" s="1967"/>
      <c r="B54" s="1969" t="s">
        <v>1324</v>
      </c>
      <c r="C54" s="1969" t="s">
        <v>2862</v>
      </c>
      <c r="D54" s="1969">
        <v>2</v>
      </c>
      <c r="E54" s="1969">
        <f>+(E34+F34)*2</f>
        <v>13.899999999999999</v>
      </c>
      <c r="F54" s="1969"/>
      <c r="G54" s="1969">
        <f>+G34</f>
        <v>0.3</v>
      </c>
      <c r="H54" s="1970">
        <f t="shared" si="5"/>
        <v>8.34</v>
      </c>
      <c r="I54" s="2488"/>
      <c r="J54" s="2488"/>
      <c r="K54" s="1971"/>
    </row>
    <row r="55" spans="1:11" s="1963" customFormat="1">
      <c r="A55" s="1967"/>
      <c r="B55" s="1974" t="s">
        <v>2903</v>
      </c>
      <c r="C55" s="1969" t="s">
        <v>2862</v>
      </c>
      <c r="D55" s="1969">
        <f>D34</f>
        <v>1</v>
      </c>
      <c r="E55" s="1969">
        <f>+(E36+F36)*2</f>
        <v>9.2899999999999991</v>
      </c>
      <c r="F55" s="1969"/>
      <c r="G55" s="1969">
        <f>+G36</f>
        <v>2.15</v>
      </c>
      <c r="H55" s="1970">
        <f>+ROUND(PRODUCT(D55:G55),2)</f>
        <v>19.97</v>
      </c>
      <c r="I55" s="2488"/>
      <c r="J55" s="2488"/>
      <c r="K55" s="1971"/>
    </row>
    <row r="56" spans="1:11" s="1963" customFormat="1">
      <c r="A56" s="1967"/>
      <c r="B56" s="1974" t="s">
        <v>1510</v>
      </c>
      <c r="C56" s="1969" t="s">
        <v>2862</v>
      </c>
      <c r="D56" s="1969">
        <f>D37</f>
        <v>1</v>
      </c>
      <c r="E56" s="1969">
        <f>E37+2*G37</f>
        <v>2.4</v>
      </c>
      <c r="F56" s="1969">
        <f>F37+2*G37</f>
        <v>3.3999999999999995</v>
      </c>
      <c r="G56" s="1969"/>
      <c r="H56" s="1970">
        <f t="shared" si="5"/>
        <v>8.16</v>
      </c>
      <c r="I56" s="2488"/>
      <c r="J56" s="2488"/>
      <c r="K56" s="1971"/>
    </row>
    <row r="57" spans="1:11" s="1963" customFormat="1">
      <c r="A57" s="1985"/>
      <c r="B57" s="1969" t="s">
        <v>1624</v>
      </c>
      <c r="C57" s="1969"/>
      <c r="D57" s="1969"/>
      <c r="E57" s="1969"/>
      <c r="F57" s="1969"/>
      <c r="G57" s="1969"/>
      <c r="H57" s="1970"/>
      <c r="I57" s="2488"/>
      <c r="J57" s="2488"/>
      <c r="K57" s="1971"/>
    </row>
    <row r="58" spans="1:11" s="1963" customFormat="1">
      <c r="A58" s="1985"/>
      <c r="B58" s="1974" t="s">
        <v>2903</v>
      </c>
      <c r="C58" s="1969" t="s">
        <v>2862</v>
      </c>
      <c r="D58" s="1969">
        <f>2*D41</f>
        <v>2</v>
      </c>
      <c r="E58" s="1969">
        <f>E41</f>
        <v>4.5999999999999996</v>
      </c>
      <c r="F58" s="1969"/>
      <c r="G58" s="1970">
        <f>G41</f>
        <v>2.15</v>
      </c>
      <c r="H58" s="1970">
        <f>+ROUND(PRODUCT(D58:G58),2)</f>
        <v>19.78</v>
      </c>
      <c r="I58" s="2488"/>
      <c r="J58" s="2488"/>
      <c r="K58" s="1971"/>
    </row>
    <row r="59" spans="1:11" s="1963" customFormat="1">
      <c r="A59" s="1985"/>
      <c r="B59" s="1974" t="s">
        <v>1510</v>
      </c>
      <c r="C59" s="1969" t="s">
        <v>2862</v>
      </c>
      <c r="D59" s="1969">
        <f>D42</f>
        <v>1</v>
      </c>
      <c r="E59" s="1969">
        <f>E42+2*G42</f>
        <v>2.4</v>
      </c>
      <c r="F59" s="1969">
        <f>F42+2*G42</f>
        <v>1.55</v>
      </c>
      <c r="G59" s="1969"/>
      <c r="H59" s="1970">
        <f>+ROUND(PRODUCT(D59:G59),2)</f>
        <v>3.72</v>
      </c>
      <c r="I59" s="2488"/>
      <c r="J59" s="2488"/>
      <c r="K59" s="1971"/>
    </row>
    <row r="60" spans="1:11" s="1963" customFormat="1">
      <c r="A60" s="1985"/>
      <c r="B60" s="1974" t="s">
        <v>2904</v>
      </c>
      <c r="C60" s="1969" t="s">
        <v>2862</v>
      </c>
      <c r="D60" s="1969">
        <f>D43</f>
        <v>-2</v>
      </c>
      <c r="E60" s="1970">
        <f>E43</f>
        <v>0.28260000000000002</v>
      </c>
      <c r="F60" s="1969"/>
      <c r="G60" s="1972"/>
      <c r="H60" s="1970">
        <f>+ROUND(PRODUCT(D60:G60),2)</f>
        <v>-0.56999999999999995</v>
      </c>
      <c r="I60" s="2488"/>
      <c r="J60" s="2488"/>
      <c r="K60" s="1971"/>
    </row>
    <row r="61" spans="1:11" s="1963" customFormat="1">
      <c r="A61" s="1985"/>
      <c r="B61" s="1969"/>
      <c r="C61" s="1972" t="s">
        <v>2862</v>
      </c>
      <c r="D61" s="1969"/>
      <c r="E61" s="1969"/>
      <c r="F61" s="1969"/>
      <c r="G61" s="1972" t="s">
        <v>1108</v>
      </c>
      <c r="H61" s="2501">
        <f>SUM(H49:H60)</f>
        <v>124.84</v>
      </c>
      <c r="I61" s="2490"/>
      <c r="J61" s="2490"/>
      <c r="K61" s="1971"/>
    </row>
    <row r="62" spans="1:11" s="1963" customFormat="1">
      <c r="A62" s="1985"/>
      <c r="B62" s="1969"/>
      <c r="C62" s="1972"/>
      <c r="D62" s="1969"/>
      <c r="E62" s="1969"/>
      <c r="F62" s="1969"/>
      <c r="G62" s="1972"/>
      <c r="H62" s="1980"/>
      <c r="I62" s="2490"/>
      <c r="J62" s="2490"/>
      <c r="K62" s="1971"/>
    </row>
    <row r="63" spans="1:11" s="1963" customFormat="1">
      <c r="A63" s="1967">
        <v>7</v>
      </c>
      <c r="B63" s="1972" t="s">
        <v>2867</v>
      </c>
      <c r="C63" s="1972" t="s">
        <v>1034</v>
      </c>
      <c r="D63" s="1969"/>
      <c r="E63" s="1969"/>
      <c r="F63" s="1969"/>
      <c r="G63" s="1969"/>
      <c r="H63" s="2501">
        <f>H46*7850*0.021</f>
        <v>7100.0895</v>
      </c>
      <c r="I63" s="2490"/>
      <c r="J63" s="1980"/>
      <c r="K63" s="1971"/>
    </row>
    <row r="64" spans="1:11" s="1963" customFormat="1" ht="17.25" customHeight="1">
      <c r="A64" s="1986"/>
      <c r="B64" s="1987"/>
      <c r="C64" s="1987"/>
      <c r="D64" s="1976"/>
      <c r="E64" s="1976"/>
      <c r="F64" s="1976"/>
      <c r="G64" s="1976"/>
      <c r="H64" s="1988"/>
      <c r="I64" s="2491"/>
      <c r="J64" s="2491"/>
      <c r="K64" s="1989"/>
    </row>
    <row r="65" spans="1:11" s="1963" customFormat="1" hidden="1">
      <c r="A65" s="1986">
        <v>10</v>
      </c>
      <c r="B65" s="1987" t="s">
        <v>2908</v>
      </c>
      <c r="C65" s="1976"/>
      <c r="D65" s="1976"/>
      <c r="E65" s="1976"/>
      <c r="F65" s="1976"/>
      <c r="G65" s="1976"/>
      <c r="H65" s="1990"/>
      <c r="I65" s="2492"/>
      <c r="J65" s="2492"/>
      <c r="K65" s="1989"/>
    </row>
    <row r="66" spans="1:11" s="1963" customFormat="1" hidden="1">
      <c r="A66" s="1991"/>
      <c r="B66" s="1969" t="s">
        <v>1324</v>
      </c>
      <c r="C66" s="1969" t="s">
        <v>2862</v>
      </c>
      <c r="D66" s="1976">
        <v>1</v>
      </c>
      <c r="E66" s="1976">
        <v>2.5</v>
      </c>
      <c r="F66" s="1976">
        <v>1.5</v>
      </c>
      <c r="G66" s="1976"/>
      <c r="H66" s="1970">
        <f>+ROUND(PRODUCT(D66:G66),2)</f>
        <v>3.75</v>
      </c>
      <c r="I66" s="2492"/>
      <c r="J66" s="2492"/>
      <c r="K66" s="1989"/>
    </row>
    <row r="67" spans="1:11" s="1963" customFormat="1" hidden="1">
      <c r="A67" s="1991"/>
      <c r="B67" s="1974" t="s">
        <v>2903</v>
      </c>
      <c r="C67" s="1969" t="s">
        <v>2862</v>
      </c>
      <c r="D67" s="1976">
        <v>2</v>
      </c>
      <c r="E67" s="1976">
        <f>+(E66+F66)*2</f>
        <v>8</v>
      </c>
      <c r="F67" s="1976"/>
      <c r="G67" s="1976">
        <v>2.15</v>
      </c>
      <c r="H67" s="1970">
        <f>+ROUND(PRODUCT(D67:G67),2)</f>
        <v>34.4</v>
      </c>
      <c r="I67" s="2492"/>
      <c r="J67" s="2492"/>
      <c r="K67" s="1989"/>
    </row>
    <row r="68" spans="1:11" s="1963" customFormat="1" hidden="1">
      <c r="A68" s="1991"/>
      <c r="B68" s="1969" t="s">
        <v>1624</v>
      </c>
      <c r="C68" s="1969" t="s">
        <v>2862</v>
      </c>
      <c r="D68" s="1976">
        <v>1</v>
      </c>
      <c r="E68" s="1976">
        <v>1.5</v>
      </c>
      <c r="F68" s="1976">
        <v>1</v>
      </c>
      <c r="G68" s="1976"/>
      <c r="H68" s="1970">
        <f>+ROUND(PRODUCT(D68:G68),2)</f>
        <v>1.5</v>
      </c>
      <c r="I68" s="2492"/>
      <c r="J68" s="2492"/>
      <c r="K68" s="1989"/>
    </row>
    <row r="69" spans="1:11" s="1963" customFormat="1" hidden="1">
      <c r="A69" s="1991"/>
      <c r="B69" s="1974" t="s">
        <v>2903</v>
      </c>
      <c r="C69" s="1969" t="s">
        <v>2862</v>
      </c>
      <c r="D69" s="1976">
        <v>2</v>
      </c>
      <c r="E69" s="1976">
        <f>+(E68+F68)*2</f>
        <v>5</v>
      </c>
      <c r="F69" s="1976"/>
      <c r="G69" s="1990">
        <f>G58</f>
        <v>2.15</v>
      </c>
      <c r="H69" s="1970">
        <f>+ROUND(PRODUCT(D69:G69),2)</f>
        <v>21.5</v>
      </c>
      <c r="I69" s="2492"/>
      <c r="J69" s="2492"/>
      <c r="K69" s="1989"/>
    </row>
    <row r="70" spans="1:11" s="1963" customFormat="1" hidden="1">
      <c r="A70" s="1991"/>
      <c r="B70" s="1976"/>
      <c r="C70" s="1972" t="s">
        <v>2862</v>
      </c>
      <c r="D70" s="1969"/>
      <c r="E70" s="1969"/>
      <c r="F70" s="1969"/>
      <c r="G70" s="1972" t="s">
        <v>1108</v>
      </c>
      <c r="H70" s="1980">
        <f>SUM(H66:H69)</f>
        <v>61.15</v>
      </c>
      <c r="I70" s="2491"/>
      <c r="J70" s="2491"/>
      <c r="K70" s="1989"/>
    </row>
    <row r="71" spans="1:11" s="1963" customFormat="1" ht="25.5">
      <c r="A71" s="1986">
        <v>11</v>
      </c>
      <c r="B71" s="1992" t="s">
        <v>2870</v>
      </c>
      <c r="C71" s="1976"/>
      <c r="D71" s="1976"/>
      <c r="E71" s="1976"/>
      <c r="F71" s="1976"/>
      <c r="G71" s="1976"/>
      <c r="H71" s="1990"/>
      <c r="I71" s="2492"/>
      <c r="J71" s="2492"/>
      <c r="K71" s="1989"/>
    </row>
    <row r="72" spans="1:11" s="1963" customFormat="1">
      <c r="A72" s="1991"/>
      <c r="B72" s="1969" t="s">
        <v>1324</v>
      </c>
      <c r="C72" s="1976"/>
      <c r="D72" s="1976"/>
      <c r="E72" s="1976"/>
      <c r="F72" s="1976"/>
      <c r="G72" s="1976"/>
      <c r="H72" s="1990"/>
      <c r="I72" s="2492"/>
      <c r="J72" s="2492"/>
      <c r="K72" s="1989"/>
    </row>
    <row r="73" spans="1:11" s="1963" customFormat="1">
      <c r="A73" s="1991"/>
      <c r="B73" s="1974" t="s">
        <v>2903</v>
      </c>
      <c r="C73" s="1969" t="s">
        <v>2862</v>
      </c>
      <c r="D73" s="1976">
        <v>2</v>
      </c>
      <c r="E73" s="1976">
        <f>E67</f>
        <v>8</v>
      </c>
      <c r="F73" s="1976"/>
      <c r="G73" s="1976">
        <f>G67</f>
        <v>2.15</v>
      </c>
      <c r="H73" s="1970">
        <f>+ROUND(PRODUCT(D73:G73),2)</f>
        <v>34.4</v>
      </c>
      <c r="I73" s="2492"/>
      <c r="J73" s="2492"/>
      <c r="K73" s="1989"/>
    </row>
    <row r="74" spans="1:11" s="1963" customFormat="1">
      <c r="A74" s="1991"/>
      <c r="B74" s="1974" t="s">
        <v>1510</v>
      </c>
      <c r="C74" s="1969" t="s">
        <v>2862</v>
      </c>
      <c r="D74" s="1976">
        <v>2</v>
      </c>
      <c r="E74" s="1976">
        <f>E56</f>
        <v>2.4</v>
      </c>
      <c r="F74" s="1976">
        <f>F56</f>
        <v>3.3999999999999995</v>
      </c>
      <c r="G74" s="1976"/>
      <c r="H74" s="1970">
        <f>+ROUND(PRODUCT(D74:G74),2)</f>
        <v>16.32</v>
      </c>
      <c r="I74" s="2492"/>
      <c r="J74" s="2492"/>
      <c r="K74" s="1989"/>
    </row>
    <row r="75" spans="1:11" s="1963" customFormat="1">
      <c r="A75" s="1991"/>
      <c r="B75" s="1969" t="s">
        <v>1624</v>
      </c>
      <c r="C75" s="1976"/>
      <c r="D75" s="1976"/>
      <c r="E75" s="1976"/>
      <c r="F75" s="1976"/>
      <c r="G75" s="1976"/>
      <c r="H75" s="1990"/>
      <c r="I75" s="2492"/>
      <c r="J75" s="2492"/>
      <c r="K75" s="1989"/>
    </row>
    <row r="76" spans="1:11" s="1963" customFormat="1">
      <c r="A76" s="1991"/>
      <c r="B76" s="1974" t="s">
        <v>2903</v>
      </c>
      <c r="C76" s="1969" t="s">
        <v>2862</v>
      </c>
      <c r="D76" s="1976">
        <v>2</v>
      </c>
      <c r="E76" s="1976">
        <f>E69</f>
        <v>5</v>
      </c>
      <c r="F76" s="1976"/>
      <c r="G76" s="1990">
        <f>G69</f>
        <v>2.15</v>
      </c>
      <c r="H76" s="1970">
        <f t="shared" ref="H76:H93" si="6">+ROUND(PRODUCT(D76:G76),2)</f>
        <v>21.5</v>
      </c>
      <c r="I76" s="2492"/>
      <c r="J76" s="2492"/>
      <c r="K76" s="1989"/>
    </row>
    <row r="77" spans="1:11" s="1963" customFormat="1">
      <c r="A77" s="1991"/>
      <c r="B77" s="1974" t="s">
        <v>1510</v>
      </c>
      <c r="C77" s="1969" t="s">
        <v>2862</v>
      </c>
      <c r="D77" s="1976">
        <v>2</v>
      </c>
      <c r="E77" s="1976">
        <f>E59</f>
        <v>2.4</v>
      </c>
      <c r="F77" s="1976">
        <f>F59</f>
        <v>1.55</v>
      </c>
      <c r="G77" s="1976"/>
      <c r="H77" s="1970">
        <f t="shared" si="6"/>
        <v>7.44</v>
      </c>
      <c r="I77" s="2492"/>
      <c r="J77" s="2492"/>
      <c r="K77" s="1989"/>
    </row>
    <row r="78" spans="1:11" s="1963" customFormat="1">
      <c r="A78" s="1991"/>
      <c r="B78" s="1974" t="s">
        <v>2904</v>
      </c>
      <c r="C78" s="1969" t="s">
        <v>2862</v>
      </c>
      <c r="D78" s="1969">
        <f>D60</f>
        <v>-2</v>
      </c>
      <c r="E78" s="1970">
        <f>E60</f>
        <v>0.28260000000000002</v>
      </c>
      <c r="F78" s="1976"/>
      <c r="G78" s="1976"/>
      <c r="H78" s="1970">
        <f t="shared" si="6"/>
        <v>-0.56999999999999995</v>
      </c>
      <c r="I78" s="2492"/>
      <c r="J78" s="2492"/>
      <c r="K78" s="1989"/>
    </row>
    <row r="79" spans="1:11" s="1963" customFormat="1">
      <c r="A79" s="1991"/>
      <c r="B79" s="1993"/>
      <c r="C79" s="1972" t="s">
        <v>2862</v>
      </c>
      <c r="D79" s="1969"/>
      <c r="E79" s="1969"/>
      <c r="F79" s="1969"/>
      <c r="G79" s="1972" t="s">
        <v>1108</v>
      </c>
      <c r="H79" s="1980">
        <f>SUM(H72:H78)</f>
        <v>79.09</v>
      </c>
      <c r="I79" s="2491"/>
      <c r="J79" s="2491"/>
      <c r="K79" s="1989"/>
    </row>
    <row r="80" spans="1:11" s="1963" customFormat="1">
      <c r="A80" s="1986">
        <v>12</v>
      </c>
      <c r="B80" s="1994" t="s">
        <v>2871</v>
      </c>
      <c r="C80" s="1972"/>
      <c r="D80" s="1976"/>
      <c r="E80" s="1976"/>
      <c r="F80" s="1976"/>
      <c r="G80" s="1976"/>
      <c r="H80" s="1980"/>
      <c r="I80" s="2491"/>
      <c r="J80" s="2491"/>
      <c r="K80" s="1989"/>
    </row>
    <row r="81" spans="1:11" s="1963" customFormat="1">
      <c r="A81" s="1991"/>
      <c r="B81" s="1995" t="s">
        <v>2909</v>
      </c>
      <c r="C81" s="1969"/>
      <c r="D81" s="1976"/>
      <c r="E81" s="1976"/>
      <c r="F81" s="1976"/>
      <c r="G81" s="1976"/>
      <c r="H81" s="1980"/>
      <c r="I81" s="2491"/>
      <c r="J81" s="2491"/>
      <c r="K81" s="1989"/>
    </row>
    <row r="82" spans="1:11" s="1963" customFormat="1">
      <c r="A82" s="1991"/>
      <c r="B82" s="1995" t="s">
        <v>3210</v>
      </c>
      <c r="C82" s="1969" t="s">
        <v>1084</v>
      </c>
      <c r="D82" s="1976">
        <v>1</v>
      </c>
      <c r="E82" s="1976">
        <v>14</v>
      </c>
      <c r="F82" s="1976">
        <v>10.6</v>
      </c>
      <c r="G82" s="1976">
        <v>0.3</v>
      </c>
      <c r="H82" s="1970">
        <f>+ROUND(PRODUCT(D82:G82),2)</f>
        <v>44.52</v>
      </c>
      <c r="I82" s="2492"/>
      <c r="J82" s="2492"/>
      <c r="K82" s="1989"/>
    </row>
    <row r="83" spans="1:11" s="1963" customFormat="1">
      <c r="A83" s="1991"/>
      <c r="B83" s="1995"/>
      <c r="C83" s="1976"/>
      <c r="D83" s="1976"/>
      <c r="E83" s="1976"/>
      <c r="F83" s="1976"/>
      <c r="G83" s="1976"/>
      <c r="H83" s="1990"/>
      <c r="I83" s="2492"/>
      <c r="J83" s="2492"/>
      <c r="K83" s="1989"/>
    </row>
    <row r="84" spans="1:11" s="1963" customFormat="1">
      <c r="A84" s="1996">
        <v>13</v>
      </c>
      <c r="B84" s="1997" t="s">
        <v>2874</v>
      </c>
      <c r="C84" s="1998" t="s">
        <v>1087</v>
      </c>
      <c r="D84" s="1998">
        <v>2</v>
      </c>
      <c r="E84" s="1998"/>
      <c r="F84" s="1998"/>
      <c r="G84" s="1998"/>
      <c r="H84" s="1999">
        <f t="shared" si="6"/>
        <v>2</v>
      </c>
      <c r="I84" s="2493"/>
      <c r="J84" s="2493"/>
      <c r="K84" s="2000"/>
    </row>
    <row r="85" spans="1:11" s="1963" customFormat="1" hidden="1">
      <c r="A85" s="2001">
        <v>15</v>
      </c>
      <c r="B85" s="2002" t="s">
        <v>2875</v>
      </c>
      <c r="C85" s="2003"/>
      <c r="D85" s="2003"/>
      <c r="E85" s="2003"/>
      <c r="F85" s="2003"/>
      <c r="G85" s="2003"/>
      <c r="H85" s="2004"/>
      <c r="I85" s="2494"/>
      <c r="J85" s="2494"/>
      <c r="K85" s="2005"/>
    </row>
    <row r="86" spans="1:11" s="2009" customFormat="1" ht="12.75" hidden="1">
      <c r="A86" s="2006"/>
      <c r="B86" s="2007" t="s">
        <v>2876</v>
      </c>
      <c r="C86" s="1969" t="s">
        <v>1087</v>
      </c>
      <c r="D86" s="1969">
        <v>2</v>
      </c>
      <c r="E86" s="2008"/>
      <c r="F86" s="2008"/>
      <c r="G86" s="2008"/>
      <c r="H86" s="1970">
        <f t="shared" si="6"/>
        <v>2</v>
      </c>
      <c r="I86" s="2488"/>
      <c r="J86" s="2488"/>
      <c r="K86" s="1971"/>
    </row>
    <row r="87" spans="1:11" s="2009" customFormat="1" ht="12.75" hidden="1">
      <c r="A87" s="2006"/>
      <c r="B87" s="2007" t="s">
        <v>2877</v>
      </c>
      <c r="C87" s="1969" t="s">
        <v>1087</v>
      </c>
      <c r="D87" s="1969">
        <v>2</v>
      </c>
      <c r="E87" s="2008"/>
      <c r="F87" s="2008"/>
      <c r="G87" s="2008"/>
      <c r="H87" s="1970">
        <f t="shared" si="6"/>
        <v>2</v>
      </c>
      <c r="I87" s="2488"/>
      <c r="J87" s="2488"/>
      <c r="K87" s="1971"/>
    </row>
    <row r="88" spans="1:11" s="2009" customFormat="1" ht="12.75" hidden="1">
      <c r="A88" s="2006"/>
      <c r="B88" s="2007" t="s">
        <v>2878</v>
      </c>
      <c r="C88" s="1969" t="s">
        <v>1087</v>
      </c>
      <c r="D88" s="1969">
        <v>10</v>
      </c>
      <c r="E88" s="2008"/>
      <c r="F88" s="2008"/>
      <c r="G88" s="2008"/>
      <c r="H88" s="1970">
        <f t="shared" si="6"/>
        <v>10</v>
      </c>
      <c r="I88" s="2488"/>
      <c r="J88" s="2488"/>
      <c r="K88" s="1971"/>
    </row>
    <row r="89" spans="1:11" s="2009" customFormat="1" ht="12.75" hidden="1">
      <c r="A89" s="2006"/>
      <c r="B89" s="2007" t="s">
        <v>2879</v>
      </c>
      <c r="C89" s="1969" t="s">
        <v>1087</v>
      </c>
      <c r="D89" s="1969">
        <v>2</v>
      </c>
      <c r="E89" s="2008"/>
      <c r="F89" s="2008"/>
      <c r="G89" s="2008"/>
      <c r="H89" s="1970">
        <f t="shared" si="6"/>
        <v>2</v>
      </c>
      <c r="I89" s="2488"/>
      <c r="J89" s="2488"/>
      <c r="K89" s="1971"/>
    </row>
    <row r="90" spans="1:11" s="2009" customFormat="1" ht="12.75" hidden="1">
      <c r="A90" s="2006"/>
      <c r="B90" s="2007" t="s">
        <v>2880</v>
      </c>
      <c r="C90" s="1969" t="s">
        <v>1087</v>
      </c>
      <c r="D90" s="1969">
        <v>2</v>
      </c>
      <c r="E90" s="2008"/>
      <c r="F90" s="2008"/>
      <c r="G90" s="2008"/>
      <c r="H90" s="1970">
        <f t="shared" si="6"/>
        <v>2</v>
      </c>
      <c r="I90" s="2488"/>
      <c r="J90" s="2488"/>
      <c r="K90" s="1971"/>
    </row>
    <row r="91" spans="1:11" s="2009" customFormat="1" ht="12.75" hidden="1">
      <c r="A91" s="2006"/>
      <c r="B91" s="2007" t="s">
        <v>2881</v>
      </c>
      <c r="C91" s="1969" t="s">
        <v>1087</v>
      </c>
      <c r="D91" s="1969">
        <v>2</v>
      </c>
      <c r="E91" s="2008"/>
      <c r="F91" s="2008"/>
      <c r="G91" s="2008"/>
      <c r="H91" s="1970">
        <f t="shared" si="6"/>
        <v>2</v>
      </c>
      <c r="I91" s="2488"/>
      <c r="J91" s="2488"/>
      <c r="K91" s="1971"/>
    </row>
    <row r="92" spans="1:11" s="2009" customFormat="1" ht="12.75" hidden="1">
      <c r="A92" s="2006"/>
      <c r="B92" s="2007" t="s">
        <v>2882</v>
      </c>
      <c r="C92" s="1969" t="s">
        <v>1087</v>
      </c>
      <c r="D92" s="1969">
        <v>2</v>
      </c>
      <c r="E92" s="2008"/>
      <c r="F92" s="2008"/>
      <c r="G92" s="2008"/>
      <c r="H92" s="1970">
        <f t="shared" si="6"/>
        <v>2</v>
      </c>
      <c r="I92" s="2488"/>
      <c r="J92" s="2488"/>
      <c r="K92" s="1971"/>
    </row>
    <row r="93" spans="1:11" s="2009" customFormat="1" ht="12.75" hidden="1">
      <c r="A93" s="2010"/>
      <c r="B93" s="2011" t="s">
        <v>2883</v>
      </c>
      <c r="C93" s="1998" t="s">
        <v>1087</v>
      </c>
      <c r="D93" s="1998">
        <v>1</v>
      </c>
      <c r="E93" s="2012"/>
      <c r="F93" s="2012"/>
      <c r="G93" s="2012"/>
      <c r="H93" s="1999">
        <f t="shared" si="6"/>
        <v>1</v>
      </c>
      <c r="I93" s="2493"/>
      <c r="J93" s="2493"/>
      <c r="K93" s="2000"/>
    </row>
    <row r="94" spans="1:11" s="2009" customFormat="1" ht="12.75">
      <c r="B94" s="2013"/>
      <c r="C94" s="2014"/>
      <c r="D94" s="2015"/>
      <c r="E94" s="2016"/>
      <c r="F94" s="2016"/>
      <c r="G94" s="2017"/>
    </row>
    <row r="95" spans="1:11" hidden="1">
      <c r="A95" s="3020" t="s">
        <v>2924</v>
      </c>
      <c r="B95" s="3020"/>
      <c r="C95" s="1962"/>
      <c r="D95" s="1962"/>
      <c r="E95" s="1962"/>
      <c r="F95" s="1962"/>
      <c r="G95" s="1962"/>
      <c r="H95" s="1962"/>
      <c r="I95" s="1962"/>
      <c r="J95" s="1962"/>
      <c r="K95" s="1962"/>
    </row>
    <row r="96" spans="1:11" hidden="1">
      <c r="A96" s="1964" t="s">
        <v>908</v>
      </c>
      <c r="B96" s="1965" t="s">
        <v>2861</v>
      </c>
      <c r="C96" s="1965" t="s">
        <v>1035</v>
      </c>
      <c r="D96" s="1965" t="s">
        <v>1087</v>
      </c>
      <c r="E96" s="1965" t="s">
        <v>2895</v>
      </c>
      <c r="F96" s="1965" t="s">
        <v>2896</v>
      </c>
      <c r="G96" s="1965" t="s">
        <v>2897</v>
      </c>
      <c r="H96" s="1965" t="s">
        <v>964</v>
      </c>
      <c r="I96" s="2487"/>
      <c r="J96" s="2487"/>
      <c r="K96" s="1966" t="s">
        <v>1055</v>
      </c>
    </row>
    <row r="97" spans="1:15" hidden="1">
      <c r="A97" s="2018">
        <v>1</v>
      </c>
      <c r="B97" s="1972" t="s">
        <v>2898</v>
      </c>
      <c r="C97" s="2019"/>
      <c r="D97" s="2019"/>
      <c r="E97" s="2019"/>
      <c r="F97" s="2019"/>
      <c r="G97" s="2019"/>
      <c r="H97" s="2019"/>
      <c r="I97" s="2495"/>
      <c r="J97" s="2495"/>
      <c r="K97" s="2020"/>
    </row>
    <row r="98" spans="1:15" hidden="1">
      <c r="A98" s="2021"/>
      <c r="B98" s="2019"/>
      <c r="C98" s="1969" t="s">
        <v>520</v>
      </c>
      <c r="D98" s="2022">
        <v>1</v>
      </c>
      <c r="E98" s="2022">
        <v>50</v>
      </c>
      <c r="F98" s="2022">
        <f>1.68+1</f>
        <v>2.6799999999999997</v>
      </c>
      <c r="G98" s="2022">
        <v>1</v>
      </c>
      <c r="H98" s="1970">
        <f>+ROUND(PRODUCT(D98:G98),2)</f>
        <v>134</v>
      </c>
      <c r="I98" s="2496"/>
      <c r="J98" s="2496"/>
      <c r="K98" s="2020"/>
    </row>
    <row r="99" spans="1:15" hidden="1">
      <c r="A99" s="2021"/>
      <c r="B99" s="2019"/>
      <c r="C99" s="1972" t="s">
        <v>520</v>
      </c>
      <c r="D99" s="2022"/>
      <c r="E99" s="2022"/>
      <c r="F99" s="2022"/>
      <c r="G99" s="2022"/>
      <c r="H99" s="2023">
        <f>SUM(H98:H98)</f>
        <v>134</v>
      </c>
      <c r="I99" s="2497"/>
      <c r="J99" s="2497"/>
      <c r="K99" s="2020"/>
    </row>
    <row r="100" spans="1:15" hidden="1">
      <c r="A100" s="2021">
        <v>2</v>
      </c>
      <c r="B100" s="2024" t="s">
        <v>2884</v>
      </c>
      <c r="C100" s="2025"/>
      <c r="D100" s="2022"/>
      <c r="E100" s="2022"/>
      <c r="F100" s="2022"/>
      <c r="G100" s="2022"/>
      <c r="H100" s="2023"/>
      <c r="I100" s="2497"/>
      <c r="J100" s="2497"/>
      <c r="K100" s="2020"/>
    </row>
    <row r="101" spans="1:15" hidden="1">
      <c r="A101" s="2021"/>
      <c r="B101" s="2019"/>
      <c r="C101" s="1969" t="s">
        <v>520</v>
      </c>
      <c r="D101" s="2022">
        <v>1</v>
      </c>
      <c r="E101" s="2022">
        <f>E98*50%</f>
        <v>25</v>
      </c>
      <c r="F101" s="2022">
        <v>1.2</v>
      </c>
      <c r="G101" s="2022">
        <f>G98</f>
        <v>1</v>
      </c>
      <c r="H101" s="1970">
        <f>+ROUND(PRODUCT(D101:G101),2)</f>
        <v>30</v>
      </c>
      <c r="I101" s="2496"/>
      <c r="J101" s="2496"/>
      <c r="K101" s="2020"/>
    </row>
    <row r="102" spans="1:15" hidden="1">
      <c r="A102" s="2021"/>
      <c r="B102" s="2019"/>
      <c r="C102" s="1972" t="s">
        <v>520</v>
      </c>
      <c r="D102" s="2022"/>
      <c r="E102" s="2022"/>
      <c r="F102" s="2022"/>
      <c r="G102" s="2022"/>
      <c r="H102" s="2023">
        <f>SUM(H101:H101)</f>
        <v>30</v>
      </c>
      <c r="I102" s="2497"/>
      <c r="J102" s="2497"/>
      <c r="K102" s="2020"/>
    </row>
    <row r="103" spans="1:15" hidden="1">
      <c r="A103" s="2021"/>
      <c r="B103" s="2019"/>
      <c r="C103" s="2025"/>
      <c r="D103" s="2022"/>
      <c r="E103" s="2022"/>
      <c r="F103" s="2022"/>
      <c r="G103" s="2022"/>
      <c r="H103" s="2023"/>
      <c r="I103" s="2497"/>
      <c r="J103" s="2497"/>
      <c r="K103" s="2020"/>
    </row>
    <row r="104" spans="1:15" hidden="1">
      <c r="A104" s="2021">
        <v>4</v>
      </c>
      <c r="B104" s="2024" t="s">
        <v>2885</v>
      </c>
      <c r="C104" s="2019"/>
      <c r="D104" s="2019"/>
      <c r="E104" s="2019"/>
      <c r="F104" s="2019"/>
      <c r="G104" s="2019"/>
      <c r="H104" s="2019"/>
      <c r="I104" s="2495"/>
      <c r="J104" s="2495"/>
      <c r="K104" s="2020"/>
    </row>
    <row r="105" spans="1:15" hidden="1">
      <c r="A105" s="2021">
        <v>4.0999999999999996</v>
      </c>
      <c r="B105" s="2024" t="s">
        <v>2886</v>
      </c>
      <c r="C105" s="1969" t="s">
        <v>520</v>
      </c>
      <c r="D105" s="2022">
        <v>1</v>
      </c>
      <c r="E105" s="2022">
        <f>E98</f>
        <v>50</v>
      </c>
      <c r="F105" s="2022">
        <v>1.68</v>
      </c>
      <c r="G105" s="2022">
        <v>0.2</v>
      </c>
      <c r="H105" s="1970">
        <f>+ROUND(PRODUCT(D105:G105),2)</f>
        <v>16.8</v>
      </c>
      <c r="I105" s="2496"/>
      <c r="J105" s="2496"/>
      <c r="K105" s="2020"/>
    </row>
    <row r="106" spans="1:15" hidden="1">
      <c r="A106" s="2021"/>
      <c r="B106" s="2019"/>
      <c r="C106" s="1972" t="s">
        <v>520</v>
      </c>
      <c r="D106" s="2019"/>
      <c r="E106" s="2019"/>
      <c r="F106" s="2019"/>
      <c r="G106" s="2019"/>
      <c r="H106" s="1980">
        <f>SUM(H105:H105)</f>
        <v>16.8</v>
      </c>
      <c r="I106" s="2497"/>
      <c r="J106" s="2497"/>
      <c r="K106" s="2020"/>
    </row>
    <row r="107" spans="1:15" hidden="1">
      <c r="A107" s="2021">
        <v>4.3</v>
      </c>
      <c r="B107" s="2024" t="s">
        <v>2887</v>
      </c>
      <c r="C107" s="1969"/>
      <c r="D107" s="2022"/>
      <c r="E107" s="2022"/>
      <c r="F107" s="2022"/>
      <c r="G107" s="2022"/>
      <c r="H107" s="1970"/>
      <c r="I107" s="2496"/>
      <c r="J107" s="2496"/>
      <c r="K107" s="2020"/>
    </row>
    <row r="108" spans="1:15" hidden="1">
      <c r="A108" s="2021"/>
      <c r="B108" s="2019"/>
      <c r="C108" s="1969" t="s">
        <v>520</v>
      </c>
      <c r="D108" s="2022">
        <v>1</v>
      </c>
      <c r="E108" s="2022">
        <f>E105</f>
        <v>50</v>
      </c>
      <c r="F108" s="2022">
        <v>0.35</v>
      </c>
      <c r="G108" s="2022">
        <v>0.32</v>
      </c>
      <c r="H108" s="1970">
        <f>+ROUND(PRODUCT(D108:G108),2)</f>
        <v>5.6</v>
      </c>
      <c r="I108" s="2496"/>
      <c r="J108" s="2496"/>
      <c r="K108" s="2020"/>
      <c r="N108" s="1961">
        <f>7/3.281</f>
        <v>2.1334958854007922</v>
      </c>
      <c r="O108" s="1961">
        <f>1.5*3.281</f>
        <v>4.9215</v>
      </c>
    </row>
    <row r="109" spans="1:15" hidden="1">
      <c r="A109" s="2021"/>
      <c r="B109" s="1982" t="s">
        <v>2910</v>
      </c>
      <c r="C109" s="1969" t="s">
        <v>520</v>
      </c>
      <c r="D109" s="2022">
        <v>2</v>
      </c>
      <c r="E109" s="2022">
        <v>0.45</v>
      </c>
      <c r="F109" s="2022">
        <v>0.45</v>
      </c>
      <c r="G109" s="2022">
        <v>1.5</v>
      </c>
      <c r="H109" s="1970">
        <f>+ROUND(PRODUCT(D109:G109),2)</f>
        <v>0.61</v>
      </c>
      <c r="I109" s="2496"/>
      <c r="J109" s="2496"/>
      <c r="K109" s="2020"/>
    </row>
    <row r="110" spans="1:15" hidden="1">
      <c r="A110" s="2021"/>
      <c r="B110" s="2019"/>
      <c r="C110" s="1972" t="s">
        <v>520</v>
      </c>
      <c r="D110" s="2022"/>
      <c r="E110" s="2022"/>
      <c r="F110" s="2022"/>
      <c r="G110" s="2022"/>
      <c r="H110" s="1980">
        <f>SUM(H108:H109)</f>
        <v>6.21</v>
      </c>
      <c r="I110" s="2497"/>
      <c r="J110" s="2497"/>
      <c r="K110" s="2020"/>
    </row>
    <row r="111" spans="1:15" hidden="1">
      <c r="A111" s="2021">
        <v>5</v>
      </c>
      <c r="B111" s="2024" t="s">
        <v>2864</v>
      </c>
      <c r="C111" s="1972"/>
      <c r="D111" s="2022"/>
      <c r="E111" s="2022"/>
      <c r="F111" s="2022"/>
      <c r="G111" s="2022"/>
      <c r="H111" s="1980"/>
      <c r="I111" s="2497"/>
      <c r="J111" s="2497"/>
      <c r="K111" s="2020"/>
    </row>
    <row r="112" spans="1:15" hidden="1">
      <c r="A112" s="2021"/>
      <c r="B112" s="2024" t="s">
        <v>2888</v>
      </c>
      <c r="C112" s="1972"/>
      <c r="D112" s="2022"/>
      <c r="E112" s="2022"/>
      <c r="F112" s="2022"/>
      <c r="G112" s="2022"/>
      <c r="H112" s="1980"/>
      <c r="I112" s="2497"/>
      <c r="J112" s="2497"/>
      <c r="K112" s="2020"/>
    </row>
    <row r="113" spans="1:11" hidden="1">
      <c r="A113" s="2021"/>
      <c r="B113" s="2024"/>
      <c r="C113" s="1969" t="s">
        <v>520</v>
      </c>
      <c r="D113" s="2022">
        <f>D108</f>
        <v>1</v>
      </c>
      <c r="E113" s="2022">
        <f>E108</f>
        <v>50</v>
      </c>
      <c r="F113" s="2022">
        <f>F105</f>
        <v>1.68</v>
      </c>
      <c r="G113" s="2022">
        <v>0.1</v>
      </c>
      <c r="H113" s="1970">
        <f>+ROUND(PRODUCT(D113:G113),2)</f>
        <v>8.4</v>
      </c>
      <c r="I113" s="2496"/>
      <c r="J113" s="2496"/>
      <c r="K113" s="2020"/>
    </row>
    <row r="114" spans="1:11" hidden="1">
      <c r="A114" s="2021"/>
      <c r="B114" s="1982" t="s">
        <v>2911</v>
      </c>
      <c r="C114" s="1969" t="s">
        <v>520</v>
      </c>
      <c r="D114" s="2022">
        <f>E108/2+3</f>
        <v>28</v>
      </c>
      <c r="E114" s="2026">
        <v>0.13</v>
      </c>
      <c r="F114" s="2027">
        <v>0.13</v>
      </c>
      <c r="G114" s="2027">
        <v>0.05</v>
      </c>
      <c r="H114" s="1970">
        <f>+ROUND(PRODUCT(D114:G114),2)</f>
        <v>0.02</v>
      </c>
      <c r="I114" s="2496"/>
      <c r="J114" s="2496"/>
      <c r="K114" s="2020"/>
    </row>
    <row r="115" spans="1:11" hidden="1">
      <c r="A115" s="2021"/>
      <c r="B115" s="1982" t="s">
        <v>2912</v>
      </c>
      <c r="C115" s="1969" t="s">
        <v>520</v>
      </c>
      <c r="D115" s="2022">
        <f>D114</f>
        <v>28</v>
      </c>
      <c r="E115" s="2026">
        <v>0.13</v>
      </c>
      <c r="F115" s="2026">
        <v>3.5000000000000003E-2</v>
      </c>
      <c r="G115" s="2026">
        <v>0.26</v>
      </c>
      <c r="H115" s="1970">
        <f>+ROUND(PRODUCT(D115:G115),2)</f>
        <v>0.03</v>
      </c>
      <c r="I115" s="2496"/>
      <c r="J115" s="2496"/>
      <c r="K115" s="2020"/>
    </row>
    <row r="116" spans="1:11" hidden="1">
      <c r="A116" s="2021"/>
      <c r="B116" s="2024"/>
      <c r="C116" s="1972" t="s">
        <v>520</v>
      </c>
      <c r="D116" s="2022"/>
      <c r="E116" s="2022"/>
      <c r="F116" s="2022"/>
      <c r="G116" s="2022"/>
      <c r="H116" s="1980">
        <f>SUM(H113:H115)</f>
        <v>8.4499999999999993</v>
      </c>
      <c r="I116" s="2497"/>
      <c r="J116" s="2497"/>
      <c r="K116" s="2020"/>
    </row>
    <row r="117" spans="1:11" hidden="1">
      <c r="A117" s="2021"/>
      <c r="B117" s="2024" t="s">
        <v>2889</v>
      </c>
      <c r="C117" s="1972"/>
      <c r="D117" s="2022"/>
      <c r="E117" s="2022"/>
      <c r="F117" s="2022"/>
      <c r="G117" s="2022"/>
      <c r="H117" s="1980"/>
      <c r="I117" s="2497"/>
      <c r="J117" s="2497"/>
      <c r="K117" s="2020"/>
    </row>
    <row r="118" spans="1:11" hidden="1">
      <c r="A118" s="2021"/>
      <c r="B118" s="1982" t="s">
        <v>2913</v>
      </c>
      <c r="C118" s="1969" t="s">
        <v>520</v>
      </c>
      <c r="D118" s="2022">
        <f>D113</f>
        <v>1</v>
      </c>
      <c r="E118" s="2022">
        <f>E113</f>
        <v>50</v>
      </c>
      <c r="F118" s="2022">
        <f>F108</f>
        <v>0.35</v>
      </c>
      <c r="G118" s="2022">
        <v>0.05</v>
      </c>
      <c r="H118" s="1970">
        <f>+ROUND(PRODUCT(D118:G118),2)</f>
        <v>0.88</v>
      </c>
      <c r="I118" s="2496"/>
      <c r="J118" s="2496"/>
      <c r="K118" s="2020"/>
    </row>
    <row r="119" spans="1:11" hidden="1">
      <c r="A119" s="2021"/>
      <c r="B119" s="2019"/>
      <c r="C119" s="1972" t="s">
        <v>520</v>
      </c>
      <c r="D119" s="2022"/>
      <c r="E119" s="2022"/>
      <c r="F119" s="2022"/>
      <c r="G119" s="2022"/>
      <c r="H119" s="1980">
        <f>SUM(H118:H118)</f>
        <v>0.88</v>
      </c>
      <c r="I119" s="2497"/>
      <c r="J119" s="2497"/>
      <c r="K119" s="2020"/>
    </row>
    <row r="120" spans="1:11" hidden="1">
      <c r="A120" s="2021">
        <v>6</v>
      </c>
      <c r="B120" s="2024" t="s">
        <v>362</v>
      </c>
      <c r="C120" s="1972"/>
      <c r="D120" s="2022"/>
      <c r="E120" s="2022"/>
      <c r="F120" s="2022"/>
      <c r="G120" s="2022"/>
      <c r="H120" s="1980"/>
      <c r="I120" s="2497"/>
      <c r="J120" s="2497"/>
      <c r="K120" s="2020"/>
    </row>
    <row r="121" spans="1:11" hidden="1">
      <c r="A121" s="2021"/>
      <c r="B121" s="2019"/>
      <c r="C121" s="1969" t="s">
        <v>2862</v>
      </c>
      <c r="D121" s="2022">
        <v>2</v>
      </c>
      <c r="E121" s="2022">
        <f>E113+F113</f>
        <v>51.68</v>
      </c>
      <c r="F121" s="2022"/>
      <c r="G121" s="2022">
        <f>G113</f>
        <v>0.1</v>
      </c>
      <c r="H121" s="1970">
        <f>+ROUND(PRODUCT(D121:G121),2)</f>
        <v>10.34</v>
      </c>
      <c r="I121" s="2496"/>
      <c r="J121" s="2496"/>
      <c r="K121" s="2020"/>
    </row>
    <row r="122" spans="1:11" hidden="1">
      <c r="A122" s="2021"/>
      <c r="B122" s="1982" t="s">
        <v>2913</v>
      </c>
      <c r="C122" s="1969" t="s">
        <v>2862</v>
      </c>
      <c r="D122" s="2022">
        <v>2</v>
      </c>
      <c r="E122" s="2022">
        <f>E118+F118</f>
        <v>50.35</v>
      </c>
      <c r="F122" s="2022"/>
      <c r="G122" s="2022">
        <f>G118</f>
        <v>0.05</v>
      </c>
      <c r="H122" s="1970">
        <f>+ROUND(PRODUCT(D122:G122),2)</f>
        <v>5.04</v>
      </c>
      <c r="I122" s="2496"/>
      <c r="J122" s="2496"/>
      <c r="K122" s="2020"/>
    </row>
    <row r="123" spans="1:11" hidden="1">
      <c r="A123" s="2021"/>
      <c r="B123" s="1982"/>
      <c r="C123" s="1972" t="s">
        <v>2862</v>
      </c>
      <c r="D123" s="2022"/>
      <c r="E123" s="2022"/>
      <c r="F123" s="2022"/>
      <c r="G123" s="2022"/>
      <c r="H123" s="1980">
        <f>SUM(H121:H122)</f>
        <v>15.379999999999999</v>
      </c>
      <c r="I123" s="2497"/>
      <c r="J123" s="2497"/>
      <c r="K123" s="2020"/>
    </row>
    <row r="124" spans="1:11" ht="25.5" hidden="1">
      <c r="A124" s="2021">
        <v>7</v>
      </c>
      <c r="B124" s="2028" t="s">
        <v>2914</v>
      </c>
      <c r="C124" s="1972"/>
      <c r="D124" s="2022"/>
      <c r="E124" s="2022"/>
      <c r="F124" s="2022"/>
      <c r="G124" s="2022"/>
      <c r="H124" s="1980"/>
      <c r="I124" s="2497"/>
      <c r="J124" s="2497"/>
      <c r="K124" s="2020"/>
    </row>
    <row r="125" spans="1:11" hidden="1">
      <c r="A125" s="2021"/>
      <c r="B125" s="2019"/>
      <c r="C125" s="1969" t="s">
        <v>2862</v>
      </c>
      <c r="D125" s="2022">
        <v>2</v>
      </c>
      <c r="E125" s="2022">
        <f>E114</f>
        <v>0.13</v>
      </c>
      <c r="F125" s="2022"/>
      <c r="G125" s="2022">
        <f>G108+G118+0.125</f>
        <v>0.495</v>
      </c>
      <c r="H125" s="1970">
        <f>+ROUND(PRODUCT(D125:G125),2)</f>
        <v>0.13</v>
      </c>
      <c r="I125" s="2496"/>
      <c r="J125" s="2496"/>
      <c r="K125" s="2020"/>
    </row>
    <row r="126" spans="1:11" hidden="1">
      <c r="A126" s="2021"/>
      <c r="B126" s="2019"/>
      <c r="C126" s="1972" t="s">
        <v>2862</v>
      </c>
      <c r="D126" s="2022"/>
      <c r="E126" s="2022"/>
      <c r="F126" s="2022"/>
      <c r="G126" s="2022"/>
      <c r="H126" s="1980">
        <f>SUM(H125:H125)</f>
        <v>0.13</v>
      </c>
      <c r="I126" s="2497"/>
      <c r="J126" s="2497"/>
      <c r="K126" s="2020"/>
    </row>
    <row r="127" spans="1:11" ht="36" hidden="1">
      <c r="A127" s="2021">
        <v>8</v>
      </c>
      <c r="B127" s="2029" t="s">
        <v>2891</v>
      </c>
      <c r="C127" s="2030"/>
      <c r="D127" s="2031"/>
      <c r="E127" s="2022"/>
      <c r="F127" s="2022"/>
      <c r="G127" s="2022"/>
      <c r="H127" s="1980"/>
      <c r="I127" s="2497"/>
      <c r="J127" s="2497"/>
      <c r="K127" s="2020"/>
    </row>
    <row r="128" spans="1:11" hidden="1">
      <c r="A128" s="2021"/>
      <c r="B128" s="2019"/>
      <c r="C128" s="1969" t="s">
        <v>2862</v>
      </c>
      <c r="D128" s="2022">
        <v>1</v>
      </c>
      <c r="E128" s="2022">
        <f>E125</f>
        <v>0.13</v>
      </c>
      <c r="F128" s="2022"/>
      <c r="G128" s="2022">
        <v>1.78</v>
      </c>
      <c r="H128" s="1970">
        <f>+ROUND(PRODUCT(D128:G128),2)</f>
        <v>0.23</v>
      </c>
      <c r="I128" s="2496"/>
      <c r="J128" s="2496"/>
      <c r="K128" s="2020"/>
    </row>
    <row r="129" spans="1:11" hidden="1">
      <c r="A129" s="2021" t="s">
        <v>2915</v>
      </c>
      <c r="B129" s="2019"/>
      <c r="C129" s="1972" t="s">
        <v>2862</v>
      </c>
      <c r="D129" s="2022"/>
      <c r="E129" s="2022"/>
      <c r="F129" s="2022"/>
      <c r="G129" s="2022"/>
      <c r="H129" s="1980">
        <f>SUM(H128:H128)</f>
        <v>0.23</v>
      </c>
      <c r="I129" s="2497"/>
      <c r="J129" s="2497"/>
      <c r="K129" s="2020"/>
    </row>
    <row r="130" spans="1:11" hidden="1">
      <c r="A130" s="2032">
        <v>9</v>
      </c>
      <c r="B130" s="2002" t="s">
        <v>2871</v>
      </c>
      <c r="C130" s="1987"/>
      <c r="D130" s="2033"/>
      <c r="E130" s="2033"/>
      <c r="F130" s="2033"/>
      <c r="G130" s="2033"/>
      <c r="H130" s="1988"/>
      <c r="I130" s="2498"/>
      <c r="J130" s="2498"/>
      <c r="K130" s="2034"/>
    </row>
    <row r="131" spans="1:11" hidden="1">
      <c r="A131" s="2032"/>
      <c r="B131" s="2035" t="s">
        <v>2893</v>
      </c>
      <c r="C131" s="1969" t="s">
        <v>520</v>
      </c>
      <c r="D131" s="2022">
        <f>8*2</f>
        <v>16</v>
      </c>
      <c r="E131" s="2022">
        <v>2</v>
      </c>
      <c r="F131" s="2022">
        <v>1</v>
      </c>
      <c r="G131" s="2022">
        <v>1</v>
      </c>
      <c r="H131" s="1970">
        <f>+ROUND(PRODUCT(D131:G131),2)</f>
        <v>32</v>
      </c>
      <c r="I131" s="2499"/>
      <c r="J131" s="2499"/>
      <c r="K131" s="2034"/>
    </row>
    <row r="132" spans="1:11" hidden="1">
      <c r="A132" s="2036"/>
      <c r="B132" s="1998"/>
      <c r="C132" s="2037" t="s">
        <v>520</v>
      </c>
      <c r="D132" s="2038"/>
      <c r="E132" s="2038"/>
      <c r="F132" s="2038"/>
      <c r="G132" s="2038"/>
      <c r="H132" s="2039">
        <f>SUM(H131:H131)</f>
        <v>32</v>
      </c>
      <c r="I132" s="2500"/>
      <c r="J132" s="2500"/>
      <c r="K132" s="2000"/>
    </row>
    <row r="133" spans="1:11" hidden="1">
      <c r="A133" s="2040"/>
      <c r="B133" s="2040"/>
      <c r="C133" s="2040"/>
      <c r="D133" s="2040"/>
      <c r="E133" s="2040"/>
      <c r="F133" s="2040"/>
      <c r="G133" s="2040"/>
      <c r="H133" s="2040"/>
      <c r="I133" s="2040"/>
      <c r="J133" s="2040"/>
      <c r="K133" s="2040"/>
    </row>
    <row r="134" spans="1:11" hidden="1">
      <c r="A134" s="1962"/>
      <c r="B134" s="1962"/>
      <c r="C134" s="1962"/>
      <c r="D134" s="1962"/>
      <c r="E134" s="1962"/>
      <c r="F134" s="1962"/>
      <c r="G134" s="1962"/>
      <c r="H134" s="1962"/>
      <c r="I134" s="1962"/>
      <c r="J134" s="1962"/>
      <c r="K134" s="1962"/>
    </row>
    <row r="135" spans="1:11" hidden="1"/>
    <row r="136" spans="1:11">
      <c r="A136" s="2040"/>
      <c r="B136" s="2040"/>
      <c r="C136" s="2040"/>
      <c r="D136" s="2040"/>
      <c r="E136" s="2040"/>
      <c r="F136" s="2040"/>
      <c r="G136" s="2040"/>
      <c r="H136" s="2040"/>
      <c r="I136" s="2040"/>
      <c r="J136" s="2040"/>
      <c r="K136" s="2040"/>
    </row>
    <row r="137" spans="1:11">
      <c r="A137" s="2040"/>
      <c r="B137" s="2040"/>
      <c r="C137" s="2040"/>
      <c r="D137" s="2040"/>
      <c r="E137" s="2040"/>
      <c r="F137" s="2040"/>
      <c r="G137" s="2040"/>
      <c r="H137" s="2040"/>
      <c r="I137" s="2040"/>
      <c r="J137" s="2040"/>
      <c r="K137" s="2040"/>
    </row>
    <row r="138" spans="1:11">
      <c r="A138" s="2040"/>
      <c r="B138" s="2040"/>
      <c r="C138" s="2040"/>
      <c r="D138" s="2040"/>
      <c r="E138" s="2040"/>
      <c r="F138" s="2040"/>
      <c r="G138" s="2040"/>
      <c r="H138" s="2040"/>
      <c r="I138" s="2040"/>
      <c r="J138" s="2040"/>
      <c r="K138" s="2040"/>
    </row>
    <row r="139" spans="1:11">
      <c r="A139" s="2040"/>
      <c r="B139" s="2040"/>
      <c r="C139" s="2040"/>
      <c r="D139" s="2040"/>
      <c r="E139" s="2040"/>
      <c r="F139" s="2040"/>
      <c r="G139" s="2040"/>
      <c r="H139" s="2040"/>
      <c r="I139" s="2040"/>
      <c r="J139" s="2040"/>
      <c r="K139" s="2040"/>
    </row>
  </sheetData>
  <mergeCells count="3">
    <mergeCell ref="A1:K1"/>
    <mergeCell ref="A2:D2"/>
    <mergeCell ref="A95:B95"/>
  </mergeCells>
  <pageMargins left="0.7" right="0.7" top="0.75" bottom="0.75" header="0.3" footer="0.3"/>
  <pageSetup paperSize="9" scale="85" orientation="portrait" r:id="rId1"/>
  <colBreaks count="1" manualBreakCount="1">
    <brk id="11" max="1048575" man="1"/>
  </col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O41"/>
  <sheetViews>
    <sheetView workbookViewId="0">
      <selection activeCell="I28" sqref="I28"/>
    </sheetView>
  </sheetViews>
  <sheetFormatPr defaultColWidth="9.140625" defaultRowHeight="14.1" customHeight="1"/>
  <cols>
    <col min="1" max="1" width="3.85546875" style="283" customWidth="1"/>
    <col min="2" max="2" width="6.5703125" style="283" customWidth="1"/>
    <col min="3" max="3" width="8.5703125" style="283" customWidth="1"/>
    <col min="4" max="4" width="9.140625" style="283"/>
    <col min="5" max="5" width="9.7109375" style="283" customWidth="1"/>
    <col min="6" max="6" width="5.5703125" style="283" customWidth="1"/>
    <col min="7" max="7" width="5.28515625" style="283" customWidth="1"/>
    <col min="8" max="8" width="8.42578125" style="283" customWidth="1"/>
    <col min="9" max="9" width="7.5703125" style="283" customWidth="1"/>
    <col min="10" max="10" width="9.42578125" style="283" customWidth="1"/>
    <col min="11" max="11" width="8.42578125" style="283" customWidth="1"/>
    <col min="12" max="12" width="6.42578125" style="283" customWidth="1"/>
    <col min="13" max="13" width="6.5703125" style="283" customWidth="1"/>
    <col min="14" max="16384" width="9.140625" style="283"/>
  </cols>
  <sheetData>
    <row r="1" spans="1:15" ht="18.75" customHeight="1">
      <c r="A1" s="3072" t="s">
        <v>82</v>
      </c>
      <c r="B1" s="3072"/>
      <c r="C1" s="3072"/>
      <c r="D1" s="3072"/>
      <c r="E1" s="3072"/>
      <c r="F1" s="3072"/>
      <c r="G1" s="3072"/>
      <c r="H1" s="3072"/>
      <c r="I1" s="3072"/>
      <c r="J1" s="3072"/>
      <c r="K1" s="3072"/>
      <c r="L1" s="3072"/>
      <c r="M1" s="3072"/>
      <c r="N1" s="3072"/>
      <c r="O1" s="3072"/>
    </row>
    <row r="2" spans="1:15" ht="22.5" customHeight="1">
      <c r="A2" s="3067" t="s">
        <v>374</v>
      </c>
      <c r="B2" s="3067"/>
      <c r="C2" s="3067"/>
      <c r="D2" s="3067"/>
      <c r="E2" s="3067"/>
      <c r="F2" s="3067"/>
      <c r="G2" s="3067"/>
      <c r="H2" s="3067"/>
      <c r="I2" s="3067"/>
      <c r="J2" s="3067"/>
      <c r="K2" s="3067"/>
      <c r="L2" s="10"/>
    </row>
    <row r="3" spans="1:15" s="218" customFormat="1" ht="12" customHeight="1">
      <c r="A3" s="211"/>
      <c r="B3" s="211"/>
      <c r="C3" s="212"/>
      <c r="D3" s="3062" t="s">
        <v>375</v>
      </c>
      <c r="E3" s="3063"/>
      <c r="F3" s="213" t="s">
        <v>376</v>
      </c>
      <c r="G3" s="214" t="s">
        <v>376</v>
      </c>
      <c r="H3" s="215" t="s">
        <v>377</v>
      </c>
      <c r="I3" s="216"/>
      <c r="J3" s="235" t="s">
        <v>378</v>
      </c>
      <c r="K3" s="216"/>
      <c r="L3" s="217"/>
    </row>
    <row r="4" spans="1:15" s="218" customFormat="1" ht="12" customHeight="1">
      <c r="A4" s="219" t="s">
        <v>961</v>
      </c>
      <c r="B4" s="219" t="s">
        <v>379</v>
      </c>
      <c r="C4" s="220"/>
      <c r="D4" s="221"/>
      <c r="E4" s="221"/>
      <c r="F4" s="227" t="s">
        <v>380</v>
      </c>
      <c r="G4" s="236" t="s">
        <v>380</v>
      </c>
      <c r="H4" s="237" t="s">
        <v>381</v>
      </c>
      <c r="I4" s="229" t="s">
        <v>52</v>
      </c>
      <c r="J4" s="237" t="s">
        <v>381</v>
      </c>
      <c r="K4" s="229" t="s">
        <v>52</v>
      </c>
      <c r="L4" s="217"/>
    </row>
    <row r="5" spans="1:15" s="218" customFormat="1" ht="12" customHeight="1">
      <c r="A5" s="219"/>
      <c r="B5" s="219"/>
      <c r="C5" s="220"/>
      <c r="D5" s="3065" t="s">
        <v>382</v>
      </c>
      <c r="E5" s="3065" t="s">
        <v>383</v>
      </c>
      <c r="F5" s="222"/>
      <c r="G5" s="223"/>
      <c r="H5" s="232" t="s">
        <v>384</v>
      </c>
      <c r="I5" s="224"/>
      <c r="J5" s="232" t="s">
        <v>384</v>
      </c>
      <c r="K5" s="224"/>
      <c r="L5" s="217"/>
    </row>
    <row r="6" spans="1:15" s="218" customFormat="1" ht="12" customHeight="1">
      <c r="A6" s="225"/>
      <c r="B6" s="225"/>
      <c r="C6" s="226"/>
      <c r="D6" s="3066"/>
      <c r="E6" s="3066"/>
      <c r="F6" s="227" t="s">
        <v>385</v>
      </c>
      <c r="G6" s="228" t="s">
        <v>386</v>
      </c>
      <c r="H6" s="227" t="s">
        <v>107</v>
      </c>
      <c r="I6" s="229" t="s">
        <v>107</v>
      </c>
      <c r="J6" s="227" t="s">
        <v>107</v>
      </c>
      <c r="K6" s="229" t="s">
        <v>107</v>
      </c>
      <c r="L6" s="217"/>
    </row>
    <row r="7" spans="1:15" s="218" customFormat="1" ht="12" customHeight="1">
      <c r="A7" s="3068">
        <v>1</v>
      </c>
      <c r="B7" s="3068" t="s">
        <v>387</v>
      </c>
      <c r="C7" s="424" t="s">
        <v>388</v>
      </c>
      <c r="D7" s="230"/>
      <c r="E7" s="230"/>
      <c r="F7" s="230"/>
      <c r="G7" s="230"/>
      <c r="H7" s="411"/>
      <c r="I7" s="412"/>
      <c r="J7" s="411"/>
      <c r="K7" s="412"/>
      <c r="L7" s="217"/>
    </row>
    <row r="8" spans="1:15" s="218" customFormat="1" ht="12" customHeight="1">
      <c r="A8" s="3069"/>
      <c r="B8" s="3069"/>
      <c r="C8" s="424" t="s">
        <v>389</v>
      </c>
      <c r="D8" s="230"/>
      <c r="E8" s="230"/>
      <c r="F8" s="230"/>
      <c r="G8" s="230"/>
      <c r="H8" s="411"/>
      <c r="I8" s="412"/>
      <c r="J8" s="411"/>
      <c r="K8" s="413"/>
      <c r="L8" s="217"/>
    </row>
    <row r="9" spans="1:15" s="218" customFormat="1" ht="12" customHeight="1">
      <c r="A9" s="3070"/>
      <c r="B9" s="3070"/>
      <c r="C9" s="424" t="s">
        <v>390</v>
      </c>
      <c r="D9" s="414"/>
      <c r="E9" s="411"/>
      <c r="F9" s="411"/>
      <c r="G9" s="411"/>
      <c r="H9" s="411"/>
      <c r="I9" s="413"/>
      <c r="J9" s="411"/>
      <c r="K9" s="413"/>
      <c r="L9" s="217"/>
    </row>
    <row r="10" spans="1:15" s="218" customFormat="1" ht="12" customHeight="1">
      <c r="A10" s="231">
        <v>2</v>
      </c>
      <c r="B10" s="231" t="s">
        <v>391</v>
      </c>
      <c r="C10" s="425" t="s">
        <v>392</v>
      </c>
      <c r="D10" s="415" t="s">
        <v>393</v>
      </c>
      <c r="E10" s="232" t="s">
        <v>394</v>
      </c>
      <c r="F10" s="232">
        <v>0</v>
      </c>
      <c r="G10" s="232">
        <v>0</v>
      </c>
      <c r="H10" s="232">
        <v>0.9</v>
      </c>
      <c r="I10" s="416">
        <f>H10*F10</f>
        <v>0</v>
      </c>
      <c r="J10" s="411">
        <v>1.1000000000000001</v>
      </c>
      <c r="K10" s="417">
        <f>J10*F10</f>
        <v>0</v>
      </c>
      <c r="L10" s="217"/>
    </row>
    <row r="11" spans="1:15" s="218" customFormat="1" ht="12" customHeight="1">
      <c r="A11" s="233"/>
      <c r="B11" s="234"/>
      <c r="C11" s="234"/>
      <c r="D11" s="234"/>
      <c r="E11" s="418" t="s">
        <v>1108</v>
      </c>
      <c r="F11" s="419"/>
      <c r="G11" s="234"/>
      <c r="H11" s="420"/>
      <c r="I11" s="421">
        <f>ROUND(SUM(I7:I10),2)</f>
        <v>0</v>
      </c>
      <c r="J11" s="230"/>
      <c r="K11" s="421">
        <f>ROUND(SUM(K7:K10),2)</f>
        <v>0</v>
      </c>
      <c r="L11" s="217"/>
    </row>
    <row r="12" spans="1:15" ht="5.25" customHeight="1">
      <c r="B12" s="185"/>
      <c r="C12" s="185"/>
      <c r="D12" s="185"/>
      <c r="E12" s="185"/>
      <c r="F12" s="185"/>
      <c r="G12" s="185"/>
      <c r="H12" s="185"/>
      <c r="I12" s="185"/>
      <c r="J12" s="185"/>
      <c r="K12" s="185"/>
      <c r="L12" s="10"/>
    </row>
    <row r="13" spans="1:15" ht="14.1" customHeight="1">
      <c r="A13" s="186" t="s">
        <v>395</v>
      </c>
      <c r="C13" s="185"/>
      <c r="D13" s="185"/>
      <c r="E13" s="185"/>
      <c r="F13" s="185"/>
      <c r="G13" s="185"/>
      <c r="H13" s="185"/>
      <c r="I13" s="185"/>
      <c r="J13" s="185"/>
      <c r="K13" s="185"/>
      <c r="L13" s="10"/>
    </row>
    <row r="14" spans="1:15" ht="14.1" customHeight="1">
      <c r="A14" s="186" t="s">
        <v>396</v>
      </c>
      <c r="C14" s="10"/>
      <c r="D14" s="10"/>
      <c r="E14" s="10"/>
      <c r="F14" s="10"/>
      <c r="G14" s="10"/>
      <c r="H14" s="10"/>
      <c r="I14" s="10"/>
      <c r="J14" s="10"/>
      <c r="K14" s="10"/>
      <c r="L14" s="10"/>
    </row>
    <row r="15" spans="1:15" ht="19.5" customHeight="1">
      <c r="B15" s="10"/>
      <c r="C15" s="10"/>
      <c r="D15" s="10"/>
      <c r="E15" s="10"/>
      <c r="F15" s="10"/>
      <c r="G15" s="10"/>
      <c r="J15" s="10"/>
      <c r="K15" s="10"/>
    </row>
    <row r="16" spans="1:15" ht="19.5" customHeight="1">
      <c r="A16" s="3067" t="s">
        <v>397</v>
      </c>
      <c r="B16" s="3067"/>
      <c r="C16" s="3067"/>
      <c r="D16" s="3067"/>
      <c r="E16" s="3067"/>
      <c r="F16" s="3067"/>
      <c r="G16" s="3067"/>
      <c r="H16" s="3067"/>
      <c r="I16" s="3067"/>
      <c r="J16" s="3067" t="s">
        <v>399</v>
      </c>
      <c r="K16" s="3067"/>
      <c r="L16" s="3067"/>
      <c r="M16" s="3067"/>
      <c r="N16" s="3067"/>
      <c r="O16" s="3067"/>
    </row>
    <row r="17" spans="1:15" ht="19.5" customHeight="1">
      <c r="A17" s="3071" t="s">
        <v>85</v>
      </c>
      <c r="B17" s="3071"/>
      <c r="C17" s="3071"/>
      <c r="D17" s="3071"/>
      <c r="E17" s="3071"/>
      <c r="F17" s="3071"/>
      <c r="G17" s="3071"/>
      <c r="H17" s="3071"/>
      <c r="I17" s="3071"/>
      <c r="J17" s="3071" t="s">
        <v>86</v>
      </c>
      <c r="K17" s="3071"/>
      <c r="L17" s="3071"/>
      <c r="M17" s="3071"/>
      <c r="N17" s="3071"/>
      <c r="O17" s="3071"/>
    </row>
    <row r="18" spans="1:15" s="218" customFormat="1" ht="12" customHeight="1">
      <c r="A18" s="211"/>
      <c r="B18" s="211"/>
      <c r="C18" s="212"/>
      <c r="D18" s="3062" t="s">
        <v>375</v>
      </c>
      <c r="E18" s="3063"/>
      <c r="F18" s="213" t="s">
        <v>376</v>
      </c>
      <c r="G18" s="214" t="s">
        <v>376</v>
      </c>
      <c r="H18" s="215" t="s">
        <v>377</v>
      </c>
      <c r="I18" s="216"/>
      <c r="J18" s="3062" t="s">
        <v>375</v>
      </c>
      <c r="K18" s="3063"/>
      <c r="L18" s="213" t="s">
        <v>376</v>
      </c>
      <c r="M18" s="214" t="s">
        <v>376</v>
      </c>
      <c r="N18" s="215" t="s">
        <v>377</v>
      </c>
      <c r="O18" s="216"/>
    </row>
    <row r="19" spans="1:15" s="218" customFormat="1" ht="12" customHeight="1">
      <c r="A19" s="219" t="s">
        <v>961</v>
      </c>
      <c r="B19" s="219" t="s">
        <v>379</v>
      </c>
      <c r="C19" s="220"/>
      <c r="D19" s="221"/>
      <c r="E19" s="221"/>
      <c r="F19" s="222" t="s">
        <v>380</v>
      </c>
      <c r="G19" s="223" t="s">
        <v>380</v>
      </c>
      <c r="H19" s="213" t="s">
        <v>381</v>
      </c>
      <c r="I19" s="224" t="s">
        <v>52</v>
      </c>
      <c r="J19" s="221"/>
      <c r="K19" s="221"/>
      <c r="L19" s="222" t="s">
        <v>380</v>
      </c>
      <c r="M19" s="223" t="s">
        <v>380</v>
      </c>
      <c r="N19" s="213" t="s">
        <v>381</v>
      </c>
      <c r="O19" s="224" t="s">
        <v>52</v>
      </c>
    </row>
    <row r="20" spans="1:15" s="218" customFormat="1" ht="12" customHeight="1">
      <c r="A20" s="219"/>
      <c r="B20" s="219"/>
      <c r="C20" s="220"/>
      <c r="D20" s="3065" t="s">
        <v>382</v>
      </c>
      <c r="E20" s="3065" t="s">
        <v>383</v>
      </c>
      <c r="F20" s="222"/>
      <c r="G20" s="223"/>
      <c r="H20" s="222" t="s">
        <v>384</v>
      </c>
      <c r="I20" s="224"/>
      <c r="J20" s="3065" t="s">
        <v>382</v>
      </c>
      <c r="K20" s="3065" t="s">
        <v>383</v>
      </c>
      <c r="L20" s="222"/>
      <c r="M20" s="223"/>
      <c r="N20" s="222" t="s">
        <v>384</v>
      </c>
      <c r="O20" s="224"/>
    </row>
    <row r="21" spans="1:15" s="218" customFormat="1" ht="12" customHeight="1">
      <c r="A21" s="225"/>
      <c r="B21" s="225"/>
      <c r="C21" s="226"/>
      <c r="D21" s="3066"/>
      <c r="E21" s="3066"/>
      <c r="F21" s="227" t="s">
        <v>385</v>
      </c>
      <c r="G21" s="228" t="s">
        <v>386</v>
      </c>
      <c r="H21" s="227" t="s">
        <v>107</v>
      </c>
      <c r="I21" s="229" t="s">
        <v>107</v>
      </c>
      <c r="J21" s="3066"/>
      <c r="K21" s="3066"/>
      <c r="L21" s="227" t="s">
        <v>385</v>
      </c>
      <c r="M21" s="228" t="s">
        <v>386</v>
      </c>
      <c r="N21" s="227" t="s">
        <v>107</v>
      </c>
      <c r="O21" s="229" t="s">
        <v>107</v>
      </c>
    </row>
    <row r="22" spans="1:15" s="218" customFormat="1" ht="12" customHeight="1">
      <c r="A22" s="3068">
        <v>1</v>
      </c>
      <c r="B22" s="3068" t="s">
        <v>387</v>
      </c>
      <c r="C22" s="424" t="s">
        <v>388</v>
      </c>
      <c r="D22" s="230" t="s">
        <v>632</v>
      </c>
      <c r="E22" s="230" t="s">
        <v>84</v>
      </c>
      <c r="F22" s="230"/>
      <c r="G22" s="230">
        <v>0</v>
      </c>
      <c r="H22" s="411">
        <v>1.4999999999999999E-2</v>
      </c>
      <c r="I22" s="412">
        <f>H22*G22</f>
        <v>0</v>
      </c>
      <c r="J22" s="424" t="s">
        <v>632</v>
      </c>
      <c r="K22" s="230" t="s">
        <v>84</v>
      </c>
      <c r="L22" s="230"/>
      <c r="M22" s="230">
        <v>0</v>
      </c>
      <c r="N22" s="411">
        <v>1.4999999999999999E-2</v>
      </c>
      <c r="O22" s="412">
        <f>N22*M22</f>
        <v>0</v>
      </c>
    </row>
    <row r="23" spans="1:15" s="218" customFormat="1" ht="12" customHeight="1">
      <c r="A23" s="3069"/>
      <c r="B23" s="3069"/>
      <c r="C23" s="424" t="s">
        <v>389</v>
      </c>
      <c r="D23" s="230" t="s">
        <v>83</v>
      </c>
      <c r="E23" s="230" t="s">
        <v>632</v>
      </c>
      <c r="F23" s="230"/>
      <c r="G23" s="230">
        <v>0</v>
      </c>
      <c r="H23" s="411">
        <v>1.4999999999999999E-2</v>
      </c>
      <c r="I23" s="412">
        <f>H23*G23</f>
        <v>0</v>
      </c>
      <c r="J23" s="230" t="s">
        <v>83</v>
      </c>
      <c r="K23" s="424" t="s">
        <v>632</v>
      </c>
      <c r="L23" s="230"/>
      <c r="M23" s="230">
        <v>0</v>
      </c>
      <c r="N23" s="411">
        <v>1.4999999999999999E-2</v>
      </c>
      <c r="O23" s="412">
        <f>N23*M23</f>
        <v>0</v>
      </c>
    </row>
    <row r="24" spans="1:15" s="218" customFormat="1" ht="12" customHeight="1">
      <c r="A24" s="3070"/>
      <c r="B24" s="3070"/>
      <c r="C24" s="424" t="s">
        <v>390</v>
      </c>
      <c r="D24" s="230"/>
      <c r="E24" s="230"/>
      <c r="F24" s="411"/>
      <c r="G24" s="411"/>
      <c r="H24" s="411"/>
      <c r="I24" s="422"/>
      <c r="J24" s="424"/>
      <c r="K24" s="424"/>
      <c r="L24" s="411"/>
      <c r="M24" s="411"/>
      <c r="N24" s="411"/>
      <c r="O24" s="422"/>
    </row>
    <row r="25" spans="1:15" s="218" customFormat="1" ht="12" customHeight="1">
      <c r="A25" s="231">
        <v>2</v>
      </c>
      <c r="B25" s="231" t="s">
        <v>391</v>
      </c>
      <c r="C25" s="425" t="s">
        <v>392</v>
      </c>
      <c r="D25" s="415" t="s">
        <v>398</v>
      </c>
      <c r="E25" s="232" t="s">
        <v>394</v>
      </c>
      <c r="F25" s="232"/>
      <c r="G25" s="232"/>
      <c r="H25" s="232">
        <v>0.9</v>
      </c>
      <c r="I25" s="416">
        <f>H25*F25</f>
        <v>0</v>
      </c>
      <c r="J25" s="427" t="s">
        <v>398</v>
      </c>
      <c r="K25" s="425" t="s">
        <v>394</v>
      </c>
      <c r="L25" s="232"/>
      <c r="M25" s="232"/>
      <c r="N25" s="232">
        <v>0.9</v>
      </c>
      <c r="O25" s="416">
        <f>N25*L25</f>
        <v>0</v>
      </c>
    </row>
    <row r="26" spans="1:15" s="218" customFormat="1" ht="12" customHeight="1">
      <c r="A26" s="233"/>
      <c r="B26" s="234"/>
      <c r="C26" s="234"/>
      <c r="D26" s="234"/>
      <c r="E26" s="418" t="s">
        <v>1108</v>
      </c>
      <c r="F26" s="419"/>
      <c r="G26" s="234"/>
      <c r="H26" s="420"/>
      <c r="I26" s="423">
        <f>ROUND(SUM(I22:I25),2)</f>
        <v>0</v>
      </c>
      <c r="J26" s="426"/>
      <c r="K26" s="418" t="s">
        <v>1108</v>
      </c>
      <c r="L26" s="419"/>
      <c r="M26" s="234"/>
      <c r="N26" s="420"/>
      <c r="O26" s="423">
        <f>ROUND(SUM(O22:O25),2)</f>
        <v>0</v>
      </c>
    </row>
    <row r="27" spans="1:15" ht="8.25" customHeight="1">
      <c r="A27" s="187"/>
      <c r="B27" s="188"/>
      <c r="C27" s="188"/>
      <c r="D27" s="188"/>
      <c r="E27" s="188"/>
      <c r="F27" s="188"/>
      <c r="G27" s="188"/>
      <c r="H27" s="188"/>
      <c r="I27" s="10"/>
      <c r="J27" s="10"/>
      <c r="K27" s="10"/>
      <c r="L27" s="10"/>
    </row>
    <row r="28" spans="1:15" ht="19.5" customHeight="1">
      <c r="B28" s="10"/>
      <c r="C28" s="10"/>
      <c r="D28" s="10"/>
      <c r="E28" s="10"/>
      <c r="F28" s="10"/>
      <c r="G28" s="10"/>
      <c r="I28" s="10"/>
      <c r="J28" s="10"/>
      <c r="K28" s="10"/>
    </row>
    <row r="29" spans="1:15" ht="19.5" customHeight="1">
      <c r="A29" s="3067" t="s">
        <v>400</v>
      </c>
      <c r="B29" s="3067"/>
      <c r="C29" s="3067"/>
      <c r="D29" s="3067"/>
      <c r="E29" s="3067"/>
      <c r="F29" s="3067"/>
      <c r="G29" s="3067"/>
      <c r="H29" s="3067"/>
      <c r="I29" s="3067"/>
      <c r="J29" s="3067" t="s">
        <v>402</v>
      </c>
      <c r="K29" s="3067"/>
      <c r="L29" s="3067"/>
      <c r="M29" s="3067"/>
      <c r="N29" s="3067"/>
      <c r="O29" s="3067"/>
    </row>
    <row r="30" spans="1:15" ht="19.5" customHeight="1">
      <c r="A30" s="3071" t="s">
        <v>401</v>
      </c>
      <c r="B30" s="3071"/>
      <c r="C30" s="3071"/>
      <c r="D30" s="3071"/>
      <c r="E30" s="3071"/>
      <c r="F30" s="3071"/>
      <c r="G30" s="3071"/>
      <c r="H30" s="3071"/>
      <c r="I30" s="3071"/>
      <c r="J30" s="3064"/>
      <c r="K30" s="3064"/>
      <c r="L30" s="3064"/>
      <c r="M30" s="3064"/>
      <c r="N30" s="3064"/>
      <c r="O30" s="3064"/>
    </row>
    <row r="31" spans="1:15" s="218" customFormat="1" ht="12" customHeight="1">
      <c r="A31" s="211"/>
      <c r="B31" s="211"/>
      <c r="C31" s="212"/>
      <c r="D31" s="3062" t="s">
        <v>375</v>
      </c>
      <c r="E31" s="3063"/>
      <c r="F31" s="213" t="s">
        <v>376</v>
      </c>
      <c r="G31" s="214" t="s">
        <v>376</v>
      </c>
      <c r="H31" s="215" t="s">
        <v>377</v>
      </c>
      <c r="I31" s="216"/>
      <c r="J31" s="3062" t="s">
        <v>375</v>
      </c>
      <c r="K31" s="3063"/>
      <c r="L31" s="213" t="s">
        <v>376</v>
      </c>
      <c r="M31" s="214" t="s">
        <v>376</v>
      </c>
      <c r="N31" s="235" t="s">
        <v>378</v>
      </c>
      <c r="O31" s="216"/>
    </row>
    <row r="32" spans="1:15" s="218" customFormat="1" ht="12" customHeight="1">
      <c r="A32" s="219" t="s">
        <v>961</v>
      </c>
      <c r="B32" s="219" t="s">
        <v>379</v>
      </c>
      <c r="C32" s="220"/>
      <c r="D32" s="221"/>
      <c r="E32" s="221"/>
      <c r="F32" s="222" t="s">
        <v>380</v>
      </c>
      <c r="G32" s="223" t="s">
        <v>380</v>
      </c>
      <c r="H32" s="213" t="s">
        <v>381</v>
      </c>
      <c r="I32" s="224" t="s">
        <v>52</v>
      </c>
      <c r="J32" s="221"/>
      <c r="K32" s="221"/>
      <c r="L32" s="222" t="s">
        <v>380</v>
      </c>
      <c r="M32" s="223" t="s">
        <v>380</v>
      </c>
      <c r="N32" s="213" t="s">
        <v>381</v>
      </c>
      <c r="O32" s="224" t="s">
        <v>52</v>
      </c>
    </row>
    <row r="33" spans="1:15" s="218" customFormat="1" ht="12" customHeight="1">
      <c r="A33" s="219"/>
      <c r="B33" s="219"/>
      <c r="C33" s="220"/>
      <c r="D33" s="3065" t="s">
        <v>382</v>
      </c>
      <c r="E33" s="3065" t="s">
        <v>383</v>
      </c>
      <c r="F33" s="222"/>
      <c r="G33" s="223"/>
      <c r="H33" s="222" t="s">
        <v>384</v>
      </c>
      <c r="I33" s="224"/>
      <c r="J33" s="3065" t="s">
        <v>382</v>
      </c>
      <c r="K33" s="3065" t="s">
        <v>383</v>
      </c>
      <c r="L33" s="222"/>
      <c r="M33" s="223"/>
      <c r="N33" s="222" t="s">
        <v>384</v>
      </c>
      <c r="O33" s="224"/>
    </row>
    <row r="34" spans="1:15" s="218" customFormat="1" ht="12" customHeight="1">
      <c r="A34" s="225"/>
      <c r="B34" s="225"/>
      <c r="C34" s="226"/>
      <c r="D34" s="3066"/>
      <c r="E34" s="3066"/>
      <c r="F34" s="227" t="s">
        <v>385</v>
      </c>
      <c r="G34" s="228" t="s">
        <v>386</v>
      </c>
      <c r="H34" s="227" t="s">
        <v>107</v>
      </c>
      <c r="I34" s="229" t="s">
        <v>107</v>
      </c>
      <c r="J34" s="3066"/>
      <c r="K34" s="3066"/>
      <c r="L34" s="227" t="s">
        <v>385</v>
      </c>
      <c r="M34" s="228" t="s">
        <v>386</v>
      </c>
      <c r="N34" s="227" t="s">
        <v>107</v>
      </c>
      <c r="O34" s="229" t="s">
        <v>107</v>
      </c>
    </row>
    <row r="35" spans="1:15" s="218" customFormat="1" ht="12" customHeight="1">
      <c r="A35" s="3068">
        <v>1</v>
      </c>
      <c r="B35" s="3068" t="s">
        <v>387</v>
      </c>
      <c r="C35" s="424" t="s">
        <v>388</v>
      </c>
      <c r="D35" s="230"/>
      <c r="E35" s="230"/>
      <c r="F35" s="230"/>
      <c r="G35" s="230"/>
      <c r="H35" s="411"/>
      <c r="I35" s="412"/>
      <c r="J35" s="230"/>
      <c r="K35" s="230"/>
      <c r="L35" s="230"/>
      <c r="M35" s="230"/>
      <c r="N35" s="411"/>
      <c r="O35" s="412"/>
    </row>
    <row r="36" spans="1:15" s="218" customFormat="1" ht="12" customHeight="1">
      <c r="A36" s="3069"/>
      <c r="B36" s="3069"/>
      <c r="C36" s="424" t="s">
        <v>389</v>
      </c>
      <c r="D36" s="230"/>
      <c r="E36" s="230"/>
      <c r="F36" s="230"/>
      <c r="G36" s="230"/>
      <c r="H36" s="411"/>
      <c r="I36" s="422"/>
      <c r="J36" s="230"/>
      <c r="K36" s="230"/>
      <c r="L36" s="230"/>
      <c r="M36" s="230"/>
      <c r="N36" s="411"/>
      <c r="O36" s="412"/>
    </row>
    <row r="37" spans="1:15" s="218" customFormat="1" ht="12" customHeight="1">
      <c r="A37" s="3070"/>
      <c r="B37" s="3070"/>
      <c r="C37" s="424" t="s">
        <v>390</v>
      </c>
      <c r="D37" s="230"/>
      <c r="E37" s="230"/>
      <c r="F37" s="411"/>
      <c r="G37" s="411"/>
      <c r="H37" s="411"/>
      <c r="I37" s="422"/>
      <c r="J37" s="414"/>
      <c r="K37" s="411"/>
      <c r="L37" s="411"/>
      <c r="M37" s="411"/>
      <c r="N37" s="411"/>
      <c r="O37" s="413"/>
    </row>
    <row r="38" spans="1:15" s="218" customFormat="1" ht="12" customHeight="1">
      <c r="A38" s="231">
        <v>2</v>
      </c>
      <c r="B38" s="231" t="s">
        <v>391</v>
      </c>
      <c r="C38" s="425" t="s">
        <v>392</v>
      </c>
      <c r="D38" s="415" t="s">
        <v>398</v>
      </c>
      <c r="E38" s="232" t="s">
        <v>394</v>
      </c>
      <c r="F38" s="232">
        <v>0</v>
      </c>
      <c r="G38" s="232"/>
      <c r="H38" s="232">
        <v>1.1000000000000001</v>
      </c>
      <c r="I38" s="416">
        <f>H38*F38</f>
        <v>0</v>
      </c>
      <c r="J38" s="415" t="s">
        <v>398</v>
      </c>
      <c r="K38" s="232" t="s">
        <v>394</v>
      </c>
      <c r="L38" s="232">
        <v>0</v>
      </c>
      <c r="M38" s="232"/>
      <c r="N38" s="232">
        <v>1.1000000000000001</v>
      </c>
      <c r="O38" s="417">
        <f>N38*L38</f>
        <v>0</v>
      </c>
    </row>
    <row r="39" spans="1:15" s="218" customFormat="1" ht="12" customHeight="1">
      <c r="A39" s="233"/>
      <c r="B39" s="234"/>
      <c r="C39" s="426"/>
      <c r="D39" s="234"/>
      <c r="E39" s="418" t="s">
        <v>1108</v>
      </c>
      <c r="F39" s="419"/>
      <c r="G39" s="234"/>
      <c r="H39" s="420"/>
      <c r="I39" s="423">
        <f>ROUND(SUM(I35:I38),2)</f>
        <v>0</v>
      </c>
      <c r="J39" s="234"/>
      <c r="K39" s="418" t="s">
        <v>1108</v>
      </c>
      <c r="L39" s="419"/>
      <c r="M39" s="234"/>
      <c r="N39" s="230"/>
      <c r="O39" s="423">
        <f>ROUND(SUM(O35:O38),2)</f>
        <v>0</v>
      </c>
    </row>
    <row r="40" spans="1:15" ht="6.75" customHeight="1">
      <c r="B40" s="10"/>
      <c r="C40" s="10"/>
      <c r="D40" s="10"/>
      <c r="E40" s="10"/>
      <c r="F40" s="10"/>
      <c r="G40" s="10"/>
      <c r="H40" s="10"/>
      <c r="I40" s="10"/>
      <c r="J40" s="10"/>
      <c r="K40" s="10"/>
      <c r="L40" s="10"/>
    </row>
    <row r="41" spans="1:15" ht="14.1" customHeight="1">
      <c r="B41" s="185"/>
      <c r="C41" s="185"/>
      <c r="D41" s="185"/>
      <c r="E41" s="185"/>
      <c r="F41" s="185"/>
      <c r="G41" s="185"/>
      <c r="H41" s="185"/>
      <c r="I41" s="185"/>
      <c r="J41" s="185"/>
      <c r="K41" s="185"/>
    </row>
  </sheetData>
  <mergeCells count="31">
    <mergeCell ref="J33:J34"/>
    <mergeCell ref="K33:K34"/>
    <mergeCell ref="D33:D34"/>
    <mergeCell ref="E33:E34"/>
    <mergeCell ref="A22:A24"/>
    <mergeCell ref="B22:B24"/>
    <mergeCell ref="J31:K31"/>
    <mergeCell ref="A1:O1"/>
    <mergeCell ref="A2:K2"/>
    <mergeCell ref="J16:O16"/>
    <mergeCell ref="J17:O17"/>
    <mergeCell ref="A16:I16"/>
    <mergeCell ref="A17:I17"/>
    <mergeCell ref="D3:E3"/>
    <mergeCell ref="B7:B9"/>
    <mergeCell ref="A7:A9"/>
    <mergeCell ref="D5:D6"/>
    <mergeCell ref="E5:E6"/>
    <mergeCell ref="A35:A37"/>
    <mergeCell ref="B35:B37"/>
    <mergeCell ref="A30:I30"/>
    <mergeCell ref="D31:E31"/>
    <mergeCell ref="D18:E18"/>
    <mergeCell ref="J18:K18"/>
    <mergeCell ref="J30:O30"/>
    <mergeCell ref="K20:K21"/>
    <mergeCell ref="D20:D21"/>
    <mergeCell ref="E20:E21"/>
    <mergeCell ref="J20:J21"/>
    <mergeCell ref="J29:O29"/>
    <mergeCell ref="A29:I29"/>
  </mergeCells>
  <phoneticPr fontId="0" type="noConversion"/>
  <pageMargins left="1.33" right="0.49" top="0.56000000000000005" bottom="0.62" header="0.33" footer="0.32"/>
  <pageSetup firstPageNumber="68" fitToHeight="0" orientation="landscape" useFirstPageNumber="1" horizontalDpi="360" verticalDpi="360" r:id="rId1"/>
  <headerFooter alignWithMargins="0">
    <oddFooter>&amp;C&amp;"Times New Roman,Regular"&amp;11&amp;P</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2:AK184"/>
  <sheetViews>
    <sheetView topLeftCell="B1" workbookViewId="0">
      <selection activeCell="K13" sqref="K13"/>
    </sheetView>
  </sheetViews>
  <sheetFormatPr defaultColWidth="9.140625" defaultRowHeight="15.75"/>
  <cols>
    <col min="1" max="1" width="5.28515625" style="1253" customWidth="1"/>
    <col min="2" max="2" width="26.5703125" style="1253" customWidth="1"/>
    <col min="3" max="3" width="5.7109375" style="1253" customWidth="1"/>
    <col min="4" max="4" width="7.5703125" style="1253" customWidth="1"/>
    <col min="5" max="5" width="8" style="1253" customWidth="1"/>
    <col min="6" max="6" width="14.5703125" style="1254" customWidth="1"/>
    <col min="7" max="7" width="11.85546875" style="1253" bestFit="1" customWidth="1"/>
    <col min="8" max="13" width="9.140625" style="1253"/>
    <col min="14" max="14" width="9.5703125" style="1253" bestFit="1" customWidth="1"/>
    <col min="15" max="16384" width="9.140625" style="1253"/>
  </cols>
  <sheetData>
    <row r="2" spans="1:16">
      <c r="J2" s="1253" t="s">
        <v>2017</v>
      </c>
    </row>
    <row r="3" spans="1:16">
      <c r="A3" s="1255"/>
      <c r="B3" s="1256" t="s">
        <v>2018</v>
      </c>
      <c r="C3" s="1256"/>
      <c r="D3" s="1256"/>
      <c r="E3" s="1256"/>
      <c r="F3" s="1257"/>
      <c r="G3" s="1258"/>
      <c r="J3" s="1259" t="s">
        <v>3597</v>
      </c>
    </row>
    <row r="4" spans="1:16" ht="16.5" customHeight="1">
      <c r="A4" s="1260"/>
      <c r="B4" s="1255" t="s">
        <v>2019</v>
      </c>
      <c r="D4" s="1261"/>
      <c r="E4" s="1261"/>
      <c r="F4" s="1262"/>
      <c r="G4" s="1263"/>
      <c r="H4" s="1264"/>
    </row>
    <row r="5" spans="1:16" ht="9.75" customHeight="1">
      <c r="A5" s="1260"/>
      <c r="B5" s="1255"/>
      <c r="D5" s="1261"/>
      <c r="E5" s="1261"/>
      <c r="G5" s="1265"/>
    </row>
    <row r="6" spans="1:16">
      <c r="A6" s="1260">
        <v>1</v>
      </c>
      <c r="B6" s="1266" t="s">
        <v>2020</v>
      </c>
      <c r="C6" s="1267"/>
      <c r="D6" s="1267"/>
      <c r="E6" s="1267"/>
      <c r="F6" s="1268"/>
      <c r="G6" s="1258"/>
    </row>
    <row r="7" spans="1:16">
      <c r="A7" s="1260"/>
      <c r="B7" s="1269" t="s">
        <v>2021</v>
      </c>
      <c r="D7" s="1267"/>
      <c r="E7" s="1267"/>
      <c r="F7" s="1262" t="s">
        <v>2843</v>
      </c>
      <c r="G7" s="1264"/>
    </row>
    <row r="8" spans="1:16">
      <c r="A8" s="1260"/>
      <c r="B8" s="1269" t="s">
        <v>2022</v>
      </c>
      <c r="D8" s="1267"/>
      <c r="E8" s="1267"/>
      <c r="F8" s="1262" t="s">
        <v>2843</v>
      </c>
      <c r="G8" s="1264"/>
      <c r="J8" s="1253">
        <v>984</v>
      </c>
    </row>
    <row r="9" spans="1:16">
      <c r="A9" s="1260"/>
      <c r="B9" s="1269" t="s">
        <v>2023</v>
      </c>
      <c r="C9" s="1267"/>
      <c r="D9" s="1267"/>
      <c r="E9" s="1267"/>
      <c r="F9" s="1268"/>
      <c r="G9" s="1258"/>
    </row>
    <row r="10" spans="1:16">
      <c r="A10" s="1260"/>
      <c r="B10" s="1270" t="s">
        <v>2024</v>
      </c>
      <c r="C10" s="1271"/>
      <c r="E10" s="1271" t="s">
        <v>2025</v>
      </c>
      <c r="F10" s="1272">
        <v>0</v>
      </c>
      <c r="G10" s="1258" t="s">
        <v>386</v>
      </c>
    </row>
    <row r="11" spans="1:16">
      <c r="A11" s="1260"/>
      <c r="B11" s="1270" t="s">
        <v>2026</v>
      </c>
      <c r="C11" s="1271"/>
      <c r="E11" s="1271" t="s">
        <v>2025</v>
      </c>
      <c r="F11" s="1272">
        <v>0</v>
      </c>
      <c r="G11" s="1258" t="s">
        <v>386</v>
      </c>
    </row>
    <row r="12" spans="1:16">
      <c r="A12" s="1260"/>
      <c r="B12" s="1270" t="s">
        <v>2027</v>
      </c>
      <c r="C12" s="1271"/>
      <c r="E12" s="1271" t="s">
        <v>2025</v>
      </c>
      <c r="F12" s="1272"/>
      <c r="G12" s="1258" t="s">
        <v>386</v>
      </c>
    </row>
    <row r="13" spans="1:16">
      <c r="A13" s="1260"/>
      <c r="B13" s="1270" t="s">
        <v>2028</v>
      </c>
      <c r="C13" s="1271"/>
      <c r="E13" s="1271" t="s">
        <v>2025</v>
      </c>
      <c r="F13" s="1272">
        <v>0</v>
      </c>
      <c r="G13" s="1258" t="s">
        <v>1489</v>
      </c>
      <c r="L13" s="1253">
        <f>12/1.6</f>
        <v>7.5</v>
      </c>
    </row>
    <row r="14" spans="1:16" ht="16.5">
      <c r="A14" s="1260">
        <v>2</v>
      </c>
      <c r="B14" s="1273" t="s">
        <v>2030</v>
      </c>
      <c r="G14" s="1258"/>
    </row>
    <row r="15" spans="1:16">
      <c r="A15" s="1260"/>
      <c r="B15" s="1269" t="s">
        <v>2031</v>
      </c>
      <c r="F15" s="1262" t="s">
        <v>2843</v>
      </c>
      <c r="G15" s="1263"/>
      <c r="H15" s="1264"/>
    </row>
    <row r="16" spans="1:16">
      <c r="A16" s="1260"/>
      <c r="B16" s="1274" t="s">
        <v>2032</v>
      </c>
      <c r="C16" s="1269"/>
      <c r="F16" s="1275"/>
      <c r="G16" s="1258"/>
      <c r="L16" s="1253">
        <v>1</v>
      </c>
      <c r="M16" s="1253" t="s">
        <v>2033</v>
      </c>
      <c r="N16" s="1253">
        <v>2.8299999999999999E-2</v>
      </c>
      <c r="O16" s="1253" t="s">
        <v>2034</v>
      </c>
      <c r="P16" s="1276">
        <v>1800</v>
      </c>
    </row>
    <row r="17" spans="1:16">
      <c r="A17" s="1277">
        <v>2.1</v>
      </c>
      <c r="B17" s="1269" t="s">
        <v>2035</v>
      </c>
      <c r="C17" s="1269"/>
      <c r="E17" s="1271" t="s">
        <v>2025</v>
      </c>
      <c r="F17" s="1272"/>
      <c r="G17" s="1258" t="s">
        <v>386</v>
      </c>
      <c r="L17" s="1253">
        <v>35.314</v>
      </c>
      <c r="M17" s="1253" t="str">
        <f>M16</f>
        <v>cft</v>
      </c>
      <c r="N17" s="1278">
        <f>N16*L17</f>
        <v>0.9993862</v>
      </c>
      <c r="O17" s="1253" t="s">
        <v>2034</v>
      </c>
      <c r="P17" s="1253">
        <f>P16*L17</f>
        <v>63565.2</v>
      </c>
    </row>
    <row r="18" spans="1:16">
      <c r="A18" s="1277">
        <v>2.2000000000000002</v>
      </c>
      <c r="B18" s="1269" t="s">
        <v>2036</v>
      </c>
      <c r="C18" s="1279"/>
      <c r="F18" s="1280"/>
    </row>
    <row r="19" spans="1:16">
      <c r="A19" s="1281"/>
      <c r="B19" s="1270" t="s">
        <v>2037</v>
      </c>
      <c r="C19" s="1271"/>
      <c r="E19" s="1271" t="s">
        <v>2025</v>
      </c>
      <c r="F19" s="1272">
        <v>0</v>
      </c>
      <c r="G19" s="1258" t="s">
        <v>386</v>
      </c>
    </row>
    <row r="20" spans="1:16">
      <c r="A20" s="1281"/>
      <c r="B20" s="1270" t="s">
        <v>2038</v>
      </c>
      <c r="C20" s="1271"/>
      <c r="E20" s="1271" t="s">
        <v>2025</v>
      </c>
      <c r="F20" s="1272">
        <v>0</v>
      </c>
      <c r="G20" s="1258" t="s">
        <v>386</v>
      </c>
    </row>
    <row r="21" spans="1:16">
      <c r="A21" s="1281"/>
      <c r="B21" s="1270" t="s">
        <v>2027</v>
      </c>
      <c r="C21" s="1271"/>
      <c r="E21" s="1271" t="s">
        <v>2025</v>
      </c>
      <c r="F21" s="1272"/>
      <c r="G21" s="1258" t="s">
        <v>386</v>
      </c>
    </row>
    <row r="22" spans="1:16" ht="16.5">
      <c r="A22" s="1281" t="s">
        <v>2039</v>
      </c>
      <c r="B22" s="1269" t="s">
        <v>2040</v>
      </c>
      <c r="C22" s="1271"/>
      <c r="E22" s="1271"/>
      <c r="F22" s="2856">
        <f>96*3.28^3</f>
        <v>3387.6049919999991</v>
      </c>
      <c r="G22" s="1258" t="s">
        <v>2041</v>
      </c>
    </row>
    <row r="23" spans="1:16" ht="16.5" customHeight="1">
      <c r="A23" s="1260">
        <v>3</v>
      </c>
      <c r="B23" s="1274" t="s">
        <v>2042</v>
      </c>
      <c r="C23" s="1271"/>
      <c r="E23" s="1271"/>
      <c r="F23" s="1282"/>
      <c r="G23" s="1258"/>
    </row>
    <row r="24" spans="1:16">
      <c r="A24" s="1260"/>
      <c r="B24" s="1258" t="s">
        <v>2043</v>
      </c>
      <c r="C24" s="1283"/>
      <c r="D24" s="1271"/>
      <c r="E24" s="1271"/>
      <c r="F24" s="1272">
        <v>0</v>
      </c>
      <c r="G24" s="1258" t="s">
        <v>386</v>
      </c>
    </row>
    <row r="25" spans="1:16" ht="16.5">
      <c r="A25" s="1260"/>
      <c r="B25" s="1269" t="s">
        <v>2044</v>
      </c>
      <c r="C25" s="1283"/>
      <c r="D25" s="1271"/>
      <c r="E25" s="1271"/>
      <c r="F25" s="2856">
        <f>78*3.28^3</f>
        <v>2752.4290559999995</v>
      </c>
      <c r="G25" s="1258" t="s">
        <v>2041</v>
      </c>
    </row>
    <row r="26" spans="1:16">
      <c r="A26" s="1260">
        <v>4</v>
      </c>
      <c r="B26" s="1284" t="s">
        <v>2045</v>
      </c>
      <c r="C26" s="1283"/>
      <c r="D26" s="1271"/>
      <c r="E26" s="1271"/>
      <c r="F26" s="1285"/>
      <c r="G26" s="1258"/>
    </row>
    <row r="27" spans="1:16" ht="16.5">
      <c r="A27" s="1260"/>
      <c r="B27" s="1269" t="s">
        <v>2046</v>
      </c>
      <c r="C27" s="1283"/>
      <c r="D27" s="1271"/>
      <c r="E27" s="1271"/>
      <c r="F27" s="2856">
        <f>100*3.28^3</f>
        <v>3528.7551999999991</v>
      </c>
      <c r="G27" s="1258" t="s">
        <v>2041</v>
      </c>
    </row>
    <row r="28" spans="1:16">
      <c r="A28" s="1260">
        <v>5</v>
      </c>
      <c r="B28" s="1284" t="s">
        <v>203</v>
      </c>
      <c r="C28" s="1283"/>
      <c r="D28" s="1271"/>
      <c r="E28" s="1271"/>
      <c r="G28" s="1258"/>
    </row>
    <row r="29" spans="1:16">
      <c r="A29" s="1277">
        <v>5.0999999999999996</v>
      </c>
      <c r="B29" s="1269" t="s">
        <v>2047</v>
      </c>
      <c r="C29" s="1283"/>
      <c r="D29" s="1271"/>
      <c r="E29" s="1271"/>
    </row>
    <row r="30" spans="1:16">
      <c r="A30" s="1260"/>
      <c r="B30" s="1269" t="s">
        <v>2048</v>
      </c>
      <c r="C30" s="1283"/>
      <c r="D30" s="1271"/>
      <c r="E30" s="1271"/>
      <c r="F30" s="1272"/>
      <c r="G30" s="1258" t="s">
        <v>2029</v>
      </c>
    </row>
    <row r="31" spans="1:16" ht="16.5">
      <c r="A31" s="1277">
        <v>5.2</v>
      </c>
      <c r="B31" s="1269" t="s">
        <v>2049</v>
      </c>
      <c r="C31" s="1283"/>
      <c r="D31" s="1271"/>
      <c r="E31" s="1271"/>
      <c r="F31" s="399">
        <f>'Ext. Mat_3'!H69</f>
        <v>57400</v>
      </c>
      <c r="G31" s="1258" t="s">
        <v>2041</v>
      </c>
    </row>
    <row r="32" spans="1:16">
      <c r="A32" s="1281">
        <v>6</v>
      </c>
      <c r="B32" s="1284" t="s">
        <v>2050</v>
      </c>
      <c r="C32" s="1283"/>
      <c r="D32" s="1271"/>
      <c r="E32" s="1271"/>
      <c r="G32" s="1258"/>
    </row>
    <row r="33" spans="1:7">
      <c r="A33" s="1277">
        <v>6.1</v>
      </c>
      <c r="B33" s="1269" t="s">
        <v>2047</v>
      </c>
      <c r="C33" s="1283"/>
      <c r="D33" s="1271"/>
      <c r="E33" s="1271"/>
    </row>
    <row r="34" spans="1:7">
      <c r="A34" s="1286"/>
      <c r="B34" s="1269" t="s">
        <v>2048</v>
      </c>
      <c r="C34" s="1283"/>
      <c r="D34" s="1271"/>
      <c r="E34" s="1271"/>
      <c r="F34" s="1287">
        <v>0</v>
      </c>
      <c r="G34" s="1258" t="s">
        <v>2029</v>
      </c>
    </row>
    <row r="35" spans="1:7" ht="16.5">
      <c r="A35" s="1277">
        <v>6.2</v>
      </c>
      <c r="B35" s="1269" t="s">
        <v>2049</v>
      </c>
      <c r="C35" s="1283"/>
      <c r="D35" s="1271"/>
      <c r="E35" s="1271"/>
      <c r="F35" s="1272">
        <f>'Ext. Mat_3'!H68</f>
        <v>214901.19167999993</v>
      </c>
      <c r="G35" s="1258" t="s">
        <v>2041</v>
      </c>
    </row>
    <row r="36" spans="1:7">
      <c r="A36" s="1281">
        <v>6</v>
      </c>
      <c r="B36" s="1274" t="s">
        <v>2051</v>
      </c>
      <c r="C36" s="1283"/>
      <c r="D36" s="1271"/>
      <c r="E36" s="1271"/>
      <c r="F36" s="1288"/>
      <c r="G36" s="1258"/>
    </row>
    <row r="37" spans="1:7">
      <c r="A37" s="1277">
        <v>6.1</v>
      </c>
      <c r="B37" s="1274" t="s">
        <v>2052</v>
      </c>
      <c r="C37" s="1271"/>
      <c r="D37" s="1271"/>
      <c r="E37" s="1271"/>
      <c r="G37" s="1283"/>
    </row>
    <row r="38" spans="1:7">
      <c r="A38" s="1277"/>
      <c r="B38" s="1270"/>
      <c r="D38" s="1270" t="s">
        <v>2053</v>
      </c>
      <c r="E38" s="1271"/>
      <c r="F38" s="1289"/>
      <c r="G38" s="1258" t="s">
        <v>2054</v>
      </c>
    </row>
    <row r="39" spans="1:7">
      <c r="A39" s="1277"/>
      <c r="D39" s="1270" t="s">
        <v>2055</v>
      </c>
      <c r="E39" s="1271"/>
      <c r="F39" s="1289"/>
      <c r="G39" s="1258" t="s">
        <v>2054</v>
      </c>
    </row>
    <row r="40" spans="1:7">
      <c r="A40" s="1277"/>
      <c r="D40" s="1270" t="s">
        <v>2056</v>
      </c>
      <c r="E40" s="1271"/>
      <c r="F40" s="1289"/>
      <c r="G40" s="1258" t="s">
        <v>2054</v>
      </c>
    </row>
    <row r="41" spans="1:7">
      <c r="A41" s="1277">
        <v>6.2</v>
      </c>
      <c r="B41" s="1274" t="s">
        <v>2057</v>
      </c>
      <c r="D41" s="1270"/>
      <c r="E41" s="1271"/>
      <c r="G41" s="1258"/>
    </row>
    <row r="42" spans="1:7" ht="23.25" customHeight="1">
      <c r="A42" s="1277"/>
      <c r="B42" s="1290" t="s">
        <v>2058</v>
      </c>
      <c r="C42" s="1254" t="str">
        <f>D42</f>
        <v>Truck analysis</v>
      </c>
      <c r="D42" s="1253" t="s">
        <v>2059</v>
      </c>
      <c r="E42" s="1271"/>
      <c r="F42" s="1291"/>
      <c r="G42" s="1258"/>
    </row>
    <row r="43" spans="1:7">
      <c r="A43" s="1277">
        <v>6.3</v>
      </c>
      <c r="B43" s="1274" t="s">
        <v>2060</v>
      </c>
      <c r="C43" s="1271"/>
      <c r="D43" s="1271"/>
      <c r="E43" s="1271"/>
      <c r="F43" s="1292"/>
      <c r="G43" s="1293"/>
    </row>
    <row r="44" spans="1:7">
      <c r="A44" s="1277"/>
      <c r="B44" s="1270" t="s">
        <v>2037</v>
      </c>
      <c r="C44" s="1271"/>
      <c r="D44" s="1271" t="s">
        <v>2025</v>
      </c>
      <c r="E44" s="1271"/>
      <c r="F44" s="1289"/>
      <c r="G44" s="1258" t="s">
        <v>2061</v>
      </c>
    </row>
    <row r="45" spans="1:7">
      <c r="A45" s="1277"/>
      <c r="B45" s="1270" t="s">
        <v>2062</v>
      </c>
      <c r="C45" s="1271"/>
      <c r="D45" s="1271" t="s">
        <v>2025</v>
      </c>
      <c r="E45" s="1271"/>
      <c r="F45" s="1289"/>
      <c r="G45" s="1258" t="s">
        <v>2061</v>
      </c>
    </row>
    <row r="46" spans="1:7">
      <c r="A46" s="1277"/>
      <c r="B46" s="1270" t="s">
        <v>2027</v>
      </c>
      <c r="C46" s="1271"/>
      <c r="D46" s="1271" t="s">
        <v>2025</v>
      </c>
      <c r="E46" s="1271"/>
      <c r="F46" s="1289"/>
      <c r="G46" s="1258" t="s">
        <v>2061</v>
      </c>
    </row>
    <row r="47" spans="1:7">
      <c r="A47" s="1277">
        <v>6.4</v>
      </c>
      <c r="B47" s="1274" t="s">
        <v>2063</v>
      </c>
      <c r="C47" s="1271"/>
      <c r="D47" s="1271"/>
      <c r="E47" s="1271"/>
      <c r="F47" s="1288"/>
      <c r="G47" s="1258"/>
    </row>
    <row r="48" spans="1:7">
      <c r="A48" s="1277"/>
      <c r="B48" s="1270" t="s">
        <v>2037</v>
      </c>
      <c r="C48" s="1271"/>
      <c r="D48" s="1271" t="s">
        <v>2025</v>
      </c>
      <c r="E48" s="1271"/>
      <c r="F48" s="1289"/>
      <c r="G48" s="1258" t="s">
        <v>2061</v>
      </c>
    </row>
    <row r="49" spans="1:12">
      <c r="A49" s="1277"/>
      <c r="B49" s="1270" t="s">
        <v>2062</v>
      </c>
      <c r="C49" s="1271"/>
      <c r="D49" s="1271" t="s">
        <v>2025</v>
      </c>
      <c r="E49" s="1271"/>
      <c r="F49" s="1289"/>
      <c r="G49" s="1258" t="s">
        <v>2061</v>
      </c>
    </row>
    <row r="50" spans="1:12">
      <c r="A50" s="1277"/>
      <c r="B50" s="1270" t="s">
        <v>2027</v>
      </c>
      <c r="C50" s="1271"/>
      <c r="D50" s="1271" t="s">
        <v>2025</v>
      </c>
      <c r="E50" s="1271"/>
      <c r="F50" s="1289"/>
      <c r="G50" s="1258" t="s">
        <v>2061</v>
      </c>
    </row>
    <row r="51" spans="1:12">
      <c r="A51" s="1277"/>
      <c r="B51" s="1270"/>
      <c r="C51" s="1271"/>
      <c r="D51" s="1271"/>
      <c r="E51" s="1271"/>
      <c r="G51" s="1258"/>
    </row>
    <row r="52" spans="1:12">
      <c r="A52" s="1277">
        <v>6.5</v>
      </c>
      <c r="B52" s="1284" t="s">
        <v>2064</v>
      </c>
      <c r="C52" s="1258"/>
      <c r="D52" s="1271" t="s">
        <v>2065</v>
      </c>
      <c r="E52" s="1271"/>
      <c r="F52" s="1289"/>
      <c r="G52" s="1258" t="s">
        <v>2066</v>
      </c>
    </row>
    <row r="53" spans="1:12">
      <c r="A53" s="1277">
        <v>6.6</v>
      </c>
      <c r="B53" s="1255" t="s">
        <v>2067</v>
      </c>
    </row>
    <row r="54" spans="1:12">
      <c r="A54" s="1277"/>
      <c r="B54" s="1269" t="s">
        <v>2068</v>
      </c>
      <c r="F54" s="2848">
        <v>1330</v>
      </c>
      <c r="G54" s="1253" t="s">
        <v>2069</v>
      </c>
      <c r="J54" s="1790"/>
    </row>
    <row r="55" spans="1:12">
      <c r="A55" s="1277"/>
      <c r="B55" s="1269" t="s">
        <v>2070</v>
      </c>
      <c r="F55" s="2848">
        <v>1000</v>
      </c>
      <c r="G55" s="1253" t="s">
        <v>2069</v>
      </c>
      <c r="J55" s="1790"/>
    </row>
    <row r="56" spans="1:12">
      <c r="A56" s="1277"/>
      <c r="B56" s="1269" t="s">
        <v>2071</v>
      </c>
      <c r="C56" s="1271"/>
      <c r="D56" s="1271"/>
      <c r="E56" s="1271"/>
      <c r="F56" s="2848">
        <f>F54</f>
        <v>1330</v>
      </c>
      <c r="G56" s="1253" t="s">
        <v>2069</v>
      </c>
      <c r="J56" s="1790"/>
    </row>
    <row r="57" spans="1:12">
      <c r="A57" s="1277"/>
      <c r="B57" s="1269" t="s">
        <v>220</v>
      </c>
      <c r="C57" s="1271"/>
      <c r="D57" s="1271"/>
      <c r="E57" s="1271"/>
      <c r="F57" s="2848">
        <f>F55</f>
        <v>1000</v>
      </c>
      <c r="G57" s="1253" t="s">
        <v>2069</v>
      </c>
      <c r="J57" s="1790"/>
    </row>
    <row r="58" spans="1:12">
      <c r="A58" s="1277"/>
      <c r="B58" s="1269" t="s">
        <v>2072</v>
      </c>
      <c r="C58" s="1271"/>
      <c r="D58" s="1271"/>
      <c r="E58" s="1271"/>
      <c r="F58" s="2848">
        <f>F57</f>
        <v>1000</v>
      </c>
      <c r="G58" s="1253" t="s">
        <v>2069</v>
      </c>
      <c r="J58" s="1790"/>
    </row>
    <row r="59" spans="1:12">
      <c r="A59" s="1277"/>
      <c r="B59" s="1269" t="s">
        <v>2073</v>
      </c>
      <c r="C59" s="1271"/>
      <c r="D59" s="1271"/>
      <c r="E59" s="1271"/>
      <c r="F59" s="2848">
        <v>880</v>
      </c>
      <c r="G59" s="1253" t="s">
        <v>2069</v>
      </c>
      <c r="J59" s="1790"/>
    </row>
    <row r="60" spans="1:12">
      <c r="A60" s="1294">
        <v>7</v>
      </c>
      <c r="B60" s="3073" t="s">
        <v>2074</v>
      </c>
      <c r="C60" s="3073"/>
      <c r="D60" s="3073"/>
      <c r="E60" s="3073"/>
      <c r="F60" s="3073"/>
      <c r="G60" s="1258"/>
    </row>
    <row r="61" spans="1:12">
      <c r="A61" s="1277"/>
      <c r="C61" s="1271"/>
      <c r="D61" s="1271"/>
      <c r="F61" s="2852" t="s">
        <v>2075</v>
      </c>
      <c r="G61" s="1258"/>
    </row>
    <row r="62" spans="1:12">
      <c r="A62" s="1295">
        <v>7.1</v>
      </c>
      <c r="D62" s="1296" t="s">
        <v>2076</v>
      </c>
      <c r="F62" s="2848">
        <v>640</v>
      </c>
      <c r="G62" s="1258" t="s">
        <v>107</v>
      </c>
      <c r="H62" s="1297"/>
      <c r="J62" s="1790"/>
      <c r="L62" s="1298"/>
    </row>
    <row r="63" spans="1:12">
      <c r="A63" s="1295">
        <f t="shared" ref="A63:A71" si="0">+A62+0.1</f>
        <v>7.1999999999999993</v>
      </c>
      <c r="D63" s="1296" t="s">
        <v>3596</v>
      </c>
      <c r="F63" s="2848">
        <v>100</v>
      </c>
      <c r="G63" s="1258" t="s">
        <v>107</v>
      </c>
      <c r="H63" s="1297"/>
      <c r="J63" s="1790"/>
    </row>
    <row r="64" spans="1:12">
      <c r="A64" s="1295">
        <f t="shared" si="0"/>
        <v>7.2999999999999989</v>
      </c>
      <c r="D64" s="1296" t="s">
        <v>2077</v>
      </c>
      <c r="F64" s="2848">
        <v>120</v>
      </c>
      <c r="G64" s="1258" t="s">
        <v>107</v>
      </c>
      <c r="H64" s="1297"/>
      <c r="J64" s="1790"/>
    </row>
    <row r="65" spans="1:10">
      <c r="A65" s="1295">
        <f t="shared" si="0"/>
        <v>7.3999999999999986</v>
      </c>
      <c r="D65" s="1296" t="s">
        <v>2078</v>
      </c>
      <c r="F65" s="2848">
        <v>117</v>
      </c>
      <c r="G65" s="1258" t="s">
        <v>107</v>
      </c>
      <c r="H65" s="1297"/>
      <c r="J65" s="1790"/>
    </row>
    <row r="66" spans="1:10">
      <c r="A66" s="1295">
        <f t="shared" si="0"/>
        <v>7.4999999999999982</v>
      </c>
      <c r="D66" s="1299" t="s">
        <v>2079</v>
      </c>
      <c r="F66" s="2848">
        <v>132</v>
      </c>
      <c r="G66" s="1258" t="s">
        <v>107</v>
      </c>
      <c r="H66" s="1297"/>
      <c r="J66" s="1790"/>
    </row>
    <row r="67" spans="1:10" ht="16.5">
      <c r="A67" s="1295">
        <f t="shared" si="0"/>
        <v>7.5999999999999979</v>
      </c>
      <c r="D67" s="1296" t="s">
        <v>2080</v>
      </c>
      <c r="F67" s="2848">
        <v>86</v>
      </c>
      <c r="G67" s="1258" t="s">
        <v>107</v>
      </c>
      <c r="H67" s="1297"/>
    </row>
    <row r="68" spans="1:10">
      <c r="A68" s="1295">
        <f t="shared" si="0"/>
        <v>7.6999999999999975</v>
      </c>
      <c r="D68" s="1296" t="s">
        <v>2081</v>
      </c>
      <c r="F68" s="2848">
        <v>137</v>
      </c>
      <c r="G68" s="1258" t="s">
        <v>107</v>
      </c>
      <c r="H68" s="1297"/>
    </row>
    <row r="69" spans="1:10">
      <c r="A69" s="1295">
        <f t="shared" si="0"/>
        <v>7.7999999999999972</v>
      </c>
      <c r="D69" s="1296" t="s">
        <v>2082</v>
      </c>
      <c r="F69" s="2848">
        <v>93</v>
      </c>
      <c r="G69" s="1258" t="s">
        <v>107</v>
      </c>
      <c r="H69" s="1297"/>
      <c r="J69" s="1790"/>
    </row>
    <row r="70" spans="1:10">
      <c r="A70" s="1295">
        <f t="shared" si="0"/>
        <v>7.8999999999999968</v>
      </c>
      <c r="D70" s="1296" t="s">
        <v>2083</v>
      </c>
      <c r="F70" s="2848">
        <v>115</v>
      </c>
      <c r="G70" s="1258" t="s">
        <v>107</v>
      </c>
      <c r="H70" s="1297"/>
      <c r="J70" s="1790"/>
    </row>
    <row r="71" spans="1:10" ht="16.5">
      <c r="A71" s="1295">
        <f t="shared" si="0"/>
        <v>7.9999999999999964</v>
      </c>
      <c r="D71" s="1296" t="s">
        <v>2084</v>
      </c>
      <c r="F71" s="2848">
        <f>H71</f>
        <v>462.70571428571429</v>
      </c>
      <c r="G71" s="1258" t="s">
        <v>107</v>
      </c>
      <c r="H71" s="1297">
        <f>8097.35/17.5</f>
        <v>462.70571428571429</v>
      </c>
      <c r="J71" s="1790"/>
    </row>
    <row r="72" spans="1:10" ht="16.5">
      <c r="A72" s="1300">
        <v>7.1</v>
      </c>
      <c r="D72" s="1296" t="s">
        <v>2085</v>
      </c>
      <c r="F72" s="2848">
        <f>8236/17.5</f>
        <v>470.62857142857143</v>
      </c>
      <c r="G72" s="1258" t="s">
        <v>107</v>
      </c>
      <c r="H72" s="1297" t="s">
        <v>2086</v>
      </c>
      <c r="J72" s="1790"/>
    </row>
    <row r="73" spans="1:10">
      <c r="A73" s="1300">
        <f t="shared" ref="A73:A113" si="1">+A72+0.01</f>
        <v>7.1099999999999994</v>
      </c>
      <c r="D73" s="1296" t="s">
        <v>2087</v>
      </c>
      <c r="F73" s="2848">
        <v>240</v>
      </c>
      <c r="G73" s="1258"/>
      <c r="H73" s="1297"/>
    </row>
    <row r="74" spans="1:10">
      <c r="A74" s="1300">
        <f t="shared" si="1"/>
        <v>7.1199999999999992</v>
      </c>
      <c r="D74" s="1296" t="s">
        <v>2088</v>
      </c>
      <c r="F74" s="2848">
        <v>288</v>
      </c>
      <c r="G74" s="1258" t="s">
        <v>107</v>
      </c>
      <c r="H74" s="1297"/>
      <c r="J74" s="1790"/>
    </row>
    <row r="75" spans="1:10">
      <c r="A75" s="1300">
        <f t="shared" si="1"/>
        <v>7.129999999999999</v>
      </c>
      <c r="D75" s="1296" t="s">
        <v>2089</v>
      </c>
      <c r="F75" s="2848">
        <v>534</v>
      </c>
      <c r="G75" s="1258" t="s">
        <v>107</v>
      </c>
      <c r="H75" s="1297"/>
      <c r="J75" s="1790"/>
    </row>
    <row r="76" spans="1:10">
      <c r="A76" s="1300">
        <f t="shared" si="1"/>
        <v>7.1399999999999988</v>
      </c>
      <c r="D76" s="1296" t="s">
        <v>2090</v>
      </c>
      <c r="F76" s="2854">
        <v>249.73</v>
      </c>
      <c r="G76" s="1258" t="s">
        <v>107</v>
      </c>
      <c r="H76" s="1297"/>
    </row>
    <row r="77" spans="1:10">
      <c r="A77" s="1300">
        <f t="shared" si="1"/>
        <v>7.1499999999999986</v>
      </c>
      <c r="D77" s="1296" t="s">
        <v>2091</v>
      </c>
      <c r="F77" s="2848">
        <v>69</v>
      </c>
      <c r="G77" s="1258" t="s">
        <v>107</v>
      </c>
      <c r="H77" s="1297" t="s">
        <v>3594</v>
      </c>
      <c r="J77" s="1790"/>
    </row>
    <row r="78" spans="1:10">
      <c r="A78" s="1300">
        <f t="shared" si="1"/>
        <v>7.1599999999999984</v>
      </c>
      <c r="D78" s="1296" t="s">
        <v>2092</v>
      </c>
      <c r="F78" s="2848">
        <v>33</v>
      </c>
      <c r="G78" s="1258" t="s">
        <v>107</v>
      </c>
      <c r="H78" s="1297"/>
    </row>
    <row r="79" spans="1:10">
      <c r="A79" s="1300">
        <f t="shared" si="1"/>
        <v>7.1699999999999982</v>
      </c>
      <c r="D79" s="1296" t="s">
        <v>2093</v>
      </c>
      <c r="F79" s="2848">
        <v>117</v>
      </c>
      <c r="G79" s="1258" t="s">
        <v>107</v>
      </c>
      <c r="H79" s="1297" t="s">
        <v>3595</v>
      </c>
    </row>
    <row r="80" spans="1:10">
      <c r="A80" s="1300">
        <f t="shared" si="1"/>
        <v>7.1799999999999979</v>
      </c>
      <c r="D80" s="1296" t="s">
        <v>2094</v>
      </c>
      <c r="F80" s="2848">
        <f>197/1.13</f>
        <v>174.33628318584073</v>
      </c>
      <c r="G80" s="1258" t="s">
        <v>107</v>
      </c>
      <c r="H80" s="1297"/>
      <c r="J80" s="1790"/>
    </row>
    <row r="81" spans="1:10">
      <c r="A81" s="1300">
        <f t="shared" si="1"/>
        <v>7.1899999999999977</v>
      </c>
      <c r="D81" s="1296" t="s">
        <v>2095</v>
      </c>
      <c r="F81" s="2848">
        <v>21.14</v>
      </c>
      <c r="G81" s="1258" t="s">
        <v>107</v>
      </c>
      <c r="H81" s="1297" t="s">
        <v>3305</v>
      </c>
      <c r="J81" s="1790"/>
    </row>
    <row r="82" spans="1:10">
      <c r="A82" s="1300">
        <f t="shared" si="1"/>
        <v>7.1999999999999975</v>
      </c>
      <c r="D82" s="1296" t="s">
        <v>2096</v>
      </c>
      <c r="F82" s="2848">
        <v>2</v>
      </c>
      <c r="G82" s="1258" t="s">
        <v>107</v>
      </c>
      <c r="H82" s="1297" t="s">
        <v>2097</v>
      </c>
      <c r="J82" s="1790"/>
    </row>
    <row r="83" spans="1:10">
      <c r="A83" s="1300">
        <f t="shared" si="1"/>
        <v>7.2099999999999973</v>
      </c>
      <c r="D83" s="1296" t="s">
        <v>2098</v>
      </c>
      <c r="F83" s="2848">
        <v>59</v>
      </c>
      <c r="G83" s="1258" t="s">
        <v>107</v>
      </c>
      <c r="H83" s="1297" t="s">
        <v>3593</v>
      </c>
      <c r="J83" s="1790"/>
    </row>
    <row r="84" spans="1:10">
      <c r="A84" s="1300">
        <f t="shared" si="1"/>
        <v>7.2199999999999971</v>
      </c>
      <c r="D84" s="1296" t="s">
        <v>2099</v>
      </c>
      <c r="F84" s="2848">
        <v>71</v>
      </c>
      <c r="G84" s="1258" t="s">
        <v>107</v>
      </c>
      <c r="H84" s="1297"/>
      <c r="J84" s="1790"/>
    </row>
    <row r="85" spans="1:10">
      <c r="A85" s="1300">
        <f t="shared" si="1"/>
        <v>7.2299999999999969</v>
      </c>
      <c r="D85" s="1296" t="s">
        <v>2100</v>
      </c>
      <c r="F85" s="2848">
        <v>114</v>
      </c>
      <c r="G85" s="1258" t="s">
        <v>107</v>
      </c>
      <c r="H85" s="1297"/>
      <c r="J85" s="1790"/>
    </row>
    <row r="86" spans="1:10">
      <c r="A86" s="1300">
        <f t="shared" si="1"/>
        <v>7.2399999999999967</v>
      </c>
      <c r="D86" s="1296" t="s">
        <v>2101</v>
      </c>
      <c r="F86" s="2848">
        <v>277</v>
      </c>
      <c r="G86" s="1258" t="s">
        <v>107</v>
      </c>
      <c r="H86" s="1297"/>
      <c r="J86" s="1790"/>
    </row>
    <row r="87" spans="1:10">
      <c r="A87" s="1300">
        <f t="shared" si="1"/>
        <v>7.2499999999999964</v>
      </c>
      <c r="D87" s="1296" t="s">
        <v>2102</v>
      </c>
      <c r="F87" s="2848">
        <v>159</v>
      </c>
      <c r="G87" s="1258" t="s">
        <v>107</v>
      </c>
      <c r="H87" s="1301"/>
      <c r="J87" s="1790"/>
    </row>
    <row r="88" spans="1:10">
      <c r="A88" s="1300">
        <f t="shared" si="1"/>
        <v>7.2599999999999962</v>
      </c>
      <c r="D88" s="1296" t="s">
        <v>2103</v>
      </c>
      <c r="F88" s="2848">
        <v>12.18</v>
      </c>
      <c r="G88" s="1258" t="s">
        <v>107</v>
      </c>
      <c r="H88" s="1297" t="s">
        <v>2104</v>
      </c>
      <c r="J88" s="1790"/>
    </row>
    <row r="89" spans="1:10">
      <c r="A89" s="1300">
        <f t="shared" si="1"/>
        <v>7.269999999999996</v>
      </c>
      <c r="D89" s="1296" t="s">
        <v>2105</v>
      </c>
      <c r="F89" s="2848">
        <v>14.6</v>
      </c>
      <c r="G89" s="1258" t="s">
        <v>107</v>
      </c>
      <c r="H89" s="1297" t="s">
        <v>2106</v>
      </c>
      <c r="J89" s="1790"/>
    </row>
    <row r="90" spans="1:10">
      <c r="A90" s="1300">
        <f t="shared" si="1"/>
        <v>7.2799999999999958</v>
      </c>
      <c r="D90" s="1296" t="s">
        <v>2107</v>
      </c>
      <c r="F90" s="2848">
        <f>F89</f>
        <v>14.6</v>
      </c>
      <c r="G90" s="1258" t="s">
        <v>107</v>
      </c>
      <c r="H90" s="1297"/>
      <c r="J90" s="1790"/>
    </row>
    <row r="91" spans="1:10">
      <c r="A91" s="1300">
        <f t="shared" si="1"/>
        <v>7.2899999999999956</v>
      </c>
      <c r="D91" s="1296" t="s">
        <v>2108</v>
      </c>
      <c r="F91" s="2854">
        <v>3</v>
      </c>
      <c r="G91" s="1258" t="s">
        <v>107</v>
      </c>
      <c r="H91" s="1297"/>
      <c r="J91" s="1790"/>
    </row>
    <row r="92" spans="1:10">
      <c r="A92" s="1300">
        <f t="shared" si="1"/>
        <v>7.2999999999999954</v>
      </c>
      <c r="D92" s="1296" t="s">
        <v>2109</v>
      </c>
      <c r="F92" s="2854">
        <v>0</v>
      </c>
      <c r="G92" s="1258" t="s">
        <v>107</v>
      </c>
      <c r="H92" s="1297"/>
      <c r="J92" s="1790"/>
    </row>
    <row r="93" spans="1:10">
      <c r="A93" s="1300">
        <f t="shared" si="1"/>
        <v>7.3099999999999952</v>
      </c>
      <c r="D93" s="1296" t="s">
        <v>2110</v>
      </c>
      <c r="F93" s="1289">
        <f>125*12</f>
        <v>1500</v>
      </c>
      <c r="G93" s="1258" t="s">
        <v>107</v>
      </c>
      <c r="H93" s="1297"/>
      <c r="J93" s="1790"/>
    </row>
    <row r="94" spans="1:10">
      <c r="A94" s="1300">
        <f>+A93+0.01</f>
        <v>7.319999999999995</v>
      </c>
      <c r="D94" s="1296" t="s">
        <v>2111</v>
      </c>
      <c r="E94" s="1253" t="s">
        <v>2112</v>
      </c>
      <c r="F94" s="2848">
        <f>I94</f>
        <v>1836.75</v>
      </c>
      <c r="G94" s="1258" t="s">
        <v>107</v>
      </c>
      <c r="H94" s="1297"/>
      <c r="I94" s="1253">
        <f>19.75*93</f>
        <v>1836.75</v>
      </c>
    </row>
    <row r="95" spans="1:10">
      <c r="A95" s="1300"/>
      <c r="D95" s="1296" t="s">
        <v>2113</v>
      </c>
      <c r="E95" s="1253" t="s">
        <v>2114</v>
      </c>
      <c r="F95" s="2848">
        <f>I95</f>
        <v>1274.0999999999999</v>
      </c>
      <c r="G95" s="1258" t="s">
        <v>107</v>
      </c>
      <c r="H95" s="1297"/>
      <c r="I95" s="1253">
        <f>13.7*93</f>
        <v>1274.0999999999999</v>
      </c>
    </row>
    <row r="96" spans="1:10">
      <c r="A96" s="1300">
        <f>+A94+0.01</f>
        <v>7.3299999999999947</v>
      </c>
      <c r="D96" s="1296" t="s">
        <v>2115</v>
      </c>
      <c r="E96" s="1253" t="s">
        <v>2116</v>
      </c>
      <c r="F96" s="2848">
        <f>I96</f>
        <v>1399.65</v>
      </c>
      <c r="G96" s="1258" t="s">
        <v>107</v>
      </c>
      <c r="H96" s="1297"/>
      <c r="I96" s="1253">
        <f>15.05*93</f>
        <v>1399.65</v>
      </c>
    </row>
    <row r="97" spans="1:10">
      <c r="A97" s="1300">
        <f>+A96+0.01</f>
        <v>7.3399999999999945</v>
      </c>
      <c r="B97" s="1255"/>
      <c r="C97" s="1255"/>
      <c r="D97" s="1296" t="s">
        <v>2117</v>
      </c>
      <c r="F97" s="1289">
        <v>210.69</v>
      </c>
      <c r="G97" s="1258" t="s">
        <v>107</v>
      </c>
      <c r="H97" s="1297"/>
    </row>
    <row r="98" spans="1:10">
      <c r="A98" s="1300">
        <f t="shared" si="1"/>
        <v>7.3499999999999943</v>
      </c>
      <c r="B98" s="1255"/>
      <c r="C98" s="1255"/>
      <c r="D98" s="1296" t="s">
        <v>2118</v>
      </c>
      <c r="F98" s="1289">
        <v>268.14999999999998</v>
      </c>
      <c r="G98" s="1258" t="s">
        <v>107</v>
      </c>
      <c r="H98" s="1297"/>
    </row>
    <row r="99" spans="1:10">
      <c r="A99" s="1300">
        <f t="shared" si="1"/>
        <v>7.3599999999999941</v>
      </c>
      <c r="D99" s="1299" t="s">
        <v>2119</v>
      </c>
      <c r="F99" s="2848">
        <v>240</v>
      </c>
      <c r="G99" s="1258" t="s">
        <v>107</v>
      </c>
      <c r="H99" s="1297"/>
    </row>
    <row r="100" spans="1:10">
      <c r="A100" s="1300">
        <f t="shared" si="1"/>
        <v>7.3699999999999939</v>
      </c>
      <c r="D100" s="1299" t="s">
        <v>2120</v>
      </c>
      <c r="F100" s="1289"/>
      <c r="G100" s="1258" t="s">
        <v>107</v>
      </c>
      <c r="H100" s="1297"/>
    </row>
    <row r="101" spans="1:10">
      <c r="A101" s="1300">
        <f t="shared" si="1"/>
        <v>7.3799999999999937</v>
      </c>
      <c r="D101" s="1299" t="s">
        <v>2121</v>
      </c>
      <c r="F101" s="1289"/>
      <c r="G101" s="1258" t="s">
        <v>107</v>
      </c>
      <c r="H101" s="1297"/>
    </row>
    <row r="102" spans="1:10">
      <c r="A102" s="1300">
        <f>+A101+0.01</f>
        <v>7.3899999999999935</v>
      </c>
      <c r="D102" s="1299" t="s">
        <v>2122</v>
      </c>
      <c r="F102" s="1289">
        <v>343</v>
      </c>
      <c r="G102" s="1258" t="s">
        <v>107</v>
      </c>
      <c r="H102" s="1297"/>
      <c r="I102" s="1253">
        <v>550</v>
      </c>
    </row>
    <row r="103" spans="1:10">
      <c r="A103" s="1300">
        <f t="shared" si="1"/>
        <v>7.3999999999999932</v>
      </c>
      <c r="D103" s="1299" t="s">
        <v>2123</v>
      </c>
      <c r="F103" s="1289">
        <v>500</v>
      </c>
      <c r="G103" s="1258" t="s">
        <v>107</v>
      </c>
      <c r="H103" s="1297"/>
    </row>
    <row r="104" spans="1:10">
      <c r="A104" s="1300"/>
      <c r="F104" s="1253"/>
      <c r="H104" s="1297"/>
    </row>
    <row r="105" spans="1:10" hidden="1">
      <c r="A105" s="1300"/>
      <c r="B105" s="1253" t="s">
        <v>2124</v>
      </c>
      <c r="D105" s="1296"/>
      <c r="G105" s="1258"/>
      <c r="H105" s="1302"/>
    </row>
    <row r="106" spans="1:10" hidden="1">
      <c r="A106" s="1300">
        <f>+A103+0.01</f>
        <v>7.409999999999993</v>
      </c>
      <c r="B106" s="1255"/>
      <c r="C106" s="1255"/>
      <c r="D106" s="1303" t="s">
        <v>2125</v>
      </c>
      <c r="F106" s="1289">
        <v>3164000</v>
      </c>
      <c r="G106" s="1258" t="s">
        <v>107</v>
      </c>
      <c r="H106" s="1302"/>
    </row>
    <row r="107" spans="1:10" hidden="1">
      <c r="A107" s="1300">
        <f t="shared" si="1"/>
        <v>7.4199999999999928</v>
      </c>
      <c r="B107" s="1255"/>
      <c r="C107" s="1255"/>
      <c r="D107" s="1303" t="s">
        <v>2126</v>
      </c>
      <c r="F107" s="1289">
        <v>22400.25</v>
      </c>
      <c r="G107" s="1258" t="s">
        <v>107</v>
      </c>
      <c r="H107" s="1302"/>
    </row>
    <row r="108" spans="1:10" hidden="1">
      <c r="A108" s="1300">
        <f t="shared" si="1"/>
        <v>7.4299999999999926</v>
      </c>
      <c r="B108" s="1255"/>
      <c r="C108" s="1255"/>
      <c r="D108" s="1303" t="s">
        <v>2127</v>
      </c>
      <c r="F108" s="1289">
        <v>500</v>
      </c>
      <c r="G108" s="1258" t="s">
        <v>107</v>
      </c>
      <c r="H108" s="1302"/>
    </row>
    <row r="109" spans="1:10" hidden="1">
      <c r="A109" s="1300">
        <f t="shared" si="1"/>
        <v>7.4399999999999924</v>
      </c>
      <c r="B109" s="1255"/>
      <c r="C109" s="1255"/>
      <c r="D109" s="1303" t="s">
        <v>2128</v>
      </c>
      <c r="F109" s="1289">
        <v>300</v>
      </c>
      <c r="G109" s="1258" t="s">
        <v>107</v>
      </c>
      <c r="H109" s="1302"/>
    </row>
    <row r="110" spans="1:10" hidden="1">
      <c r="A110" s="1300">
        <f t="shared" si="1"/>
        <v>7.4499999999999922</v>
      </c>
      <c r="D110" s="1303" t="s">
        <v>2129</v>
      </c>
      <c r="F110" s="1289">
        <v>65</v>
      </c>
      <c r="G110" s="1258" t="s">
        <v>107</v>
      </c>
      <c r="H110" s="1302"/>
    </row>
    <row r="111" spans="1:10" hidden="1">
      <c r="A111" s="1300">
        <f t="shared" si="1"/>
        <v>7.459999999999992</v>
      </c>
      <c r="D111" s="1303" t="s">
        <v>2130</v>
      </c>
      <c r="F111" s="1289">
        <v>580.26</v>
      </c>
      <c r="G111" s="1258" t="s">
        <v>107</v>
      </c>
      <c r="J111" s="1289"/>
    </row>
    <row r="112" spans="1:10" hidden="1">
      <c r="A112" s="1300">
        <f t="shared" si="1"/>
        <v>7.4699999999999918</v>
      </c>
      <c r="C112" s="1304"/>
      <c r="D112" s="1303" t="s">
        <v>2131</v>
      </c>
      <c r="F112" s="1289">
        <v>580.26</v>
      </c>
      <c r="G112" s="1258" t="s">
        <v>107</v>
      </c>
    </row>
    <row r="113" spans="1:8" hidden="1">
      <c r="A113" s="1300">
        <f t="shared" si="1"/>
        <v>7.4799999999999915</v>
      </c>
      <c r="D113" s="1303" t="s">
        <v>2132</v>
      </c>
      <c r="F113" s="1289">
        <v>640.15</v>
      </c>
      <c r="G113" s="1258" t="s">
        <v>107</v>
      </c>
    </row>
    <row r="114" spans="1:8">
      <c r="A114" s="1294">
        <v>8</v>
      </c>
      <c r="B114" s="1253" t="s">
        <v>2133</v>
      </c>
      <c r="F114" s="1305">
        <v>13</v>
      </c>
      <c r="G114" s="1258"/>
      <c r="H114" s="1306"/>
    </row>
    <row r="115" spans="1:8">
      <c r="A115" s="1300">
        <v>9</v>
      </c>
      <c r="B115" s="1284" t="s">
        <v>2134</v>
      </c>
      <c r="C115" s="1304"/>
      <c r="F115" s="1289">
        <v>600</v>
      </c>
      <c r="G115" s="1258"/>
    </row>
    <row r="116" spans="1:8">
      <c r="A116" s="1307">
        <v>9.1</v>
      </c>
      <c r="B116" s="1284" t="s">
        <v>2135</v>
      </c>
      <c r="D116" s="1270"/>
      <c r="F116" s="1289">
        <v>600</v>
      </c>
      <c r="G116" s="1258"/>
    </row>
    <row r="117" spans="1:8">
      <c r="A117" s="1307">
        <f t="shared" ref="A117:A124" si="2">A116+0.1</f>
        <v>9.1999999999999993</v>
      </c>
      <c r="B117" s="1284" t="s">
        <v>2136</v>
      </c>
      <c r="C117" s="1304"/>
      <c r="F117" s="1289">
        <v>1500</v>
      </c>
    </row>
    <row r="118" spans="1:8">
      <c r="A118" s="1307">
        <f t="shared" si="2"/>
        <v>9.2999999999999989</v>
      </c>
      <c r="B118" s="1284" t="s">
        <v>2137</v>
      </c>
      <c r="F118" s="1289">
        <v>800</v>
      </c>
    </row>
    <row r="119" spans="1:8">
      <c r="A119" s="1307">
        <f t="shared" si="2"/>
        <v>9.3999999999999986</v>
      </c>
      <c r="B119" s="1284" t="s">
        <v>2138</v>
      </c>
      <c r="F119" s="1289">
        <v>800</v>
      </c>
    </row>
    <row r="120" spans="1:8">
      <c r="A120" s="1307">
        <f t="shared" si="2"/>
        <v>9.4999999999999982</v>
      </c>
      <c r="B120" s="1284" t="s">
        <v>2139</v>
      </c>
      <c r="F120" s="1289">
        <v>800</v>
      </c>
    </row>
    <row r="121" spans="1:8">
      <c r="A121" s="1307">
        <f t="shared" si="2"/>
        <v>9.5999999999999979</v>
      </c>
      <c r="B121" s="1284" t="s">
        <v>2140</v>
      </c>
      <c r="F121" s="1289">
        <v>600</v>
      </c>
    </row>
    <row r="122" spans="1:8">
      <c r="A122" s="1307">
        <f t="shared" si="2"/>
        <v>9.6999999999999975</v>
      </c>
      <c r="B122" s="1284" t="s">
        <v>2141</v>
      </c>
      <c r="F122" s="1289">
        <v>800</v>
      </c>
    </row>
    <row r="123" spans="1:8">
      <c r="A123" s="1307">
        <f t="shared" si="2"/>
        <v>9.7999999999999972</v>
      </c>
      <c r="B123" s="1284" t="s">
        <v>2142</v>
      </c>
      <c r="F123" s="1289">
        <v>600</v>
      </c>
    </row>
    <row r="124" spans="1:8">
      <c r="A124" s="1307">
        <f t="shared" si="2"/>
        <v>9.8999999999999968</v>
      </c>
      <c r="B124" s="1284" t="s">
        <v>2143</v>
      </c>
      <c r="F124" s="1289">
        <v>800</v>
      </c>
    </row>
    <row r="125" spans="1:8">
      <c r="A125" s="1308">
        <v>9.1</v>
      </c>
      <c r="B125" s="1284" t="s">
        <v>2144</v>
      </c>
      <c r="F125" s="1289">
        <v>1500</v>
      </c>
    </row>
    <row r="126" spans="1:8">
      <c r="A126" s="1307">
        <v>9.11</v>
      </c>
      <c r="B126" s="1284" t="s">
        <v>2145</v>
      </c>
      <c r="F126" s="1289">
        <v>1500</v>
      </c>
    </row>
    <row r="127" spans="1:8">
      <c r="A127" s="1307">
        <v>10</v>
      </c>
      <c r="B127" s="1284" t="s">
        <v>2146</v>
      </c>
      <c r="F127" s="1289">
        <v>450</v>
      </c>
    </row>
    <row r="130" spans="1:37" s="10" customFormat="1" hidden="1">
      <c r="A130" s="11" t="s">
        <v>2772</v>
      </c>
    </row>
    <row r="131" spans="1:37" s="2" customFormat="1" ht="40.9" hidden="1" customHeight="1">
      <c r="B131" s="1773" t="s">
        <v>2773</v>
      </c>
      <c r="C131" s="1773" t="s">
        <v>1035</v>
      </c>
      <c r="D131" s="1773" t="s">
        <v>2774</v>
      </c>
      <c r="E131" s="1773" t="s">
        <v>2775</v>
      </c>
      <c r="F131" s="1773" t="s">
        <v>2776</v>
      </c>
      <c r="G131" s="1773" t="s">
        <v>2777</v>
      </c>
      <c r="H131" s="1773" t="s">
        <v>2778</v>
      </c>
      <c r="I131" s="1773" t="s">
        <v>2779</v>
      </c>
      <c r="J131" s="1773" t="s">
        <v>2780</v>
      </c>
      <c r="K131" s="1773" t="s">
        <v>2781</v>
      </c>
      <c r="L131" s="1773" t="s">
        <v>2782</v>
      </c>
      <c r="M131" s="1773" t="s">
        <v>2783</v>
      </c>
      <c r="N131" s="1773" t="s">
        <v>2784</v>
      </c>
      <c r="O131" s="1773" t="s">
        <v>2785</v>
      </c>
      <c r="P131" s="1773" t="s">
        <v>2786</v>
      </c>
      <c r="Q131" s="1773" t="s">
        <v>2787</v>
      </c>
      <c r="R131" s="1773" t="s">
        <v>2788</v>
      </c>
      <c r="S131" s="1773" t="s">
        <v>2789</v>
      </c>
      <c r="T131" s="1773" t="s">
        <v>2790</v>
      </c>
      <c r="U131" s="1773" t="s">
        <v>2791</v>
      </c>
      <c r="V131" s="1773" t="s">
        <v>2792</v>
      </c>
      <c r="W131" s="1773" t="s">
        <v>2793</v>
      </c>
      <c r="X131" s="1773" t="s">
        <v>2794</v>
      </c>
      <c r="Y131" s="1773" t="s">
        <v>2795</v>
      </c>
      <c r="Z131" s="1773" t="s">
        <v>2796</v>
      </c>
      <c r="AA131" s="1773" t="s">
        <v>2797</v>
      </c>
      <c r="AB131" s="1773" t="s">
        <v>2798</v>
      </c>
      <c r="AC131" s="1773" t="s">
        <v>2799</v>
      </c>
      <c r="AD131" s="1773" t="s">
        <v>2800</v>
      </c>
      <c r="AE131" s="1773" t="s">
        <v>2801</v>
      </c>
      <c r="AF131" s="1773" t="s">
        <v>2802</v>
      </c>
      <c r="AG131" s="1773" t="s">
        <v>2803</v>
      </c>
      <c r="AH131" s="1773" t="s">
        <v>2804</v>
      </c>
      <c r="AI131" s="1773" t="s">
        <v>2805</v>
      </c>
      <c r="AJ131" s="1773" t="s">
        <v>2806</v>
      </c>
      <c r="AK131" s="1773" t="s">
        <v>2807</v>
      </c>
    </row>
    <row r="132" spans="1:37" s="10" customFormat="1" ht="15" hidden="1">
      <c r="B132" s="1774">
        <v>15</v>
      </c>
      <c r="C132" s="1775" t="s">
        <v>2808</v>
      </c>
      <c r="D132" s="1776">
        <v>203</v>
      </c>
      <c r="E132" s="1776">
        <v>80</v>
      </c>
      <c r="F132" s="1777">
        <v>962</v>
      </c>
      <c r="G132" s="1777">
        <v>893</v>
      </c>
      <c r="H132" s="1777">
        <v>52</v>
      </c>
      <c r="I132" s="1777">
        <v>169</v>
      </c>
      <c r="J132" s="1777">
        <v>47</v>
      </c>
      <c r="K132" s="1777">
        <v>30</v>
      </c>
      <c r="L132" s="1777">
        <v>56</v>
      </c>
      <c r="M132" s="1777"/>
      <c r="N132" s="1777"/>
      <c r="O132" s="1777"/>
      <c r="P132" s="1777">
        <v>139</v>
      </c>
      <c r="Q132" s="1777">
        <v>131</v>
      </c>
      <c r="R132" s="1777"/>
      <c r="S132" s="1777">
        <v>25</v>
      </c>
      <c r="T132" s="1777">
        <v>37</v>
      </c>
      <c r="U132" s="1777">
        <v>50</v>
      </c>
      <c r="V132" s="1777">
        <v>76</v>
      </c>
      <c r="W132" s="1777">
        <v>113</v>
      </c>
      <c r="X132" s="1777">
        <v>151</v>
      </c>
      <c r="Y132" s="1777">
        <v>227</v>
      </c>
      <c r="Z132" s="1777">
        <v>964</v>
      </c>
      <c r="AA132" s="1777"/>
      <c r="AB132" s="1777"/>
      <c r="AC132" s="1777">
        <v>924</v>
      </c>
      <c r="AD132" s="1777">
        <v>1134</v>
      </c>
      <c r="AE132" s="1777">
        <v>3756</v>
      </c>
      <c r="AF132" s="1777">
        <v>245</v>
      </c>
      <c r="AG132" s="1777"/>
      <c r="AH132" s="1777">
        <v>1272</v>
      </c>
      <c r="AI132" s="1777"/>
      <c r="AJ132" s="1777">
        <v>1505</v>
      </c>
      <c r="AK132" s="1777">
        <v>514</v>
      </c>
    </row>
    <row r="133" spans="1:37" s="10" customFormat="1" ht="15" hidden="1">
      <c r="B133" s="1774">
        <v>20</v>
      </c>
      <c r="C133" s="1775" t="s">
        <v>2808</v>
      </c>
      <c r="D133" s="1776">
        <v>257</v>
      </c>
      <c r="E133" s="1776">
        <v>127</v>
      </c>
      <c r="F133" s="1777">
        <v>1198</v>
      </c>
      <c r="G133" s="1777">
        <v>1200</v>
      </c>
      <c r="H133" s="1777">
        <v>94</v>
      </c>
      <c r="I133" s="1777">
        <v>238</v>
      </c>
      <c r="J133" s="1777">
        <v>73</v>
      </c>
      <c r="K133" s="1777">
        <v>40</v>
      </c>
      <c r="L133" s="1777">
        <v>86</v>
      </c>
      <c r="M133" s="1777">
        <v>139</v>
      </c>
      <c r="N133" s="1777">
        <v>103</v>
      </c>
      <c r="O133" s="1777">
        <v>80</v>
      </c>
      <c r="P133" s="1777">
        <v>214</v>
      </c>
      <c r="Q133" s="1777">
        <v>186</v>
      </c>
      <c r="R133" s="1777">
        <v>214</v>
      </c>
      <c r="S133" s="1777">
        <v>37</v>
      </c>
      <c r="T133" s="1777">
        <v>56</v>
      </c>
      <c r="U133" s="1777">
        <v>74</v>
      </c>
      <c r="V133" s="1777">
        <v>113</v>
      </c>
      <c r="W133" s="1777">
        <v>167</v>
      </c>
      <c r="X133" s="1777">
        <v>221</v>
      </c>
      <c r="Y133" s="1777">
        <v>280</v>
      </c>
      <c r="Z133" s="1777">
        <v>1183</v>
      </c>
      <c r="AA133" s="1777"/>
      <c r="AB133" s="1777"/>
      <c r="AC133" s="1777">
        <v>1505</v>
      </c>
      <c r="AD133" s="1777">
        <v>1283</v>
      </c>
      <c r="AE133" s="1777">
        <v>5182</v>
      </c>
      <c r="AF133" s="1777">
        <v>377</v>
      </c>
      <c r="AG133" s="1777"/>
      <c r="AH133" s="1777"/>
      <c r="AI133" s="1777"/>
      <c r="AJ133" s="1777">
        <v>1961</v>
      </c>
      <c r="AK133" s="1777">
        <v>650</v>
      </c>
    </row>
    <row r="134" spans="1:37" s="10" customFormat="1" ht="15" hidden="1">
      <c r="B134" s="1774">
        <v>25</v>
      </c>
      <c r="C134" s="1775" t="s">
        <v>2808</v>
      </c>
      <c r="D134" s="1776">
        <v>383</v>
      </c>
      <c r="E134" s="1776">
        <v>185</v>
      </c>
      <c r="F134" s="1777">
        <v>1930</v>
      </c>
      <c r="G134" s="1777">
        <v>1775</v>
      </c>
      <c r="H134" s="1777">
        <v>145</v>
      </c>
      <c r="I134" s="1777">
        <v>349</v>
      </c>
      <c r="J134" s="1777">
        <v>100</v>
      </c>
      <c r="K134" s="1777">
        <v>49</v>
      </c>
      <c r="L134" s="1777">
        <v>139</v>
      </c>
      <c r="M134" s="1777">
        <v>204</v>
      </c>
      <c r="N134" s="1777">
        <v>160</v>
      </c>
      <c r="O134" s="1777">
        <v>108</v>
      </c>
      <c r="P134" s="1777">
        <v>328</v>
      </c>
      <c r="Q134" s="1777">
        <v>293</v>
      </c>
      <c r="R134" s="1777">
        <v>319</v>
      </c>
      <c r="S134" s="1777">
        <v>50</v>
      </c>
      <c r="T134" s="1777">
        <v>76</v>
      </c>
      <c r="U134" s="1777">
        <v>101</v>
      </c>
      <c r="V134" s="1777">
        <v>151</v>
      </c>
      <c r="W134" s="1777">
        <v>202</v>
      </c>
      <c r="X134" s="1777">
        <v>251</v>
      </c>
      <c r="Y134" s="1777">
        <v>378</v>
      </c>
      <c r="Z134" s="1777">
        <v>1453</v>
      </c>
      <c r="AA134" s="1777"/>
      <c r="AB134" s="1777"/>
      <c r="AC134" s="1777">
        <v>1859</v>
      </c>
      <c r="AD134" s="1777">
        <v>1556</v>
      </c>
      <c r="AE134" s="1777">
        <v>5746</v>
      </c>
      <c r="AF134" s="1777">
        <v>570</v>
      </c>
      <c r="AG134" s="1777"/>
      <c r="AH134" s="1777"/>
      <c r="AI134" s="1777"/>
      <c r="AJ134" s="1777">
        <v>2879</v>
      </c>
      <c r="AK134" s="1777">
        <v>872</v>
      </c>
    </row>
    <row r="135" spans="1:37" s="10" customFormat="1" ht="15" hidden="1">
      <c r="B135" s="1774">
        <v>32</v>
      </c>
      <c r="C135" s="1775" t="s">
        <v>2808</v>
      </c>
      <c r="D135" s="1776">
        <v>490</v>
      </c>
      <c r="E135" s="1776">
        <v>296</v>
      </c>
      <c r="F135" s="1777">
        <v>2756</v>
      </c>
      <c r="G135" s="1777">
        <v>2623</v>
      </c>
      <c r="H135" s="1777">
        <v>220</v>
      </c>
      <c r="I135" s="1777">
        <v>480</v>
      </c>
      <c r="J135" s="1777">
        <v>154</v>
      </c>
      <c r="K135" s="1777">
        <v>98</v>
      </c>
      <c r="L135" s="1777">
        <v>217</v>
      </c>
      <c r="M135" s="1777">
        <v>325</v>
      </c>
      <c r="N135" s="1777">
        <v>244</v>
      </c>
      <c r="O135" s="1777">
        <v>168</v>
      </c>
      <c r="P135" s="1777">
        <v>630</v>
      </c>
      <c r="Q135" s="1777">
        <v>509</v>
      </c>
      <c r="R135" s="1777">
        <v>480</v>
      </c>
      <c r="S135" s="1777">
        <v>68</v>
      </c>
      <c r="T135" s="1777">
        <v>102</v>
      </c>
      <c r="U135" s="1777">
        <v>136</v>
      </c>
      <c r="V135" s="1777">
        <v>205</v>
      </c>
      <c r="W135" s="1777">
        <v>307</v>
      </c>
      <c r="X135" s="1777">
        <v>410</v>
      </c>
      <c r="Y135" s="1777">
        <v>614</v>
      </c>
      <c r="Z135" s="1777">
        <v>1699</v>
      </c>
      <c r="AA135" s="1777">
        <v>1038</v>
      </c>
      <c r="AB135" s="1777">
        <v>1038</v>
      </c>
      <c r="AC135" s="1777">
        <v>2956</v>
      </c>
      <c r="AD135" s="1777">
        <v>2690</v>
      </c>
      <c r="AE135" s="1777"/>
      <c r="AF135" s="1777">
        <v>742</v>
      </c>
      <c r="AG135" s="1777"/>
      <c r="AH135" s="1777"/>
      <c r="AI135" s="1777"/>
      <c r="AJ135" s="1777"/>
      <c r="AK135" s="1777">
        <v>1051</v>
      </c>
    </row>
    <row r="136" spans="1:37" s="10" customFormat="1" ht="15" hidden="1">
      <c r="B136" s="1778">
        <v>40</v>
      </c>
      <c r="C136" s="1775" t="s">
        <v>2808</v>
      </c>
      <c r="D136" s="1776">
        <v>565</v>
      </c>
      <c r="E136" s="1776">
        <v>410</v>
      </c>
      <c r="F136" s="1777">
        <v>3467</v>
      </c>
      <c r="G136" s="1777">
        <v>3035</v>
      </c>
      <c r="H136" s="1777">
        <v>308</v>
      </c>
      <c r="I136" s="1777">
        <v>594</v>
      </c>
      <c r="J136" s="1777">
        <v>208</v>
      </c>
      <c r="K136" s="1777">
        <v>124</v>
      </c>
      <c r="L136" s="1777">
        <v>275</v>
      </c>
      <c r="M136" s="1777">
        <v>451</v>
      </c>
      <c r="N136" s="1777">
        <v>342</v>
      </c>
      <c r="O136" s="1777">
        <v>226</v>
      </c>
      <c r="P136" s="1777">
        <v>952</v>
      </c>
      <c r="Q136" s="1777">
        <v>611</v>
      </c>
      <c r="R136" s="1777">
        <v>611</v>
      </c>
      <c r="S136" s="1777">
        <v>83</v>
      </c>
      <c r="T136" s="1777" t="s">
        <v>2809</v>
      </c>
      <c r="U136" s="1777">
        <v>166</v>
      </c>
      <c r="V136" s="1777">
        <v>253</v>
      </c>
      <c r="W136" s="1777">
        <v>413</v>
      </c>
      <c r="X136" s="1777">
        <v>505</v>
      </c>
      <c r="Y136" s="1777">
        <v>755</v>
      </c>
      <c r="Z136" s="1777">
        <v>1892</v>
      </c>
      <c r="AA136" s="1777">
        <v>1322</v>
      </c>
      <c r="AB136" s="1777">
        <v>1322</v>
      </c>
      <c r="AC136" s="1777">
        <v>3713</v>
      </c>
      <c r="AD136" s="1777">
        <v>4042</v>
      </c>
      <c r="AE136" s="1777"/>
      <c r="AF136" s="1777">
        <v>1322</v>
      </c>
      <c r="AG136" s="1777">
        <v>354</v>
      </c>
      <c r="AH136" s="1777"/>
      <c r="AI136" s="1777">
        <v>6846</v>
      </c>
      <c r="AJ136" s="1777"/>
      <c r="AK136" s="1777">
        <v>2035</v>
      </c>
    </row>
    <row r="137" spans="1:37" s="10" customFormat="1" ht="15" hidden="1">
      <c r="B137" s="1775">
        <v>50</v>
      </c>
      <c r="C137" s="1775" t="s">
        <v>2808</v>
      </c>
      <c r="D137" s="1776">
        <v>823</v>
      </c>
      <c r="E137" s="1776">
        <v>671</v>
      </c>
      <c r="F137" s="1777">
        <v>5519</v>
      </c>
      <c r="G137" s="1777">
        <v>5033</v>
      </c>
      <c r="H137" s="1777">
        <v>464</v>
      </c>
      <c r="I137" s="1777">
        <v>884</v>
      </c>
      <c r="J137" s="1777">
        <v>306</v>
      </c>
      <c r="K137" s="1777">
        <v>149</v>
      </c>
      <c r="L137" s="1777">
        <v>409</v>
      </c>
      <c r="M137" s="1777">
        <v>737</v>
      </c>
      <c r="N137" s="1777">
        <v>511</v>
      </c>
      <c r="O137" s="1777">
        <v>337</v>
      </c>
      <c r="P137" s="1777">
        <v>1393</v>
      </c>
      <c r="Q137" s="1777">
        <v>990</v>
      </c>
      <c r="R137" s="1777">
        <v>990</v>
      </c>
      <c r="S137" s="1777">
        <v>127</v>
      </c>
      <c r="T137" s="1777">
        <v>188</v>
      </c>
      <c r="U137" s="1777">
        <v>256</v>
      </c>
      <c r="V137" s="1777">
        <v>379</v>
      </c>
      <c r="W137" s="1777">
        <v>569</v>
      </c>
      <c r="X137" s="1777">
        <v>757</v>
      </c>
      <c r="Y137" s="1777">
        <v>1136</v>
      </c>
      <c r="Z137" s="1777">
        <v>2348</v>
      </c>
      <c r="AA137" s="1777">
        <v>1562</v>
      </c>
      <c r="AB137" s="1777">
        <v>1562</v>
      </c>
      <c r="AC137" s="1777">
        <v>4640</v>
      </c>
      <c r="AD137" s="1777">
        <v>5381</v>
      </c>
      <c r="AE137" s="1777"/>
      <c r="AF137" s="1777">
        <v>1961</v>
      </c>
      <c r="AG137" s="1777">
        <v>469</v>
      </c>
      <c r="AH137" s="1777"/>
      <c r="AI137" s="1777">
        <v>9132</v>
      </c>
      <c r="AJ137" s="1777"/>
      <c r="AK137" s="1777">
        <v>3341</v>
      </c>
    </row>
    <row r="138" spans="1:37" s="10" customFormat="1" ht="15" hidden="1">
      <c r="B138" s="1775">
        <v>65</v>
      </c>
      <c r="C138" s="1775" t="s">
        <v>2808</v>
      </c>
      <c r="D138" s="1776">
        <v>1032</v>
      </c>
      <c r="E138" s="1776">
        <v>1054</v>
      </c>
      <c r="F138" s="1777">
        <v>11411</v>
      </c>
      <c r="G138" s="1777">
        <v>10225</v>
      </c>
      <c r="H138" s="1777">
        <v>805</v>
      </c>
      <c r="I138" s="1777">
        <v>1808</v>
      </c>
      <c r="J138" s="1777">
        <v>554</v>
      </c>
      <c r="K138" s="1777">
        <v>214</v>
      </c>
      <c r="L138" s="1777">
        <v>750</v>
      </c>
      <c r="M138" s="1777">
        <v>1160</v>
      </c>
      <c r="N138" s="1777">
        <v>883</v>
      </c>
      <c r="O138" s="1777">
        <v>602</v>
      </c>
      <c r="P138" s="1777">
        <v>3576</v>
      </c>
      <c r="Q138" s="1777">
        <v>1670</v>
      </c>
      <c r="R138" s="1777">
        <v>1906</v>
      </c>
      <c r="S138" s="1777"/>
      <c r="T138" s="1777">
        <v>259</v>
      </c>
      <c r="U138" s="1777">
        <v>347</v>
      </c>
      <c r="V138" s="1777">
        <v>518</v>
      </c>
      <c r="W138" s="1777">
        <v>768</v>
      </c>
      <c r="X138" s="1777">
        <v>1022</v>
      </c>
      <c r="Y138" s="1777">
        <v>1536</v>
      </c>
      <c r="Z138" s="1777">
        <v>3358</v>
      </c>
      <c r="AA138" s="1777">
        <v>1824</v>
      </c>
      <c r="AB138" s="1777">
        <v>1824</v>
      </c>
      <c r="AC138" s="1777">
        <v>9114</v>
      </c>
      <c r="AD138" s="1777"/>
      <c r="AE138" s="1777"/>
      <c r="AF138" s="1777"/>
      <c r="AG138" s="1777">
        <v>1306</v>
      </c>
      <c r="AH138" s="1777"/>
      <c r="AI138" s="1777">
        <v>11406</v>
      </c>
      <c r="AJ138" s="1777"/>
      <c r="AK138" s="1777"/>
    </row>
    <row r="139" spans="1:37" s="10" customFormat="1" ht="15" hidden="1">
      <c r="B139" s="1775">
        <v>80</v>
      </c>
      <c r="C139" s="1775" t="s">
        <v>2808</v>
      </c>
      <c r="D139" s="1776">
        <v>1215</v>
      </c>
      <c r="E139" s="1776">
        <v>1424</v>
      </c>
      <c r="F139" s="1777">
        <v>14188</v>
      </c>
      <c r="G139" s="1777">
        <v>13657</v>
      </c>
      <c r="H139" s="1777">
        <v>1253</v>
      </c>
      <c r="I139" s="1777">
        <v>2436</v>
      </c>
      <c r="J139" s="1777">
        <v>817</v>
      </c>
      <c r="K139" s="1777">
        <v>437</v>
      </c>
      <c r="L139" s="1777">
        <v>938</v>
      </c>
      <c r="M139" s="1777">
        <v>1568</v>
      </c>
      <c r="N139" s="1777">
        <v>1361</v>
      </c>
      <c r="O139" s="1777">
        <v>860</v>
      </c>
      <c r="P139" s="1777">
        <v>5544</v>
      </c>
      <c r="Q139" s="1777">
        <v>2420</v>
      </c>
      <c r="R139" s="1777">
        <v>2538</v>
      </c>
      <c r="S139" s="1777"/>
      <c r="T139" s="1777">
        <v>378</v>
      </c>
      <c r="U139" s="1777">
        <v>505</v>
      </c>
      <c r="V139" s="1777">
        <v>742</v>
      </c>
      <c r="W139" s="1777">
        <v>1136</v>
      </c>
      <c r="X139" s="1777">
        <v>1514</v>
      </c>
      <c r="Y139" s="1777">
        <v>2249</v>
      </c>
      <c r="Z139" s="1777">
        <v>3488</v>
      </c>
      <c r="AA139" s="1777">
        <v>1950</v>
      </c>
      <c r="AB139" s="1777">
        <v>1950</v>
      </c>
      <c r="AC139" s="1777">
        <v>15060</v>
      </c>
      <c r="AD139" s="1777"/>
      <c r="AE139" s="1777"/>
      <c r="AF139" s="1777"/>
      <c r="AG139" s="1777">
        <v>1727</v>
      </c>
      <c r="AH139" s="1777"/>
      <c r="AI139" s="1777">
        <v>13691</v>
      </c>
      <c r="AJ139" s="1777"/>
      <c r="AK139" s="1777"/>
    </row>
    <row r="140" spans="1:37" s="10" customFormat="1" ht="15" hidden="1">
      <c r="B140" s="1775">
        <v>100</v>
      </c>
      <c r="C140" s="1775" t="s">
        <v>2808</v>
      </c>
      <c r="D140" s="1776">
        <v>1883</v>
      </c>
      <c r="E140" s="1776">
        <v>2587</v>
      </c>
      <c r="F140" s="1777">
        <v>23238</v>
      </c>
      <c r="G140" s="1777">
        <v>19301</v>
      </c>
      <c r="H140" s="1777">
        <v>2159</v>
      </c>
      <c r="I140" s="1777">
        <v>3210</v>
      </c>
      <c r="J140" s="1777">
        <v>1415</v>
      </c>
      <c r="K140" s="1777">
        <v>838</v>
      </c>
      <c r="L140" s="1777">
        <v>1484</v>
      </c>
      <c r="M140" s="1777">
        <v>2866</v>
      </c>
      <c r="N140" s="1777">
        <v>2410</v>
      </c>
      <c r="O140" s="1777">
        <v>1552</v>
      </c>
      <c r="P140" s="1777">
        <v>7855</v>
      </c>
      <c r="Q140" s="1777">
        <v>3268</v>
      </c>
      <c r="R140" s="1777">
        <v>3367</v>
      </c>
      <c r="S140" s="1777"/>
      <c r="T140" s="1777"/>
      <c r="U140" s="1777">
        <v>649</v>
      </c>
      <c r="V140" s="1777">
        <v>917</v>
      </c>
      <c r="W140" s="1777">
        <v>4871</v>
      </c>
      <c r="X140" s="1777">
        <v>1808</v>
      </c>
      <c r="Y140" s="1777">
        <v>2743</v>
      </c>
      <c r="Z140" s="1777">
        <v>6948</v>
      </c>
      <c r="AA140" s="1777">
        <v>2406</v>
      </c>
      <c r="AB140" s="1777">
        <v>2406</v>
      </c>
      <c r="AC140" s="1777">
        <v>24350</v>
      </c>
      <c r="AD140" s="1777"/>
      <c r="AE140" s="1777"/>
      <c r="AF140" s="1777"/>
      <c r="AG140" s="1777">
        <v>2462</v>
      </c>
      <c r="AH140" s="1777"/>
      <c r="AI140" s="1777">
        <v>18250</v>
      </c>
      <c r="AJ140" s="1777"/>
      <c r="AK140" s="1777"/>
    </row>
    <row r="141" spans="1:37" s="10" customFormat="1" ht="15" hidden="1">
      <c r="B141" s="1775">
        <v>125</v>
      </c>
      <c r="C141" s="1775" t="s">
        <v>2808</v>
      </c>
      <c r="D141" s="1776">
        <v>2440</v>
      </c>
      <c r="E141" s="1776">
        <v>7160</v>
      </c>
      <c r="F141" s="1777"/>
      <c r="G141" s="1777"/>
      <c r="H141" s="1777">
        <v>5342</v>
      </c>
      <c r="I141" s="1777">
        <v>7160</v>
      </c>
      <c r="J141" s="1777">
        <v>3534</v>
      </c>
      <c r="K141" s="1777"/>
      <c r="L141" s="1777"/>
      <c r="M141" s="1777">
        <v>7884</v>
      </c>
      <c r="N141" s="1777">
        <v>5878</v>
      </c>
      <c r="O141" s="1777">
        <v>4436</v>
      </c>
      <c r="P141" s="1777"/>
      <c r="Q141" s="1777"/>
      <c r="R141" s="1777"/>
      <c r="S141" s="1777"/>
      <c r="T141" s="1777"/>
      <c r="U141" s="1777"/>
      <c r="V141" s="1777"/>
      <c r="W141" s="1777"/>
      <c r="X141" s="1777"/>
      <c r="Y141" s="1777"/>
      <c r="Z141" s="1777"/>
      <c r="AA141" s="1777">
        <v>3358</v>
      </c>
      <c r="AB141" s="1777">
        <v>3814</v>
      </c>
      <c r="AC141" s="1777"/>
      <c r="AD141" s="1777"/>
      <c r="AE141" s="1777"/>
      <c r="AF141" s="1777"/>
      <c r="AG141" s="1777"/>
      <c r="AH141" s="1777"/>
      <c r="AI141" s="1777">
        <v>27737</v>
      </c>
      <c r="AJ141" s="1777"/>
      <c r="AK141" s="1777"/>
    </row>
    <row r="142" spans="1:37" s="10" customFormat="1" ht="15" hidden="1">
      <c r="B142" s="1774">
        <v>150</v>
      </c>
      <c r="C142" s="1775" t="s">
        <v>2808</v>
      </c>
      <c r="D142" s="1776">
        <v>2767</v>
      </c>
      <c r="E142" s="1776">
        <v>8259</v>
      </c>
      <c r="F142" s="1777"/>
      <c r="G142" s="1777"/>
      <c r="H142" s="1777">
        <v>6430</v>
      </c>
      <c r="I142" s="1777">
        <v>8663</v>
      </c>
      <c r="J142" s="1777">
        <v>4752</v>
      </c>
      <c r="K142" s="1777"/>
      <c r="L142" s="1777"/>
      <c r="M142" s="1777">
        <v>9126</v>
      </c>
      <c r="N142" s="1777">
        <v>7073</v>
      </c>
      <c r="O142" s="1777">
        <v>5216</v>
      </c>
      <c r="P142" s="1777"/>
      <c r="Q142" s="1777"/>
      <c r="R142" s="1777"/>
      <c r="S142" s="1777"/>
      <c r="T142" s="1777"/>
      <c r="U142" s="1777"/>
      <c r="V142" s="1777"/>
      <c r="W142" s="1777"/>
      <c r="X142" s="1777"/>
      <c r="Y142" s="1777"/>
      <c r="Z142" s="1777"/>
      <c r="AA142" s="1777">
        <v>3505</v>
      </c>
      <c r="AB142" s="1777">
        <v>3505</v>
      </c>
      <c r="AC142" s="1777"/>
      <c r="AD142" s="1777"/>
      <c r="AE142" s="1777"/>
      <c r="AF142" s="1777"/>
      <c r="AG142" s="1777"/>
      <c r="AH142" s="1777"/>
      <c r="AI142" s="1777">
        <v>33288</v>
      </c>
      <c r="AJ142" s="1777"/>
      <c r="AK142" s="1777"/>
    </row>
    <row r="143" spans="1:37" s="10" customFormat="1" ht="15" hidden="1">
      <c r="B143" s="1775">
        <v>200</v>
      </c>
      <c r="C143" s="1775" t="s">
        <v>2808</v>
      </c>
      <c r="D143" s="1776">
        <v>4243</v>
      </c>
      <c r="E143" s="1777"/>
      <c r="F143" s="1777"/>
      <c r="G143" s="1777"/>
      <c r="H143" s="1777"/>
      <c r="I143" s="1777"/>
      <c r="J143" s="1777"/>
      <c r="K143" s="1777"/>
      <c r="L143" s="1777"/>
      <c r="M143" s="1777"/>
      <c r="N143" s="1777"/>
      <c r="O143" s="1777"/>
      <c r="P143" s="1777"/>
      <c r="Q143" s="1777"/>
      <c r="R143" s="1777"/>
      <c r="S143" s="1777"/>
      <c r="T143" s="1777"/>
      <c r="U143" s="1777"/>
      <c r="V143" s="1777"/>
      <c r="W143" s="1777"/>
      <c r="X143" s="1777"/>
      <c r="Y143" s="1777"/>
      <c r="Z143" s="1777"/>
      <c r="AA143" s="1777">
        <v>7627</v>
      </c>
      <c r="AB143" s="1777">
        <v>7627</v>
      </c>
      <c r="AC143" s="1777"/>
      <c r="AD143" s="1777"/>
      <c r="AE143" s="1777"/>
      <c r="AF143" s="1777"/>
      <c r="AG143" s="1777"/>
      <c r="AH143" s="1777"/>
      <c r="AI143" s="1777">
        <v>46603</v>
      </c>
      <c r="AJ143" s="1777"/>
      <c r="AK143" s="1777"/>
    </row>
    <row r="144" spans="1:37" hidden="1"/>
    <row r="145" spans="2:9" hidden="1">
      <c r="B145" s="1764" t="s">
        <v>2810</v>
      </c>
      <c r="C145" s="1764"/>
      <c r="D145" s="513"/>
      <c r="E145"/>
      <c r="F145"/>
      <c r="G145"/>
      <c r="H145"/>
      <c r="I145" s="285"/>
    </row>
    <row r="146" spans="2:9" ht="39" hidden="1">
      <c r="B146" s="1779" t="s">
        <v>2811</v>
      </c>
      <c r="C146" s="1779" t="s">
        <v>2812</v>
      </c>
      <c r="D146" s="1779" t="s">
        <v>1035</v>
      </c>
      <c r="E146" s="1779" t="s">
        <v>2813</v>
      </c>
      <c r="F146" s="1779" t="s">
        <v>2814</v>
      </c>
      <c r="G146" s="1779" t="s">
        <v>2815</v>
      </c>
      <c r="H146" s="1779" t="s">
        <v>2816</v>
      </c>
      <c r="I146" s="1765" t="s">
        <v>2817</v>
      </c>
    </row>
    <row r="147" spans="2:9" hidden="1">
      <c r="B147" s="1765">
        <v>20</v>
      </c>
      <c r="C147" s="1780" t="s">
        <v>2818</v>
      </c>
      <c r="D147" s="1781" t="s">
        <v>965</v>
      </c>
      <c r="E147" s="1782" t="s">
        <v>44</v>
      </c>
      <c r="F147" s="1783" t="s">
        <v>44</v>
      </c>
      <c r="G147" s="1783"/>
      <c r="H147" s="1783">
        <v>37.130000000000003</v>
      </c>
      <c r="I147" s="1783"/>
    </row>
    <row r="148" spans="2:9" hidden="1">
      <c r="B148" s="1765">
        <v>25</v>
      </c>
      <c r="C148" s="1780" t="s">
        <v>2819</v>
      </c>
      <c r="D148" s="1781" t="s">
        <v>965</v>
      </c>
      <c r="E148" s="1782" t="s">
        <v>44</v>
      </c>
      <c r="F148" s="1783" t="s">
        <v>44</v>
      </c>
      <c r="G148" s="1783">
        <v>47.58</v>
      </c>
      <c r="H148" s="1783">
        <v>57.2</v>
      </c>
      <c r="I148" s="1783"/>
    </row>
    <row r="149" spans="2:9" hidden="1">
      <c r="B149" s="1765">
        <v>32</v>
      </c>
      <c r="C149" s="1780" t="s">
        <v>2820</v>
      </c>
      <c r="D149" s="1781" t="s">
        <v>965</v>
      </c>
      <c r="E149" s="1782" t="s">
        <v>44</v>
      </c>
      <c r="F149" s="1783">
        <v>64.349999999999994</v>
      </c>
      <c r="G149" s="1783">
        <v>75.349999999999994</v>
      </c>
      <c r="H149" s="1783">
        <v>92.95</v>
      </c>
      <c r="I149" s="1783"/>
    </row>
    <row r="150" spans="2:9" ht="16.5" hidden="1">
      <c r="B150" s="1765">
        <v>40</v>
      </c>
      <c r="C150" s="1780" t="s">
        <v>2821</v>
      </c>
      <c r="D150" s="1768" t="s">
        <v>965</v>
      </c>
      <c r="E150" s="1783" t="s">
        <v>44</v>
      </c>
      <c r="F150" s="1783">
        <v>99</v>
      </c>
      <c r="G150" s="1783">
        <v>119.35</v>
      </c>
      <c r="H150" s="1783">
        <v>143.83000000000001</v>
      </c>
      <c r="I150" s="1783"/>
    </row>
    <row r="151" spans="2:9" ht="16.5" hidden="1">
      <c r="B151" s="1765">
        <v>50</v>
      </c>
      <c r="C151" s="1780" t="s">
        <v>2822</v>
      </c>
      <c r="D151" s="1768" t="s">
        <v>965</v>
      </c>
      <c r="E151" s="1784">
        <v>100.38</v>
      </c>
      <c r="F151" s="1783">
        <v>152.63</v>
      </c>
      <c r="G151" s="1783">
        <v>185.08</v>
      </c>
      <c r="H151" s="1783">
        <v>222.2</v>
      </c>
      <c r="I151" s="1783">
        <v>110</v>
      </c>
    </row>
    <row r="152" spans="2:9" ht="16.5" hidden="1">
      <c r="B152" s="1765">
        <v>63</v>
      </c>
      <c r="C152" s="1780" t="s">
        <v>2823</v>
      </c>
      <c r="D152" s="1768" t="s">
        <v>965</v>
      </c>
      <c r="E152" s="1784">
        <v>156.19999999999999</v>
      </c>
      <c r="F152" s="1783">
        <v>242.55</v>
      </c>
      <c r="G152" s="1783">
        <v>287.93</v>
      </c>
      <c r="H152" s="1783">
        <v>349.25</v>
      </c>
      <c r="I152" s="1783">
        <v>210</v>
      </c>
    </row>
    <row r="153" spans="2:9" ht="16.5" hidden="1">
      <c r="B153" s="1765">
        <v>75</v>
      </c>
      <c r="C153" s="1780" t="s">
        <v>2824</v>
      </c>
      <c r="D153" s="1768" t="s">
        <v>965</v>
      </c>
      <c r="E153" s="1784">
        <v>224.4</v>
      </c>
      <c r="F153" s="1783">
        <v>343.2</v>
      </c>
      <c r="G153" s="1783">
        <v>407.28</v>
      </c>
      <c r="H153" s="1783">
        <v>495</v>
      </c>
      <c r="I153" s="1783">
        <v>320</v>
      </c>
    </row>
    <row r="154" spans="2:9" ht="16.5" hidden="1">
      <c r="B154" s="1765">
        <v>90</v>
      </c>
      <c r="C154" s="1785" t="s">
        <v>2825</v>
      </c>
      <c r="D154" s="1786" t="s">
        <v>965</v>
      </c>
      <c r="E154" s="1784">
        <v>315.7</v>
      </c>
      <c r="F154" s="1783">
        <v>491.43</v>
      </c>
      <c r="G154" s="1783">
        <v>589.6</v>
      </c>
      <c r="H154" s="1783">
        <v>712.53</v>
      </c>
      <c r="I154" s="1783">
        <v>540</v>
      </c>
    </row>
    <row r="155" spans="2:9" ht="16.5" hidden="1">
      <c r="B155" s="1765">
        <v>110</v>
      </c>
      <c r="C155" s="1780" t="s">
        <v>2826</v>
      </c>
      <c r="D155" s="1768" t="s">
        <v>965</v>
      </c>
      <c r="E155" s="1784">
        <v>464.2</v>
      </c>
      <c r="F155" s="1783">
        <v>726.83</v>
      </c>
      <c r="G155" s="1783">
        <v>873.68</v>
      </c>
      <c r="H155" s="1783">
        <v>1056</v>
      </c>
      <c r="I155" s="1783">
        <v>695</v>
      </c>
    </row>
    <row r="156" spans="2:9" ht="16.5" hidden="1">
      <c r="B156" s="1765">
        <v>125</v>
      </c>
      <c r="C156" s="1780" t="s">
        <v>2827</v>
      </c>
      <c r="D156" s="1768" t="s">
        <v>965</v>
      </c>
      <c r="E156" s="1784">
        <v>601.42999999999995</v>
      </c>
      <c r="F156" s="1783">
        <v>936.38</v>
      </c>
      <c r="G156" s="1783">
        <v>1124.48</v>
      </c>
      <c r="H156" s="1783">
        <v>1364.55</v>
      </c>
      <c r="I156" s="1783">
        <v>875</v>
      </c>
    </row>
    <row r="157" spans="2:9" ht="16.5" hidden="1">
      <c r="B157" s="1765">
        <v>140</v>
      </c>
      <c r="C157" s="1780" t="s">
        <v>2828</v>
      </c>
      <c r="D157" s="1768" t="s">
        <v>965</v>
      </c>
      <c r="E157" s="1784">
        <v>756.25</v>
      </c>
      <c r="F157" s="1783">
        <v>1171.78</v>
      </c>
      <c r="G157" s="1783">
        <v>1411.3</v>
      </c>
      <c r="H157" s="1783">
        <v>1707.48</v>
      </c>
      <c r="I157" s="1783">
        <v>1220</v>
      </c>
    </row>
    <row r="158" spans="2:9" ht="16.5" hidden="1">
      <c r="B158" s="1765">
        <v>160</v>
      </c>
      <c r="C158" s="1780" t="s">
        <v>2829</v>
      </c>
      <c r="D158" s="1768" t="s">
        <v>965</v>
      </c>
      <c r="E158" s="1784">
        <v>984.23</v>
      </c>
      <c r="F158" s="1783">
        <v>1528.73</v>
      </c>
      <c r="G158" s="1783">
        <v>1841.13</v>
      </c>
      <c r="H158" s="1783">
        <v>2236.85</v>
      </c>
      <c r="I158" s="1783">
        <v>1595</v>
      </c>
    </row>
    <row r="159" spans="2:9" ht="16.5" hidden="1">
      <c r="B159" s="1765">
        <v>180</v>
      </c>
      <c r="C159" s="1780" t="s">
        <v>2830</v>
      </c>
      <c r="D159" s="1768" t="s">
        <v>965</v>
      </c>
      <c r="E159" s="1784">
        <v>1242.45</v>
      </c>
      <c r="F159" s="1783">
        <v>1939.85</v>
      </c>
      <c r="G159" s="1783">
        <v>2328.15</v>
      </c>
      <c r="H159" s="1783">
        <v>2820.4</v>
      </c>
      <c r="I159" s="1783">
        <v>2335</v>
      </c>
    </row>
    <row r="160" spans="2:9" ht="16.5" hidden="1">
      <c r="B160" s="1765">
        <v>200</v>
      </c>
      <c r="C160" s="1780" t="s">
        <v>2831</v>
      </c>
      <c r="D160" s="1768" t="s">
        <v>965</v>
      </c>
      <c r="E160" s="1784">
        <v>1530.1</v>
      </c>
      <c r="F160" s="1783">
        <v>2391.9499999999998</v>
      </c>
      <c r="G160" s="1783">
        <v>2871.28</v>
      </c>
      <c r="H160" s="1783">
        <v>3483.43</v>
      </c>
      <c r="I160" s="1783">
        <v>2995</v>
      </c>
    </row>
    <row r="161" spans="1:37" ht="16.5" hidden="1">
      <c r="B161" s="1765">
        <v>225</v>
      </c>
      <c r="C161" s="1780" t="s">
        <v>2832</v>
      </c>
      <c r="D161" s="1768" t="s">
        <v>965</v>
      </c>
      <c r="E161" s="1784">
        <v>1942.88</v>
      </c>
      <c r="F161" s="1783">
        <v>3018.13</v>
      </c>
      <c r="G161" s="1783">
        <v>3634.68</v>
      </c>
      <c r="H161" s="1783">
        <v>4403.8500000000004</v>
      </c>
      <c r="I161" s="1783">
        <v>4190</v>
      </c>
    </row>
    <row r="162" spans="1:37" ht="16.5" hidden="1">
      <c r="B162" s="1765">
        <v>250</v>
      </c>
      <c r="C162" s="1780" t="s">
        <v>2833</v>
      </c>
      <c r="D162" s="1768" t="s">
        <v>965</v>
      </c>
      <c r="E162" s="1784">
        <v>2386.4499999999998</v>
      </c>
      <c r="F162" s="1783">
        <v>3718</v>
      </c>
      <c r="G162" s="1783">
        <v>4472.33</v>
      </c>
      <c r="H162" s="1783">
        <v>5433.45</v>
      </c>
      <c r="I162" s="1783">
        <v>5285</v>
      </c>
    </row>
    <row r="163" spans="1:37" ht="16.5" hidden="1">
      <c r="B163" s="1765">
        <v>280</v>
      </c>
      <c r="C163" s="1780" t="s">
        <v>2834</v>
      </c>
      <c r="D163" s="1768" t="s">
        <v>965</v>
      </c>
      <c r="E163" s="1784">
        <v>2993.38</v>
      </c>
      <c r="F163" s="1783">
        <v>4657.3999999999996</v>
      </c>
      <c r="G163" s="1783">
        <v>5608.08</v>
      </c>
      <c r="H163" s="1783">
        <v>6812.58</v>
      </c>
      <c r="I163" s="1783">
        <v>7395</v>
      </c>
    </row>
    <row r="164" spans="1:37" ht="16.5" hidden="1">
      <c r="B164" s="1765">
        <v>315</v>
      </c>
      <c r="C164" s="1780" t="s">
        <v>2835</v>
      </c>
      <c r="D164" s="1768" t="s">
        <v>965</v>
      </c>
      <c r="E164" s="1784">
        <v>3789.78</v>
      </c>
      <c r="F164" s="1783">
        <v>5901.23</v>
      </c>
      <c r="G164" s="1783">
        <v>7099.95</v>
      </c>
      <c r="H164" s="1783">
        <v>8609.43</v>
      </c>
      <c r="I164" s="1783">
        <v>9885</v>
      </c>
    </row>
    <row r="165" spans="1:37" ht="16.5" hidden="1">
      <c r="B165" s="1765">
        <v>355</v>
      </c>
      <c r="C165" s="1780" t="s">
        <v>2836</v>
      </c>
      <c r="D165" s="1768" t="s">
        <v>965</v>
      </c>
      <c r="E165" s="1784">
        <v>4803.43</v>
      </c>
      <c r="F165" s="1783">
        <v>7503.93</v>
      </c>
      <c r="G165" s="1783">
        <v>9012.85</v>
      </c>
      <c r="H165" s="1783">
        <v>10922.45</v>
      </c>
      <c r="I165" s="1783"/>
    </row>
    <row r="166" spans="1:37" ht="16.5" hidden="1">
      <c r="B166" s="1765">
        <v>400</v>
      </c>
      <c r="C166" s="1780" t="s">
        <v>2837</v>
      </c>
      <c r="D166" s="1768" t="s">
        <v>965</v>
      </c>
      <c r="E166" s="1784">
        <v>6210.33</v>
      </c>
      <c r="F166" s="1783">
        <v>9719.8799999999992</v>
      </c>
      <c r="G166" s="1783">
        <v>11683.93</v>
      </c>
      <c r="H166" s="1783" t="s">
        <v>44</v>
      </c>
      <c r="I166" s="1783"/>
    </row>
    <row r="167" spans="1:37" ht="16.5" hidden="1">
      <c r="B167" s="1765">
        <v>450</v>
      </c>
      <c r="C167" s="1780" t="s">
        <v>2838</v>
      </c>
      <c r="D167" s="1768" t="s">
        <v>965</v>
      </c>
      <c r="E167" s="1784">
        <v>7856.48</v>
      </c>
      <c r="F167" s="1783">
        <v>12261.43</v>
      </c>
      <c r="G167" s="1783">
        <v>14779.05</v>
      </c>
      <c r="H167" s="1783" t="s">
        <v>44</v>
      </c>
      <c r="I167" s="1783"/>
    </row>
    <row r="168" spans="1:37" ht="16.5" hidden="1">
      <c r="B168" s="1765">
        <v>500</v>
      </c>
      <c r="C168" s="1780" t="s">
        <v>2839</v>
      </c>
      <c r="D168" s="1768" t="s">
        <v>965</v>
      </c>
      <c r="E168" s="1784">
        <v>9713.2800000000007</v>
      </c>
      <c r="F168" s="1783">
        <v>15148.1</v>
      </c>
      <c r="G168" s="1783">
        <v>18219.03</v>
      </c>
      <c r="H168" s="1783" t="s">
        <v>44</v>
      </c>
      <c r="I168" s="1783"/>
    </row>
    <row r="169" spans="1:37" hidden="1"/>
    <row r="170" spans="1:37" hidden="1"/>
    <row r="171" spans="1:37" customFormat="1" hidden="1">
      <c r="A171" s="1764" t="s">
        <v>2840</v>
      </c>
      <c r="B171" s="1764"/>
      <c r="C171" s="513"/>
      <c r="E171" s="1764"/>
      <c r="G171" s="513"/>
    </row>
    <row r="172" spans="1:37" s="1766" customFormat="1" ht="40.9" hidden="1" customHeight="1">
      <c r="B172" s="1765" t="s">
        <v>2773</v>
      </c>
      <c r="C172" s="1765" t="s">
        <v>1035</v>
      </c>
      <c r="D172" s="1765" t="s">
        <v>2774</v>
      </c>
      <c r="E172" s="1765" t="s">
        <v>2775</v>
      </c>
      <c r="F172" s="1765" t="s">
        <v>2776</v>
      </c>
      <c r="G172" s="1765" t="s">
        <v>2777</v>
      </c>
      <c r="H172" s="1765" t="s">
        <v>2778</v>
      </c>
      <c r="I172" s="1765" t="s">
        <v>2779</v>
      </c>
      <c r="J172" s="1765" t="s">
        <v>2780</v>
      </c>
      <c r="K172" s="1765" t="s">
        <v>2781</v>
      </c>
      <c r="L172" s="1765" t="s">
        <v>2782</v>
      </c>
      <c r="M172" s="1765" t="s">
        <v>2783</v>
      </c>
      <c r="N172" s="1765" t="s">
        <v>2784</v>
      </c>
      <c r="O172" s="1765" t="s">
        <v>2785</v>
      </c>
      <c r="P172" s="1765" t="s">
        <v>2786</v>
      </c>
      <c r="Q172" s="1765" t="s">
        <v>2787</v>
      </c>
      <c r="R172" s="1765" t="s">
        <v>2788</v>
      </c>
      <c r="S172" s="1765" t="s">
        <v>2789</v>
      </c>
      <c r="T172" s="1765" t="s">
        <v>2790</v>
      </c>
      <c r="U172" s="1765" t="s">
        <v>2791</v>
      </c>
      <c r="V172" s="1765" t="s">
        <v>2792</v>
      </c>
      <c r="W172" s="1765" t="s">
        <v>2793</v>
      </c>
      <c r="X172" s="1765" t="s">
        <v>2794</v>
      </c>
      <c r="Y172" s="1765" t="s">
        <v>2795</v>
      </c>
      <c r="Z172" s="1765" t="s">
        <v>2796</v>
      </c>
      <c r="AA172" s="1765" t="s">
        <v>2797</v>
      </c>
      <c r="AB172" s="1765" t="s">
        <v>2798</v>
      </c>
      <c r="AC172" s="1765" t="s">
        <v>2799</v>
      </c>
      <c r="AD172" s="1765" t="s">
        <v>2800</v>
      </c>
      <c r="AE172" s="1765" t="s">
        <v>2801</v>
      </c>
      <c r="AF172" s="1765" t="s">
        <v>2802</v>
      </c>
      <c r="AG172" s="1765" t="s">
        <v>2803</v>
      </c>
      <c r="AH172" s="1765" t="s">
        <v>2804</v>
      </c>
      <c r="AI172" s="1765" t="s">
        <v>2805</v>
      </c>
      <c r="AJ172" s="1765" t="s">
        <v>2806</v>
      </c>
      <c r="AK172" s="1765" t="s">
        <v>2807</v>
      </c>
    </row>
    <row r="173" spans="1:37" customFormat="1" ht="16.5" hidden="1">
      <c r="B173" s="1767">
        <v>15</v>
      </c>
      <c r="C173" s="1768" t="s">
        <v>2808</v>
      </c>
      <c r="D173" s="1769">
        <v>172</v>
      </c>
      <c r="E173" s="1769">
        <v>80</v>
      </c>
      <c r="F173" s="1770">
        <v>962</v>
      </c>
      <c r="G173" s="1770">
        <v>893</v>
      </c>
      <c r="H173" s="1770">
        <v>52</v>
      </c>
      <c r="I173" s="1770">
        <v>169</v>
      </c>
      <c r="J173" s="1770">
        <v>47</v>
      </c>
      <c r="K173" s="1770">
        <v>30</v>
      </c>
      <c r="L173" s="1770">
        <v>56</v>
      </c>
      <c r="M173" s="1770"/>
      <c r="N173" s="1770"/>
      <c r="O173" s="1770"/>
      <c r="P173" s="1770">
        <v>139</v>
      </c>
      <c r="Q173" s="1770">
        <v>131</v>
      </c>
      <c r="R173" s="1770"/>
      <c r="S173" s="1770">
        <v>25</v>
      </c>
      <c r="T173" s="1770">
        <v>37</v>
      </c>
      <c r="U173" s="1770">
        <v>50</v>
      </c>
      <c r="V173" s="1770">
        <v>76</v>
      </c>
      <c r="W173" s="1770">
        <v>113</v>
      </c>
      <c r="X173" s="1770">
        <v>151</v>
      </c>
      <c r="Y173" s="1770">
        <v>227</v>
      </c>
      <c r="Z173" s="1770">
        <v>964</v>
      </c>
      <c r="AA173" s="1770"/>
      <c r="AB173" s="1770"/>
      <c r="AC173" s="1770">
        <v>924</v>
      </c>
      <c r="AD173" s="1770">
        <v>1134</v>
      </c>
      <c r="AE173" s="1770">
        <v>3756</v>
      </c>
      <c r="AF173" s="1770">
        <v>245</v>
      </c>
      <c r="AG173" s="1770"/>
      <c r="AH173" s="1770">
        <v>1272</v>
      </c>
      <c r="AI173" s="1770"/>
      <c r="AJ173" s="1770">
        <v>1505</v>
      </c>
      <c r="AK173" s="1770">
        <v>514</v>
      </c>
    </row>
    <row r="174" spans="1:37" customFormat="1" ht="16.5" hidden="1">
      <c r="B174" s="1767">
        <v>20</v>
      </c>
      <c r="C174" s="1768" t="s">
        <v>2808</v>
      </c>
      <c r="D174" s="1769">
        <v>220</v>
      </c>
      <c r="E174" s="1769">
        <v>127</v>
      </c>
      <c r="F174" s="1770">
        <v>1198</v>
      </c>
      <c r="G174" s="1770">
        <v>1200</v>
      </c>
      <c r="H174" s="1770">
        <v>94</v>
      </c>
      <c r="I174" s="1770">
        <v>238</v>
      </c>
      <c r="J174" s="1770">
        <v>73</v>
      </c>
      <c r="K174" s="1770">
        <v>40</v>
      </c>
      <c r="L174" s="1770">
        <v>86</v>
      </c>
      <c r="M174" s="1770">
        <v>139</v>
      </c>
      <c r="N174" s="1770">
        <v>103</v>
      </c>
      <c r="O174" s="1770">
        <v>80</v>
      </c>
      <c r="P174" s="1770">
        <v>214</v>
      </c>
      <c r="Q174" s="1770">
        <v>186</v>
      </c>
      <c r="R174" s="1770">
        <v>214</v>
      </c>
      <c r="S174" s="1770">
        <v>37</v>
      </c>
      <c r="T174" s="1770">
        <v>56</v>
      </c>
      <c r="U174" s="1770">
        <v>74</v>
      </c>
      <c r="V174" s="1770">
        <v>113</v>
      </c>
      <c r="W174" s="1770">
        <v>167</v>
      </c>
      <c r="X174" s="1770">
        <v>221</v>
      </c>
      <c r="Y174" s="1770">
        <v>280</v>
      </c>
      <c r="Z174" s="1770">
        <v>1183</v>
      </c>
      <c r="AA174" s="1770"/>
      <c r="AB174" s="1770"/>
      <c r="AC174" s="1770">
        <v>1505</v>
      </c>
      <c r="AD174" s="1770">
        <v>1283</v>
      </c>
      <c r="AE174" s="1770">
        <v>5182</v>
      </c>
      <c r="AF174" s="1770">
        <v>377</v>
      </c>
      <c r="AG174" s="1770"/>
      <c r="AH174" s="1770"/>
      <c r="AI174" s="1770"/>
      <c r="AJ174" s="1770">
        <v>1961</v>
      </c>
      <c r="AK174" s="1770">
        <v>650</v>
      </c>
    </row>
    <row r="175" spans="1:37" customFormat="1" ht="16.5" hidden="1">
      <c r="B175" s="1767">
        <v>25</v>
      </c>
      <c r="C175" s="1768" t="s">
        <v>2808</v>
      </c>
      <c r="D175" s="1769">
        <v>328</v>
      </c>
      <c r="E175" s="1769">
        <v>185</v>
      </c>
      <c r="F175" s="1770">
        <v>1930</v>
      </c>
      <c r="G175" s="1770">
        <v>1775</v>
      </c>
      <c r="H175" s="1770">
        <v>145</v>
      </c>
      <c r="I175" s="1770">
        <v>349</v>
      </c>
      <c r="J175" s="1770">
        <v>100</v>
      </c>
      <c r="K175" s="1770">
        <v>49</v>
      </c>
      <c r="L175" s="1770">
        <v>139</v>
      </c>
      <c r="M175" s="1770">
        <v>204</v>
      </c>
      <c r="N175" s="1770">
        <v>160</v>
      </c>
      <c r="O175" s="1770">
        <v>108</v>
      </c>
      <c r="P175" s="1770">
        <v>328</v>
      </c>
      <c r="Q175" s="1770">
        <v>293</v>
      </c>
      <c r="R175" s="1770">
        <v>319</v>
      </c>
      <c r="S175" s="1770">
        <v>50</v>
      </c>
      <c r="T175" s="1770">
        <v>76</v>
      </c>
      <c r="U175" s="1770">
        <v>101</v>
      </c>
      <c r="V175" s="1770">
        <v>151</v>
      </c>
      <c r="W175" s="1770">
        <v>202</v>
      </c>
      <c r="X175" s="1770">
        <v>251</v>
      </c>
      <c r="Y175" s="1770">
        <v>378</v>
      </c>
      <c r="Z175" s="1770">
        <v>1453</v>
      </c>
      <c r="AA175" s="1770"/>
      <c r="AB175" s="1770"/>
      <c r="AC175" s="1770">
        <v>1859</v>
      </c>
      <c r="AD175" s="1770">
        <v>1556</v>
      </c>
      <c r="AE175" s="1770">
        <v>5746</v>
      </c>
      <c r="AF175" s="1770">
        <v>570</v>
      </c>
      <c r="AG175" s="1770"/>
      <c r="AH175" s="1770"/>
      <c r="AI175" s="1770"/>
      <c r="AJ175" s="1770">
        <v>2879</v>
      </c>
      <c r="AK175" s="1770">
        <v>872</v>
      </c>
    </row>
    <row r="176" spans="1:37" customFormat="1" ht="16.5" hidden="1">
      <c r="B176" s="1767">
        <v>32</v>
      </c>
      <c r="C176" s="1768" t="s">
        <v>2808</v>
      </c>
      <c r="D176" s="1769">
        <v>427</v>
      </c>
      <c r="E176" s="1769">
        <v>296</v>
      </c>
      <c r="F176" s="1770">
        <v>2756</v>
      </c>
      <c r="G176" s="1770">
        <v>2623</v>
      </c>
      <c r="H176" s="1770">
        <v>220</v>
      </c>
      <c r="I176" s="1770">
        <v>480</v>
      </c>
      <c r="J176" s="1770">
        <v>154</v>
      </c>
      <c r="K176" s="1770">
        <v>98</v>
      </c>
      <c r="L176" s="1770">
        <v>217</v>
      </c>
      <c r="M176" s="1770">
        <v>325</v>
      </c>
      <c r="N176" s="1770">
        <v>244</v>
      </c>
      <c r="O176" s="1770">
        <v>168</v>
      </c>
      <c r="P176" s="1770">
        <v>630</v>
      </c>
      <c r="Q176" s="1770">
        <v>509</v>
      </c>
      <c r="R176" s="1770">
        <v>480</v>
      </c>
      <c r="S176" s="1770">
        <v>68</v>
      </c>
      <c r="T176" s="1770">
        <v>102</v>
      </c>
      <c r="U176" s="1770">
        <v>136</v>
      </c>
      <c r="V176" s="1770">
        <v>205</v>
      </c>
      <c r="W176" s="1770">
        <v>307</v>
      </c>
      <c r="X176" s="1770">
        <v>410</v>
      </c>
      <c r="Y176" s="1770">
        <v>614</v>
      </c>
      <c r="Z176" s="1770">
        <v>1699</v>
      </c>
      <c r="AA176" s="1770">
        <v>1038</v>
      </c>
      <c r="AB176" s="1770">
        <v>1038</v>
      </c>
      <c r="AC176" s="1770">
        <v>2956</v>
      </c>
      <c r="AD176" s="1770">
        <v>2690</v>
      </c>
      <c r="AE176" s="1770"/>
      <c r="AF176" s="1770">
        <v>742</v>
      </c>
      <c r="AG176" s="1770"/>
      <c r="AH176" s="1770"/>
      <c r="AI176" s="1770"/>
      <c r="AJ176" s="1770"/>
      <c r="AK176" s="1770">
        <v>1051</v>
      </c>
    </row>
    <row r="177" spans="2:37" customFormat="1" ht="16.5" hidden="1">
      <c r="B177" s="1771">
        <v>40</v>
      </c>
      <c r="C177" s="1768" t="s">
        <v>2808</v>
      </c>
      <c r="D177" s="1769">
        <v>490</v>
      </c>
      <c r="E177" s="1769">
        <v>410</v>
      </c>
      <c r="F177" s="1770">
        <v>3467</v>
      </c>
      <c r="G177" s="1770">
        <v>3035</v>
      </c>
      <c r="H177" s="1770">
        <v>308</v>
      </c>
      <c r="I177" s="1770">
        <v>594</v>
      </c>
      <c r="J177" s="1770">
        <v>208</v>
      </c>
      <c r="K177" s="1770">
        <v>124</v>
      </c>
      <c r="L177" s="1770">
        <v>275</v>
      </c>
      <c r="M177" s="1770">
        <v>451</v>
      </c>
      <c r="N177" s="1770">
        <v>342</v>
      </c>
      <c r="O177" s="1770">
        <v>226</v>
      </c>
      <c r="P177" s="1770">
        <v>952</v>
      </c>
      <c r="Q177" s="1770">
        <v>611</v>
      </c>
      <c r="R177" s="1770">
        <v>611</v>
      </c>
      <c r="S177" s="1770">
        <v>83</v>
      </c>
      <c r="T177" s="1770">
        <v>126</v>
      </c>
      <c r="U177" s="1770">
        <v>166</v>
      </c>
      <c r="V177" s="1770">
        <v>253</v>
      </c>
      <c r="W177" s="1770">
        <v>413</v>
      </c>
      <c r="X177" s="1770">
        <v>505</v>
      </c>
      <c r="Y177" s="1770">
        <v>755</v>
      </c>
      <c r="Z177" s="1770">
        <v>1892</v>
      </c>
      <c r="AA177" s="1770">
        <v>1322</v>
      </c>
      <c r="AB177" s="1770">
        <v>1322</v>
      </c>
      <c r="AC177" s="1770">
        <v>3713</v>
      </c>
      <c r="AD177" s="1770">
        <v>4042</v>
      </c>
      <c r="AE177" s="1770"/>
      <c r="AF177" s="1770">
        <v>1322</v>
      </c>
      <c r="AG177" s="1770">
        <v>354</v>
      </c>
      <c r="AH177" s="1770"/>
      <c r="AI177" s="1770">
        <v>6846</v>
      </c>
      <c r="AJ177" s="1770"/>
      <c r="AK177" s="1770">
        <v>2035</v>
      </c>
    </row>
    <row r="178" spans="2:37" customFormat="1" ht="16.5" hidden="1">
      <c r="B178" s="1772">
        <v>50</v>
      </c>
      <c r="C178" s="1768" t="s">
        <v>2808</v>
      </c>
      <c r="D178" s="1769">
        <v>670</v>
      </c>
      <c r="E178" s="1769">
        <v>671</v>
      </c>
      <c r="F178" s="1770">
        <v>5519</v>
      </c>
      <c r="G178" s="1770">
        <v>5033</v>
      </c>
      <c r="H178" s="1770">
        <v>464</v>
      </c>
      <c r="I178" s="1770">
        <v>884</v>
      </c>
      <c r="J178" s="1770">
        <v>306</v>
      </c>
      <c r="K178" s="1770">
        <v>149</v>
      </c>
      <c r="L178" s="1770">
        <v>409</v>
      </c>
      <c r="M178" s="1770">
        <v>737</v>
      </c>
      <c r="N178" s="1770">
        <v>511</v>
      </c>
      <c r="O178" s="1770">
        <v>337</v>
      </c>
      <c r="P178" s="1770">
        <v>1393</v>
      </c>
      <c r="Q178" s="1770">
        <v>990</v>
      </c>
      <c r="R178" s="1770">
        <v>990</v>
      </c>
      <c r="S178" s="1770">
        <v>127</v>
      </c>
      <c r="T178" s="1770">
        <v>188</v>
      </c>
      <c r="U178" s="1770">
        <v>256</v>
      </c>
      <c r="V178" s="1770">
        <v>379</v>
      </c>
      <c r="W178" s="1770">
        <v>569</v>
      </c>
      <c r="X178" s="1770">
        <v>757</v>
      </c>
      <c r="Y178" s="1770">
        <v>1136</v>
      </c>
      <c r="Z178" s="1770">
        <v>2348</v>
      </c>
      <c r="AA178" s="1770">
        <v>1562</v>
      </c>
      <c r="AB178" s="1770">
        <v>1562</v>
      </c>
      <c r="AC178" s="1770">
        <v>4640</v>
      </c>
      <c r="AD178" s="1770">
        <v>5381</v>
      </c>
      <c r="AE178" s="1770"/>
      <c r="AF178" s="1770">
        <v>1961</v>
      </c>
      <c r="AG178" s="1770">
        <v>469</v>
      </c>
      <c r="AH178" s="1770"/>
      <c r="AI178" s="1770">
        <v>9132</v>
      </c>
      <c r="AJ178" s="1770"/>
      <c r="AK178" s="1770">
        <v>3341</v>
      </c>
    </row>
    <row r="179" spans="2:37" customFormat="1" ht="16.5" hidden="1">
      <c r="B179" s="1772">
        <v>65</v>
      </c>
      <c r="C179" s="1768" t="s">
        <v>2808</v>
      </c>
      <c r="D179" s="1769">
        <v>855</v>
      </c>
      <c r="E179" s="1769">
        <v>1054</v>
      </c>
      <c r="F179" s="1770">
        <v>11411</v>
      </c>
      <c r="G179" s="1770">
        <v>10225</v>
      </c>
      <c r="H179" s="1770">
        <v>805</v>
      </c>
      <c r="I179" s="1770">
        <v>1808</v>
      </c>
      <c r="J179" s="1770">
        <v>554</v>
      </c>
      <c r="K179" s="1770">
        <v>214</v>
      </c>
      <c r="L179" s="1770">
        <v>750</v>
      </c>
      <c r="M179" s="1770">
        <v>1160</v>
      </c>
      <c r="N179" s="1770">
        <v>883</v>
      </c>
      <c r="O179" s="1770">
        <v>602</v>
      </c>
      <c r="P179" s="1770">
        <v>3576</v>
      </c>
      <c r="Q179" s="1770">
        <v>1670</v>
      </c>
      <c r="R179" s="1770">
        <v>1906</v>
      </c>
      <c r="S179" s="1770"/>
      <c r="T179" s="1770">
        <v>259</v>
      </c>
      <c r="U179" s="1770">
        <v>347</v>
      </c>
      <c r="V179" s="1770">
        <v>518</v>
      </c>
      <c r="W179" s="1770">
        <v>768</v>
      </c>
      <c r="X179" s="1770">
        <v>1022</v>
      </c>
      <c r="Y179" s="1770">
        <v>1536</v>
      </c>
      <c r="Z179" s="1770">
        <v>3358</v>
      </c>
      <c r="AA179" s="1770">
        <v>1824</v>
      </c>
      <c r="AB179" s="1770">
        <v>1824</v>
      </c>
      <c r="AC179" s="1770">
        <v>9114</v>
      </c>
      <c r="AD179" s="1770"/>
      <c r="AE179" s="1770"/>
      <c r="AF179" s="1770"/>
      <c r="AG179" s="1770">
        <v>1306</v>
      </c>
      <c r="AH179" s="1770"/>
      <c r="AI179" s="1770">
        <v>11406</v>
      </c>
      <c r="AJ179" s="1770"/>
      <c r="AK179" s="1770"/>
    </row>
    <row r="180" spans="2:37" customFormat="1" ht="16.5" hidden="1">
      <c r="B180" s="1768">
        <v>80</v>
      </c>
      <c r="C180" s="1768" t="s">
        <v>2808</v>
      </c>
      <c r="D180" s="1769">
        <v>1060</v>
      </c>
      <c r="E180" s="1769">
        <v>1424</v>
      </c>
      <c r="F180" s="1770">
        <v>14188</v>
      </c>
      <c r="G180" s="1770">
        <v>13657</v>
      </c>
      <c r="H180" s="1770">
        <v>1253</v>
      </c>
      <c r="I180" s="1770">
        <v>2436</v>
      </c>
      <c r="J180" s="1770">
        <v>817</v>
      </c>
      <c r="K180" s="1770">
        <v>437</v>
      </c>
      <c r="L180" s="1770">
        <v>938</v>
      </c>
      <c r="M180" s="1770">
        <v>1568</v>
      </c>
      <c r="N180" s="1770">
        <v>1361</v>
      </c>
      <c r="O180" s="1770">
        <v>860</v>
      </c>
      <c r="P180" s="1770">
        <v>5544</v>
      </c>
      <c r="Q180" s="1770">
        <v>2420</v>
      </c>
      <c r="R180" s="1770">
        <v>2538</v>
      </c>
      <c r="S180" s="1770"/>
      <c r="T180" s="1770">
        <v>378</v>
      </c>
      <c r="U180" s="1770">
        <v>505</v>
      </c>
      <c r="V180" s="1770">
        <v>742</v>
      </c>
      <c r="W180" s="1770">
        <v>1136</v>
      </c>
      <c r="X180" s="1770">
        <v>1514</v>
      </c>
      <c r="Y180" s="1770">
        <v>2249</v>
      </c>
      <c r="Z180" s="1770">
        <v>3488</v>
      </c>
      <c r="AA180" s="1770">
        <v>1950</v>
      </c>
      <c r="AB180" s="1770">
        <v>1950</v>
      </c>
      <c r="AC180" s="1770">
        <v>15060</v>
      </c>
      <c r="AD180" s="1770"/>
      <c r="AE180" s="1770"/>
      <c r="AF180" s="1770"/>
      <c r="AG180" s="1770">
        <v>1727</v>
      </c>
      <c r="AH180" s="1770"/>
      <c r="AI180" s="1770">
        <v>13691</v>
      </c>
      <c r="AJ180" s="1770"/>
      <c r="AK180" s="1770"/>
    </row>
    <row r="181" spans="2:37" customFormat="1" ht="16.5" hidden="1">
      <c r="B181" s="1768">
        <v>100</v>
      </c>
      <c r="C181" s="1768" t="s">
        <v>2808</v>
      </c>
      <c r="D181" s="1769">
        <v>1573</v>
      </c>
      <c r="E181" s="1769">
        <v>2587</v>
      </c>
      <c r="F181" s="1770">
        <v>23238</v>
      </c>
      <c r="G181" s="1770">
        <v>19301</v>
      </c>
      <c r="H181" s="1770">
        <v>2159</v>
      </c>
      <c r="I181" s="1770">
        <v>3210</v>
      </c>
      <c r="J181" s="1770">
        <v>1415</v>
      </c>
      <c r="K181" s="1770">
        <v>838</v>
      </c>
      <c r="L181" s="1770">
        <v>1484</v>
      </c>
      <c r="M181" s="1770">
        <v>2866</v>
      </c>
      <c r="N181" s="1770">
        <v>2410</v>
      </c>
      <c r="O181" s="1770">
        <v>1552</v>
      </c>
      <c r="P181" s="1770">
        <v>7855</v>
      </c>
      <c r="Q181" s="1770">
        <v>3268</v>
      </c>
      <c r="R181" s="1770">
        <v>3367</v>
      </c>
      <c r="S181" s="1770"/>
      <c r="T181" s="1770"/>
      <c r="U181" s="1770">
        <v>649</v>
      </c>
      <c r="V181" s="1770">
        <v>917</v>
      </c>
      <c r="W181" s="1770">
        <v>4871</v>
      </c>
      <c r="X181" s="1770">
        <v>1808</v>
      </c>
      <c r="Y181" s="1770">
        <v>2743</v>
      </c>
      <c r="Z181" s="1770">
        <v>6948</v>
      </c>
      <c r="AA181" s="1770">
        <v>2406</v>
      </c>
      <c r="AB181" s="1770">
        <v>2406</v>
      </c>
      <c r="AC181" s="1770">
        <v>24350</v>
      </c>
      <c r="AD181" s="1770"/>
      <c r="AE181" s="1770"/>
      <c r="AF181" s="1770"/>
      <c r="AG181" s="1770">
        <v>2462</v>
      </c>
      <c r="AH181" s="1770"/>
      <c r="AI181" s="1770">
        <v>18250</v>
      </c>
      <c r="AJ181" s="1770"/>
      <c r="AK181" s="1770"/>
    </row>
    <row r="182" spans="2:37" customFormat="1" ht="16.5" hidden="1">
      <c r="B182" s="1768">
        <v>125</v>
      </c>
      <c r="C182" s="1768" t="s">
        <v>2808</v>
      </c>
      <c r="D182" s="1769">
        <v>2180</v>
      </c>
      <c r="E182" s="1769">
        <v>7160</v>
      </c>
      <c r="F182" s="1770"/>
      <c r="G182" s="1770"/>
      <c r="H182" s="1770">
        <v>5342</v>
      </c>
      <c r="I182" s="1770">
        <v>7160</v>
      </c>
      <c r="J182" s="1770">
        <v>3534</v>
      </c>
      <c r="K182" s="1770"/>
      <c r="L182" s="1770"/>
      <c r="M182" s="1770">
        <v>7884</v>
      </c>
      <c r="N182" s="1770">
        <v>5878</v>
      </c>
      <c r="O182" s="1770">
        <v>4436</v>
      </c>
      <c r="P182" s="1770"/>
      <c r="Q182" s="1770"/>
      <c r="R182" s="1770"/>
      <c r="S182" s="1770"/>
      <c r="T182" s="1770"/>
      <c r="U182" s="1770"/>
      <c r="V182" s="1770"/>
      <c r="W182" s="1770"/>
      <c r="X182" s="1770"/>
      <c r="Y182" s="1770"/>
      <c r="Z182" s="1770"/>
      <c r="AA182" s="1770">
        <v>3358</v>
      </c>
      <c r="AB182" s="1770">
        <v>3814</v>
      </c>
      <c r="AC182" s="1770"/>
      <c r="AD182" s="1770"/>
      <c r="AE182" s="1770"/>
      <c r="AF182" s="1770"/>
      <c r="AG182" s="1770"/>
      <c r="AH182" s="1770"/>
      <c r="AI182" s="1770">
        <v>27737</v>
      </c>
      <c r="AJ182" s="1770"/>
      <c r="AK182" s="1770"/>
    </row>
    <row r="183" spans="2:37" customFormat="1" ht="16.5" hidden="1">
      <c r="B183" s="1767">
        <v>150</v>
      </c>
      <c r="C183" s="1768" t="s">
        <v>2808</v>
      </c>
      <c r="D183" s="1769">
        <v>2633</v>
      </c>
      <c r="E183" s="1769">
        <v>8259</v>
      </c>
      <c r="F183" s="1770"/>
      <c r="G183" s="1770"/>
      <c r="H183" s="1770">
        <v>6430</v>
      </c>
      <c r="I183" s="1770">
        <v>8663</v>
      </c>
      <c r="J183" s="1770">
        <v>4752</v>
      </c>
      <c r="K183" s="1770"/>
      <c r="L183" s="1770"/>
      <c r="M183" s="1770">
        <v>9126</v>
      </c>
      <c r="N183" s="1770">
        <v>7073</v>
      </c>
      <c r="O183" s="1770">
        <v>5216</v>
      </c>
      <c r="P183" s="1770"/>
      <c r="Q183" s="1770"/>
      <c r="R183" s="1770"/>
      <c r="S183" s="1770"/>
      <c r="T183" s="1770"/>
      <c r="U183" s="1770"/>
      <c r="V183" s="1770"/>
      <c r="W183" s="1770"/>
      <c r="X183" s="1770"/>
      <c r="Y183" s="1770"/>
      <c r="Z183" s="1770"/>
      <c r="AA183" s="1770">
        <v>3505</v>
      </c>
      <c r="AB183" s="1770">
        <v>3505</v>
      </c>
      <c r="AC183" s="1770"/>
      <c r="AD183" s="1770"/>
      <c r="AE183" s="1770"/>
      <c r="AF183" s="1770"/>
      <c r="AG183" s="1770"/>
      <c r="AH183" s="1770"/>
      <c r="AI183" s="1770">
        <v>33288</v>
      </c>
      <c r="AJ183" s="1770"/>
      <c r="AK183" s="1770"/>
    </row>
    <row r="184" spans="2:37" customFormat="1" ht="16.5" hidden="1">
      <c r="B184" s="1768">
        <v>200</v>
      </c>
      <c r="C184" s="1768" t="s">
        <v>2808</v>
      </c>
      <c r="D184" s="1769">
        <v>4003</v>
      </c>
      <c r="E184" s="1770"/>
      <c r="F184" s="1770"/>
      <c r="G184" s="1770"/>
      <c r="H184" s="1770"/>
      <c r="I184" s="1770"/>
      <c r="J184" s="1770"/>
      <c r="K184" s="1770"/>
      <c r="L184" s="1770"/>
      <c r="M184" s="1770"/>
      <c r="N184" s="1770"/>
      <c r="O184" s="1770"/>
      <c r="P184" s="1770"/>
      <c r="Q184" s="1770"/>
      <c r="R184" s="1770"/>
      <c r="S184" s="1770"/>
      <c r="T184" s="1770"/>
      <c r="U184" s="1770"/>
      <c r="V184" s="1770"/>
      <c r="W184" s="1770"/>
      <c r="X184" s="1770"/>
      <c r="Y184" s="1770"/>
      <c r="Z184" s="1770"/>
      <c r="AA184" s="1770">
        <v>7627</v>
      </c>
      <c r="AB184" s="1770">
        <v>7627</v>
      </c>
      <c r="AC184" s="1770"/>
      <c r="AD184" s="1770"/>
      <c r="AE184" s="1770"/>
      <c r="AF184" s="1770"/>
      <c r="AG184" s="1770"/>
      <c r="AH184" s="1770"/>
      <c r="AI184" s="1770">
        <v>46603</v>
      </c>
      <c r="AJ184" s="1770"/>
      <c r="AK184" s="1770"/>
    </row>
  </sheetData>
  <mergeCells count="1">
    <mergeCell ref="B60:F60"/>
  </mergeCells>
  <pageMargins left="1.25" right="0.75" top="1" bottom="0.5" header="0.5" footer="0.5"/>
  <pageSetup paperSize="9" orientation="portrait" horizontalDpi="180" verticalDpi="180" r:id="rId1"/>
  <headerFooter alignWithMargins="0"/>
  <rowBreaks count="1" manualBreakCount="1">
    <brk id="42" max="65535" man="1"/>
  </rowBreaks>
  <drawing r:id="rId2"/>
  <legacyDrawing r:id="rId3"/>
  <mc:AlternateContent xmlns:mc="http://schemas.openxmlformats.org/markup-compatibility/2006">
    <mc:Choice Requires="x14">
      <controls>
        <mc:AlternateContent xmlns:mc="http://schemas.openxmlformats.org/markup-compatibility/2006">
          <mc:Choice Requires="x14">
            <control shapeId="7169" r:id="rId4" name="Button 1">
              <controlPr defaultSize="0" print="0" autoFill="0" autoPict="0" macro="[0]!Macro35">
                <anchor moveWithCells="1" sizeWithCells="1">
                  <from>
                    <xdr:col>2</xdr:col>
                    <xdr:colOff>19050</xdr:colOff>
                    <xdr:row>40</xdr:row>
                    <xdr:rowOff>190500</xdr:rowOff>
                  </from>
                  <to>
                    <xdr:col>5</xdr:col>
                    <xdr:colOff>38100</xdr:colOff>
                    <xdr:row>42</xdr:row>
                    <xdr:rowOff>28575</xdr:rowOff>
                  </to>
                </anchor>
              </controlPr>
            </control>
          </mc:Choice>
        </mc:AlternateContent>
        <mc:AlternateContent xmlns:mc="http://schemas.openxmlformats.org/markup-compatibility/2006">
          <mc:Choice Requires="x14">
            <control shapeId="7170" r:id="rId5" name="Button 2">
              <controlPr defaultSize="0" print="0" autoFill="0" autoPict="0">
                <anchor moveWithCells="1" sizeWithCells="1">
                  <from>
                    <xdr:col>2</xdr:col>
                    <xdr:colOff>19050</xdr:colOff>
                    <xdr:row>40</xdr:row>
                    <xdr:rowOff>190500</xdr:rowOff>
                  </from>
                  <to>
                    <xdr:col>5</xdr:col>
                    <xdr:colOff>38100</xdr:colOff>
                    <xdr:row>42</xdr:row>
                    <xdr:rowOff>28575</xdr:rowOff>
                  </to>
                </anchor>
              </controlPr>
            </control>
          </mc:Choice>
        </mc:AlternateContent>
      </controls>
    </mc:Choice>
  </mc:AlternateConten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J140"/>
  <sheetViews>
    <sheetView zoomScale="160" zoomScaleNormal="160" workbookViewId="0">
      <selection activeCell="H66" sqref="H66"/>
    </sheetView>
  </sheetViews>
  <sheetFormatPr defaultColWidth="9.140625" defaultRowHeight="11.25"/>
  <cols>
    <col min="1" max="1" width="3.28515625" style="239" customWidth="1"/>
    <col min="2" max="2" width="22.85546875" style="239" customWidth="1"/>
    <col min="3" max="3" width="7.140625" style="239" customWidth="1"/>
    <col min="4" max="4" width="7.5703125" style="239" customWidth="1"/>
    <col min="5" max="5" width="7.42578125" style="239" customWidth="1"/>
    <col min="6" max="6" width="9.140625" style="239"/>
    <col min="7" max="7" width="11.42578125" style="410" customWidth="1"/>
    <col min="8" max="8" width="9.85546875" style="239" bestFit="1" customWidth="1"/>
    <col min="9" max="16384" width="9.140625" style="239"/>
  </cols>
  <sheetData>
    <row r="1" spans="1:10">
      <c r="A1" s="238" t="s">
        <v>403</v>
      </c>
      <c r="B1" s="238"/>
      <c r="C1" s="238"/>
      <c r="D1" s="238"/>
      <c r="E1" s="238"/>
      <c r="F1" s="238"/>
      <c r="G1" s="400"/>
      <c r="H1" s="238"/>
      <c r="I1" s="238"/>
    </row>
    <row r="2" spans="1:10">
      <c r="A2" s="3074" t="s">
        <v>404</v>
      </c>
      <c r="B2" s="3074"/>
      <c r="C2" s="3074"/>
      <c r="D2" s="3074"/>
      <c r="E2" s="3074"/>
      <c r="F2" s="3074"/>
      <c r="G2" s="3074"/>
      <c r="H2" s="3074"/>
      <c r="I2" s="3074"/>
    </row>
    <row r="3" spans="1:10" ht="15.75" customHeight="1">
      <c r="A3" s="3075" t="s">
        <v>81</v>
      </c>
      <c r="B3" s="3075"/>
      <c r="C3" s="3075"/>
      <c r="D3" s="3075"/>
      <c r="E3" s="3075"/>
      <c r="F3" s="3075"/>
      <c r="G3" s="3075"/>
      <c r="H3" s="3075"/>
      <c r="I3" s="3075"/>
    </row>
    <row r="4" spans="1:10">
      <c r="A4" s="100" t="s">
        <v>405</v>
      </c>
      <c r="B4" s="240" t="s">
        <v>406</v>
      </c>
      <c r="C4" s="241" t="s">
        <v>1035</v>
      </c>
      <c r="D4" s="116" t="s">
        <v>407</v>
      </c>
      <c r="E4" s="23" t="s">
        <v>408</v>
      </c>
      <c r="F4" s="15"/>
      <c r="G4" s="401" t="s">
        <v>409</v>
      </c>
      <c r="H4" s="242" t="s">
        <v>1108</v>
      </c>
      <c r="I4" s="12" t="s">
        <v>1055</v>
      </c>
    </row>
    <row r="5" spans="1:10">
      <c r="A5" s="243"/>
      <c r="B5" s="17"/>
      <c r="C5" s="244"/>
      <c r="D5" s="245" t="s">
        <v>410</v>
      </c>
      <c r="E5" s="12" t="s">
        <v>97</v>
      </c>
      <c r="F5" s="245" t="s">
        <v>52</v>
      </c>
      <c r="G5" s="402" t="s">
        <v>411</v>
      </c>
      <c r="H5" s="246" t="s">
        <v>412</v>
      </c>
      <c r="I5" s="17"/>
    </row>
    <row r="6" spans="1:10">
      <c r="A6" s="243"/>
      <c r="B6" s="17"/>
      <c r="C6" s="244"/>
      <c r="D6" s="245" t="s">
        <v>1034</v>
      </c>
      <c r="E6" s="16" t="s">
        <v>107</v>
      </c>
      <c r="F6" s="246" t="s">
        <v>107</v>
      </c>
      <c r="G6" s="403" t="s">
        <v>113</v>
      </c>
      <c r="H6" s="16" t="s">
        <v>107</v>
      </c>
      <c r="I6" s="17"/>
    </row>
    <row r="7" spans="1:10">
      <c r="A7" s="247"/>
      <c r="B7" s="22"/>
      <c r="C7" s="248">
        <v>1</v>
      </c>
      <c r="D7" s="95">
        <v>2</v>
      </c>
      <c r="E7" s="95">
        <v>3</v>
      </c>
      <c r="F7" s="95" t="s">
        <v>413</v>
      </c>
      <c r="G7" s="404">
        <v>5</v>
      </c>
      <c r="H7" s="72" t="s">
        <v>414</v>
      </c>
      <c r="I7" s="22"/>
    </row>
    <row r="8" spans="1:10" ht="12.75" customHeight="1">
      <c r="A8" s="59">
        <v>1</v>
      </c>
      <c r="B8" s="59" t="s">
        <v>170</v>
      </c>
      <c r="C8" s="95" t="s">
        <v>171</v>
      </c>
      <c r="D8" s="95">
        <v>50</v>
      </c>
      <c r="E8" s="249"/>
      <c r="F8" s="249"/>
      <c r="G8" s="399"/>
      <c r="H8" s="2853">
        <f>'Mat-Collect_2'!G42</f>
        <v>640</v>
      </c>
      <c r="I8" s="59"/>
    </row>
    <row r="9" spans="1:10" ht="12.75" customHeight="1">
      <c r="A9" s="59">
        <f t="shared" ref="A9:A72" si="0">A8+1</f>
        <v>2</v>
      </c>
      <c r="B9" s="59" t="s">
        <v>415</v>
      </c>
      <c r="C9" s="95" t="s">
        <v>1034</v>
      </c>
      <c r="D9" s="95">
        <v>1</v>
      </c>
      <c r="E9" s="249"/>
      <c r="F9" s="249"/>
      <c r="G9" s="399"/>
      <c r="H9" s="2853">
        <f>'Mat-Collect_2'!G52/1000</f>
        <v>100</v>
      </c>
      <c r="I9" s="59"/>
    </row>
    <row r="10" spans="1:10" ht="9.9499999999999993" customHeight="1">
      <c r="A10" s="59">
        <f t="shared" si="0"/>
        <v>3</v>
      </c>
      <c r="B10" s="59" t="s">
        <v>416</v>
      </c>
      <c r="C10" s="95" t="s">
        <v>1034</v>
      </c>
      <c r="D10" s="95">
        <v>1</v>
      </c>
      <c r="E10" s="249">
        <f>Transp_1!$I$11</f>
        <v>0</v>
      </c>
      <c r="F10" s="249">
        <f t="shared" ref="F10:F52" si="1">D10*E10</f>
        <v>0</v>
      </c>
      <c r="G10" s="399">
        <f>'Entry for Rates'!F65</f>
        <v>117</v>
      </c>
      <c r="H10" s="2853">
        <f t="shared" ref="H10:H56" si="2">G10+F10</f>
        <v>117</v>
      </c>
      <c r="I10" s="59"/>
    </row>
    <row r="11" spans="1:10" ht="9.9499999999999993" customHeight="1">
      <c r="A11" s="59">
        <f t="shared" si="0"/>
        <v>4</v>
      </c>
      <c r="B11" s="2850" t="s">
        <v>417</v>
      </c>
      <c r="C11" s="95" t="s">
        <v>1034</v>
      </c>
      <c r="D11" s="95">
        <v>1</v>
      </c>
      <c r="E11" s="249">
        <f>Transp_1!$I$11</f>
        <v>0</v>
      </c>
      <c r="F11" s="249">
        <f t="shared" si="1"/>
        <v>0</v>
      </c>
      <c r="G11" s="2851">
        <v>92</v>
      </c>
      <c r="H11" s="249">
        <f t="shared" si="2"/>
        <v>92</v>
      </c>
      <c r="I11" s="59"/>
    </row>
    <row r="12" spans="1:10" ht="9.9499999999999993" customHeight="1">
      <c r="A12" s="59">
        <f t="shared" si="0"/>
        <v>5</v>
      </c>
      <c r="B12" s="59" t="s">
        <v>193</v>
      </c>
      <c r="C12" s="95" t="s">
        <v>1034</v>
      </c>
      <c r="D12" s="95">
        <v>1</v>
      </c>
      <c r="E12" s="249">
        <f>Transp_1!$I$11</f>
        <v>0</v>
      </c>
      <c r="F12" s="249">
        <f t="shared" si="1"/>
        <v>0</v>
      </c>
      <c r="G12" s="399">
        <v>120</v>
      </c>
      <c r="H12" s="2853">
        <f t="shared" si="2"/>
        <v>120</v>
      </c>
      <c r="I12" s="59"/>
    </row>
    <row r="13" spans="1:10" ht="9.9499999999999993" customHeight="1">
      <c r="A13" s="59">
        <f t="shared" si="0"/>
        <v>6</v>
      </c>
      <c r="B13" s="59" t="s">
        <v>418</v>
      </c>
      <c r="C13" s="95" t="s">
        <v>1034</v>
      </c>
      <c r="D13" s="95">
        <v>1</v>
      </c>
      <c r="E13" s="249">
        <f>Transp_1!$I$11</f>
        <v>0</v>
      </c>
      <c r="F13" s="249">
        <f t="shared" si="1"/>
        <v>0</v>
      </c>
      <c r="G13" s="399">
        <f>'Entry for Rates'!F64</f>
        <v>120</v>
      </c>
      <c r="H13" s="2853">
        <f t="shared" si="2"/>
        <v>120</v>
      </c>
      <c r="I13" s="59"/>
    </row>
    <row r="14" spans="1:10" ht="9.9499999999999993" customHeight="1">
      <c r="A14" s="59">
        <f t="shared" si="0"/>
        <v>7</v>
      </c>
      <c r="B14" s="59" t="s">
        <v>419</v>
      </c>
      <c r="C14" s="95" t="s">
        <v>420</v>
      </c>
      <c r="D14" s="250">
        <v>0.4</v>
      </c>
      <c r="E14" s="249">
        <f>Transp_1!$I$11</f>
        <v>0</v>
      </c>
      <c r="F14" s="249">
        <f t="shared" si="1"/>
        <v>0</v>
      </c>
      <c r="G14" s="399">
        <f>'Entry for Rates'!F67</f>
        <v>86</v>
      </c>
      <c r="H14" s="2853">
        <f t="shared" si="2"/>
        <v>86</v>
      </c>
      <c r="I14" s="59"/>
    </row>
    <row r="15" spans="1:10" ht="9.9499999999999993" customHeight="1">
      <c r="A15" s="59">
        <f t="shared" si="0"/>
        <v>8</v>
      </c>
      <c r="B15" s="59" t="s">
        <v>421</v>
      </c>
      <c r="C15" s="95" t="s">
        <v>1034</v>
      </c>
      <c r="D15" s="250">
        <v>1</v>
      </c>
      <c r="E15" s="249">
        <f>Transp_1!$K$11</f>
        <v>0</v>
      </c>
      <c r="F15" s="249">
        <f t="shared" si="1"/>
        <v>0</v>
      </c>
      <c r="G15" s="399">
        <f>'Entry for Rates'!F70</f>
        <v>115</v>
      </c>
      <c r="H15" s="2853">
        <f t="shared" si="2"/>
        <v>115</v>
      </c>
      <c r="I15" s="59"/>
      <c r="J15" s="470">
        <f>H15/7</f>
        <v>16.428571428571427</v>
      </c>
    </row>
    <row r="16" spans="1:10" ht="9.9499999999999993" customHeight="1">
      <c r="A16" s="59">
        <f t="shared" si="0"/>
        <v>9</v>
      </c>
      <c r="B16" s="59" t="s">
        <v>422</v>
      </c>
      <c r="C16" s="95" t="s">
        <v>1034</v>
      </c>
      <c r="D16" s="95">
        <v>1</v>
      </c>
      <c r="E16" s="249">
        <f>Transp_1!$I$11</f>
        <v>0</v>
      </c>
      <c r="F16" s="249">
        <f t="shared" si="1"/>
        <v>0</v>
      </c>
      <c r="G16" s="399">
        <v>100</v>
      </c>
      <c r="H16" s="249">
        <f t="shared" si="2"/>
        <v>100</v>
      </c>
      <c r="I16" s="59"/>
    </row>
    <row r="17" spans="1:9" ht="9.9499999999999993" customHeight="1">
      <c r="A17" s="59">
        <f t="shared" si="0"/>
        <v>10</v>
      </c>
      <c r="B17" s="59" t="s">
        <v>423</v>
      </c>
      <c r="C17" s="95" t="s">
        <v>420</v>
      </c>
      <c r="D17" s="95">
        <v>3.65</v>
      </c>
      <c r="E17" s="249">
        <f>Transp_1!$K$11</f>
        <v>0</v>
      </c>
      <c r="F17" s="249">
        <f t="shared" si="1"/>
        <v>0</v>
      </c>
      <c r="G17" s="399">
        <f>'Entry for Rates'!F71</f>
        <v>462.70571428571429</v>
      </c>
      <c r="H17" s="2853">
        <f t="shared" si="2"/>
        <v>462.70571428571429</v>
      </c>
      <c r="I17" s="59"/>
    </row>
    <row r="18" spans="1:9" ht="9.9499999999999993" customHeight="1">
      <c r="A18" s="59">
        <f t="shared" si="0"/>
        <v>11</v>
      </c>
      <c r="B18" s="59" t="s">
        <v>424</v>
      </c>
      <c r="C18" s="95" t="s">
        <v>1034</v>
      </c>
      <c r="D18" s="95">
        <v>1</v>
      </c>
      <c r="E18" s="249">
        <f>Transp_1!$I$11</f>
        <v>0</v>
      </c>
      <c r="F18" s="249">
        <f t="shared" si="1"/>
        <v>0</v>
      </c>
      <c r="G18" s="399">
        <f>'Entry for Rates'!F66</f>
        <v>132</v>
      </c>
      <c r="H18" s="2853">
        <f t="shared" si="2"/>
        <v>132</v>
      </c>
      <c r="I18" s="59"/>
    </row>
    <row r="19" spans="1:9" ht="9.9499999999999993" customHeight="1">
      <c r="A19" s="59">
        <f t="shared" si="0"/>
        <v>12</v>
      </c>
      <c r="B19" s="59" t="s">
        <v>425</v>
      </c>
      <c r="C19" s="95" t="s">
        <v>420</v>
      </c>
      <c r="D19" s="95"/>
      <c r="E19" s="249"/>
      <c r="F19" s="249">
        <f t="shared" si="1"/>
        <v>0</v>
      </c>
      <c r="G19" s="399">
        <f>'Entry for Rates'!F78</f>
        <v>33</v>
      </c>
      <c r="H19" s="2853">
        <f t="shared" si="2"/>
        <v>33</v>
      </c>
      <c r="I19" s="59"/>
    </row>
    <row r="20" spans="1:9" ht="9.9499999999999993" customHeight="1">
      <c r="A20" s="59">
        <f t="shared" si="0"/>
        <v>13</v>
      </c>
      <c r="B20" s="59" t="s">
        <v>301</v>
      </c>
      <c r="C20" s="95" t="s">
        <v>426</v>
      </c>
      <c r="D20" s="95">
        <v>1</v>
      </c>
      <c r="E20" s="249">
        <f>Transp_1!$I$11</f>
        <v>0</v>
      </c>
      <c r="F20" s="249">
        <f t="shared" si="1"/>
        <v>0</v>
      </c>
      <c r="G20" s="399">
        <f>'Entry for Rates'!F76</f>
        <v>249.73</v>
      </c>
      <c r="H20" s="249">
        <f t="shared" si="2"/>
        <v>249.73</v>
      </c>
      <c r="I20" s="59"/>
    </row>
    <row r="21" spans="1:9" ht="9.9499999999999993" customHeight="1">
      <c r="A21" s="59">
        <f t="shared" si="0"/>
        <v>14</v>
      </c>
      <c r="B21" s="59" t="s">
        <v>427</v>
      </c>
      <c r="C21" s="95" t="s">
        <v>1034</v>
      </c>
      <c r="D21" s="95">
        <v>1</v>
      </c>
      <c r="E21" s="249">
        <f>Transp_1!$I$11</f>
        <v>0</v>
      </c>
      <c r="F21" s="249">
        <f t="shared" si="1"/>
        <v>0</v>
      </c>
      <c r="G21" s="399">
        <v>38</v>
      </c>
      <c r="H21" s="249">
        <f t="shared" si="2"/>
        <v>38</v>
      </c>
      <c r="I21" s="59"/>
    </row>
    <row r="22" spans="1:9" ht="9.9499999999999993" customHeight="1">
      <c r="A22" s="59">
        <f t="shared" si="0"/>
        <v>15</v>
      </c>
      <c r="B22" s="59" t="s">
        <v>428</v>
      </c>
      <c r="C22" s="95" t="s">
        <v>1034</v>
      </c>
      <c r="D22" s="95">
        <v>1</v>
      </c>
      <c r="E22" s="249">
        <f>Transp_1!$I$11</f>
        <v>0</v>
      </c>
      <c r="F22" s="249">
        <f t="shared" si="1"/>
        <v>0</v>
      </c>
      <c r="G22" s="399">
        <f>'Entry for Rates'!F79</f>
        <v>117</v>
      </c>
      <c r="H22" s="2853">
        <f t="shared" si="2"/>
        <v>117</v>
      </c>
      <c r="I22" s="59"/>
    </row>
    <row r="23" spans="1:9" ht="9.9499999999999993" customHeight="1">
      <c r="A23" s="59">
        <f t="shared" si="0"/>
        <v>16</v>
      </c>
      <c r="B23" s="59" t="s">
        <v>331</v>
      </c>
      <c r="C23" s="95" t="s">
        <v>426</v>
      </c>
      <c r="D23" s="95">
        <v>1</v>
      </c>
      <c r="E23" s="249">
        <f>Transp_1!$I$11</f>
        <v>0</v>
      </c>
      <c r="F23" s="249">
        <f t="shared" si="1"/>
        <v>0</v>
      </c>
      <c r="G23" s="399">
        <f>'Entry for Rates'!F80</f>
        <v>174.33628318584073</v>
      </c>
      <c r="H23" s="2853">
        <f t="shared" si="2"/>
        <v>174.33628318584073</v>
      </c>
      <c r="I23" s="59"/>
    </row>
    <row r="24" spans="1:9" ht="9.9499999999999993" customHeight="1">
      <c r="A24" s="59">
        <f t="shared" si="0"/>
        <v>17</v>
      </c>
      <c r="B24" s="59" t="s">
        <v>429</v>
      </c>
      <c r="C24" s="95" t="s">
        <v>1034</v>
      </c>
      <c r="D24" s="95">
        <v>1</v>
      </c>
      <c r="E24" s="249">
        <f>Transp_1!$I$11</f>
        <v>0</v>
      </c>
      <c r="F24" s="249">
        <f t="shared" si="1"/>
        <v>0</v>
      </c>
      <c r="G24" s="399">
        <f>'Entry for Rates'!F77</f>
        <v>69</v>
      </c>
      <c r="H24" s="2853">
        <f t="shared" si="2"/>
        <v>69</v>
      </c>
      <c r="I24" s="59"/>
    </row>
    <row r="25" spans="1:9" ht="9.9499999999999993" customHeight="1">
      <c r="A25" s="59">
        <f t="shared" si="0"/>
        <v>18</v>
      </c>
      <c r="B25" s="59" t="s">
        <v>298</v>
      </c>
      <c r="C25" s="95" t="s">
        <v>426</v>
      </c>
      <c r="D25" s="95">
        <v>1</v>
      </c>
      <c r="E25" s="249">
        <f>Transp_1!$I$11</f>
        <v>0</v>
      </c>
      <c r="F25" s="249">
        <f t="shared" si="1"/>
        <v>0</v>
      </c>
      <c r="G25" s="399">
        <f>'Entry for Rates'!F75</f>
        <v>534</v>
      </c>
      <c r="H25" s="2853">
        <f t="shared" si="2"/>
        <v>534</v>
      </c>
      <c r="I25" s="59"/>
    </row>
    <row r="26" spans="1:9" ht="9.9499999999999993" customHeight="1">
      <c r="A26" s="59">
        <f t="shared" si="0"/>
        <v>19</v>
      </c>
      <c r="B26" s="59" t="s">
        <v>294</v>
      </c>
      <c r="C26" s="95" t="s">
        <v>426</v>
      </c>
      <c r="D26" s="95">
        <v>1</v>
      </c>
      <c r="E26" s="249">
        <f>Transp_1!$I$11</f>
        <v>0</v>
      </c>
      <c r="F26" s="249">
        <f t="shared" si="1"/>
        <v>0</v>
      </c>
      <c r="G26" s="399">
        <f>'Entry for Rates'!F74</f>
        <v>288</v>
      </c>
      <c r="H26" s="2853">
        <f t="shared" si="2"/>
        <v>288</v>
      </c>
      <c r="I26" s="59"/>
    </row>
    <row r="27" spans="1:9" ht="9.9499999999999993" customHeight="1">
      <c r="A27" s="59">
        <f t="shared" si="0"/>
        <v>20</v>
      </c>
      <c r="B27" s="59" t="s">
        <v>430</v>
      </c>
      <c r="C27" s="95" t="s">
        <v>1034</v>
      </c>
      <c r="D27" s="95">
        <v>1</v>
      </c>
      <c r="E27" s="249">
        <f>Transp_1!$I$11</f>
        <v>0</v>
      </c>
      <c r="F27" s="249">
        <f t="shared" si="1"/>
        <v>0</v>
      </c>
      <c r="G27" s="399">
        <v>100.1</v>
      </c>
      <c r="H27" s="249">
        <f t="shared" si="2"/>
        <v>100.1</v>
      </c>
      <c r="I27" s="59"/>
    </row>
    <row r="28" spans="1:9" ht="9.9499999999999993" customHeight="1">
      <c r="A28" s="59">
        <f t="shared" si="0"/>
        <v>21</v>
      </c>
      <c r="B28" s="59" t="s">
        <v>431</v>
      </c>
      <c r="C28" s="95" t="s">
        <v>1034</v>
      </c>
      <c r="D28" s="95">
        <v>1</v>
      </c>
      <c r="E28" s="249">
        <f>Transp_1!$I$11</f>
        <v>0</v>
      </c>
      <c r="F28" s="249">
        <f t="shared" si="1"/>
        <v>0</v>
      </c>
      <c r="G28" s="399">
        <v>100.1</v>
      </c>
      <c r="H28" s="249">
        <f t="shared" si="2"/>
        <v>100.1</v>
      </c>
      <c r="I28" s="59"/>
    </row>
    <row r="29" spans="1:9" ht="9.9499999999999993" customHeight="1">
      <c r="A29" s="59">
        <f t="shared" si="0"/>
        <v>22</v>
      </c>
      <c r="B29" s="59" t="s">
        <v>432</v>
      </c>
      <c r="C29" s="95" t="s">
        <v>1034</v>
      </c>
      <c r="D29" s="95">
        <v>1</v>
      </c>
      <c r="E29" s="249">
        <f>Transp_1!$K$11</f>
        <v>0</v>
      </c>
      <c r="F29" s="249">
        <f t="shared" si="1"/>
        <v>0</v>
      </c>
      <c r="G29" s="399">
        <f>'Entry for Rates'!F69</f>
        <v>93</v>
      </c>
      <c r="H29" s="2853">
        <f t="shared" si="2"/>
        <v>93</v>
      </c>
      <c r="I29" s="59"/>
    </row>
    <row r="30" spans="1:9" ht="9.9499999999999993" customHeight="1">
      <c r="A30" s="59">
        <f t="shared" si="0"/>
        <v>23</v>
      </c>
      <c r="B30" s="59" t="s">
        <v>433</v>
      </c>
      <c r="C30" s="95" t="s">
        <v>420</v>
      </c>
      <c r="D30" s="95">
        <v>3.65</v>
      </c>
      <c r="E30" s="249">
        <f>Transp_1!$K$11</f>
        <v>0</v>
      </c>
      <c r="F30" s="249">
        <f t="shared" si="1"/>
        <v>0</v>
      </c>
      <c r="G30" s="399">
        <f>'Entry for Rates'!F72</f>
        <v>470.62857142857143</v>
      </c>
      <c r="H30" s="2853">
        <f t="shared" si="2"/>
        <v>470.62857142857143</v>
      </c>
      <c r="I30" s="395">
        <f>4800/18</f>
        <v>266.66666666666669</v>
      </c>
    </row>
    <row r="31" spans="1:9" ht="9.9499999999999993" customHeight="1">
      <c r="A31" s="59">
        <f t="shared" si="0"/>
        <v>24</v>
      </c>
      <c r="B31" s="59" t="s">
        <v>434</v>
      </c>
      <c r="C31" s="95" t="s">
        <v>435</v>
      </c>
      <c r="D31" s="95">
        <v>1</v>
      </c>
      <c r="E31" s="249">
        <f>Transp_1!$K$11</f>
        <v>0</v>
      </c>
      <c r="F31" s="249">
        <f t="shared" si="1"/>
        <v>0</v>
      </c>
      <c r="G31" s="399">
        <f>'Entry for Rates'!F73</f>
        <v>240</v>
      </c>
      <c r="H31" s="2853">
        <f t="shared" si="2"/>
        <v>240</v>
      </c>
      <c r="I31" s="59"/>
    </row>
    <row r="32" spans="1:9" ht="9.9499999999999993" customHeight="1">
      <c r="A32" s="59">
        <f t="shared" si="0"/>
        <v>25</v>
      </c>
      <c r="B32" s="59" t="s">
        <v>436</v>
      </c>
      <c r="C32" s="95" t="s">
        <v>965</v>
      </c>
      <c r="D32" s="95"/>
      <c r="E32" s="249"/>
      <c r="F32" s="249">
        <f t="shared" si="1"/>
        <v>0</v>
      </c>
      <c r="G32" s="399"/>
      <c r="H32" s="249">
        <f t="shared" si="2"/>
        <v>0</v>
      </c>
      <c r="I32" s="59"/>
    </row>
    <row r="33" spans="1:9" ht="9.9499999999999993" customHeight="1">
      <c r="A33" s="59">
        <f t="shared" si="0"/>
        <v>26</v>
      </c>
      <c r="B33" s="59" t="s">
        <v>437</v>
      </c>
      <c r="C33" s="95" t="s">
        <v>965</v>
      </c>
      <c r="D33" s="95"/>
      <c r="E33" s="249"/>
      <c r="F33" s="249">
        <f t="shared" si="1"/>
        <v>0</v>
      </c>
      <c r="G33" s="399"/>
      <c r="H33" s="249">
        <f t="shared" si="2"/>
        <v>0</v>
      </c>
      <c r="I33" s="59"/>
    </row>
    <row r="34" spans="1:9" ht="9.9499999999999993" customHeight="1">
      <c r="A34" s="59">
        <f t="shared" si="0"/>
        <v>27</v>
      </c>
      <c r="B34" s="59" t="s">
        <v>438</v>
      </c>
      <c r="C34" s="95" t="s">
        <v>963</v>
      </c>
      <c r="D34" s="95">
        <v>1</v>
      </c>
      <c r="E34" s="249"/>
      <c r="F34" s="249">
        <f t="shared" si="1"/>
        <v>0</v>
      </c>
      <c r="G34" s="399">
        <f>'Entry for Rates'!F81</f>
        <v>21.14</v>
      </c>
      <c r="H34" s="2853">
        <f t="shared" si="2"/>
        <v>21.14</v>
      </c>
      <c r="I34" s="59"/>
    </row>
    <row r="35" spans="1:9" ht="9.9499999999999993" customHeight="1">
      <c r="A35" s="59">
        <f t="shared" si="0"/>
        <v>28</v>
      </c>
      <c r="B35" s="59" t="s">
        <v>439</v>
      </c>
      <c r="C35" s="95" t="s">
        <v>963</v>
      </c>
      <c r="D35" s="95">
        <v>1</v>
      </c>
      <c r="E35" s="249"/>
      <c r="F35" s="249">
        <f t="shared" si="1"/>
        <v>0</v>
      </c>
      <c r="G35" s="399">
        <f>'Entry for Rates'!F82</f>
        <v>2</v>
      </c>
      <c r="H35" s="2853">
        <f t="shared" si="2"/>
        <v>2</v>
      </c>
      <c r="I35" s="59"/>
    </row>
    <row r="36" spans="1:9" ht="9.9499999999999993" customHeight="1">
      <c r="A36" s="59">
        <f t="shared" si="0"/>
        <v>29</v>
      </c>
      <c r="B36" s="59" t="s">
        <v>440</v>
      </c>
      <c r="C36" s="95" t="s">
        <v>963</v>
      </c>
      <c r="D36" s="95">
        <v>1</v>
      </c>
      <c r="E36" s="249"/>
      <c r="F36" s="249">
        <f t="shared" si="1"/>
        <v>0</v>
      </c>
      <c r="G36" s="399">
        <f>'Entry for Rates'!F83</f>
        <v>59</v>
      </c>
      <c r="H36" s="2853">
        <f t="shared" si="2"/>
        <v>59</v>
      </c>
      <c r="I36" s="59"/>
    </row>
    <row r="37" spans="1:9" ht="9.9499999999999993" customHeight="1">
      <c r="A37" s="59">
        <f t="shared" si="0"/>
        <v>30</v>
      </c>
      <c r="B37" s="59" t="s">
        <v>441</v>
      </c>
      <c r="C37" s="95" t="s">
        <v>963</v>
      </c>
      <c r="D37" s="95">
        <v>1</v>
      </c>
      <c r="E37" s="249"/>
      <c r="F37" s="249">
        <f t="shared" si="1"/>
        <v>0</v>
      </c>
      <c r="G37" s="399">
        <f>'Entry for Rates'!F84</f>
        <v>71</v>
      </c>
      <c r="H37" s="2853">
        <f t="shared" si="2"/>
        <v>71</v>
      </c>
      <c r="I37" s="59"/>
    </row>
    <row r="38" spans="1:9" ht="9.9499999999999993" customHeight="1">
      <c r="A38" s="59">
        <f t="shared" si="0"/>
        <v>31</v>
      </c>
      <c r="B38" s="59" t="s">
        <v>442</v>
      </c>
      <c r="C38" s="95" t="s">
        <v>963</v>
      </c>
      <c r="D38" s="95">
        <v>1</v>
      </c>
      <c r="E38" s="249"/>
      <c r="F38" s="249">
        <f t="shared" si="1"/>
        <v>0</v>
      </c>
      <c r="G38" s="399">
        <f>'Entry for Rates'!F85</f>
        <v>114</v>
      </c>
      <c r="H38" s="2853">
        <f t="shared" si="2"/>
        <v>114</v>
      </c>
      <c r="I38" s="59"/>
    </row>
    <row r="39" spans="1:9" ht="9.9499999999999993" customHeight="1">
      <c r="A39" s="59">
        <f t="shared" si="0"/>
        <v>32</v>
      </c>
      <c r="B39" s="59" t="s">
        <v>443</v>
      </c>
      <c r="C39" s="95" t="s">
        <v>1034</v>
      </c>
      <c r="D39" s="95">
        <v>1</v>
      </c>
      <c r="E39" s="249">
        <f>Transp_1!$I$11</f>
        <v>0</v>
      </c>
      <c r="F39" s="249">
        <f t="shared" si="1"/>
        <v>0</v>
      </c>
      <c r="G39" s="399">
        <f>'Entry for Rates'!F88</f>
        <v>12.18</v>
      </c>
      <c r="H39" s="2853">
        <f t="shared" si="2"/>
        <v>12.18</v>
      </c>
      <c r="I39" s="59"/>
    </row>
    <row r="40" spans="1:9" ht="9.9499999999999993" customHeight="1">
      <c r="A40" s="59">
        <f t="shared" si="0"/>
        <v>33</v>
      </c>
      <c r="B40" s="59" t="s">
        <v>444</v>
      </c>
      <c r="C40" s="95" t="s">
        <v>963</v>
      </c>
      <c r="D40" s="95">
        <v>1</v>
      </c>
      <c r="E40" s="249"/>
      <c r="F40" s="249">
        <f t="shared" si="1"/>
        <v>0</v>
      </c>
      <c r="G40" s="399">
        <f>'Entry for Rates'!F89</f>
        <v>14.6</v>
      </c>
      <c r="H40" s="2853">
        <f t="shared" si="2"/>
        <v>14.6</v>
      </c>
      <c r="I40" s="59"/>
    </row>
    <row r="41" spans="1:9" ht="9.9499999999999993" customHeight="1">
      <c r="A41" s="59">
        <f t="shared" si="0"/>
        <v>34</v>
      </c>
      <c r="B41" s="59" t="s">
        <v>445</v>
      </c>
      <c r="C41" s="95" t="s">
        <v>963</v>
      </c>
      <c r="D41" s="95"/>
      <c r="E41" s="249"/>
      <c r="F41" s="249">
        <f t="shared" si="1"/>
        <v>0</v>
      </c>
      <c r="G41" s="399">
        <f>'Entry for Rates'!F90</f>
        <v>14.6</v>
      </c>
      <c r="H41" s="2853">
        <f t="shared" si="2"/>
        <v>14.6</v>
      </c>
      <c r="I41" s="59"/>
    </row>
    <row r="42" spans="1:9" ht="9.9499999999999993" customHeight="1">
      <c r="A42" s="59">
        <f t="shared" si="0"/>
        <v>35</v>
      </c>
      <c r="B42" s="59" t="s">
        <v>446</v>
      </c>
      <c r="C42" s="95" t="s">
        <v>1087</v>
      </c>
      <c r="D42" s="95">
        <v>1</v>
      </c>
      <c r="E42" s="249"/>
      <c r="F42" s="249">
        <f t="shared" si="1"/>
        <v>0</v>
      </c>
      <c r="G42" s="399">
        <v>3</v>
      </c>
      <c r="H42" s="249">
        <f t="shared" si="2"/>
        <v>3</v>
      </c>
      <c r="I42" s="59"/>
    </row>
    <row r="43" spans="1:9" ht="9.9499999999999993" customHeight="1">
      <c r="A43" s="59">
        <f t="shared" si="0"/>
        <v>36</v>
      </c>
      <c r="B43" s="59" t="s">
        <v>447</v>
      </c>
      <c r="C43" s="95" t="s">
        <v>1034</v>
      </c>
      <c r="D43" s="250">
        <v>1</v>
      </c>
      <c r="E43" s="249">
        <f>Transp_1!$K$11</f>
        <v>0</v>
      </c>
      <c r="F43" s="249">
        <f t="shared" si="1"/>
        <v>0</v>
      </c>
      <c r="G43" s="399">
        <v>100</v>
      </c>
      <c r="H43" s="2853">
        <f t="shared" si="2"/>
        <v>100</v>
      </c>
      <c r="I43" s="59"/>
    </row>
    <row r="44" spans="1:9" ht="9.9499999999999993" customHeight="1">
      <c r="A44" s="59">
        <f t="shared" si="0"/>
        <v>37</v>
      </c>
      <c r="B44" s="59" t="s">
        <v>448</v>
      </c>
      <c r="C44" s="95" t="s">
        <v>963</v>
      </c>
      <c r="D44" s="95">
        <v>1</v>
      </c>
      <c r="E44" s="249"/>
      <c r="F44" s="249">
        <f t="shared" si="1"/>
        <v>0</v>
      </c>
      <c r="G44" s="399">
        <f>'Entry for Rates'!F86</f>
        <v>277</v>
      </c>
      <c r="H44" s="2853">
        <f t="shared" si="2"/>
        <v>277</v>
      </c>
      <c r="I44" s="59"/>
    </row>
    <row r="45" spans="1:9" ht="9.9499999999999993" customHeight="1">
      <c r="A45" s="59">
        <f t="shared" si="0"/>
        <v>38</v>
      </c>
      <c r="B45" s="59" t="s">
        <v>243</v>
      </c>
      <c r="C45" s="95" t="s">
        <v>963</v>
      </c>
      <c r="D45" s="95">
        <v>1</v>
      </c>
      <c r="E45" s="249"/>
      <c r="F45" s="249">
        <f t="shared" si="1"/>
        <v>0</v>
      </c>
      <c r="G45" s="399">
        <f>'Entry for Rates'!F87</f>
        <v>159</v>
      </c>
      <c r="H45" s="2853">
        <f t="shared" si="2"/>
        <v>159</v>
      </c>
      <c r="I45" s="59"/>
    </row>
    <row r="46" spans="1:9" ht="9.9499999999999993" customHeight="1">
      <c r="A46" s="59">
        <f t="shared" si="0"/>
        <v>39</v>
      </c>
      <c r="B46" s="59" t="s">
        <v>449</v>
      </c>
      <c r="C46" s="95" t="s">
        <v>963</v>
      </c>
      <c r="D46" s="95">
        <v>1</v>
      </c>
      <c r="E46" s="249"/>
      <c r="F46" s="249">
        <f t="shared" si="1"/>
        <v>0</v>
      </c>
      <c r="G46" s="399">
        <v>190</v>
      </c>
      <c r="H46" s="249">
        <f t="shared" si="2"/>
        <v>190</v>
      </c>
      <c r="I46" s="59"/>
    </row>
    <row r="47" spans="1:9" ht="9.9499999999999993" customHeight="1">
      <c r="A47" s="59">
        <f t="shared" si="0"/>
        <v>40</v>
      </c>
      <c r="B47" s="59" t="s">
        <v>450</v>
      </c>
      <c r="C47" s="95" t="s">
        <v>426</v>
      </c>
      <c r="D47" s="95">
        <v>1</v>
      </c>
      <c r="E47" s="249">
        <f>Transp_1!$I$11</f>
        <v>0</v>
      </c>
      <c r="F47" s="249">
        <f t="shared" si="1"/>
        <v>0</v>
      </c>
      <c r="G47" s="399">
        <v>565</v>
      </c>
      <c r="H47" s="2853">
        <f t="shared" si="2"/>
        <v>565</v>
      </c>
      <c r="I47" s="59"/>
    </row>
    <row r="48" spans="1:9" ht="9.9499999999999993" customHeight="1">
      <c r="A48" s="59">
        <f t="shared" si="0"/>
        <v>41</v>
      </c>
      <c r="B48" s="59" t="s">
        <v>451</v>
      </c>
      <c r="C48" s="95" t="s">
        <v>963</v>
      </c>
      <c r="D48" s="95"/>
      <c r="E48" s="249"/>
      <c r="F48" s="249">
        <f t="shared" si="1"/>
        <v>0</v>
      </c>
      <c r="G48" s="399">
        <f>G14</f>
        <v>86</v>
      </c>
      <c r="H48" s="2853">
        <f t="shared" si="2"/>
        <v>86</v>
      </c>
      <c r="I48" s="59"/>
    </row>
    <row r="49" spans="1:9" ht="9.9499999999999993" customHeight="1">
      <c r="A49" s="59">
        <f t="shared" si="0"/>
        <v>42</v>
      </c>
      <c r="B49" s="59" t="s">
        <v>452</v>
      </c>
      <c r="C49" s="95" t="s">
        <v>965</v>
      </c>
      <c r="D49" s="95">
        <v>0.36</v>
      </c>
      <c r="E49" s="249">
        <f>Transp_1!$K$11</f>
        <v>0</v>
      </c>
      <c r="F49" s="249">
        <f t="shared" si="1"/>
        <v>0</v>
      </c>
      <c r="G49" s="399">
        <f>'Entry for Rates'!F97</f>
        <v>210.69</v>
      </c>
      <c r="H49" s="249">
        <f t="shared" si="2"/>
        <v>210.69</v>
      </c>
      <c r="I49" s="59"/>
    </row>
    <row r="50" spans="1:9" ht="9.9499999999999993" customHeight="1">
      <c r="A50" s="59">
        <f t="shared" si="0"/>
        <v>43</v>
      </c>
      <c r="B50" s="59" t="s">
        <v>453</v>
      </c>
      <c r="C50" s="95" t="s">
        <v>965</v>
      </c>
      <c r="D50" s="250">
        <v>0.7</v>
      </c>
      <c r="E50" s="249">
        <f>Transp_1!$K$11</f>
        <v>0</v>
      </c>
      <c r="F50" s="249">
        <f t="shared" si="1"/>
        <v>0</v>
      </c>
      <c r="G50" s="399">
        <f>'Entry for Rates'!F98</f>
        <v>268.14999999999998</v>
      </c>
      <c r="H50" s="249">
        <f t="shared" si="2"/>
        <v>268.14999999999998</v>
      </c>
      <c r="I50" s="59"/>
    </row>
    <row r="51" spans="1:9" ht="9.9499999999999993" customHeight="1">
      <c r="A51" s="59">
        <f t="shared" si="0"/>
        <v>44</v>
      </c>
      <c r="B51" s="59" t="s">
        <v>516</v>
      </c>
      <c r="C51" s="95" t="s">
        <v>517</v>
      </c>
      <c r="D51" s="95"/>
      <c r="E51" s="249"/>
      <c r="F51" s="249">
        <f t="shared" si="1"/>
        <v>0</v>
      </c>
      <c r="G51" s="399">
        <v>20</v>
      </c>
      <c r="H51" s="249">
        <f t="shared" si="2"/>
        <v>20</v>
      </c>
      <c r="I51" s="59"/>
    </row>
    <row r="52" spans="1:9" ht="9.9499999999999993" customHeight="1">
      <c r="A52" s="59">
        <f t="shared" si="0"/>
        <v>45</v>
      </c>
      <c r="B52" s="59" t="s">
        <v>518</v>
      </c>
      <c r="C52" s="95" t="s">
        <v>963</v>
      </c>
      <c r="D52" s="95"/>
      <c r="E52" s="249"/>
      <c r="F52" s="249">
        <f t="shared" si="1"/>
        <v>0</v>
      </c>
      <c r="G52" s="399">
        <v>6</v>
      </c>
      <c r="H52" s="2853">
        <f t="shared" si="2"/>
        <v>6</v>
      </c>
      <c r="I52" s="59"/>
    </row>
    <row r="53" spans="1:9" ht="9.9499999999999993" customHeight="1">
      <c r="A53" s="59">
        <f t="shared" si="0"/>
        <v>46</v>
      </c>
      <c r="B53" s="59" t="s">
        <v>519</v>
      </c>
      <c r="C53" s="95" t="s">
        <v>426</v>
      </c>
      <c r="D53" s="95">
        <v>1</v>
      </c>
      <c r="E53" s="249">
        <f>Transp_1!$I$11</f>
        <v>0</v>
      </c>
      <c r="F53" s="59"/>
      <c r="G53" s="405">
        <v>270</v>
      </c>
      <c r="H53" s="2853">
        <f t="shared" si="2"/>
        <v>270</v>
      </c>
      <c r="I53" s="59"/>
    </row>
    <row r="54" spans="1:9" ht="9.9499999999999993" customHeight="1">
      <c r="A54" s="59">
        <f t="shared" si="0"/>
        <v>47</v>
      </c>
      <c r="B54" s="59" t="s">
        <v>312</v>
      </c>
      <c r="C54" s="95" t="s">
        <v>426</v>
      </c>
      <c r="D54" s="95">
        <v>1</v>
      </c>
      <c r="E54" s="249">
        <f>Transp_1!$I$11</f>
        <v>0</v>
      </c>
      <c r="F54" s="249">
        <f>D54*E54</f>
        <v>0</v>
      </c>
      <c r="G54" s="405">
        <v>30</v>
      </c>
      <c r="H54" s="249">
        <f t="shared" si="2"/>
        <v>30</v>
      </c>
      <c r="I54" s="59"/>
    </row>
    <row r="55" spans="1:9" ht="9.9499999999999993" customHeight="1">
      <c r="A55" s="59">
        <f t="shared" si="0"/>
        <v>48</v>
      </c>
      <c r="B55" s="59" t="s">
        <v>313</v>
      </c>
      <c r="C55" s="95" t="s">
        <v>1034</v>
      </c>
      <c r="D55" s="95">
        <v>1</v>
      </c>
      <c r="E55" s="249">
        <f>Transp_1!$I$11</f>
        <v>0</v>
      </c>
      <c r="F55" s="249">
        <f>D55*E55</f>
        <v>0</v>
      </c>
      <c r="G55" s="405">
        <v>3</v>
      </c>
      <c r="H55" s="59">
        <f t="shared" si="2"/>
        <v>3</v>
      </c>
      <c r="I55" s="59"/>
    </row>
    <row r="56" spans="1:9" ht="9.9499999999999993" customHeight="1" thickBot="1">
      <c r="A56" s="396">
        <f t="shared" si="0"/>
        <v>49</v>
      </c>
      <c r="B56" s="396" t="s">
        <v>367</v>
      </c>
      <c r="C56" s="397" t="s">
        <v>963</v>
      </c>
      <c r="D56" s="397">
        <v>1</v>
      </c>
      <c r="E56" s="398">
        <f>Transp_1!$I$11</f>
        <v>0</v>
      </c>
      <c r="F56" s="398">
        <f>D56*E56</f>
        <v>0</v>
      </c>
      <c r="G56" s="406">
        <v>15.145</v>
      </c>
      <c r="H56" s="2855">
        <f t="shared" si="2"/>
        <v>15.145</v>
      </c>
      <c r="I56" s="396"/>
    </row>
    <row r="57" spans="1:9" ht="9.9499999999999993" customHeight="1">
      <c r="A57" s="59">
        <f t="shared" si="0"/>
        <v>50</v>
      </c>
      <c r="B57" s="238"/>
      <c r="C57" s="43"/>
      <c r="D57" s="238"/>
      <c r="E57" s="238"/>
      <c r="F57" s="238"/>
      <c r="G57" s="400"/>
      <c r="H57" s="238"/>
      <c r="I57" s="238"/>
    </row>
    <row r="58" spans="1:9" ht="9.9499999999999993" customHeight="1" thickBot="1">
      <c r="A58" s="396">
        <f t="shared" si="0"/>
        <v>51</v>
      </c>
      <c r="B58" s="245"/>
      <c r="C58" s="95"/>
      <c r="D58" s="245"/>
      <c r="E58" s="245"/>
      <c r="F58" s="245"/>
      <c r="G58" s="407"/>
      <c r="H58" s="245"/>
      <c r="I58" s="245"/>
    </row>
    <row r="59" spans="1:9" ht="9.9499999999999993" customHeight="1">
      <c r="A59" s="59">
        <f t="shared" si="0"/>
        <v>52</v>
      </c>
      <c r="B59" s="60"/>
      <c r="C59" s="95"/>
      <c r="D59" s="60"/>
      <c r="E59" s="60"/>
      <c r="F59" s="60"/>
      <c r="G59" s="408"/>
      <c r="H59" s="60"/>
      <c r="I59" s="60"/>
    </row>
    <row r="60" spans="1:9" ht="9.9499999999999993" customHeight="1" thickBot="1">
      <c r="A60" s="396">
        <f t="shared" si="0"/>
        <v>53</v>
      </c>
      <c r="B60" s="48" t="s">
        <v>406</v>
      </c>
      <c r="C60" s="95"/>
      <c r="D60" s="89"/>
      <c r="E60" s="89"/>
      <c r="F60" s="67"/>
      <c r="G60" s="409"/>
      <c r="H60" s="24" t="s">
        <v>97</v>
      </c>
      <c r="I60" s="24" t="s">
        <v>1055</v>
      </c>
    </row>
    <row r="61" spans="1:9" ht="9.9499999999999993" customHeight="1">
      <c r="A61" s="59">
        <f t="shared" si="0"/>
        <v>54</v>
      </c>
      <c r="B61" s="82" t="s">
        <v>160</v>
      </c>
      <c r="C61" s="95"/>
      <c r="D61" s="67"/>
      <c r="E61" s="67"/>
      <c r="F61" s="67"/>
      <c r="G61" s="409"/>
      <c r="H61" s="2853">
        <f>'Mat-Collect_2'!$G$79</f>
        <v>2752.43</v>
      </c>
      <c r="I61" s="59"/>
    </row>
    <row r="62" spans="1:9" ht="9.9499999999999993" customHeight="1" thickBot="1">
      <c r="A62" s="396">
        <f t="shared" si="0"/>
        <v>55</v>
      </c>
      <c r="B62" s="82" t="s">
        <v>521</v>
      </c>
      <c r="C62" s="95"/>
      <c r="D62" s="67"/>
      <c r="E62" s="67"/>
      <c r="F62" s="67"/>
      <c r="G62" s="409"/>
      <c r="H62" s="2853">
        <f>'Mat-Collect_2'!$G$70</f>
        <v>2752.43</v>
      </c>
      <c r="I62" s="59"/>
    </row>
    <row r="63" spans="1:9" ht="9.9499999999999993" customHeight="1">
      <c r="A63" s="59">
        <f t="shared" si="0"/>
        <v>56</v>
      </c>
      <c r="B63" s="82" t="s">
        <v>522</v>
      </c>
      <c r="C63" s="95"/>
      <c r="D63" s="67"/>
      <c r="E63" s="67"/>
      <c r="F63" s="67"/>
      <c r="G63" s="409"/>
      <c r="H63" s="2853">
        <f>'Mat-Collect_2'!$G$90</f>
        <v>3528.76</v>
      </c>
      <c r="I63" s="59"/>
    </row>
    <row r="64" spans="1:9" ht="9.9499999999999993" customHeight="1" thickBot="1">
      <c r="A64" s="396">
        <f t="shared" si="0"/>
        <v>57</v>
      </c>
      <c r="B64" s="82" t="s">
        <v>523</v>
      </c>
      <c r="C64" s="95"/>
      <c r="D64" s="67"/>
      <c r="E64" s="67"/>
      <c r="F64" s="67"/>
      <c r="G64" s="409"/>
      <c r="H64" s="2853">
        <f>'Mat-Collect_2'!$G$100</f>
        <v>3528.76</v>
      </c>
      <c r="I64" s="59"/>
    </row>
    <row r="65" spans="1:9" ht="9.9499999999999993" customHeight="1">
      <c r="A65" s="59">
        <f t="shared" si="0"/>
        <v>58</v>
      </c>
      <c r="B65" s="82" t="s">
        <v>528</v>
      </c>
      <c r="C65" s="95"/>
      <c r="D65" s="67"/>
      <c r="E65" s="67"/>
      <c r="F65" s="67"/>
      <c r="G65" s="409"/>
      <c r="H65" s="2853">
        <f>'Mat-Collect_2'!$G$110</f>
        <v>3528.76</v>
      </c>
      <c r="I65" s="59"/>
    </row>
    <row r="66" spans="1:9" ht="9.9499999999999993" customHeight="1" thickBot="1">
      <c r="A66" s="396">
        <f t="shared" si="0"/>
        <v>59</v>
      </c>
      <c r="B66" s="82" t="s">
        <v>168</v>
      </c>
      <c r="C66" s="95"/>
      <c r="D66" s="67"/>
      <c r="E66" s="67"/>
      <c r="F66" s="67"/>
      <c r="G66" s="409"/>
      <c r="H66" s="2853">
        <f>'Mat-Collect_2'!$G$61</f>
        <v>3387.6</v>
      </c>
      <c r="I66" s="59"/>
    </row>
    <row r="67" spans="1:9" ht="9.9499999999999993" customHeight="1">
      <c r="A67" s="59">
        <v>50</v>
      </c>
      <c r="B67" s="82" t="s">
        <v>161</v>
      </c>
      <c r="C67" s="95" t="s">
        <v>520</v>
      </c>
      <c r="D67" s="67"/>
      <c r="E67" s="67"/>
      <c r="F67" s="67"/>
      <c r="G67" s="68"/>
      <c r="H67" s="399">
        <f>'Entry for Rates'!F102</f>
        <v>343</v>
      </c>
      <c r="I67" s="59"/>
    </row>
    <row r="68" spans="1:9" ht="9.9499999999999993" customHeight="1">
      <c r="A68" s="59">
        <v>51</v>
      </c>
      <c r="B68" s="82" t="s">
        <v>255</v>
      </c>
      <c r="C68" s="95" t="s">
        <v>520</v>
      </c>
      <c r="D68" s="67"/>
      <c r="E68" s="67"/>
      <c r="F68" s="67"/>
      <c r="G68" s="68"/>
      <c r="H68" s="2853">
        <f>6090*3.28^3</f>
        <v>214901.19167999993</v>
      </c>
      <c r="I68" s="59"/>
    </row>
    <row r="69" spans="1:9" ht="9.9499999999999993" customHeight="1">
      <c r="A69" s="59">
        <f t="shared" si="0"/>
        <v>52</v>
      </c>
      <c r="B69" s="82" t="s">
        <v>529</v>
      </c>
      <c r="C69" s="95" t="s">
        <v>520</v>
      </c>
      <c r="D69" s="67"/>
      <c r="E69" s="67"/>
      <c r="F69" s="67"/>
      <c r="G69" s="68"/>
      <c r="H69" s="2853">
        <v>57400</v>
      </c>
      <c r="I69" s="59"/>
    </row>
    <row r="70" spans="1:9" ht="9.9499999999999993" customHeight="1">
      <c r="A70" s="59">
        <f t="shared" si="0"/>
        <v>53</v>
      </c>
      <c r="B70" s="82" t="s">
        <v>207</v>
      </c>
      <c r="C70" s="95" t="s">
        <v>963</v>
      </c>
      <c r="D70" s="67"/>
      <c r="E70" s="67"/>
      <c r="F70" s="67"/>
      <c r="G70" s="68"/>
      <c r="H70" s="399">
        <f>'Entry for Rates'!F99</f>
        <v>240</v>
      </c>
      <c r="I70" s="59"/>
    </row>
    <row r="71" spans="1:9" ht="9.9499999999999993" customHeight="1">
      <c r="A71" s="59">
        <f t="shared" si="0"/>
        <v>54</v>
      </c>
      <c r="B71" s="82" t="s">
        <v>530</v>
      </c>
      <c r="C71" s="95" t="s">
        <v>531</v>
      </c>
      <c r="D71" s="67"/>
      <c r="E71" s="67"/>
      <c r="F71" s="67"/>
      <c r="G71" s="68"/>
      <c r="H71" s="2853">
        <f>'Entry for Rates'!F54</f>
        <v>1330</v>
      </c>
      <c r="I71" s="59"/>
    </row>
    <row r="72" spans="1:9" ht="9.9499999999999993" customHeight="1">
      <c r="A72" s="59">
        <f t="shared" si="0"/>
        <v>55</v>
      </c>
      <c r="B72" s="82" t="s">
        <v>532</v>
      </c>
      <c r="C72" s="95" t="s">
        <v>531</v>
      </c>
      <c r="D72" s="67"/>
      <c r="E72" s="67"/>
      <c r="F72" s="67"/>
      <c r="G72" s="68"/>
      <c r="H72" s="2853">
        <f>'Entry for Rates'!F55</f>
        <v>1000</v>
      </c>
      <c r="I72" s="59"/>
    </row>
    <row r="73" spans="1:9" ht="9.9499999999999993" customHeight="1">
      <c r="A73" s="59">
        <f t="shared" ref="A73:A79" si="3">A72+1</f>
        <v>56</v>
      </c>
      <c r="B73" s="82" t="s">
        <v>533</v>
      </c>
      <c r="C73" s="95" t="s">
        <v>531</v>
      </c>
      <c r="D73" s="67"/>
      <c r="E73" s="67"/>
      <c r="F73" s="67"/>
      <c r="G73" s="68"/>
      <c r="H73" s="2853">
        <f>'Entry for Rates'!F56</f>
        <v>1330</v>
      </c>
      <c r="I73" s="59"/>
    </row>
    <row r="74" spans="1:9" ht="9.9499999999999993" customHeight="1">
      <c r="A74" s="59">
        <f t="shared" si="3"/>
        <v>57</v>
      </c>
      <c r="B74" s="82" t="s">
        <v>534</v>
      </c>
      <c r="C74" s="95" t="s">
        <v>531</v>
      </c>
      <c r="D74" s="67"/>
      <c r="E74" s="67"/>
      <c r="F74" s="67"/>
      <c r="G74" s="68"/>
      <c r="H74" s="2853">
        <f>'Entry for Rates'!F55</f>
        <v>1000</v>
      </c>
      <c r="I74" s="59"/>
    </row>
    <row r="75" spans="1:9" ht="9.9499999999999993" customHeight="1">
      <c r="A75" s="59">
        <f t="shared" si="3"/>
        <v>58</v>
      </c>
      <c r="B75" s="82" t="s">
        <v>535</v>
      </c>
      <c r="C75" s="95" t="s">
        <v>531</v>
      </c>
      <c r="D75" s="67"/>
      <c r="E75" s="67"/>
      <c r="F75" s="67"/>
      <c r="G75" s="68"/>
      <c r="H75" s="2853">
        <f>'Entry for Rates'!F54</f>
        <v>1330</v>
      </c>
      <c r="I75" s="59"/>
    </row>
    <row r="76" spans="1:9" ht="9.9499999999999993" customHeight="1">
      <c r="A76" s="59">
        <f t="shared" si="3"/>
        <v>59</v>
      </c>
      <c r="B76" s="82" t="s">
        <v>536</v>
      </c>
      <c r="C76" s="95" t="s">
        <v>531</v>
      </c>
      <c r="D76" s="67"/>
      <c r="E76" s="67"/>
      <c r="F76" s="67"/>
      <c r="G76" s="68"/>
      <c r="H76" s="2853">
        <f>'Entry for Rates'!F55</f>
        <v>1000</v>
      </c>
      <c r="I76" s="59"/>
    </row>
    <row r="77" spans="1:9" ht="9.9499999999999993" customHeight="1">
      <c r="A77" s="59">
        <f t="shared" si="3"/>
        <v>60</v>
      </c>
      <c r="B77" s="82" t="s">
        <v>537</v>
      </c>
      <c r="C77" s="95" t="s">
        <v>531</v>
      </c>
      <c r="D77" s="67"/>
      <c r="E77" s="67"/>
      <c r="F77" s="67"/>
      <c r="G77" s="68"/>
      <c r="H77" s="2853">
        <f>'Entry for Rates'!F54</f>
        <v>1330</v>
      </c>
      <c r="I77" s="59"/>
    </row>
    <row r="78" spans="1:9" ht="9.9499999999999993" customHeight="1">
      <c r="A78" s="59">
        <f t="shared" si="3"/>
        <v>61</v>
      </c>
      <c r="B78" s="82" t="s">
        <v>538</v>
      </c>
      <c r="C78" s="95" t="s">
        <v>531</v>
      </c>
      <c r="D78" s="67"/>
      <c r="E78" s="67"/>
      <c r="F78" s="67"/>
      <c r="G78" s="68"/>
      <c r="H78" s="2853">
        <f>'Entry for Rates'!F55</f>
        <v>1000</v>
      </c>
      <c r="I78" s="59"/>
    </row>
    <row r="79" spans="1:9" ht="9.9499999999999993" customHeight="1">
      <c r="A79" s="59">
        <f t="shared" si="3"/>
        <v>62</v>
      </c>
      <c r="B79" s="82" t="s">
        <v>539</v>
      </c>
      <c r="C79" s="95" t="s">
        <v>531</v>
      </c>
      <c r="D79" s="67"/>
      <c r="E79" s="67"/>
      <c r="F79" s="67"/>
      <c r="G79" s="68"/>
      <c r="H79" s="2853">
        <f>'Entry for Rates'!F55</f>
        <v>1000</v>
      </c>
      <c r="I79" s="59"/>
    </row>
    <row r="80" spans="1:9">
      <c r="A80" s="60"/>
      <c r="B80" s="60"/>
      <c r="C80" s="60"/>
      <c r="D80" s="60"/>
      <c r="E80" s="60"/>
      <c r="F80" s="60"/>
      <c r="G80" s="408"/>
      <c r="H80" s="408"/>
      <c r="I80" s="60"/>
    </row>
    <row r="81" spans="1:9">
      <c r="A81" s="60"/>
      <c r="B81" s="60"/>
      <c r="C81" s="60"/>
      <c r="D81" s="60"/>
      <c r="E81" s="60"/>
      <c r="F81" s="60"/>
      <c r="G81" s="408"/>
      <c r="H81" s="60"/>
      <c r="I81" s="60"/>
    </row>
    <row r="82" spans="1:9">
      <c r="A82" s="60"/>
      <c r="B82" s="60"/>
      <c r="C82" s="60"/>
      <c r="D82" s="60"/>
      <c r="E82" s="60"/>
      <c r="F82" s="60"/>
      <c r="G82" s="408"/>
      <c r="H82" s="60"/>
      <c r="I82" s="60"/>
    </row>
    <row r="83" spans="1:9">
      <c r="A83" s="60"/>
      <c r="B83" s="60"/>
      <c r="C83" s="60"/>
      <c r="D83" s="60"/>
      <c r="E83" s="60"/>
      <c r="F83" s="60"/>
      <c r="G83" s="408"/>
      <c r="H83" s="60"/>
      <c r="I83" s="60"/>
    </row>
    <row r="84" spans="1:9">
      <c r="A84" s="60"/>
      <c r="B84" s="60"/>
      <c r="C84" s="60"/>
      <c r="D84" s="60"/>
      <c r="E84" s="60"/>
      <c r="F84" s="60"/>
      <c r="G84" s="408"/>
      <c r="H84" s="60"/>
      <c r="I84" s="60"/>
    </row>
    <row r="85" spans="1:9">
      <c r="A85" s="60"/>
      <c r="B85" s="60"/>
      <c r="C85" s="60"/>
      <c r="D85" s="60"/>
      <c r="E85" s="60"/>
      <c r="F85" s="60"/>
      <c r="G85" s="408"/>
      <c r="H85" s="60"/>
      <c r="I85" s="60"/>
    </row>
    <row r="86" spans="1:9">
      <c r="A86" s="60"/>
      <c r="B86" s="60"/>
      <c r="C86" s="60"/>
      <c r="D86" s="60"/>
      <c r="E86" s="60"/>
      <c r="F86" s="60"/>
      <c r="G86" s="408"/>
      <c r="H86" s="60"/>
      <c r="I86" s="60"/>
    </row>
    <row r="87" spans="1:9">
      <c r="A87" s="60"/>
      <c r="B87" s="60"/>
      <c r="C87" s="60"/>
      <c r="D87" s="60"/>
      <c r="E87" s="60"/>
      <c r="F87" s="60"/>
      <c r="G87" s="408"/>
      <c r="H87" s="60"/>
      <c r="I87" s="60"/>
    </row>
    <row r="88" spans="1:9">
      <c r="A88" s="60"/>
      <c r="B88" s="60"/>
      <c r="C88" s="60"/>
      <c r="D88" s="60"/>
      <c r="E88" s="60"/>
      <c r="F88" s="60"/>
      <c r="G88" s="408"/>
      <c r="H88" s="60"/>
      <c r="I88" s="60"/>
    </row>
    <row r="89" spans="1:9">
      <c r="A89" s="60"/>
      <c r="B89" s="60"/>
      <c r="C89" s="60"/>
      <c r="D89" s="60"/>
      <c r="E89" s="60"/>
      <c r="F89" s="60"/>
      <c r="G89" s="408"/>
      <c r="H89" s="60"/>
      <c r="I89" s="60"/>
    </row>
    <row r="90" spans="1:9">
      <c r="A90" s="60"/>
      <c r="B90" s="60"/>
      <c r="C90" s="60"/>
      <c r="D90" s="60"/>
      <c r="E90" s="60"/>
      <c r="F90" s="60"/>
      <c r="G90" s="408"/>
      <c r="H90" s="60"/>
      <c r="I90" s="60"/>
    </row>
    <row r="91" spans="1:9">
      <c r="A91" s="60"/>
      <c r="B91" s="60"/>
      <c r="C91" s="60"/>
      <c r="D91" s="60"/>
      <c r="E91" s="60"/>
      <c r="F91" s="60"/>
      <c r="G91" s="408"/>
      <c r="H91" s="60"/>
      <c r="I91" s="60"/>
    </row>
    <row r="92" spans="1:9">
      <c r="A92" s="60"/>
      <c r="B92" s="60"/>
      <c r="C92" s="60"/>
      <c r="D92" s="60"/>
      <c r="E92" s="60"/>
      <c r="F92" s="60"/>
      <c r="G92" s="408"/>
      <c r="H92" s="60"/>
      <c r="I92" s="60"/>
    </row>
    <row r="93" spans="1:9">
      <c r="A93" s="60"/>
      <c r="B93" s="60"/>
      <c r="C93" s="60"/>
      <c r="D93" s="60"/>
      <c r="E93" s="60"/>
      <c r="F93" s="60"/>
      <c r="G93" s="408"/>
      <c r="H93" s="60"/>
      <c r="I93" s="60"/>
    </row>
    <row r="94" spans="1:9">
      <c r="A94" s="60"/>
      <c r="B94" s="60"/>
      <c r="C94" s="60"/>
      <c r="D94" s="60"/>
      <c r="E94" s="60"/>
      <c r="F94" s="60"/>
      <c r="G94" s="408"/>
      <c r="H94" s="60"/>
      <c r="I94" s="60"/>
    </row>
    <row r="95" spans="1:9">
      <c r="A95" s="60"/>
      <c r="B95" s="60"/>
      <c r="C95" s="60"/>
      <c r="D95" s="60"/>
      <c r="E95" s="60"/>
      <c r="F95" s="60"/>
      <c r="G95" s="408"/>
      <c r="H95" s="60"/>
      <c r="I95" s="60"/>
    </row>
    <row r="96" spans="1:9">
      <c r="A96" s="60"/>
      <c r="B96" s="60"/>
      <c r="C96" s="60"/>
      <c r="D96" s="60"/>
      <c r="E96" s="60"/>
      <c r="F96" s="60"/>
      <c r="G96" s="408"/>
      <c r="H96" s="60"/>
      <c r="I96" s="60"/>
    </row>
    <row r="97" spans="1:9">
      <c r="A97" s="60"/>
      <c r="B97" s="60"/>
      <c r="C97" s="60"/>
      <c r="D97" s="60"/>
      <c r="E97" s="60"/>
      <c r="F97" s="60"/>
      <c r="G97" s="408"/>
      <c r="H97" s="60"/>
      <c r="I97" s="60"/>
    </row>
    <row r="98" spans="1:9">
      <c r="A98" s="60"/>
      <c r="B98" s="60"/>
      <c r="C98" s="60"/>
      <c r="D98" s="60"/>
      <c r="E98" s="60"/>
      <c r="F98" s="60"/>
      <c r="G98" s="408"/>
      <c r="H98" s="60"/>
      <c r="I98" s="60"/>
    </row>
    <row r="99" spans="1:9">
      <c r="A99" s="60"/>
      <c r="B99" s="60"/>
      <c r="C99" s="60"/>
      <c r="D99" s="60"/>
      <c r="E99" s="60"/>
      <c r="F99" s="60"/>
      <c r="G99" s="408"/>
      <c r="H99" s="60"/>
      <c r="I99" s="60"/>
    </row>
    <row r="100" spans="1:9">
      <c r="A100" s="60"/>
      <c r="B100" s="60"/>
      <c r="C100" s="60"/>
      <c r="D100" s="60"/>
      <c r="E100" s="60"/>
      <c r="F100" s="60"/>
      <c r="G100" s="408"/>
      <c r="H100" s="60"/>
      <c r="I100" s="60"/>
    </row>
    <row r="101" spans="1:9">
      <c r="A101" s="60"/>
      <c r="B101" s="60"/>
      <c r="C101" s="60"/>
      <c r="D101" s="60"/>
      <c r="E101" s="60"/>
      <c r="F101" s="60"/>
      <c r="G101" s="408"/>
      <c r="H101" s="60"/>
      <c r="I101" s="60"/>
    </row>
    <row r="102" spans="1:9">
      <c r="A102" s="60"/>
      <c r="B102" s="60"/>
      <c r="C102" s="60"/>
      <c r="D102" s="60"/>
      <c r="E102" s="60"/>
      <c r="F102" s="60"/>
      <c r="G102" s="408"/>
      <c r="H102" s="60"/>
      <c r="I102" s="60"/>
    </row>
    <row r="103" spans="1:9">
      <c r="A103" s="60"/>
      <c r="B103" s="60"/>
      <c r="C103" s="60"/>
      <c r="D103" s="60"/>
      <c r="E103" s="60"/>
      <c r="F103" s="60"/>
      <c r="G103" s="408"/>
      <c r="H103" s="60"/>
      <c r="I103" s="60"/>
    </row>
    <row r="104" spans="1:9">
      <c r="A104" s="60"/>
      <c r="B104" s="60"/>
      <c r="C104" s="60"/>
      <c r="D104" s="60"/>
      <c r="E104" s="60"/>
      <c r="F104" s="60"/>
      <c r="G104" s="408"/>
      <c r="H104" s="60"/>
      <c r="I104" s="60"/>
    </row>
    <row r="105" spans="1:9">
      <c r="A105" s="60"/>
      <c r="B105" s="60"/>
      <c r="C105" s="60"/>
      <c r="D105" s="60"/>
      <c r="E105" s="60"/>
      <c r="F105" s="60"/>
      <c r="G105" s="408"/>
      <c r="H105" s="60"/>
      <c r="I105" s="60"/>
    </row>
    <row r="106" spans="1:9">
      <c r="A106" s="60"/>
      <c r="B106" s="60"/>
      <c r="C106" s="60"/>
      <c r="D106" s="60"/>
      <c r="E106" s="60"/>
      <c r="F106" s="60"/>
      <c r="G106" s="408"/>
      <c r="H106" s="60"/>
      <c r="I106" s="60"/>
    </row>
    <row r="107" spans="1:9">
      <c r="A107" s="60"/>
      <c r="B107" s="60"/>
      <c r="C107" s="60"/>
      <c r="D107" s="60"/>
      <c r="E107" s="60"/>
      <c r="F107" s="60"/>
      <c r="G107" s="408"/>
      <c r="H107" s="60"/>
      <c r="I107" s="60"/>
    </row>
    <row r="108" spans="1:9">
      <c r="A108" s="60"/>
      <c r="B108" s="60"/>
      <c r="C108" s="60"/>
      <c r="D108" s="60"/>
      <c r="E108" s="60"/>
      <c r="F108" s="60"/>
      <c r="G108" s="408"/>
      <c r="H108" s="60"/>
      <c r="I108" s="60"/>
    </row>
    <row r="109" spans="1:9">
      <c r="A109" s="60"/>
      <c r="B109" s="60"/>
      <c r="C109" s="60"/>
      <c r="D109" s="60"/>
      <c r="E109" s="60"/>
      <c r="F109" s="60"/>
      <c r="G109" s="408"/>
      <c r="H109" s="60"/>
      <c r="I109" s="60"/>
    </row>
    <row r="110" spans="1:9">
      <c r="A110" s="60"/>
      <c r="B110" s="60"/>
      <c r="C110" s="60"/>
      <c r="D110" s="60"/>
      <c r="E110" s="60"/>
      <c r="F110" s="60"/>
      <c r="G110" s="408"/>
      <c r="H110" s="60"/>
      <c r="I110" s="60"/>
    </row>
    <row r="111" spans="1:9">
      <c r="A111" s="60"/>
      <c r="B111" s="60"/>
      <c r="C111" s="60"/>
      <c r="D111" s="60"/>
      <c r="E111" s="60"/>
      <c r="F111" s="60"/>
      <c r="G111" s="408"/>
      <c r="H111" s="60"/>
      <c r="I111" s="60"/>
    </row>
    <row r="112" spans="1:9">
      <c r="A112" s="60"/>
      <c r="B112" s="60"/>
      <c r="C112" s="60"/>
      <c r="D112" s="60"/>
      <c r="E112" s="60"/>
      <c r="F112" s="60"/>
      <c r="G112" s="408"/>
      <c r="H112" s="60"/>
      <c r="I112" s="60"/>
    </row>
    <row r="113" spans="1:9">
      <c r="A113" s="60"/>
      <c r="B113" s="60"/>
      <c r="C113" s="60"/>
      <c r="D113" s="60"/>
      <c r="E113" s="60"/>
      <c r="F113" s="60"/>
      <c r="G113" s="408"/>
      <c r="H113" s="60"/>
      <c r="I113" s="60"/>
    </row>
    <row r="114" spans="1:9">
      <c r="A114" s="60"/>
      <c r="B114" s="60"/>
      <c r="C114" s="60"/>
      <c r="D114" s="60"/>
      <c r="E114" s="60"/>
      <c r="F114" s="60"/>
      <c r="G114" s="408"/>
      <c r="H114" s="60"/>
      <c r="I114" s="60"/>
    </row>
    <row r="115" spans="1:9">
      <c r="A115" s="60"/>
      <c r="B115" s="60"/>
      <c r="C115" s="60"/>
      <c r="D115" s="60"/>
      <c r="E115" s="60"/>
      <c r="F115" s="60"/>
      <c r="G115" s="408"/>
      <c r="H115" s="60"/>
      <c r="I115" s="60"/>
    </row>
    <row r="116" spans="1:9">
      <c r="A116" s="60"/>
      <c r="B116" s="60"/>
      <c r="C116" s="60"/>
      <c r="D116" s="60"/>
      <c r="E116" s="60"/>
      <c r="F116" s="60"/>
      <c r="G116" s="408"/>
      <c r="H116" s="60"/>
      <c r="I116" s="60"/>
    </row>
    <row r="117" spans="1:9">
      <c r="A117" s="60"/>
      <c r="B117" s="60"/>
      <c r="C117" s="60"/>
      <c r="D117" s="60"/>
      <c r="E117" s="60"/>
      <c r="F117" s="60"/>
      <c r="G117" s="408"/>
      <c r="H117" s="60"/>
      <c r="I117" s="60"/>
    </row>
    <row r="118" spans="1:9">
      <c r="A118" s="60"/>
      <c r="B118" s="60"/>
      <c r="C118" s="60"/>
      <c r="D118" s="60"/>
      <c r="E118" s="60"/>
      <c r="F118" s="60"/>
      <c r="G118" s="408"/>
      <c r="H118" s="60"/>
      <c r="I118" s="60"/>
    </row>
    <row r="119" spans="1:9">
      <c r="A119" s="60"/>
      <c r="B119" s="60"/>
      <c r="C119" s="60"/>
      <c r="D119" s="60"/>
      <c r="E119" s="60"/>
      <c r="F119" s="60"/>
      <c r="G119" s="408"/>
      <c r="H119" s="60"/>
      <c r="I119" s="60"/>
    </row>
    <row r="120" spans="1:9">
      <c r="A120" s="60"/>
      <c r="B120" s="60"/>
      <c r="C120" s="60"/>
      <c r="D120" s="60"/>
      <c r="E120" s="60"/>
      <c r="F120" s="60"/>
      <c r="G120" s="408"/>
      <c r="H120" s="60"/>
      <c r="I120" s="60"/>
    </row>
    <row r="121" spans="1:9">
      <c r="A121" s="60"/>
      <c r="B121" s="60"/>
      <c r="C121" s="60"/>
      <c r="D121" s="60"/>
      <c r="E121" s="60"/>
      <c r="F121" s="60"/>
      <c r="G121" s="408"/>
      <c r="H121" s="60"/>
      <c r="I121" s="60"/>
    </row>
    <row r="122" spans="1:9">
      <c r="A122" s="60"/>
      <c r="B122" s="60"/>
      <c r="C122" s="60"/>
      <c r="D122" s="60"/>
      <c r="E122" s="60"/>
      <c r="F122" s="60"/>
      <c r="G122" s="408"/>
      <c r="H122" s="60"/>
      <c r="I122" s="60"/>
    </row>
    <row r="123" spans="1:9">
      <c r="A123" s="60"/>
      <c r="B123" s="60"/>
      <c r="C123" s="60"/>
      <c r="D123" s="60"/>
      <c r="E123" s="60"/>
      <c r="F123" s="60"/>
      <c r="G123" s="408"/>
      <c r="H123" s="60"/>
      <c r="I123" s="60"/>
    </row>
    <row r="124" spans="1:9">
      <c r="A124" s="60"/>
      <c r="B124" s="60"/>
      <c r="C124" s="60"/>
      <c r="D124" s="60"/>
      <c r="E124" s="60"/>
      <c r="F124" s="60"/>
      <c r="G124" s="408"/>
      <c r="H124" s="60"/>
      <c r="I124" s="60"/>
    </row>
    <row r="125" spans="1:9">
      <c r="A125" s="60"/>
      <c r="B125" s="60"/>
      <c r="C125" s="60"/>
      <c r="D125" s="60"/>
      <c r="E125" s="60"/>
      <c r="F125" s="60"/>
      <c r="G125" s="408"/>
      <c r="H125" s="60"/>
      <c r="I125" s="60"/>
    </row>
    <row r="126" spans="1:9">
      <c r="A126" s="60"/>
      <c r="B126" s="60"/>
      <c r="C126" s="60"/>
      <c r="D126" s="60"/>
      <c r="E126" s="60"/>
      <c r="F126" s="60"/>
      <c r="G126" s="408"/>
      <c r="H126" s="60"/>
      <c r="I126" s="60"/>
    </row>
    <row r="127" spans="1:9">
      <c r="A127" s="60"/>
      <c r="B127" s="60"/>
      <c r="C127" s="60"/>
      <c r="D127" s="60"/>
      <c r="E127" s="60"/>
      <c r="F127" s="60"/>
      <c r="G127" s="408"/>
      <c r="H127" s="60"/>
      <c r="I127" s="60"/>
    </row>
    <row r="128" spans="1:9">
      <c r="A128" s="60"/>
      <c r="B128" s="60"/>
      <c r="C128" s="60"/>
      <c r="D128" s="60"/>
      <c r="E128" s="60"/>
      <c r="F128" s="60"/>
      <c r="G128" s="408"/>
      <c r="H128" s="60"/>
      <c r="I128" s="60"/>
    </row>
    <row r="129" spans="1:9">
      <c r="A129" s="60"/>
      <c r="B129" s="60"/>
      <c r="C129" s="60"/>
      <c r="D129" s="60"/>
      <c r="E129" s="60"/>
      <c r="F129" s="60"/>
      <c r="G129" s="408"/>
      <c r="H129" s="60"/>
      <c r="I129" s="60"/>
    </row>
    <row r="130" spans="1:9">
      <c r="A130" s="60"/>
      <c r="B130" s="60"/>
      <c r="C130" s="60"/>
      <c r="D130" s="60"/>
      <c r="E130" s="60"/>
      <c r="F130" s="60"/>
      <c r="G130" s="408"/>
      <c r="H130" s="60"/>
      <c r="I130" s="60"/>
    </row>
    <row r="131" spans="1:9">
      <c r="A131" s="60"/>
      <c r="B131" s="60"/>
      <c r="C131" s="60"/>
      <c r="D131" s="60"/>
      <c r="E131" s="60"/>
      <c r="F131" s="60"/>
      <c r="G131" s="408"/>
      <c r="H131" s="60"/>
      <c r="I131" s="60"/>
    </row>
    <row r="132" spans="1:9">
      <c r="A132" s="60"/>
      <c r="B132" s="60"/>
      <c r="C132" s="60"/>
      <c r="D132" s="60"/>
      <c r="E132" s="60"/>
      <c r="F132" s="60"/>
      <c r="G132" s="408"/>
      <c r="H132" s="60"/>
      <c r="I132" s="60"/>
    </row>
    <row r="133" spans="1:9">
      <c r="A133" s="60"/>
      <c r="B133" s="60"/>
      <c r="C133" s="60"/>
      <c r="D133" s="60"/>
      <c r="E133" s="60"/>
      <c r="F133" s="60"/>
      <c r="G133" s="408"/>
      <c r="H133" s="60"/>
      <c r="I133" s="60"/>
    </row>
    <row r="134" spans="1:9">
      <c r="A134" s="60"/>
      <c r="B134" s="60"/>
      <c r="C134" s="60"/>
      <c r="D134" s="60"/>
      <c r="E134" s="60"/>
      <c r="F134" s="60"/>
      <c r="G134" s="408"/>
      <c r="H134" s="60"/>
      <c r="I134" s="60"/>
    </row>
    <row r="135" spans="1:9">
      <c r="A135" s="60"/>
      <c r="B135" s="60"/>
      <c r="C135" s="60"/>
      <c r="D135" s="60"/>
      <c r="E135" s="60"/>
      <c r="F135" s="60"/>
      <c r="G135" s="408"/>
      <c r="H135" s="60"/>
      <c r="I135" s="60"/>
    </row>
    <row r="136" spans="1:9">
      <c r="A136" s="60"/>
      <c r="B136" s="60"/>
      <c r="C136" s="60"/>
      <c r="D136" s="60"/>
      <c r="E136" s="60"/>
      <c r="F136" s="60"/>
      <c r="G136" s="408"/>
      <c r="H136" s="60"/>
      <c r="I136" s="60"/>
    </row>
    <row r="137" spans="1:9">
      <c r="A137" s="60"/>
      <c r="B137" s="60"/>
      <c r="C137" s="60"/>
      <c r="D137" s="60"/>
      <c r="E137" s="60"/>
      <c r="F137" s="60"/>
      <c r="G137" s="408"/>
      <c r="H137" s="60"/>
      <c r="I137" s="60"/>
    </row>
    <row r="138" spans="1:9">
      <c r="A138" s="60"/>
      <c r="B138" s="60"/>
      <c r="C138" s="60"/>
      <c r="D138" s="60"/>
      <c r="E138" s="60"/>
      <c r="F138" s="60"/>
      <c r="G138" s="408"/>
      <c r="H138" s="60"/>
      <c r="I138" s="60"/>
    </row>
    <row r="139" spans="1:9">
      <c r="A139" s="60"/>
      <c r="B139" s="60"/>
      <c r="C139" s="60"/>
      <c r="D139" s="60"/>
      <c r="E139" s="60"/>
      <c r="F139" s="60"/>
      <c r="G139" s="408"/>
      <c r="H139" s="60"/>
      <c r="I139" s="60"/>
    </row>
    <row r="140" spans="1:9">
      <c r="A140" s="60"/>
      <c r="B140" s="60"/>
      <c r="C140" s="60"/>
      <c r="D140" s="60"/>
      <c r="E140" s="60"/>
      <c r="F140" s="60"/>
      <c r="G140" s="408"/>
      <c r="H140" s="60"/>
      <c r="I140" s="60"/>
    </row>
  </sheetData>
  <mergeCells count="2">
    <mergeCell ref="A2:I2"/>
    <mergeCell ref="A3:I3"/>
  </mergeCells>
  <phoneticPr fontId="0" type="noConversion"/>
  <pageMargins left="0.8" right="0.5" top="0.57999999999999996" bottom="0.5" header="0.36" footer="0.5"/>
  <pageSetup firstPageNumber="4" orientation="portrait" useFirstPageNumber="1" horizontalDpi="360" verticalDpi="360"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N190"/>
  <sheetViews>
    <sheetView workbookViewId="0">
      <selection activeCell="H117" sqref="H117"/>
    </sheetView>
  </sheetViews>
  <sheetFormatPr defaultColWidth="9.140625" defaultRowHeight="12.75"/>
  <cols>
    <col min="1" max="1" width="7" style="432" customWidth="1"/>
    <col min="2" max="2" width="48.85546875" style="10" customWidth="1"/>
    <col min="3" max="3" width="8.28515625" style="10" customWidth="1"/>
    <col min="4" max="4" width="8.85546875" style="10" customWidth="1"/>
    <col min="5" max="5" width="6.42578125" style="434" bestFit="1" customWidth="1"/>
    <col min="6" max="6" width="6.28515625" style="10" bestFit="1" customWidth="1"/>
    <col min="7" max="7" width="10.28515625" style="10" customWidth="1"/>
    <col min="8" max="8" width="7.28515625" style="10" customWidth="1"/>
    <col min="9" max="9" width="19" style="10" customWidth="1"/>
    <col min="10" max="10" width="11.42578125" style="10" customWidth="1"/>
    <col min="11" max="11" width="12.140625" style="10" customWidth="1"/>
    <col min="12" max="12" width="11.42578125" style="10" customWidth="1"/>
    <col min="13" max="13" width="12.5703125" style="10" customWidth="1"/>
    <col min="14" max="14" width="5.5703125" style="10" customWidth="1"/>
    <col min="15" max="16384" width="9.140625" style="10"/>
  </cols>
  <sheetData>
    <row r="1" spans="1:13" ht="18.75">
      <c r="A1" s="3076" t="s">
        <v>540</v>
      </c>
      <c r="B1" s="3076"/>
      <c r="C1" s="3076"/>
      <c r="D1" s="3076"/>
      <c r="E1" s="3076"/>
      <c r="F1" s="3076"/>
      <c r="G1" s="3076"/>
      <c r="I1" s="283"/>
      <c r="J1" s="283"/>
      <c r="K1" s="283"/>
      <c r="L1" s="283"/>
      <c r="M1" s="283"/>
    </row>
    <row r="2" spans="1:13" ht="15.75">
      <c r="A2" s="3077" t="s">
        <v>541</v>
      </c>
      <c r="B2" s="3077"/>
      <c r="C2" s="3077"/>
      <c r="D2" s="3077"/>
      <c r="E2" s="3077"/>
      <c r="F2" s="3077"/>
      <c r="G2" s="3077"/>
      <c r="I2" s="283"/>
      <c r="J2" s="283"/>
      <c r="K2" s="283"/>
      <c r="L2" s="283"/>
      <c r="M2" s="283"/>
    </row>
    <row r="3" spans="1:13" ht="13.5" customHeight="1">
      <c r="A3" s="3078"/>
      <c r="B3" s="3078"/>
      <c r="C3" s="3078"/>
      <c r="D3" s="3078"/>
      <c r="E3" s="3078"/>
      <c r="F3" s="3078"/>
      <c r="G3" s="3078"/>
      <c r="I3" s="283"/>
      <c r="J3" s="283"/>
      <c r="K3" s="283"/>
      <c r="L3" s="283"/>
      <c r="M3" s="283"/>
    </row>
    <row r="4" spans="1:13" ht="18.75" customHeight="1">
      <c r="A4" s="428" t="s">
        <v>542</v>
      </c>
      <c r="B4" s="11" t="s">
        <v>408</v>
      </c>
      <c r="C4" s="303"/>
      <c r="D4" s="303"/>
      <c r="E4" s="431"/>
      <c r="F4" s="303"/>
      <c r="G4" s="303"/>
      <c r="I4" s="283"/>
      <c r="J4" s="283"/>
      <c r="K4" s="283"/>
      <c r="L4" s="283"/>
      <c r="M4" s="283"/>
    </row>
    <row r="5" spans="1:13" ht="18.75" customHeight="1">
      <c r="A5" s="432">
        <v>1</v>
      </c>
      <c r="B5" s="433" t="s">
        <v>73</v>
      </c>
      <c r="G5" s="303"/>
      <c r="I5" s="283"/>
      <c r="J5" s="283"/>
      <c r="K5" s="283"/>
      <c r="L5" s="283"/>
      <c r="M5" s="283"/>
    </row>
    <row r="6" spans="1:13" ht="18.75" customHeight="1">
      <c r="B6" s="188" t="s">
        <v>543</v>
      </c>
      <c r="G6" s="435"/>
      <c r="I6" s="283"/>
      <c r="J6" s="283"/>
      <c r="K6" s="283"/>
      <c r="L6" s="283"/>
      <c r="M6" s="283"/>
    </row>
    <row r="7" spans="1:13" ht="18.75" customHeight="1">
      <c r="B7" s="10" t="s">
        <v>544</v>
      </c>
      <c r="C7" s="436">
        <f>Transp_1!$I$11</f>
        <v>0</v>
      </c>
      <c r="F7" s="437"/>
      <c r="G7" s="435">
        <f xml:space="preserve"> C7</f>
        <v>0</v>
      </c>
      <c r="I7" s="283"/>
      <c r="J7" s="283"/>
      <c r="K7" s="283"/>
      <c r="L7" s="283"/>
      <c r="M7" s="283"/>
    </row>
    <row r="8" spans="1:13" ht="18.75" customHeight="1">
      <c r="B8" s="10" t="s">
        <v>545</v>
      </c>
      <c r="C8" s="10">
        <v>29.95</v>
      </c>
      <c r="D8" s="10" t="s">
        <v>546</v>
      </c>
      <c r="G8" s="438">
        <f>G7*C8/100</f>
        <v>0</v>
      </c>
      <c r="I8" s="283"/>
      <c r="J8" s="283"/>
      <c r="K8" s="283"/>
      <c r="L8" s="283"/>
      <c r="M8" s="283"/>
    </row>
    <row r="9" spans="1:13" ht="18.75" customHeight="1">
      <c r="B9" s="439" t="s">
        <v>547</v>
      </c>
      <c r="F9" s="439" t="s">
        <v>107</v>
      </c>
      <c r="G9" s="440">
        <f>ROUND(SUM(G7:G8),2)</f>
        <v>0</v>
      </c>
      <c r="I9" s="283"/>
      <c r="J9" s="283"/>
      <c r="K9" s="283"/>
      <c r="L9" s="283"/>
      <c r="M9" s="283"/>
    </row>
    <row r="10" spans="1:13" ht="18.75" customHeight="1">
      <c r="B10" s="439"/>
      <c r="E10" s="441"/>
      <c r="F10" s="439"/>
      <c r="G10" s="303"/>
      <c r="I10" s="283"/>
      <c r="J10" s="283"/>
      <c r="K10" s="283"/>
      <c r="L10" s="283"/>
      <c r="M10" s="283"/>
    </row>
    <row r="11" spans="1:13" ht="18.75" customHeight="1">
      <c r="A11" s="428">
        <v>2</v>
      </c>
      <c r="B11" s="11" t="s">
        <v>80</v>
      </c>
      <c r="G11" s="303"/>
      <c r="I11" s="283"/>
      <c r="J11" s="283"/>
      <c r="K11" s="283"/>
      <c r="L11" s="283"/>
      <c r="M11" s="283"/>
    </row>
    <row r="12" spans="1:13" ht="18.75" customHeight="1">
      <c r="B12" s="188" t="s">
        <v>548</v>
      </c>
      <c r="G12" s="303"/>
      <c r="I12" s="283"/>
      <c r="J12" s="283"/>
      <c r="K12" s="283"/>
      <c r="L12" s="283"/>
      <c r="M12" s="283"/>
    </row>
    <row r="13" spans="1:13" ht="18.75" customHeight="1">
      <c r="B13" s="10" t="s">
        <v>544</v>
      </c>
      <c r="C13" s="436">
        <f>Transp_1!$K$11</f>
        <v>0</v>
      </c>
      <c r="G13" s="435">
        <f xml:space="preserve"> C13</f>
        <v>0</v>
      </c>
      <c r="I13" s="283"/>
      <c r="J13" s="283"/>
      <c r="K13" s="283"/>
      <c r="L13" s="283"/>
      <c r="M13" s="283"/>
    </row>
    <row r="14" spans="1:13" ht="18.75" customHeight="1">
      <c r="B14" s="10" t="s">
        <v>545</v>
      </c>
      <c r="C14" s="10">
        <v>29.95</v>
      </c>
      <c r="D14" s="10" t="s">
        <v>546</v>
      </c>
      <c r="G14" s="438">
        <f>G13*C14/100</f>
        <v>0</v>
      </c>
      <c r="I14" s="283"/>
      <c r="J14" s="283"/>
      <c r="K14" s="283"/>
      <c r="L14" s="283"/>
      <c r="M14" s="283"/>
    </row>
    <row r="15" spans="1:13" ht="18.75" customHeight="1">
      <c r="B15" s="439" t="s">
        <v>547</v>
      </c>
      <c r="C15" s="442"/>
      <c r="F15" s="439" t="s">
        <v>107</v>
      </c>
      <c r="G15" s="440">
        <f>ROUND(SUM(G13:G14),2)</f>
        <v>0</v>
      </c>
      <c r="I15" s="283"/>
      <c r="J15" s="283"/>
      <c r="K15" s="283"/>
      <c r="L15" s="283"/>
      <c r="M15" s="283"/>
    </row>
    <row r="16" spans="1:13" ht="18.75" customHeight="1">
      <c r="C16" s="442"/>
      <c r="E16" s="441"/>
      <c r="F16" s="430"/>
      <c r="G16" s="439"/>
      <c r="I16" s="283"/>
      <c r="J16" s="283"/>
      <c r="K16" s="283"/>
      <c r="L16" s="283"/>
      <c r="M16" s="283"/>
    </row>
    <row r="17" spans="1:13" ht="18.75" customHeight="1">
      <c r="A17" s="428">
        <v>3</v>
      </c>
      <c r="B17" s="11" t="s">
        <v>74</v>
      </c>
      <c r="C17" s="442"/>
      <c r="E17" s="441"/>
      <c r="F17" s="430"/>
      <c r="G17" s="439"/>
      <c r="I17" s="283"/>
      <c r="J17" s="283"/>
      <c r="K17" s="283"/>
      <c r="L17" s="283"/>
      <c r="M17" s="283"/>
    </row>
    <row r="18" spans="1:13" ht="18.75" customHeight="1">
      <c r="B18" s="10" t="s">
        <v>549</v>
      </c>
      <c r="C18" s="436">
        <f>Transp_1!$I$11</f>
        <v>0</v>
      </c>
      <c r="D18" s="436"/>
      <c r="G18" s="435">
        <f>C18</f>
        <v>0</v>
      </c>
      <c r="I18" s="283"/>
      <c r="J18" s="283"/>
      <c r="K18" s="283"/>
      <c r="L18" s="283"/>
      <c r="M18" s="283"/>
    </row>
    <row r="19" spans="1:13" ht="18.75" customHeight="1">
      <c r="B19" s="10" t="s">
        <v>545</v>
      </c>
      <c r="C19" s="10">
        <v>29.95</v>
      </c>
      <c r="D19" s="10" t="s">
        <v>546</v>
      </c>
      <c r="G19" s="438">
        <f>G18*C19/100</f>
        <v>0</v>
      </c>
      <c r="I19" s="283"/>
      <c r="J19" s="283"/>
      <c r="K19" s="283"/>
      <c r="L19" s="283"/>
      <c r="M19" s="283"/>
    </row>
    <row r="20" spans="1:13" ht="18.75" customHeight="1">
      <c r="B20" s="439" t="s">
        <v>547</v>
      </c>
      <c r="C20" s="442"/>
      <c r="D20" s="303"/>
      <c r="F20" s="439" t="s">
        <v>107</v>
      </c>
      <c r="G20" s="440">
        <f>ROUND(SUM(G18:G19),2)</f>
        <v>0</v>
      </c>
      <c r="I20" s="283"/>
      <c r="J20" s="283"/>
      <c r="K20" s="283"/>
      <c r="L20" s="283"/>
      <c r="M20" s="283"/>
    </row>
    <row r="21" spans="1:13" ht="18.75" customHeight="1">
      <c r="B21" s="439"/>
      <c r="C21" s="442"/>
      <c r="D21" s="303"/>
      <c r="E21" s="443"/>
      <c r="F21" s="444"/>
      <c r="G21" s="436"/>
      <c r="I21" s="283"/>
      <c r="J21" s="283"/>
      <c r="K21" s="283"/>
      <c r="L21" s="283"/>
      <c r="M21" s="283"/>
    </row>
    <row r="22" spans="1:13" ht="18.75" customHeight="1">
      <c r="A22" s="428">
        <v>4</v>
      </c>
      <c r="B22" s="11" t="s">
        <v>75</v>
      </c>
      <c r="C22" s="442"/>
      <c r="E22" s="441"/>
      <c r="F22" s="430"/>
      <c r="G22" s="439"/>
      <c r="I22" s="283"/>
      <c r="J22" s="283"/>
      <c r="K22" s="283"/>
      <c r="L22" s="283"/>
      <c r="M22" s="283"/>
    </row>
    <row r="23" spans="1:13" ht="18.75" customHeight="1">
      <c r="B23" s="10" t="s">
        <v>549</v>
      </c>
      <c r="C23" s="436">
        <f>Transp_1!$K$11</f>
        <v>0</v>
      </c>
      <c r="D23" s="436"/>
      <c r="G23" s="435">
        <f>C23</f>
        <v>0</v>
      </c>
      <c r="I23" s="283"/>
      <c r="J23" s="283"/>
      <c r="K23" s="283"/>
      <c r="L23" s="283"/>
      <c r="M23" s="283"/>
    </row>
    <row r="24" spans="1:13" ht="18.75" customHeight="1">
      <c r="B24" s="10" t="s">
        <v>545</v>
      </c>
      <c r="C24" s="10">
        <v>29.95</v>
      </c>
      <c r="D24" s="10" t="s">
        <v>546</v>
      </c>
      <c r="G24" s="438">
        <f>G23*C24/100</f>
        <v>0</v>
      </c>
      <c r="I24" s="283"/>
      <c r="J24" s="283"/>
      <c r="K24" s="283"/>
      <c r="L24" s="283"/>
      <c r="M24" s="283"/>
    </row>
    <row r="25" spans="1:13" ht="18.75" customHeight="1">
      <c r="B25" s="439" t="s">
        <v>547</v>
      </c>
      <c r="C25" s="442"/>
      <c r="D25" s="303"/>
      <c r="F25" s="439" t="s">
        <v>107</v>
      </c>
      <c r="G25" s="440">
        <f>ROUND(SUM(G23:G24),2)</f>
        <v>0</v>
      </c>
      <c r="I25" s="283"/>
      <c r="J25" s="283"/>
      <c r="K25" s="283"/>
      <c r="L25" s="283"/>
      <c r="M25" s="283"/>
    </row>
    <row r="26" spans="1:13" ht="18.75" customHeight="1">
      <c r="C26" s="442"/>
      <c r="E26" s="441"/>
      <c r="F26" s="430"/>
      <c r="G26" s="439"/>
      <c r="I26" s="283"/>
      <c r="J26" s="283"/>
      <c r="K26" s="283"/>
      <c r="L26" s="283"/>
      <c r="M26" s="283"/>
    </row>
    <row r="27" spans="1:13" ht="18.75" customHeight="1">
      <c r="A27" s="460">
        <v>5</v>
      </c>
      <c r="B27" s="461" t="s">
        <v>76</v>
      </c>
      <c r="I27" s="283"/>
      <c r="J27" s="283"/>
      <c r="K27" s="283"/>
      <c r="L27" s="283"/>
      <c r="M27" s="283"/>
    </row>
    <row r="28" spans="1:13" ht="18.75" customHeight="1">
      <c r="B28" s="10" t="s">
        <v>550</v>
      </c>
      <c r="C28" s="436">
        <f>Transp_1!$O$39</f>
        <v>0</v>
      </c>
      <c r="D28" s="436"/>
      <c r="F28" s="10" t="s">
        <v>1108</v>
      </c>
      <c r="G28" s="435">
        <f>C28</f>
        <v>0</v>
      </c>
      <c r="I28" s="283"/>
      <c r="J28" s="283"/>
      <c r="K28" s="283"/>
      <c r="L28" s="283"/>
      <c r="M28" s="283"/>
    </row>
    <row r="29" spans="1:13" ht="18.75" customHeight="1">
      <c r="B29" s="10" t="s">
        <v>545</v>
      </c>
      <c r="C29" s="10">
        <v>29.95</v>
      </c>
      <c r="D29" s="10" t="s">
        <v>546</v>
      </c>
      <c r="G29" s="438">
        <f>G28*C29/100</f>
        <v>0</v>
      </c>
      <c r="I29" s="283"/>
      <c r="J29" s="283"/>
      <c r="K29" s="283"/>
      <c r="L29" s="283"/>
      <c r="M29" s="283"/>
    </row>
    <row r="30" spans="1:13" ht="18.75" customHeight="1">
      <c r="B30" s="439" t="s">
        <v>547</v>
      </c>
      <c r="C30" s="442"/>
      <c r="D30" s="303"/>
      <c r="F30" s="439" t="s">
        <v>107</v>
      </c>
      <c r="G30" s="440">
        <f>ROUND(SUM(G28:G29),2)</f>
        <v>0</v>
      </c>
      <c r="I30" s="283"/>
      <c r="J30" s="283"/>
      <c r="K30" s="283"/>
      <c r="L30" s="283"/>
      <c r="M30" s="283"/>
    </row>
    <row r="31" spans="1:13" ht="18.75" customHeight="1">
      <c r="G31" s="435"/>
      <c r="I31" s="283"/>
      <c r="J31" s="283"/>
      <c r="K31" s="283"/>
      <c r="L31" s="283"/>
      <c r="M31" s="283"/>
    </row>
    <row r="32" spans="1:13" ht="20.25" customHeight="1">
      <c r="A32" s="428" t="s">
        <v>551</v>
      </c>
      <c r="B32" s="11" t="s">
        <v>553</v>
      </c>
      <c r="E32" s="441"/>
      <c r="F32" s="430"/>
      <c r="G32" s="435"/>
      <c r="I32" s="283"/>
      <c r="J32" s="283"/>
      <c r="K32" s="283"/>
      <c r="L32" s="283"/>
      <c r="M32" s="283"/>
    </row>
    <row r="33" spans="1:13" ht="14.1" customHeight="1">
      <c r="A33" s="428">
        <v>1</v>
      </c>
      <c r="B33" s="461" t="s">
        <v>554</v>
      </c>
      <c r="G33" s="435"/>
      <c r="I33" s="283"/>
      <c r="J33" s="283"/>
      <c r="K33" s="283"/>
      <c r="L33" s="283"/>
      <c r="M33" s="283"/>
    </row>
    <row r="34" spans="1:13" ht="14.1" customHeight="1">
      <c r="B34" s="10" t="s">
        <v>77</v>
      </c>
      <c r="C34" s="2857">
        <v>640</v>
      </c>
      <c r="D34" s="10" t="s">
        <v>555</v>
      </c>
      <c r="G34" s="304">
        <f>C34</f>
        <v>640</v>
      </c>
      <c r="I34" s="283"/>
      <c r="J34" s="283"/>
      <c r="K34" s="283"/>
      <c r="L34" s="283"/>
      <c r="M34" s="283"/>
    </row>
    <row r="35" spans="1:13" ht="14.1" customHeight="1">
      <c r="B35" s="10" t="s">
        <v>556</v>
      </c>
      <c r="C35" s="436">
        <f>Transp_1!$I$11</f>
        <v>0</v>
      </c>
      <c r="D35" s="436" t="s">
        <v>557</v>
      </c>
      <c r="G35" s="304"/>
      <c r="I35" s="283"/>
      <c r="J35" s="283"/>
      <c r="K35" s="283"/>
      <c r="L35" s="283"/>
      <c r="M35" s="283"/>
    </row>
    <row r="36" spans="1:13" ht="14.1" customHeight="1">
      <c r="B36" s="10" t="s">
        <v>78</v>
      </c>
      <c r="C36" s="445"/>
      <c r="D36" s="445"/>
      <c r="G36" s="304"/>
      <c r="I36" s="283"/>
      <c r="J36" s="283"/>
      <c r="K36" s="283"/>
      <c r="L36" s="283"/>
      <c r="M36" s="283"/>
    </row>
    <row r="37" spans="1:13" ht="14.1" customHeight="1">
      <c r="B37" s="10" t="s">
        <v>558</v>
      </c>
      <c r="D37" s="445"/>
      <c r="G37" s="304">
        <f>C35*50</f>
        <v>0</v>
      </c>
      <c r="I37" s="283"/>
      <c r="J37" s="283"/>
      <c r="K37" s="283"/>
      <c r="L37" s="283"/>
      <c r="M37" s="283"/>
    </row>
    <row r="38" spans="1:13" ht="14.1" customHeight="1">
      <c r="B38" s="10" t="s">
        <v>559</v>
      </c>
      <c r="C38" s="445"/>
      <c r="D38" s="445"/>
      <c r="G38" s="304"/>
      <c r="I38" s="283"/>
      <c r="J38" s="283"/>
      <c r="K38" s="283"/>
      <c r="L38" s="283"/>
      <c r="M38" s="283"/>
    </row>
    <row r="39" spans="1:13" ht="14.1" customHeight="1">
      <c r="B39" s="10" t="s">
        <v>560</v>
      </c>
      <c r="C39" s="445"/>
      <c r="D39" s="445"/>
      <c r="G39" s="304">
        <f>ROUND(SUM(G34:G38),2)</f>
        <v>640</v>
      </c>
      <c r="I39" s="283"/>
      <c r="J39" s="283"/>
      <c r="K39" s="283"/>
      <c r="L39" s="283"/>
      <c r="M39" s="283"/>
    </row>
    <row r="40" spans="1:13" ht="14.1" customHeight="1">
      <c r="B40" s="10" t="s">
        <v>733</v>
      </c>
      <c r="G40" s="304">
        <f>G39*20</f>
        <v>12800</v>
      </c>
      <c r="I40" s="283"/>
      <c r="J40" s="283"/>
      <c r="K40" s="283"/>
      <c r="L40" s="283"/>
      <c r="M40" s="283"/>
    </row>
    <row r="41" spans="1:13" ht="14.1" customHeight="1">
      <c r="C41" s="442" t="s">
        <v>561</v>
      </c>
      <c r="D41" s="303"/>
      <c r="E41" s="431"/>
      <c r="F41" s="439" t="s">
        <v>107</v>
      </c>
      <c r="G41" s="446">
        <f>G40</f>
        <v>12800</v>
      </c>
      <c r="I41" s="283"/>
      <c r="J41" s="283"/>
      <c r="K41" s="283"/>
      <c r="L41" s="283"/>
      <c r="M41" s="283"/>
    </row>
    <row r="42" spans="1:13" ht="14.1" customHeight="1">
      <c r="C42" s="442" t="s">
        <v>562</v>
      </c>
      <c r="D42" s="303"/>
      <c r="E42" s="431"/>
      <c r="F42" s="439" t="s">
        <v>107</v>
      </c>
      <c r="G42" s="444">
        <f>G39</f>
        <v>640</v>
      </c>
      <c r="I42" s="283"/>
      <c r="J42" s="283"/>
      <c r="K42" s="283"/>
      <c r="L42" s="283"/>
      <c r="M42" s="283"/>
    </row>
    <row r="43" spans="1:13" ht="14.1" customHeight="1">
      <c r="C43" s="442"/>
      <c r="D43" s="303"/>
      <c r="E43" s="431"/>
      <c r="F43" s="439"/>
      <c r="G43" s="436"/>
      <c r="I43" s="283"/>
      <c r="J43" s="283"/>
      <c r="K43" s="283"/>
      <c r="L43" s="283"/>
      <c r="M43" s="283"/>
    </row>
    <row r="44" spans="1:13" ht="14.1" customHeight="1">
      <c r="A44" s="428">
        <v>2</v>
      </c>
      <c r="B44" s="461" t="s">
        <v>563</v>
      </c>
      <c r="I44" s="283"/>
      <c r="J44" s="283"/>
      <c r="K44" s="283"/>
      <c r="L44" s="283"/>
      <c r="M44" s="283"/>
    </row>
    <row r="45" spans="1:13" ht="14.1" customHeight="1">
      <c r="B45" s="10" t="s">
        <v>79</v>
      </c>
      <c r="C45" s="2858">
        <f>'Entry for Rates'!F63*1000</f>
        <v>100000</v>
      </c>
      <c r="D45" s="10" t="s">
        <v>564</v>
      </c>
      <c r="G45" s="436">
        <f>C45</f>
        <v>100000</v>
      </c>
      <c r="I45" s="283"/>
      <c r="J45" s="283"/>
      <c r="K45" s="283"/>
      <c r="L45" s="283"/>
      <c r="M45" s="283"/>
    </row>
    <row r="46" spans="1:13" ht="14.1" customHeight="1">
      <c r="B46" s="10" t="s">
        <v>565</v>
      </c>
      <c r="G46" s="436"/>
      <c r="I46" s="283"/>
      <c r="J46" s="283"/>
      <c r="K46" s="283"/>
      <c r="L46" s="283"/>
      <c r="M46" s="283"/>
    </row>
    <row r="47" spans="1:13" ht="14.1" customHeight="1">
      <c r="B47" s="10" t="s">
        <v>566</v>
      </c>
      <c r="C47" s="436">
        <f>Transp_1!$K$11</f>
        <v>0</v>
      </c>
      <c r="D47" s="436" t="s">
        <v>557</v>
      </c>
      <c r="G47" s="436"/>
      <c r="I47" s="283"/>
      <c r="J47" s="283"/>
      <c r="K47" s="283"/>
      <c r="L47" s="283"/>
      <c r="M47" s="283"/>
    </row>
    <row r="48" spans="1:13" ht="14.1" customHeight="1">
      <c r="B48" s="10" t="s">
        <v>567</v>
      </c>
      <c r="D48" s="445"/>
      <c r="G48" s="445"/>
      <c r="I48" s="283"/>
      <c r="J48" s="283"/>
      <c r="K48" s="283"/>
      <c r="L48" s="283"/>
      <c r="M48" s="283"/>
    </row>
    <row r="49" spans="1:13" ht="14.1" customHeight="1">
      <c r="B49" s="10" t="s">
        <v>566</v>
      </c>
      <c r="D49" s="445"/>
      <c r="G49" s="445">
        <f>C47*1000</f>
        <v>0</v>
      </c>
      <c r="I49" s="283"/>
      <c r="J49" s="283"/>
      <c r="K49" s="283"/>
      <c r="L49" s="283"/>
      <c r="M49" s="283"/>
    </row>
    <row r="50" spans="1:13" ht="13.5" customHeight="1">
      <c r="B50" s="10" t="s">
        <v>568</v>
      </c>
      <c r="C50" s="445"/>
      <c r="D50" s="445"/>
      <c r="G50" s="436"/>
      <c r="I50" s="283"/>
      <c r="J50" s="283"/>
      <c r="K50" s="283"/>
      <c r="L50" s="283"/>
      <c r="M50" s="283"/>
    </row>
    <row r="51" spans="1:13" ht="14.1" customHeight="1">
      <c r="B51" s="10" t="s">
        <v>569</v>
      </c>
      <c r="C51" s="445"/>
      <c r="D51" s="445"/>
      <c r="G51" s="447">
        <f>ROUND(SUM(G45:G50),2)</f>
        <v>100000</v>
      </c>
      <c r="I51" s="283"/>
      <c r="J51" s="283"/>
      <c r="K51" s="283"/>
      <c r="L51" s="283"/>
      <c r="M51" s="283"/>
    </row>
    <row r="52" spans="1:13" ht="14.1" customHeight="1">
      <c r="C52" s="442" t="s">
        <v>561</v>
      </c>
      <c r="D52" s="303"/>
      <c r="E52" s="431"/>
      <c r="F52" s="439" t="s">
        <v>107</v>
      </c>
      <c r="G52" s="444">
        <f>G51</f>
        <v>100000</v>
      </c>
      <c r="I52" s="283"/>
      <c r="J52" s="283"/>
      <c r="K52" s="283"/>
      <c r="L52" s="283"/>
      <c r="M52" s="283"/>
    </row>
    <row r="53" spans="1:13" ht="14.1" customHeight="1">
      <c r="C53" s="442" t="s">
        <v>570</v>
      </c>
      <c r="G53" s="436">
        <f>ROUND((G52/1000),2)</f>
        <v>100</v>
      </c>
      <c r="I53" s="283"/>
      <c r="J53" s="283"/>
      <c r="K53" s="283"/>
      <c r="L53" s="283"/>
      <c r="M53" s="283"/>
    </row>
    <row r="54" spans="1:13" ht="14.1" customHeight="1">
      <c r="A54" s="428">
        <v>3</v>
      </c>
      <c r="B54" s="461" t="s">
        <v>571</v>
      </c>
    </row>
    <row r="55" spans="1:13" ht="14.1" customHeight="1">
      <c r="B55" s="10" t="s">
        <v>572</v>
      </c>
      <c r="C55" s="2857">
        <f>'Entry for Rates'!F22</f>
        <v>3387.6049919999991</v>
      </c>
      <c r="D55" s="10" t="s">
        <v>573</v>
      </c>
      <c r="F55" s="436"/>
      <c r="G55" s="448">
        <f>C55</f>
        <v>3387.6049919999991</v>
      </c>
    </row>
    <row r="56" spans="1:13" ht="14.1" customHeight="1">
      <c r="B56" s="10" t="s">
        <v>574</v>
      </c>
      <c r="C56" s="436">
        <f>Transp_1!$O$26</f>
        <v>0</v>
      </c>
      <c r="D56" s="436" t="s">
        <v>575</v>
      </c>
    </row>
    <row r="57" spans="1:13" ht="14.1" customHeight="1">
      <c r="B57" s="10" t="s">
        <v>576</v>
      </c>
      <c r="C57" s="10">
        <v>1600</v>
      </c>
      <c r="D57" s="303" t="s">
        <v>577</v>
      </c>
    </row>
    <row r="58" spans="1:13" ht="14.1" customHeight="1">
      <c r="B58" s="10" t="s">
        <v>578</v>
      </c>
      <c r="D58" s="442"/>
      <c r="E58" s="441"/>
      <c r="F58" s="430"/>
      <c r="G58" s="448">
        <f>ROUND((C56*C57),2)</f>
        <v>0</v>
      </c>
    </row>
    <row r="59" spans="1:13" ht="14.1" customHeight="1">
      <c r="B59" s="10" t="s">
        <v>579</v>
      </c>
      <c r="D59" s="303"/>
      <c r="F59" s="436"/>
      <c r="G59" s="436"/>
    </row>
    <row r="60" spans="1:13" ht="14.1" customHeight="1">
      <c r="B60" s="10" t="s">
        <v>580</v>
      </c>
      <c r="G60" s="447">
        <f>ROUND(SUM(G55:G59),2)</f>
        <v>3387.6</v>
      </c>
    </row>
    <row r="61" spans="1:13" ht="14.1" customHeight="1">
      <c r="C61" s="442" t="s">
        <v>581</v>
      </c>
      <c r="E61" s="441"/>
      <c r="F61" s="439" t="s">
        <v>107</v>
      </c>
      <c r="G61" s="444">
        <f>G60</f>
        <v>3387.6</v>
      </c>
    </row>
    <row r="62" spans="1:13" ht="12.75" customHeight="1"/>
    <row r="63" spans="1:13" ht="14.1" customHeight="1">
      <c r="A63" s="428">
        <v>4</v>
      </c>
      <c r="B63" s="461" t="s">
        <v>582</v>
      </c>
    </row>
    <row r="64" spans="1:13" ht="14.1" customHeight="1">
      <c r="B64" s="10" t="s">
        <v>583</v>
      </c>
      <c r="C64" s="2857">
        <f>'Entry for Rates'!F25</f>
        <v>2752.4290559999995</v>
      </c>
      <c r="D64" s="10" t="s">
        <v>573</v>
      </c>
      <c r="G64" s="448">
        <f>C64</f>
        <v>2752.4290559999995</v>
      </c>
    </row>
    <row r="65" spans="1:7" ht="14.1" customHeight="1">
      <c r="B65" s="10" t="s">
        <v>584</v>
      </c>
      <c r="D65" s="303"/>
      <c r="F65" s="10" t="s">
        <v>585</v>
      </c>
      <c r="G65" s="436">
        <f>G64</f>
        <v>2752.4290559999995</v>
      </c>
    </row>
    <row r="66" spans="1:7" ht="14.1" customHeight="1">
      <c r="B66" s="10" t="s">
        <v>586</v>
      </c>
      <c r="C66" s="436">
        <f>Transp_1!$I$39</f>
        <v>0</v>
      </c>
      <c r="D66" s="436" t="s">
        <v>557</v>
      </c>
    </row>
    <row r="67" spans="1:7" ht="14.1" customHeight="1">
      <c r="B67" s="10" t="s">
        <v>587</v>
      </c>
      <c r="C67" s="10">
        <v>2400</v>
      </c>
      <c r="D67" s="303" t="s">
        <v>577</v>
      </c>
    </row>
    <row r="68" spans="1:7" ht="14.1" customHeight="1">
      <c r="B68" s="10" t="s">
        <v>578</v>
      </c>
      <c r="D68" s="442"/>
      <c r="E68" s="441"/>
      <c r="F68" s="430"/>
      <c r="G68" s="448">
        <f>ROUND((C66*C67),2)</f>
        <v>0</v>
      </c>
    </row>
    <row r="69" spans="1:7" ht="14.1" customHeight="1">
      <c r="B69" s="10" t="s">
        <v>596</v>
      </c>
      <c r="G69" s="447">
        <f>ROUND(SUM(G65:G68),2)</f>
        <v>2752.43</v>
      </c>
    </row>
    <row r="70" spans="1:7" ht="14.1" customHeight="1">
      <c r="C70" s="442" t="s">
        <v>581</v>
      </c>
      <c r="E70" s="441"/>
      <c r="F70" s="439" t="s">
        <v>107</v>
      </c>
      <c r="G70" s="444">
        <f>G69</f>
        <v>2752.43</v>
      </c>
    </row>
    <row r="71" spans="1:7" ht="9" customHeight="1"/>
    <row r="72" spans="1:7" ht="14.1" customHeight="1">
      <c r="A72" s="428">
        <v>5</v>
      </c>
      <c r="B72" s="461" t="s">
        <v>588</v>
      </c>
    </row>
    <row r="73" spans="1:7" ht="14.1" customHeight="1">
      <c r="A73" s="429"/>
      <c r="B73" s="10" t="s">
        <v>589</v>
      </c>
      <c r="C73" s="2857">
        <f>'Entry for Rates'!F25</f>
        <v>2752.4290559999995</v>
      </c>
      <c r="D73" s="10" t="s">
        <v>573</v>
      </c>
      <c r="G73" s="448">
        <f>C73</f>
        <v>2752.4290559999995</v>
      </c>
    </row>
    <row r="74" spans="1:7" ht="14.1" customHeight="1">
      <c r="A74" s="429"/>
      <c r="B74" s="10" t="s">
        <v>584</v>
      </c>
      <c r="D74" s="303"/>
      <c r="F74" s="10" t="s">
        <v>585</v>
      </c>
      <c r="G74" s="436">
        <f>G73</f>
        <v>2752.4290559999995</v>
      </c>
    </row>
    <row r="75" spans="1:7" ht="14.1" customHeight="1">
      <c r="A75" s="429"/>
      <c r="B75" s="10" t="s">
        <v>590</v>
      </c>
      <c r="C75" s="436">
        <f>Transp_1!$I$39</f>
        <v>0</v>
      </c>
      <c r="D75" s="436" t="s">
        <v>557</v>
      </c>
    </row>
    <row r="76" spans="1:7" ht="14.1" customHeight="1">
      <c r="A76" s="429"/>
      <c r="B76" s="10" t="s">
        <v>591</v>
      </c>
      <c r="C76" s="10">
        <v>2400</v>
      </c>
      <c r="D76" s="303" t="s">
        <v>577</v>
      </c>
    </row>
    <row r="77" spans="1:7" ht="14.1" customHeight="1">
      <c r="A77" s="429"/>
      <c r="B77" s="10" t="s">
        <v>578</v>
      </c>
      <c r="D77" s="442"/>
      <c r="E77" s="441"/>
      <c r="F77" s="430"/>
      <c r="G77" s="448">
        <f>ROUND((C75*C76),2)</f>
        <v>0</v>
      </c>
    </row>
    <row r="78" spans="1:7" ht="14.1" customHeight="1">
      <c r="A78" s="429"/>
      <c r="B78" s="10" t="s">
        <v>597</v>
      </c>
      <c r="G78" s="447">
        <f>ROUND(SUM(G74:G77),2)</f>
        <v>2752.43</v>
      </c>
    </row>
    <row r="79" spans="1:7" ht="14.1" customHeight="1">
      <c r="A79" s="429"/>
      <c r="C79" s="442" t="s">
        <v>581</v>
      </c>
      <c r="E79" s="441"/>
      <c r="F79" s="439" t="s">
        <v>107</v>
      </c>
      <c r="G79" s="444">
        <f>G78</f>
        <v>2752.43</v>
      </c>
    </row>
    <row r="80" spans="1:7" ht="12" customHeight="1"/>
    <row r="81" spans="1:7" ht="12" customHeight="1">
      <c r="A81" s="428">
        <v>6</v>
      </c>
      <c r="B81" s="461" t="s">
        <v>592</v>
      </c>
    </row>
    <row r="82" spans="1:7" ht="12" customHeight="1">
      <c r="A82" s="429"/>
      <c r="B82" s="433"/>
    </row>
    <row r="83" spans="1:7" ht="12" customHeight="1">
      <c r="A83" s="429"/>
      <c r="B83" s="10" t="s">
        <v>607</v>
      </c>
      <c r="C83" s="2857">
        <f>'Entry for Rates'!F27</f>
        <v>3528.7551999999991</v>
      </c>
      <c r="D83" s="10" t="s">
        <v>573</v>
      </c>
      <c r="G83" s="448">
        <f>C83</f>
        <v>3528.7551999999991</v>
      </c>
    </row>
    <row r="84" spans="1:7" ht="12" customHeight="1">
      <c r="A84" s="429"/>
      <c r="B84" s="10" t="s">
        <v>608</v>
      </c>
      <c r="D84" s="303"/>
      <c r="F84" s="10" t="s">
        <v>585</v>
      </c>
      <c r="G84" s="436">
        <f>G83</f>
        <v>3528.7551999999991</v>
      </c>
    </row>
    <row r="85" spans="1:7" ht="12" customHeight="1">
      <c r="A85" s="429"/>
      <c r="B85" s="10" t="s">
        <v>609</v>
      </c>
      <c r="C85" s="436">
        <f>Transp_1!$I$39</f>
        <v>0</v>
      </c>
      <c r="D85" s="436" t="s">
        <v>557</v>
      </c>
    </row>
    <row r="86" spans="1:7" ht="12" customHeight="1">
      <c r="A86" s="429"/>
      <c r="B86" s="10" t="s">
        <v>610</v>
      </c>
      <c r="C86" s="10">
        <v>2200</v>
      </c>
      <c r="D86" s="303" t="s">
        <v>577</v>
      </c>
    </row>
    <row r="87" spans="1:7" ht="12" customHeight="1">
      <c r="A87" s="429"/>
      <c r="B87" s="10" t="s">
        <v>578</v>
      </c>
      <c r="D87" s="303"/>
      <c r="G87" s="448">
        <f>ROUND((C85*C86),2)</f>
        <v>0</v>
      </c>
    </row>
    <row r="88" spans="1:7" ht="12" customHeight="1">
      <c r="A88" s="429"/>
      <c r="B88" s="10" t="s">
        <v>579</v>
      </c>
      <c r="D88" s="303"/>
      <c r="G88" s="436"/>
    </row>
    <row r="89" spans="1:7" ht="12" customHeight="1">
      <c r="A89" s="429"/>
      <c r="B89" s="10" t="s">
        <v>598</v>
      </c>
      <c r="D89" s="303"/>
      <c r="G89" s="447">
        <f>ROUND(SUM(G84:G88),2)</f>
        <v>3528.76</v>
      </c>
    </row>
    <row r="90" spans="1:7" ht="12" customHeight="1">
      <c r="A90" s="429"/>
      <c r="C90" s="442" t="s">
        <v>581</v>
      </c>
      <c r="E90" s="441"/>
      <c r="F90" s="439" t="s">
        <v>107</v>
      </c>
      <c r="G90" s="444">
        <f>G89</f>
        <v>3528.76</v>
      </c>
    </row>
    <row r="91" spans="1:7" ht="12" customHeight="1">
      <c r="A91" s="429"/>
      <c r="B91" s="433"/>
    </row>
    <row r="92" spans="1:7" ht="15.95" customHeight="1">
      <c r="A92" s="428">
        <v>7</v>
      </c>
      <c r="B92" s="461" t="s">
        <v>611</v>
      </c>
    </row>
    <row r="93" spans="1:7" ht="15.95" customHeight="1">
      <c r="A93" s="429"/>
      <c r="B93" s="10" t="s">
        <v>607</v>
      </c>
      <c r="C93" s="2857">
        <f>C83</f>
        <v>3528.7551999999991</v>
      </c>
      <c r="D93" s="10" t="s">
        <v>573</v>
      </c>
      <c r="G93" s="448">
        <f>C93</f>
        <v>3528.7551999999991</v>
      </c>
    </row>
    <row r="94" spans="1:7" ht="15.95" customHeight="1">
      <c r="A94" s="429"/>
      <c r="B94" s="10" t="s">
        <v>608</v>
      </c>
      <c r="D94" s="303"/>
      <c r="F94" s="10" t="s">
        <v>585</v>
      </c>
      <c r="G94" s="436">
        <f>G93</f>
        <v>3528.7551999999991</v>
      </c>
    </row>
    <row r="95" spans="1:7" ht="15.95" customHeight="1">
      <c r="A95" s="429"/>
      <c r="B95" s="10" t="s">
        <v>609</v>
      </c>
      <c r="C95" s="436">
        <f>Transp_1!$I$39</f>
        <v>0</v>
      </c>
      <c r="D95" s="436" t="s">
        <v>557</v>
      </c>
    </row>
    <row r="96" spans="1:7" ht="15.95" customHeight="1">
      <c r="A96" s="429"/>
      <c r="B96" s="10" t="s">
        <v>610</v>
      </c>
      <c r="C96" s="10">
        <v>2200</v>
      </c>
      <c r="D96" s="303" t="s">
        <v>577</v>
      </c>
    </row>
    <row r="97" spans="1:7" ht="15.95" customHeight="1">
      <c r="A97" s="429"/>
      <c r="B97" s="10" t="s">
        <v>578</v>
      </c>
      <c r="D97" s="303"/>
      <c r="G97" s="448">
        <f>ROUND((C95*C96),2)</f>
        <v>0</v>
      </c>
    </row>
    <row r="98" spans="1:7" ht="15.95" customHeight="1">
      <c r="A98" s="429"/>
      <c r="B98" s="10" t="s">
        <v>579</v>
      </c>
      <c r="D98" s="303"/>
      <c r="G98" s="436"/>
    </row>
    <row r="99" spans="1:7" ht="15.95" customHeight="1">
      <c r="A99" s="429"/>
      <c r="B99" s="10" t="s">
        <v>598</v>
      </c>
      <c r="D99" s="303"/>
      <c r="G99" s="447">
        <f>ROUND(SUM(G94:G98),2)</f>
        <v>3528.76</v>
      </c>
    </row>
    <row r="100" spans="1:7" ht="15.95" customHeight="1">
      <c r="C100" s="442" t="s">
        <v>581</v>
      </c>
      <c r="E100" s="441"/>
      <c r="F100" s="439" t="s">
        <v>107</v>
      </c>
      <c r="G100" s="444">
        <f>G99</f>
        <v>3528.76</v>
      </c>
    </row>
    <row r="101" spans="1:7" ht="9" customHeight="1"/>
    <row r="102" spans="1:7" ht="15.95" customHeight="1">
      <c r="A102" s="428">
        <v>8</v>
      </c>
      <c r="B102" s="461" t="s">
        <v>612</v>
      </c>
    </row>
    <row r="103" spans="1:7" ht="15.95" customHeight="1">
      <c r="A103" s="429"/>
      <c r="B103" s="10" t="s">
        <v>607</v>
      </c>
      <c r="C103" s="2857">
        <f>C93</f>
        <v>3528.7551999999991</v>
      </c>
      <c r="D103" s="10" t="s">
        <v>573</v>
      </c>
      <c r="G103" s="448">
        <f>C103</f>
        <v>3528.7551999999991</v>
      </c>
    </row>
    <row r="104" spans="1:7" ht="15.95" customHeight="1">
      <c r="A104" s="429"/>
      <c r="B104" s="10" t="s">
        <v>608</v>
      </c>
      <c r="D104" s="303"/>
      <c r="G104" s="436">
        <f>G103</f>
        <v>3528.7551999999991</v>
      </c>
    </row>
    <row r="105" spans="1:7" ht="15.95" customHeight="1">
      <c r="A105" s="429"/>
      <c r="B105" s="10" t="s">
        <v>609</v>
      </c>
      <c r="C105" s="436">
        <f>Transp_1!$I$39</f>
        <v>0</v>
      </c>
      <c r="D105" s="436" t="s">
        <v>557</v>
      </c>
    </row>
    <row r="106" spans="1:7" ht="15.95" customHeight="1">
      <c r="A106" s="429"/>
      <c r="B106" s="10" t="s">
        <v>610</v>
      </c>
      <c r="C106" s="10">
        <v>2200</v>
      </c>
      <c r="D106" s="303" t="s">
        <v>577</v>
      </c>
    </row>
    <row r="107" spans="1:7" ht="15.95" customHeight="1">
      <c r="A107" s="429"/>
      <c r="B107" s="10" t="s">
        <v>578</v>
      </c>
      <c r="D107" s="303"/>
      <c r="G107" s="448">
        <f>ROUND((C105*C106),2)</f>
        <v>0</v>
      </c>
    </row>
    <row r="108" spans="1:7" ht="15.95" customHeight="1">
      <c r="A108" s="429"/>
      <c r="B108" s="10" t="s">
        <v>579</v>
      </c>
      <c r="D108" s="303"/>
      <c r="G108" s="436"/>
    </row>
    <row r="109" spans="1:7" ht="15.95" customHeight="1">
      <c r="A109" s="429"/>
      <c r="B109" s="10" t="s">
        <v>598</v>
      </c>
      <c r="D109" s="303"/>
      <c r="G109" s="447">
        <f>ROUND(SUM(G104:G108),2)</f>
        <v>3528.76</v>
      </c>
    </row>
    <row r="110" spans="1:7" ht="15" customHeight="1">
      <c r="C110" s="442" t="s">
        <v>581</v>
      </c>
      <c r="E110" s="441"/>
      <c r="F110" s="439" t="s">
        <v>107</v>
      </c>
      <c r="G110" s="444">
        <f>G109</f>
        <v>3528.76</v>
      </c>
    </row>
    <row r="111" spans="1:7" ht="15.95" customHeight="1">
      <c r="A111" s="462">
        <v>9</v>
      </c>
      <c r="B111" s="463" t="s">
        <v>613</v>
      </c>
      <c r="C111" s="449"/>
      <c r="D111" s="449"/>
      <c r="E111" s="450"/>
      <c r="F111" s="449"/>
      <c r="G111" s="449"/>
    </row>
    <row r="112" spans="1:7" ht="15.95" customHeight="1">
      <c r="B112" s="10" t="s">
        <v>614</v>
      </c>
      <c r="C112" s="283"/>
      <c r="D112" s="283"/>
      <c r="E112" s="451"/>
      <c r="F112" s="283"/>
      <c r="G112" s="283"/>
    </row>
    <row r="113" spans="1:14" ht="15.95" customHeight="1">
      <c r="B113" s="10" t="s">
        <v>615</v>
      </c>
      <c r="C113" s="283"/>
      <c r="D113" s="283"/>
      <c r="E113" s="451"/>
      <c r="F113" s="283"/>
      <c r="G113" s="283"/>
    </row>
    <row r="114" spans="1:14" ht="15.95" customHeight="1">
      <c r="B114" s="10" t="s">
        <v>616</v>
      </c>
      <c r="C114" s="283"/>
      <c r="D114" s="283"/>
      <c r="E114" s="451"/>
      <c r="F114" s="283"/>
      <c r="G114" s="283"/>
    </row>
    <row r="115" spans="1:14" ht="25.5">
      <c r="A115" s="205" t="s">
        <v>599</v>
      </c>
      <c r="B115" s="2" t="s">
        <v>617</v>
      </c>
      <c r="C115" s="283"/>
      <c r="D115" s="283"/>
      <c r="E115" s="451"/>
      <c r="F115" s="283"/>
      <c r="G115" s="283"/>
      <c r="H115" s="283"/>
      <c r="I115" s="283"/>
      <c r="J115" s="283"/>
      <c r="K115" s="283"/>
      <c r="L115" s="283"/>
      <c r="M115" s="283"/>
      <c r="N115" s="283"/>
    </row>
    <row r="116" spans="1:14" s="283" customFormat="1">
      <c r="A116" s="452"/>
      <c r="B116" s="10" t="s">
        <v>618</v>
      </c>
      <c r="C116" s="10">
        <v>3.45</v>
      </c>
      <c r="D116" s="10" t="s">
        <v>619</v>
      </c>
      <c r="E116" s="453">
        <f>'Ext. Mat_3'!$H$78</f>
        <v>1000</v>
      </c>
      <c r="F116" s="10"/>
      <c r="G116" s="436">
        <f t="shared" ref="G116:G121" si="0">ROUND((E116*C116),2)</f>
        <v>3450</v>
      </c>
    </row>
    <row r="117" spans="1:14" s="283" customFormat="1" ht="25.5">
      <c r="A117" s="454" t="s">
        <v>600</v>
      </c>
      <c r="B117" s="2" t="s">
        <v>620</v>
      </c>
      <c r="C117" s="10">
        <v>10</v>
      </c>
      <c r="D117" s="10" t="s">
        <v>619</v>
      </c>
      <c r="E117" s="453">
        <f>'Ext. Mat_3'!$H$78</f>
        <v>1000</v>
      </c>
      <c r="F117" s="10"/>
      <c r="G117" s="436">
        <f t="shared" si="0"/>
        <v>10000</v>
      </c>
    </row>
    <row r="118" spans="1:14" s="283" customFormat="1" ht="25.5">
      <c r="A118" s="454" t="s">
        <v>600</v>
      </c>
      <c r="B118" s="10" t="s">
        <v>621</v>
      </c>
      <c r="C118" s="10">
        <v>2</v>
      </c>
      <c r="D118" s="10" t="s">
        <v>619</v>
      </c>
      <c r="E118" s="453">
        <f>'Ext. Mat_3'!$H$78</f>
        <v>1000</v>
      </c>
      <c r="F118" s="10"/>
      <c r="G118" s="436">
        <f t="shared" si="0"/>
        <v>2000</v>
      </c>
    </row>
    <row r="119" spans="1:14" s="283" customFormat="1">
      <c r="A119" s="452" t="s">
        <v>622</v>
      </c>
      <c r="B119" s="10" t="s">
        <v>623</v>
      </c>
      <c r="C119" s="10">
        <v>0.5</v>
      </c>
      <c r="D119" s="10" t="s">
        <v>619</v>
      </c>
      <c r="E119" s="453">
        <f>'Ext. Mat_3'!$H$78</f>
        <v>1000</v>
      </c>
      <c r="F119" s="10"/>
      <c r="G119" s="436">
        <f t="shared" si="0"/>
        <v>500</v>
      </c>
    </row>
    <row r="120" spans="1:14" s="283" customFormat="1" ht="25.5">
      <c r="A120" s="452" t="s">
        <v>624</v>
      </c>
      <c r="B120" s="2" t="s">
        <v>634</v>
      </c>
      <c r="C120" s="10">
        <v>45</v>
      </c>
      <c r="E120" s="10">
        <v>5</v>
      </c>
      <c r="F120" s="10"/>
      <c r="G120" s="436">
        <f t="shared" si="0"/>
        <v>225</v>
      </c>
    </row>
    <row r="121" spans="1:14" s="283" customFormat="1">
      <c r="A121" s="452" t="s">
        <v>635</v>
      </c>
      <c r="B121" s="10" t="s">
        <v>1139</v>
      </c>
      <c r="C121" s="10">
        <v>45</v>
      </c>
      <c r="E121" s="10">
        <v>6</v>
      </c>
      <c r="F121" s="10"/>
      <c r="G121" s="436">
        <f t="shared" si="0"/>
        <v>270</v>
      </c>
    </row>
    <row r="122" spans="1:14">
      <c r="A122" s="452"/>
      <c r="B122" s="455" t="s">
        <v>638</v>
      </c>
      <c r="H122" s="283"/>
      <c r="I122" s="283"/>
      <c r="J122" s="283"/>
      <c r="K122" s="283"/>
      <c r="L122" s="283"/>
      <c r="M122" s="283"/>
      <c r="N122" s="283"/>
    </row>
    <row r="123" spans="1:14">
      <c r="A123" s="452" t="s">
        <v>639</v>
      </c>
      <c r="B123" s="283" t="s">
        <v>640</v>
      </c>
      <c r="C123" s="436">
        <f>Transp_1!$I$26</f>
        <v>0</v>
      </c>
      <c r="D123" s="436" t="s">
        <v>557</v>
      </c>
      <c r="H123" s="283"/>
      <c r="I123" s="283"/>
      <c r="J123" s="283"/>
      <c r="K123" s="283"/>
      <c r="L123" s="283"/>
      <c r="M123" s="283"/>
      <c r="N123" s="283"/>
    </row>
    <row r="124" spans="1:14">
      <c r="A124" s="10"/>
      <c r="B124" s="283" t="s">
        <v>641</v>
      </c>
      <c r="C124" s="10">
        <v>1600</v>
      </c>
      <c r="D124" s="10" t="s">
        <v>1034</v>
      </c>
      <c r="G124" s="362"/>
      <c r="H124" s="283"/>
      <c r="I124" s="283"/>
      <c r="J124" s="283"/>
      <c r="K124" s="283"/>
      <c r="L124" s="283"/>
      <c r="M124" s="283"/>
      <c r="N124" s="283"/>
    </row>
    <row r="125" spans="1:14">
      <c r="A125" s="10"/>
      <c r="B125" s="283" t="s">
        <v>642</v>
      </c>
      <c r="G125" s="448">
        <f>ROUND((C123*C124),2)</f>
        <v>0</v>
      </c>
      <c r="H125" s="283"/>
      <c r="I125" s="283"/>
      <c r="J125" s="283"/>
      <c r="K125" s="283"/>
      <c r="L125" s="283"/>
      <c r="M125" s="283"/>
      <c r="N125" s="283"/>
    </row>
    <row r="126" spans="1:14">
      <c r="A126" s="452" t="s">
        <v>643</v>
      </c>
      <c r="B126" s="10" t="s">
        <v>644</v>
      </c>
      <c r="E126" s="431"/>
      <c r="H126" s="283"/>
      <c r="I126" s="283"/>
      <c r="J126" s="283"/>
      <c r="K126" s="283"/>
      <c r="L126" s="283"/>
      <c r="M126" s="283"/>
      <c r="N126" s="283"/>
    </row>
    <row r="127" spans="1:14">
      <c r="A127" s="452"/>
      <c r="B127" s="10" t="s">
        <v>645</v>
      </c>
      <c r="C127" s="10">
        <f>6.5/10</f>
        <v>0.65</v>
      </c>
      <c r="E127" s="453">
        <f>'Ext. Mat_3'!$H$71</f>
        <v>1330</v>
      </c>
      <c r="F127" s="456"/>
      <c r="G127" s="188">
        <f>ROUND((E127*C127),2)</f>
        <v>864.5</v>
      </c>
      <c r="H127" s="283"/>
      <c r="I127" s="283"/>
      <c r="J127" s="283"/>
      <c r="K127" s="283"/>
      <c r="L127" s="283"/>
      <c r="M127" s="283"/>
      <c r="N127" s="283"/>
    </row>
    <row r="128" spans="1:14">
      <c r="A128" s="452"/>
      <c r="C128" s="442" t="s">
        <v>646</v>
      </c>
      <c r="E128" s="441"/>
      <c r="F128" s="10" t="s">
        <v>107</v>
      </c>
      <c r="G128" s="434">
        <f>ROUND(SUM(G116:G127),2)</f>
        <v>17309.5</v>
      </c>
      <c r="H128" s="283"/>
      <c r="I128" s="283"/>
      <c r="J128" s="283"/>
      <c r="K128" s="283"/>
      <c r="L128" s="283"/>
      <c r="M128" s="283"/>
      <c r="N128" s="283"/>
    </row>
    <row r="129" spans="1:14">
      <c r="B129" s="10" t="s">
        <v>545</v>
      </c>
      <c r="C129" s="10">
        <v>29.95</v>
      </c>
      <c r="D129" s="10" t="s">
        <v>546</v>
      </c>
      <c r="F129" s="10" t="s">
        <v>107</v>
      </c>
      <c r="G129" s="447">
        <f>ROUND((G128*C129/100),2)</f>
        <v>5184.2</v>
      </c>
      <c r="H129" s="283"/>
      <c r="I129" s="283"/>
      <c r="J129" s="283"/>
      <c r="K129" s="283"/>
      <c r="L129" s="283"/>
      <c r="M129" s="283"/>
      <c r="N129" s="283"/>
    </row>
    <row r="130" spans="1:14">
      <c r="A130" s="452"/>
      <c r="B130" s="430" t="s">
        <v>604</v>
      </c>
      <c r="C130" s="442"/>
      <c r="H130" s="283"/>
      <c r="I130" s="283"/>
      <c r="J130" s="283"/>
      <c r="K130" s="283"/>
      <c r="L130" s="283"/>
      <c r="M130" s="283"/>
      <c r="N130" s="283"/>
    </row>
    <row r="131" spans="1:14">
      <c r="B131" s="430" t="s">
        <v>603</v>
      </c>
      <c r="F131" s="430" t="s">
        <v>107</v>
      </c>
      <c r="G131" s="441">
        <f>ROUND(SUM(G128:G129),2)</f>
        <v>22493.7</v>
      </c>
      <c r="H131" s="295"/>
      <c r="I131" s="295"/>
      <c r="J131" s="295"/>
      <c r="K131" s="295"/>
      <c r="L131" s="295"/>
      <c r="M131" s="295"/>
      <c r="N131" s="295"/>
    </row>
    <row r="132" spans="1:14">
      <c r="A132" s="452"/>
      <c r="B132" s="457"/>
      <c r="E132" s="453"/>
      <c r="H132" s="283"/>
      <c r="I132" s="283"/>
      <c r="J132" s="283"/>
      <c r="K132" s="283"/>
      <c r="L132" s="283"/>
      <c r="M132" s="283"/>
      <c r="N132" s="283"/>
    </row>
    <row r="133" spans="1:14" ht="15.75">
      <c r="A133" s="462">
        <v>10</v>
      </c>
      <c r="B133" s="463" t="s">
        <v>673</v>
      </c>
      <c r="H133" s="283"/>
      <c r="I133" s="283"/>
      <c r="J133" s="283"/>
      <c r="K133" s="283"/>
      <c r="L133" s="283"/>
      <c r="M133" s="283"/>
      <c r="N133" s="283"/>
    </row>
    <row r="134" spans="1:14" ht="36" customHeight="1">
      <c r="B134" s="3079" t="s">
        <v>647</v>
      </c>
      <c r="C134" s="3079"/>
      <c r="D134" s="3079"/>
      <c r="E134" s="3079"/>
      <c r="F134" s="3079"/>
      <c r="G134" s="3079"/>
      <c r="H134" s="283"/>
      <c r="I134" s="283"/>
      <c r="J134" s="283"/>
      <c r="K134" s="283"/>
      <c r="L134" s="283"/>
      <c r="M134" s="283"/>
      <c r="N134" s="283"/>
    </row>
    <row r="135" spans="1:14" ht="25.5">
      <c r="A135" s="205" t="s">
        <v>648</v>
      </c>
      <c r="B135" s="2" t="s">
        <v>617</v>
      </c>
      <c r="H135" s="283"/>
      <c r="I135" s="283"/>
      <c r="J135" s="283"/>
      <c r="K135" s="283"/>
      <c r="L135" s="283"/>
      <c r="M135" s="283"/>
      <c r="N135" s="283"/>
    </row>
    <row r="136" spans="1:14">
      <c r="A136" s="458"/>
      <c r="B136" s="10" t="s">
        <v>649</v>
      </c>
      <c r="C136" s="436">
        <v>10</v>
      </c>
      <c r="D136" s="10" t="s">
        <v>619</v>
      </c>
      <c r="E136" s="453">
        <f>'Ext. Mat_3'!$H$78</f>
        <v>1000</v>
      </c>
      <c r="G136" s="436">
        <f>ROUND((E136*C136),2)</f>
        <v>10000</v>
      </c>
      <c r="H136" s="283"/>
      <c r="I136" s="283"/>
      <c r="J136" s="283"/>
      <c r="K136" s="283"/>
      <c r="L136" s="283"/>
      <c r="M136" s="283"/>
      <c r="N136" s="283"/>
    </row>
    <row r="137" spans="1:14" ht="25.5">
      <c r="A137" s="205" t="s">
        <v>650</v>
      </c>
      <c r="B137" s="10" t="s">
        <v>651</v>
      </c>
      <c r="C137" s="10">
        <v>1.75</v>
      </c>
      <c r="D137" s="10" t="s">
        <v>619</v>
      </c>
      <c r="E137" s="453">
        <f>'Ext. Mat_3'!$H$78</f>
        <v>1000</v>
      </c>
      <c r="G137" s="436">
        <f>ROUND((E137*C137),2)</f>
        <v>1750</v>
      </c>
      <c r="H137" s="283"/>
      <c r="I137" s="283"/>
      <c r="J137" s="283"/>
      <c r="K137" s="283"/>
      <c r="L137" s="283"/>
      <c r="M137" s="283"/>
      <c r="N137" s="283"/>
    </row>
    <row r="138" spans="1:14">
      <c r="A138" s="452" t="s">
        <v>652</v>
      </c>
      <c r="B138" s="283" t="s">
        <v>653</v>
      </c>
      <c r="C138" s="10">
        <v>0.5</v>
      </c>
      <c r="D138" s="10" t="s">
        <v>619</v>
      </c>
      <c r="E138" s="453">
        <f>'Ext. Mat_3'!$H$78</f>
        <v>1000</v>
      </c>
      <c r="G138" s="436">
        <f>ROUND((E138*C138),2)</f>
        <v>500</v>
      </c>
      <c r="H138" s="283"/>
      <c r="I138" s="283"/>
      <c r="J138" s="283"/>
      <c r="K138" s="283"/>
      <c r="L138" s="283"/>
      <c r="M138" s="283"/>
      <c r="N138" s="283"/>
    </row>
    <row r="139" spans="1:14" ht="25.5">
      <c r="A139" s="452" t="s">
        <v>622</v>
      </c>
      <c r="B139" s="2" t="s">
        <v>634</v>
      </c>
      <c r="C139" s="10">
        <v>45</v>
      </c>
      <c r="E139" s="10">
        <v>5</v>
      </c>
      <c r="G139" s="436">
        <f>ROUND((E139*C139),2)</f>
        <v>225</v>
      </c>
      <c r="H139" s="283"/>
      <c r="I139" s="283"/>
      <c r="J139" s="283"/>
      <c r="K139" s="283"/>
      <c r="L139" s="283"/>
      <c r="M139" s="283"/>
      <c r="N139" s="283"/>
    </row>
    <row r="140" spans="1:14">
      <c r="A140" s="452" t="s">
        <v>624</v>
      </c>
      <c r="B140" s="10" t="s">
        <v>1140</v>
      </c>
      <c r="C140" s="10">
        <v>45</v>
      </c>
      <c r="E140" s="10">
        <v>6</v>
      </c>
      <c r="G140" s="436">
        <f>ROUND((E140*C140),2)</f>
        <v>270</v>
      </c>
      <c r="H140" s="283"/>
      <c r="I140" s="283"/>
      <c r="J140" s="283"/>
      <c r="K140" s="283"/>
      <c r="L140" s="283"/>
      <c r="M140" s="283"/>
      <c r="N140" s="283"/>
    </row>
    <row r="141" spans="1:14">
      <c r="A141" s="10"/>
      <c r="B141" s="188" t="s">
        <v>638</v>
      </c>
      <c r="H141" s="283"/>
      <c r="I141" s="283"/>
      <c r="J141" s="283"/>
      <c r="K141" s="283"/>
      <c r="L141" s="283"/>
      <c r="M141" s="283"/>
      <c r="N141" s="283"/>
    </row>
    <row r="142" spans="1:14">
      <c r="A142" s="452" t="s">
        <v>635</v>
      </c>
      <c r="B142" s="10" t="s">
        <v>640</v>
      </c>
      <c r="C142" s="436">
        <f>Transp_1!$I$26</f>
        <v>0</v>
      </c>
      <c r="D142" s="436" t="s">
        <v>557</v>
      </c>
      <c r="H142" s="283"/>
      <c r="I142" s="283"/>
      <c r="J142" s="283"/>
      <c r="K142" s="283"/>
      <c r="L142" s="283"/>
      <c r="M142" s="283"/>
      <c r="N142" s="283"/>
    </row>
    <row r="143" spans="1:14">
      <c r="A143" s="452"/>
      <c r="B143" s="10" t="s">
        <v>641</v>
      </c>
      <c r="C143" s="10">
        <v>1600</v>
      </c>
      <c r="D143" s="10" t="s">
        <v>1034</v>
      </c>
      <c r="G143" s="362"/>
      <c r="H143" s="283"/>
      <c r="I143" s="283"/>
      <c r="J143" s="283"/>
      <c r="K143" s="283"/>
      <c r="L143" s="283"/>
      <c r="M143" s="283"/>
      <c r="N143" s="283"/>
    </row>
    <row r="144" spans="1:14">
      <c r="A144" s="452"/>
      <c r="B144" s="10" t="s">
        <v>654</v>
      </c>
      <c r="G144" s="448">
        <f>ROUND((C142*C143),2)</f>
        <v>0</v>
      </c>
      <c r="H144" s="283"/>
      <c r="I144" s="283"/>
      <c r="J144" s="283"/>
      <c r="K144" s="283"/>
      <c r="L144" s="283"/>
      <c r="M144" s="283"/>
      <c r="N144" s="283"/>
    </row>
    <row r="145" spans="1:8" ht="25.5">
      <c r="A145" s="205" t="s">
        <v>735</v>
      </c>
      <c r="B145" s="10" t="s">
        <v>656</v>
      </c>
      <c r="E145" s="431"/>
      <c r="H145" s="283"/>
    </row>
    <row r="146" spans="1:8">
      <c r="A146" s="452"/>
      <c r="B146" s="10" t="s">
        <v>657</v>
      </c>
      <c r="C146" s="10">
        <f>6.5/10</f>
        <v>0.65</v>
      </c>
      <c r="E146" s="453">
        <f>'Ext. Mat_3'!$H$71</f>
        <v>1330</v>
      </c>
      <c r="F146" s="456"/>
      <c r="G146" s="188">
        <f>ROUND((E146*C146),2)</f>
        <v>864.5</v>
      </c>
      <c r="H146" s="283"/>
    </row>
    <row r="147" spans="1:8">
      <c r="A147" s="10"/>
      <c r="C147" s="442" t="s">
        <v>646</v>
      </c>
      <c r="E147" s="441"/>
      <c r="F147" s="10" t="s">
        <v>107</v>
      </c>
      <c r="G147" s="434">
        <f>ROUND(SUM(G135:G146),2)</f>
        <v>13609.5</v>
      </c>
      <c r="H147" s="283"/>
    </row>
    <row r="148" spans="1:8">
      <c r="B148" s="10" t="s">
        <v>545</v>
      </c>
      <c r="C148" s="10">
        <v>29.95</v>
      </c>
      <c r="D148" s="10" t="s">
        <v>546</v>
      </c>
      <c r="F148" s="10" t="s">
        <v>107</v>
      </c>
      <c r="G148" s="447">
        <f>ROUND((G147*C148/100),2)</f>
        <v>4076.05</v>
      </c>
      <c r="H148" s="283"/>
    </row>
    <row r="149" spans="1:8">
      <c r="A149" s="10"/>
      <c r="B149" s="430" t="s">
        <v>601</v>
      </c>
      <c r="H149" s="283"/>
    </row>
    <row r="150" spans="1:8">
      <c r="A150" s="458"/>
      <c r="B150" s="430" t="s">
        <v>603</v>
      </c>
      <c r="F150" s="430" t="s">
        <v>107</v>
      </c>
      <c r="G150" s="441">
        <f>ROUND(SUM(G147:G148),2)</f>
        <v>17685.55</v>
      </c>
      <c r="H150" s="295"/>
    </row>
    <row r="151" spans="1:8">
      <c r="A151" s="452"/>
    </row>
    <row r="152" spans="1:8" ht="15.75">
      <c r="A152" s="462">
        <v>11</v>
      </c>
      <c r="B152" s="463" t="s">
        <v>674</v>
      </c>
    </row>
    <row r="153" spans="1:8" ht="33" customHeight="1">
      <c r="B153" s="3079" t="s">
        <v>647</v>
      </c>
      <c r="C153" s="3079"/>
      <c r="D153" s="3079"/>
      <c r="E153" s="3079"/>
      <c r="F153" s="3079"/>
      <c r="G153" s="3079"/>
    </row>
    <row r="154" spans="1:8" ht="25.5">
      <c r="A154" s="205" t="s">
        <v>648</v>
      </c>
      <c r="B154" s="2" t="s">
        <v>617</v>
      </c>
    </row>
    <row r="155" spans="1:8">
      <c r="A155" s="452"/>
      <c r="B155" s="10" t="s">
        <v>658</v>
      </c>
      <c r="C155" s="10">
        <v>5.88</v>
      </c>
      <c r="D155" s="10" t="s">
        <v>619</v>
      </c>
      <c r="E155" s="453">
        <f>'Ext. Mat_3'!$H$78</f>
        <v>1000</v>
      </c>
      <c r="G155" s="436">
        <f>ROUND((E155*C155),2)</f>
        <v>5880</v>
      </c>
    </row>
    <row r="156" spans="1:8" ht="25.5">
      <c r="A156" s="205" t="s">
        <v>650</v>
      </c>
      <c r="B156" s="10" t="s">
        <v>651</v>
      </c>
      <c r="C156" s="10">
        <v>1.75</v>
      </c>
      <c r="D156" s="10" t="s">
        <v>619</v>
      </c>
      <c r="E156" s="453">
        <f>'Ext. Mat_3'!$H$78</f>
        <v>1000</v>
      </c>
      <c r="G156" s="436">
        <f>ROUND((E156*C156),2)</f>
        <v>1750</v>
      </c>
    </row>
    <row r="157" spans="1:8">
      <c r="A157" s="452" t="s">
        <v>652</v>
      </c>
      <c r="B157" s="10" t="s">
        <v>653</v>
      </c>
      <c r="C157" s="10">
        <v>0.5</v>
      </c>
      <c r="D157" s="10" t="s">
        <v>619</v>
      </c>
      <c r="E157" s="453">
        <f>'Ext. Mat_3'!$H$78</f>
        <v>1000</v>
      </c>
      <c r="G157" s="436">
        <f>ROUND((E157*C157),2)</f>
        <v>500</v>
      </c>
    </row>
    <row r="158" spans="1:8" ht="25.5">
      <c r="A158" s="452" t="s">
        <v>622</v>
      </c>
      <c r="B158" s="2" t="s">
        <v>634</v>
      </c>
      <c r="C158" s="10">
        <v>45</v>
      </c>
      <c r="E158" s="10">
        <v>5</v>
      </c>
      <c r="G158" s="436">
        <f>ROUND((E158*C158),2)</f>
        <v>225</v>
      </c>
    </row>
    <row r="159" spans="1:8">
      <c r="A159" s="452" t="s">
        <v>624</v>
      </c>
      <c r="B159" s="10" t="s">
        <v>636</v>
      </c>
      <c r="C159" s="10">
        <v>45</v>
      </c>
      <c r="E159" s="10">
        <v>6</v>
      </c>
      <c r="G159" s="436">
        <f>ROUND((E159*C159),2)</f>
        <v>270</v>
      </c>
    </row>
    <row r="160" spans="1:8">
      <c r="A160" s="10"/>
      <c r="B160" s="188" t="s">
        <v>638</v>
      </c>
    </row>
    <row r="161" spans="1:7">
      <c r="A161" s="452" t="s">
        <v>635</v>
      </c>
      <c r="B161" s="10" t="s">
        <v>640</v>
      </c>
      <c r="C161" s="436">
        <f>Transp_1!$O$26</f>
        <v>0</v>
      </c>
      <c r="D161" s="436" t="s">
        <v>557</v>
      </c>
    </row>
    <row r="162" spans="1:7">
      <c r="A162" s="452"/>
      <c r="B162" s="10" t="s">
        <v>641</v>
      </c>
      <c r="C162" s="10">
        <v>1600</v>
      </c>
      <c r="D162" s="10" t="s">
        <v>1034</v>
      </c>
      <c r="G162" s="362"/>
    </row>
    <row r="163" spans="1:7">
      <c r="A163" s="452"/>
      <c r="B163" s="10" t="s">
        <v>654</v>
      </c>
      <c r="G163" s="448">
        <f>ROUND((C161*C162),2)</f>
        <v>0</v>
      </c>
    </row>
    <row r="164" spans="1:7" ht="25.5">
      <c r="A164" s="205" t="s">
        <v>655</v>
      </c>
      <c r="B164" s="10" t="s">
        <v>656</v>
      </c>
      <c r="E164" s="431"/>
    </row>
    <row r="165" spans="1:7">
      <c r="A165" s="452"/>
      <c r="B165" s="10" t="s">
        <v>657</v>
      </c>
      <c r="C165" s="10">
        <f>6.5/10</f>
        <v>0.65</v>
      </c>
      <c r="E165" s="453">
        <f>'Ext. Mat_3'!$H$71</f>
        <v>1330</v>
      </c>
      <c r="F165" s="456"/>
      <c r="G165" s="188">
        <f>ROUND((E165*C165),2)</f>
        <v>864.5</v>
      </c>
    </row>
    <row r="166" spans="1:7">
      <c r="A166" s="10"/>
      <c r="C166" s="442" t="s">
        <v>646</v>
      </c>
      <c r="E166" s="441"/>
      <c r="F166" s="10" t="s">
        <v>107</v>
      </c>
      <c r="G166" s="434">
        <f>ROUND(SUM(G154:G165),2)</f>
        <v>9489.5</v>
      </c>
    </row>
    <row r="167" spans="1:7">
      <c r="B167" s="10" t="s">
        <v>545</v>
      </c>
      <c r="C167" s="10">
        <v>29.95</v>
      </c>
      <c r="D167" s="10" t="s">
        <v>546</v>
      </c>
      <c r="F167" s="10" t="s">
        <v>107</v>
      </c>
      <c r="G167" s="447">
        <f>ROUND((G166*C167/100),2)</f>
        <v>2842.11</v>
      </c>
    </row>
    <row r="168" spans="1:7">
      <c r="A168" s="10"/>
      <c r="B168" s="430" t="s">
        <v>601</v>
      </c>
    </row>
    <row r="169" spans="1:7">
      <c r="A169" s="458"/>
      <c r="B169" s="430" t="s">
        <v>603</v>
      </c>
      <c r="F169" s="430" t="s">
        <v>107</v>
      </c>
      <c r="G169" s="441">
        <f>ROUND(SUM(G166:G167),2)</f>
        <v>12331.61</v>
      </c>
    </row>
    <row r="171" spans="1:7" ht="15.75">
      <c r="A171" s="462">
        <v>12</v>
      </c>
      <c r="B171" s="463" t="s">
        <v>675</v>
      </c>
    </row>
    <row r="172" spans="1:7" ht="36" customHeight="1">
      <c r="B172" s="3079" t="s">
        <v>647</v>
      </c>
      <c r="C172" s="3079"/>
      <c r="D172" s="3079"/>
      <c r="E172" s="3079"/>
      <c r="F172" s="3079"/>
      <c r="G172" s="3079"/>
    </row>
    <row r="173" spans="1:7" ht="25.5">
      <c r="A173" s="205" t="s">
        <v>648</v>
      </c>
      <c r="B173" s="2" t="s">
        <v>617</v>
      </c>
    </row>
    <row r="174" spans="1:7">
      <c r="A174" s="452"/>
      <c r="B174" s="10" t="s">
        <v>659</v>
      </c>
      <c r="C174" s="436">
        <v>4</v>
      </c>
      <c r="D174" s="10" t="s">
        <v>619</v>
      </c>
      <c r="E174" s="453">
        <f>'Ext. Mat_3'!$H$78</f>
        <v>1000</v>
      </c>
      <c r="G174" s="436">
        <f>ROUND((E174*C174),2)</f>
        <v>4000</v>
      </c>
    </row>
    <row r="175" spans="1:7" ht="25.5">
      <c r="A175" s="205" t="s">
        <v>650</v>
      </c>
      <c r="B175" s="10" t="s">
        <v>651</v>
      </c>
      <c r="C175" s="10">
        <v>1.75</v>
      </c>
      <c r="D175" s="10" t="s">
        <v>619</v>
      </c>
      <c r="E175" s="453">
        <f>'Ext. Mat_3'!$H$78</f>
        <v>1000</v>
      </c>
      <c r="G175" s="436">
        <f>ROUND((E175*C175),2)</f>
        <v>1750</v>
      </c>
    </row>
    <row r="176" spans="1:7">
      <c r="A176" s="452" t="s">
        <v>652</v>
      </c>
      <c r="B176" s="10" t="s">
        <v>653</v>
      </c>
      <c r="C176" s="10">
        <v>0.5</v>
      </c>
      <c r="D176" s="10" t="s">
        <v>619</v>
      </c>
      <c r="E176" s="453">
        <f>'Ext. Mat_3'!$H$78</f>
        <v>1000</v>
      </c>
      <c r="G176" s="436">
        <f>ROUND((E176*C176),2)</f>
        <v>500</v>
      </c>
    </row>
    <row r="177" spans="1:7" ht="25.5">
      <c r="A177" s="452" t="s">
        <v>622</v>
      </c>
      <c r="B177" s="2" t="s">
        <v>634</v>
      </c>
      <c r="C177" s="10">
        <v>45</v>
      </c>
      <c r="E177" s="10">
        <v>5</v>
      </c>
      <c r="G177" s="436">
        <f>ROUND((E177*C177),2)</f>
        <v>225</v>
      </c>
    </row>
    <row r="178" spans="1:7">
      <c r="A178" s="452" t="s">
        <v>624</v>
      </c>
      <c r="B178" s="10" t="s">
        <v>636</v>
      </c>
      <c r="C178" s="10">
        <v>45</v>
      </c>
      <c r="E178" s="10">
        <v>6</v>
      </c>
      <c r="G178" s="436">
        <f>ROUND((E178*C178),2)</f>
        <v>270</v>
      </c>
    </row>
    <row r="179" spans="1:7">
      <c r="A179" s="458"/>
      <c r="B179" s="459" t="s">
        <v>637</v>
      </c>
    </row>
    <row r="180" spans="1:7">
      <c r="A180" s="10"/>
      <c r="B180" s="188" t="s">
        <v>638</v>
      </c>
    </row>
    <row r="181" spans="1:7">
      <c r="A181" s="452" t="s">
        <v>635</v>
      </c>
      <c r="B181" s="10" t="s">
        <v>640</v>
      </c>
      <c r="C181" s="436">
        <f>Transp_1!$O$26</f>
        <v>0</v>
      </c>
      <c r="D181" s="436" t="s">
        <v>557</v>
      </c>
    </row>
    <row r="182" spans="1:7">
      <c r="A182" s="452"/>
      <c r="B182" s="10" t="s">
        <v>641</v>
      </c>
      <c r="C182" s="10">
        <v>1600</v>
      </c>
      <c r="D182" s="10" t="s">
        <v>1034</v>
      </c>
      <c r="G182" s="362"/>
    </row>
    <row r="183" spans="1:7">
      <c r="A183" s="452"/>
      <c r="B183" s="10" t="s">
        <v>654</v>
      </c>
      <c r="G183" s="448">
        <f>ROUND((C181*C182),2)</f>
        <v>0</v>
      </c>
    </row>
    <row r="184" spans="1:7" ht="25.5">
      <c r="A184" s="205" t="s">
        <v>735</v>
      </c>
      <c r="B184" s="10" t="s">
        <v>656</v>
      </c>
      <c r="E184" s="431"/>
    </row>
    <row r="185" spans="1:7">
      <c r="A185" s="452"/>
      <c r="B185" s="10" t="s">
        <v>657</v>
      </c>
      <c r="C185" s="10">
        <f>6.5/10</f>
        <v>0.65</v>
      </c>
      <c r="E185" s="453">
        <f>'Ext. Mat_3'!$H$71</f>
        <v>1330</v>
      </c>
      <c r="F185" s="456"/>
      <c r="G185" s="188">
        <f>ROUND((E185*C185),2)</f>
        <v>864.5</v>
      </c>
    </row>
    <row r="186" spans="1:7">
      <c r="A186" s="10"/>
      <c r="C186" s="442" t="s">
        <v>646</v>
      </c>
      <c r="E186" s="441"/>
      <c r="F186" s="10" t="s">
        <v>107</v>
      </c>
      <c r="G186" s="434">
        <f>ROUND(SUM(G174:G185),2)</f>
        <v>7609.5</v>
      </c>
    </row>
    <row r="187" spans="1:7">
      <c r="B187" s="10" t="s">
        <v>545</v>
      </c>
      <c r="C187" s="10">
        <v>29.95</v>
      </c>
      <c r="D187" s="10" t="s">
        <v>546</v>
      </c>
      <c r="F187" s="10" t="s">
        <v>107</v>
      </c>
      <c r="G187" s="447">
        <f>ROUND((G186*C187/100),2)</f>
        <v>2279.0500000000002</v>
      </c>
    </row>
    <row r="188" spans="1:7">
      <c r="A188" s="10"/>
      <c r="B188" s="430" t="s">
        <v>601</v>
      </c>
    </row>
    <row r="189" spans="1:7">
      <c r="A189" s="458"/>
      <c r="B189" s="430" t="s">
        <v>603</v>
      </c>
      <c r="F189" s="430" t="s">
        <v>107</v>
      </c>
      <c r="G189" s="441">
        <f>ROUND(SUM(G186:G187),2)</f>
        <v>9888.5499999999993</v>
      </c>
    </row>
    <row r="190" spans="1:7">
      <c r="A190" s="452"/>
      <c r="B190" s="430"/>
    </row>
  </sheetData>
  <mergeCells count="6">
    <mergeCell ref="A1:G1"/>
    <mergeCell ref="A2:G2"/>
    <mergeCell ref="A3:G3"/>
    <mergeCell ref="B172:G172"/>
    <mergeCell ref="B153:G153"/>
    <mergeCell ref="B134:G134"/>
  </mergeCells>
  <phoneticPr fontId="0" type="noConversion"/>
  <pageMargins left="0.71" right="0.38" top="0.9" bottom="0.75905511800000003" header="0.511811023622047" footer="0.511811023622047"/>
  <pageSetup paperSize="9" scale="95" firstPageNumber="69" orientation="portrait" useFirstPageNumber="1" horizontalDpi="180" verticalDpi="180" r:id="rId1"/>
  <headerFooter alignWithMargins="0">
    <oddFooter>&amp;C&amp;"Times New Roman,Regular"&amp;11&amp;P</oddFooter>
  </headerFooter>
  <rowBreaks count="4" manualBreakCount="4">
    <brk id="42" max="16383" man="1"/>
    <brk id="90" max="16383" man="1"/>
    <brk id="131" max="16383" man="1"/>
    <brk id="169" max="1638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U284"/>
  <sheetViews>
    <sheetView tabSelected="1" topLeftCell="A126" workbookViewId="0">
      <selection activeCell="R146" sqref="R146"/>
    </sheetView>
  </sheetViews>
  <sheetFormatPr defaultRowHeight="12.75"/>
  <cols>
    <col min="1" max="1" width="2.7109375" customWidth="1"/>
    <col min="2" max="2" width="8" customWidth="1"/>
    <col min="3" max="3" width="25.7109375" customWidth="1"/>
    <col min="4" max="4" width="2.85546875" customWidth="1"/>
    <col min="5" max="5" width="4" customWidth="1"/>
    <col min="6" max="6" width="7" customWidth="1"/>
    <col min="7" max="7" width="4.85546875" customWidth="1"/>
    <col min="8" max="9" width="8.140625" bestFit="1" customWidth="1"/>
    <col min="10" max="10" width="10.85546875" customWidth="1"/>
    <col min="11" max="11" width="5.28515625" customWidth="1"/>
    <col min="12" max="12" width="3.42578125" customWidth="1"/>
    <col min="13" max="13" width="9" bestFit="1" customWidth="1"/>
    <col min="14" max="15" width="9.85546875" bestFit="1" customWidth="1"/>
    <col min="16" max="16" width="9" bestFit="1" customWidth="1"/>
    <col min="17" max="17" width="9.85546875" bestFit="1" customWidth="1"/>
    <col min="18" max="18" width="10.140625" style="261" bestFit="1" customWidth="1"/>
    <col min="19" max="19" width="8.85546875" customWidth="1"/>
  </cols>
  <sheetData>
    <row r="1" spans="1:18" ht="18.75" customHeight="1">
      <c r="A1" s="3080" t="s">
        <v>92</v>
      </c>
      <c r="B1" s="3080"/>
      <c r="C1" s="3080"/>
      <c r="D1" s="3080"/>
      <c r="E1" s="3080"/>
      <c r="F1" s="3080"/>
      <c r="G1" s="3080"/>
      <c r="H1" s="3080"/>
      <c r="I1" s="3080"/>
      <c r="J1" s="3080"/>
      <c r="K1" s="3080"/>
      <c r="L1" s="3080"/>
      <c r="M1" s="3080"/>
      <c r="N1" s="3080"/>
      <c r="O1" s="3080"/>
      <c r="P1" s="3080"/>
      <c r="Q1" s="3080"/>
      <c r="R1" s="3080"/>
    </row>
    <row r="2" spans="1:18" ht="14.25">
      <c r="A2" s="9"/>
      <c r="B2" s="10"/>
      <c r="C2" s="10"/>
      <c r="D2" s="10"/>
      <c r="E2" s="10"/>
      <c r="F2" s="10"/>
      <c r="G2" s="10"/>
      <c r="H2" s="10"/>
      <c r="I2" s="10"/>
      <c r="J2" s="10"/>
      <c r="K2" s="10"/>
      <c r="L2" s="10"/>
      <c r="M2" s="10"/>
      <c r="N2" s="10"/>
      <c r="O2" s="10"/>
      <c r="P2" s="10"/>
      <c r="Q2" s="10"/>
      <c r="R2" s="254"/>
    </row>
    <row r="3" spans="1:18" ht="7.5" customHeight="1">
      <c r="A3" s="11"/>
    </row>
    <row r="4" spans="1:18" ht="12.95" customHeight="1">
      <c r="A4" s="12"/>
      <c r="B4" s="12"/>
      <c r="C4" s="12"/>
      <c r="D4" s="277"/>
      <c r="E4" s="278"/>
      <c r="F4" s="13" t="s">
        <v>93</v>
      </c>
      <c r="G4" s="13"/>
      <c r="H4" s="13"/>
      <c r="I4" s="13"/>
      <c r="J4" s="13" t="s">
        <v>94</v>
      </c>
      <c r="K4" s="13"/>
      <c r="L4" s="13"/>
      <c r="M4" s="13"/>
      <c r="N4" s="13"/>
      <c r="O4" s="14"/>
      <c r="P4" s="14"/>
      <c r="Q4" s="14"/>
      <c r="R4" s="262"/>
    </row>
    <row r="5" spans="1:18" ht="12.95" customHeight="1">
      <c r="A5" s="16"/>
      <c r="B5" s="16"/>
      <c r="C5" s="16"/>
      <c r="D5" s="279" t="s">
        <v>95</v>
      </c>
      <c r="E5" s="280"/>
      <c r="F5" s="16"/>
      <c r="G5" s="16" t="s">
        <v>96</v>
      </c>
      <c r="H5" s="16" t="s">
        <v>97</v>
      </c>
      <c r="I5" s="16" t="s">
        <v>52</v>
      </c>
      <c r="J5" s="16" t="s">
        <v>98</v>
      </c>
      <c r="K5" s="16"/>
      <c r="L5" s="16"/>
      <c r="M5" s="16" t="s">
        <v>1035</v>
      </c>
      <c r="N5" s="16" t="s">
        <v>1108</v>
      </c>
      <c r="O5" s="17" t="s">
        <v>99</v>
      </c>
      <c r="P5" s="17" t="s">
        <v>100</v>
      </c>
      <c r="Q5" s="16" t="s">
        <v>1108</v>
      </c>
      <c r="R5" s="263" t="s">
        <v>1035</v>
      </c>
    </row>
    <row r="6" spans="1:18" ht="12.95" customHeight="1">
      <c r="A6" s="16" t="s">
        <v>101</v>
      </c>
      <c r="B6" s="16" t="s">
        <v>102</v>
      </c>
      <c r="C6" s="16" t="s">
        <v>103</v>
      </c>
      <c r="D6" s="279" t="s">
        <v>104</v>
      </c>
      <c r="E6" s="280"/>
      <c r="F6" s="263" t="s">
        <v>105</v>
      </c>
      <c r="G6" s="16" t="s">
        <v>106</v>
      </c>
      <c r="H6" s="16" t="s">
        <v>107</v>
      </c>
      <c r="I6" s="16" t="s">
        <v>107</v>
      </c>
      <c r="J6" s="16" t="s">
        <v>108</v>
      </c>
      <c r="K6" s="263" t="s">
        <v>964</v>
      </c>
      <c r="L6" s="16" t="s">
        <v>1035</v>
      </c>
      <c r="M6" s="16" t="s">
        <v>97</v>
      </c>
      <c r="N6" s="16" t="s">
        <v>52</v>
      </c>
      <c r="O6" s="16" t="s">
        <v>109</v>
      </c>
      <c r="P6" s="16" t="s">
        <v>110</v>
      </c>
      <c r="Q6" s="16" t="s">
        <v>52</v>
      </c>
      <c r="R6" s="263" t="s">
        <v>111</v>
      </c>
    </row>
    <row r="7" spans="1:18" ht="12.95" customHeight="1">
      <c r="A7" s="16" t="s">
        <v>1087</v>
      </c>
      <c r="B7" s="16" t="s">
        <v>1087</v>
      </c>
      <c r="C7" s="16"/>
      <c r="D7" s="281"/>
      <c r="E7" s="282"/>
      <c r="F7" s="20"/>
      <c r="G7" s="20"/>
      <c r="H7" s="21"/>
      <c r="I7" s="21"/>
      <c r="J7" s="20" t="s">
        <v>112</v>
      </c>
      <c r="K7" s="20"/>
      <c r="L7" s="20"/>
      <c r="M7" s="21" t="s">
        <v>107</v>
      </c>
      <c r="N7" s="21" t="s">
        <v>107</v>
      </c>
      <c r="O7" s="22"/>
      <c r="P7" s="20"/>
      <c r="Q7" s="20" t="s">
        <v>3180</v>
      </c>
      <c r="R7" s="264"/>
    </row>
    <row r="8" spans="1:18" ht="12.95" customHeight="1">
      <c r="A8" s="16"/>
      <c r="B8" s="16"/>
      <c r="C8" s="16"/>
      <c r="D8" s="23"/>
      <c r="E8" s="15"/>
      <c r="F8" s="24"/>
      <c r="G8" s="24">
        <v>1</v>
      </c>
      <c r="H8" s="24">
        <v>2</v>
      </c>
      <c r="I8" s="24">
        <v>3</v>
      </c>
      <c r="J8" s="25"/>
      <c r="K8" s="24">
        <v>4</v>
      </c>
      <c r="L8" s="24"/>
      <c r="M8" s="24">
        <v>5</v>
      </c>
      <c r="N8" s="24">
        <v>6</v>
      </c>
      <c r="O8" s="24">
        <v>7</v>
      </c>
      <c r="P8" s="24">
        <v>8</v>
      </c>
      <c r="Q8" s="24">
        <v>9</v>
      </c>
      <c r="R8" s="265">
        <v>10</v>
      </c>
    </row>
    <row r="9" spans="1:18" ht="12.95" customHeight="1">
      <c r="A9" s="20"/>
      <c r="B9" s="20"/>
      <c r="C9" s="20"/>
      <c r="D9" s="26"/>
      <c r="E9" s="19"/>
      <c r="F9" s="20"/>
      <c r="G9" s="20"/>
      <c r="H9" s="21"/>
      <c r="I9" s="20" t="s">
        <v>114</v>
      </c>
      <c r="J9" s="18"/>
      <c r="K9" s="20"/>
      <c r="L9" s="20"/>
      <c r="M9" s="21"/>
      <c r="N9" s="20" t="s">
        <v>115</v>
      </c>
      <c r="O9" s="20" t="s">
        <v>116</v>
      </c>
      <c r="P9" s="20" t="s">
        <v>3179</v>
      </c>
      <c r="Q9" s="20" t="s">
        <v>117</v>
      </c>
      <c r="R9" s="266"/>
    </row>
    <row r="10" spans="1:18" ht="13.5" customHeight="1">
      <c r="A10" s="25"/>
      <c r="B10" s="27">
        <v>1</v>
      </c>
      <c r="C10" s="28" t="s">
        <v>118</v>
      </c>
      <c r="D10" s="29"/>
      <c r="E10" s="29"/>
      <c r="F10" s="29"/>
      <c r="G10" s="29"/>
      <c r="H10" s="30"/>
      <c r="I10" s="29"/>
      <c r="J10" s="29"/>
      <c r="K10" s="29"/>
      <c r="L10" s="29"/>
      <c r="M10" s="30"/>
      <c r="N10" s="29"/>
      <c r="O10" s="29"/>
      <c r="P10" s="29"/>
      <c r="Q10" s="29"/>
      <c r="R10" s="267"/>
    </row>
    <row r="11" spans="1:18" ht="13.5" customHeight="1">
      <c r="A11" s="16"/>
      <c r="B11" s="31"/>
      <c r="C11" s="32" t="s">
        <v>119</v>
      </c>
      <c r="D11" s="33"/>
      <c r="E11" s="34"/>
      <c r="F11" s="35"/>
      <c r="G11" s="35"/>
      <c r="H11" s="35"/>
      <c r="I11" s="35"/>
      <c r="J11" s="35"/>
      <c r="K11" s="35"/>
      <c r="L11" s="35"/>
      <c r="M11" s="35"/>
      <c r="N11" s="35"/>
      <c r="O11" s="35"/>
      <c r="P11" s="12"/>
      <c r="Q11" s="12"/>
      <c r="R11" s="268"/>
    </row>
    <row r="12" spans="1:18" ht="13.5" customHeight="1">
      <c r="A12" s="36">
        <v>1</v>
      </c>
      <c r="B12" s="37" t="s">
        <v>120</v>
      </c>
      <c r="C12" s="32" t="s">
        <v>121</v>
      </c>
      <c r="D12" s="33"/>
      <c r="E12" s="34"/>
      <c r="F12" s="38" t="s">
        <v>122</v>
      </c>
      <c r="G12" s="39">
        <v>0.13</v>
      </c>
      <c r="H12" s="40">
        <f>'Ext. Mat_3'!$H$72</f>
        <v>1000</v>
      </c>
      <c r="I12" s="41">
        <f>H12*G12</f>
        <v>130</v>
      </c>
      <c r="J12" s="35"/>
      <c r="K12" s="35"/>
      <c r="L12" s="35"/>
      <c r="M12" s="35"/>
      <c r="N12" s="42"/>
      <c r="O12" s="42"/>
      <c r="P12" s="20"/>
      <c r="Q12" s="20"/>
      <c r="R12" s="266"/>
    </row>
    <row r="13" spans="1:18" ht="13.5" customHeight="1">
      <c r="A13" s="43"/>
      <c r="B13" s="44"/>
      <c r="C13" s="45" t="s">
        <v>123</v>
      </c>
      <c r="D13" s="46">
        <v>1</v>
      </c>
      <c r="E13" s="47" t="s">
        <v>1087</v>
      </c>
      <c r="F13" s="48"/>
      <c r="G13" s="49"/>
      <c r="H13" s="50" t="s">
        <v>1108</v>
      </c>
      <c r="I13" s="51">
        <f>I12</f>
        <v>130</v>
      </c>
      <c r="J13" s="48"/>
      <c r="K13" s="49"/>
      <c r="L13" s="29"/>
      <c r="M13" s="50" t="s">
        <v>1108</v>
      </c>
      <c r="N13" s="52">
        <f>SUM(N12)</f>
        <v>0</v>
      </c>
      <c r="O13" s="52">
        <f>N13+I13</f>
        <v>130</v>
      </c>
      <c r="P13" s="52">
        <f>0.15*O13</f>
        <v>19.5</v>
      </c>
      <c r="Q13" s="52">
        <f>P13+O13</f>
        <v>149.5</v>
      </c>
      <c r="R13" s="255">
        <f>ROUND((Q13/D13),2)</f>
        <v>149.5</v>
      </c>
    </row>
    <row r="14" spans="1:18" ht="13.5" customHeight="1">
      <c r="A14" s="36"/>
      <c r="B14" s="31"/>
      <c r="C14" s="32" t="s">
        <v>124</v>
      </c>
      <c r="D14" s="33"/>
      <c r="E14" s="34"/>
      <c r="F14" s="53"/>
      <c r="G14" s="54"/>
      <c r="H14" s="35"/>
      <c r="I14" s="35"/>
      <c r="J14" s="35"/>
      <c r="K14" s="35"/>
      <c r="L14" s="35"/>
      <c r="M14" s="35"/>
      <c r="N14" s="35"/>
      <c r="O14" s="35"/>
      <c r="P14" s="52"/>
      <c r="Q14" s="12"/>
      <c r="R14" s="268"/>
    </row>
    <row r="15" spans="1:18" ht="13.5" customHeight="1">
      <c r="A15" s="36">
        <v>2</v>
      </c>
      <c r="B15" s="37" t="s">
        <v>125</v>
      </c>
      <c r="C15" s="32" t="s">
        <v>126</v>
      </c>
      <c r="D15" s="33"/>
      <c r="E15" s="34"/>
      <c r="F15" s="38" t="s">
        <v>122</v>
      </c>
      <c r="G15" s="55">
        <v>0.16</v>
      </c>
      <c r="H15" s="40">
        <f>'Ext. Mat_3'!$H$72</f>
        <v>1000</v>
      </c>
      <c r="I15" s="41">
        <f>H15*G15</f>
        <v>160</v>
      </c>
      <c r="J15" s="35"/>
      <c r="K15" s="35"/>
      <c r="L15" s="35"/>
      <c r="M15" s="35"/>
      <c r="N15" s="42"/>
      <c r="O15" s="42"/>
      <c r="P15" s="52"/>
      <c r="Q15" s="20"/>
      <c r="R15" s="266"/>
    </row>
    <row r="16" spans="1:18" ht="13.5" customHeight="1">
      <c r="A16" s="18"/>
      <c r="B16" s="56"/>
      <c r="C16" s="57" t="s">
        <v>127</v>
      </c>
      <c r="D16" s="46">
        <v>1</v>
      </c>
      <c r="E16" s="58" t="s">
        <v>128</v>
      </c>
      <c r="F16" s="59"/>
      <c r="G16" s="49"/>
      <c r="H16" s="50" t="s">
        <v>1108</v>
      </c>
      <c r="I16" s="51">
        <f>SUM(I15)</f>
        <v>160</v>
      </c>
      <c r="J16" s="48"/>
      <c r="K16" s="49"/>
      <c r="L16" s="29"/>
      <c r="M16" s="50" t="s">
        <v>1108</v>
      </c>
      <c r="N16" s="52">
        <f>SUM(N15)</f>
        <v>0</v>
      </c>
      <c r="O16" s="52">
        <f>N16+I16</f>
        <v>160</v>
      </c>
      <c r="P16" s="52">
        <f t="shared" ref="P16:P72" si="0">0.15*O16</f>
        <v>24</v>
      </c>
      <c r="Q16" s="52">
        <f>P16+O16</f>
        <v>184</v>
      </c>
      <c r="R16" s="255">
        <f>ROUND((Q16/D16),2)</f>
        <v>184</v>
      </c>
    </row>
    <row r="17" spans="1:18" ht="13.5" customHeight="1">
      <c r="A17" s="36">
        <v>3</v>
      </c>
      <c r="B17" s="37"/>
      <c r="C17" s="37" t="s">
        <v>129</v>
      </c>
      <c r="D17" s="60"/>
      <c r="E17" s="34"/>
      <c r="F17" s="37" t="s">
        <v>130</v>
      </c>
      <c r="G17" s="61">
        <v>0.17</v>
      </c>
      <c r="H17" s="40">
        <f>'Ext. Mat_3'!$H$72</f>
        <v>1000</v>
      </c>
      <c r="I17" s="41">
        <f>H17*G17</f>
        <v>170</v>
      </c>
      <c r="J17" s="44"/>
      <c r="K17" s="62"/>
      <c r="L17" s="43"/>
      <c r="M17" s="44"/>
      <c r="N17" s="63"/>
      <c r="O17" s="63"/>
      <c r="P17" s="52"/>
      <c r="Q17" s="63"/>
      <c r="R17" s="269"/>
    </row>
    <row r="18" spans="1:18" ht="13.5" customHeight="1">
      <c r="A18" s="44"/>
      <c r="B18" s="44"/>
      <c r="C18" s="44"/>
      <c r="D18" s="58">
        <v>1</v>
      </c>
      <c r="E18" s="58" t="s">
        <v>1085</v>
      </c>
      <c r="F18" s="48"/>
      <c r="G18" s="49"/>
      <c r="H18" s="50" t="s">
        <v>1108</v>
      </c>
      <c r="I18" s="51">
        <f>SUM(I17)</f>
        <v>170</v>
      </c>
      <c r="J18" s="48"/>
      <c r="K18" s="49"/>
      <c r="L18" s="29"/>
      <c r="M18" s="50" t="s">
        <v>1108</v>
      </c>
      <c r="N18" s="52">
        <f>SUM(N17)</f>
        <v>0</v>
      </c>
      <c r="O18" s="52">
        <f>N18+I18</f>
        <v>170</v>
      </c>
      <c r="P18" s="52">
        <f t="shared" si="0"/>
        <v>25.5</v>
      </c>
      <c r="Q18" s="52">
        <f>P18+O18</f>
        <v>195.5</v>
      </c>
      <c r="R18" s="255">
        <f>ROUND((Q18/D18),2)</f>
        <v>195.5</v>
      </c>
    </row>
    <row r="19" spans="1:18" ht="13.5" customHeight="1">
      <c r="A19" s="16"/>
      <c r="B19" s="31"/>
      <c r="C19" s="32" t="s">
        <v>131</v>
      </c>
      <c r="D19" s="33"/>
      <c r="E19" s="34"/>
      <c r="F19" s="35"/>
      <c r="G19" s="35"/>
      <c r="H19" s="35"/>
      <c r="I19" s="35"/>
      <c r="J19" s="35"/>
      <c r="K19" s="35"/>
      <c r="L19" s="35"/>
      <c r="M19" s="35"/>
      <c r="N19" s="35"/>
      <c r="O19" s="35"/>
      <c r="P19" s="52"/>
      <c r="Q19" s="12"/>
      <c r="R19" s="268"/>
    </row>
    <row r="20" spans="1:18" ht="13.5" customHeight="1">
      <c r="A20" s="36">
        <v>4</v>
      </c>
      <c r="B20" s="37" t="s">
        <v>132</v>
      </c>
      <c r="C20" s="32" t="s">
        <v>133</v>
      </c>
      <c r="D20" s="33"/>
      <c r="E20" s="34"/>
      <c r="F20" s="38" t="s">
        <v>122</v>
      </c>
      <c r="G20" s="39">
        <v>0.01</v>
      </c>
      <c r="H20" s="40">
        <f>'Ext. Mat_3'!$H$72</f>
        <v>1000</v>
      </c>
      <c r="I20" s="41">
        <f>H20*G20</f>
        <v>10</v>
      </c>
      <c r="J20" s="35"/>
      <c r="K20" s="35"/>
      <c r="L20" s="35"/>
      <c r="M20" s="35"/>
      <c r="N20" s="42"/>
      <c r="O20" s="42"/>
      <c r="P20" s="52"/>
      <c r="Q20" s="20"/>
      <c r="R20" s="266"/>
    </row>
    <row r="21" spans="1:18" ht="13.5" customHeight="1">
      <c r="A21" s="43"/>
      <c r="B21" s="44"/>
      <c r="C21" s="45" t="s">
        <v>134</v>
      </c>
      <c r="D21" s="46">
        <v>1</v>
      </c>
      <c r="E21" s="47" t="s">
        <v>128</v>
      </c>
      <c r="F21" s="48"/>
      <c r="G21" s="49"/>
      <c r="H21" s="50" t="s">
        <v>1108</v>
      </c>
      <c r="I21" s="51">
        <f>I20</f>
        <v>10</v>
      </c>
      <c r="J21" s="48"/>
      <c r="K21" s="49"/>
      <c r="L21" s="29"/>
      <c r="M21" s="50" t="s">
        <v>1108</v>
      </c>
      <c r="N21" s="52">
        <f>SUM(N20)</f>
        <v>0</v>
      </c>
      <c r="O21" s="52">
        <f>N21+I21</f>
        <v>10</v>
      </c>
      <c r="P21" s="52">
        <f t="shared" si="0"/>
        <v>1.5</v>
      </c>
      <c r="Q21" s="52">
        <f>P21+O21</f>
        <v>11.5</v>
      </c>
      <c r="R21" s="255">
        <f>ROUND((Q21/D21),2)</f>
        <v>11.5</v>
      </c>
    </row>
    <row r="22" spans="1:18" ht="13.5" customHeight="1">
      <c r="A22" s="25"/>
      <c r="B22" s="27">
        <v>2</v>
      </c>
      <c r="C22" s="28" t="s">
        <v>135</v>
      </c>
      <c r="D22" s="29"/>
      <c r="E22" s="29"/>
      <c r="F22" s="29"/>
      <c r="G22" s="29"/>
      <c r="H22" s="30"/>
      <c r="I22" s="29"/>
      <c r="J22" s="29"/>
      <c r="K22" s="29"/>
      <c r="L22" s="29"/>
      <c r="M22" s="30"/>
      <c r="N22" s="29"/>
      <c r="O22" s="29"/>
      <c r="P22" s="52"/>
      <c r="Q22" s="29"/>
      <c r="R22" s="267"/>
    </row>
    <row r="23" spans="1:18" ht="13.5" customHeight="1">
      <c r="A23" s="65">
        <v>5</v>
      </c>
      <c r="B23" s="66" t="s">
        <v>136</v>
      </c>
      <c r="C23" s="59" t="s">
        <v>137</v>
      </c>
      <c r="D23" s="67">
        <v>1</v>
      </c>
      <c r="E23" s="68" t="s">
        <v>1084</v>
      </c>
      <c r="F23" s="59" t="s">
        <v>122</v>
      </c>
      <c r="G23" s="69">
        <v>1</v>
      </c>
      <c r="H23" s="70">
        <f>'Ext. Mat_3'!$H$72</f>
        <v>1000</v>
      </c>
      <c r="I23" s="71">
        <f>G23*H23</f>
        <v>1000</v>
      </c>
      <c r="J23" s="46" t="s">
        <v>138</v>
      </c>
      <c r="K23" s="47"/>
      <c r="L23" s="44"/>
      <c r="M23" s="44"/>
      <c r="N23" s="63">
        <f>I23*0.03</f>
        <v>30</v>
      </c>
      <c r="O23" s="63">
        <f>I23+N23</f>
        <v>1030</v>
      </c>
      <c r="P23" s="52">
        <f t="shared" si="0"/>
        <v>154.5</v>
      </c>
      <c r="Q23" s="63">
        <f>P23+O23</f>
        <v>1184.5</v>
      </c>
      <c r="R23" s="255">
        <f>ROUND((Q23/D23),2)</f>
        <v>1184.5</v>
      </c>
    </row>
    <row r="24" spans="1:18" ht="13.5" customHeight="1">
      <c r="A24" s="72">
        <v>6</v>
      </c>
      <c r="B24" s="44" t="s">
        <v>139</v>
      </c>
      <c r="C24" s="44" t="s">
        <v>140</v>
      </c>
      <c r="D24" s="58">
        <v>1</v>
      </c>
      <c r="E24" s="47" t="s">
        <v>1084</v>
      </c>
      <c r="F24" s="44" t="s">
        <v>122</v>
      </c>
      <c r="G24" s="41">
        <v>1.25</v>
      </c>
      <c r="H24" s="70">
        <f>'Ext. Mat_3'!$H$72</f>
        <v>1000</v>
      </c>
      <c r="I24" s="41">
        <f>G24*H24</f>
        <v>1250</v>
      </c>
      <c r="J24" s="46" t="s">
        <v>138</v>
      </c>
      <c r="K24" s="47"/>
      <c r="L24" s="44"/>
      <c r="M24" s="44"/>
      <c r="N24" s="63">
        <f>I24*0.03</f>
        <v>37.5</v>
      </c>
      <c r="O24" s="63">
        <f>I24+N24</f>
        <v>1287.5</v>
      </c>
      <c r="P24" s="52">
        <f t="shared" si="0"/>
        <v>193.125</v>
      </c>
      <c r="Q24" s="63">
        <f>P24+O24</f>
        <v>1480.625</v>
      </c>
      <c r="R24" s="255">
        <f>ROUND((Q24/D24),2)</f>
        <v>1480.63</v>
      </c>
    </row>
    <row r="25" spans="1:18" ht="13.5" customHeight="1">
      <c r="A25" s="65">
        <v>7</v>
      </c>
      <c r="B25" s="59" t="s">
        <v>141</v>
      </c>
      <c r="C25" s="59" t="s">
        <v>142</v>
      </c>
      <c r="D25" s="67">
        <v>1</v>
      </c>
      <c r="E25" s="68" t="s">
        <v>1084</v>
      </c>
      <c r="F25" s="59" t="s">
        <v>122</v>
      </c>
      <c r="G25" s="73">
        <v>1.59</v>
      </c>
      <c r="H25" s="70">
        <f>'Ext. Mat_3'!$H$72</f>
        <v>1000</v>
      </c>
      <c r="I25" s="70">
        <f>G25*H25</f>
        <v>1590</v>
      </c>
      <c r="J25" s="46" t="s">
        <v>138</v>
      </c>
      <c r="K25" s="68"/>
      <c r="L25" s="59"/>
      <c r="M25" s="59"/>
      <c r="N25" s="63">
        <f>I25*0.03</f>
        <v>47.699999999999996</v>
      </c>
      <c r="O25" s="63">
        <f>I25+N25</f>
        <v>1637.7</v>
      </c>
      <c r="P25" s="52">
        <f t="shared" si="0"/>
        <v>245.655</v>
      </c>
      <c r="Q25" s="63">
        <f>P25+O25</f>
        <v>1883.355</v>
      </c>
      <c r="R25" s="255">
        <f>ROUND((Q25/D25),2)</f>
        <v>1883.36</v>
      </c>
    </row>
    <row r="26" spans="1:18" ht="13.5" customHeight="1">
      <c r="A26" s="74">
        <v>8</v>
      </c>
      <c r="B26" s="31" t="s">
        <v>143</v>
      </c>
      <c r="C26" s="59" t="s">
        <v>144</v>
      </c>
      <c r="D26" s="67">
        <v>1</v>
      </c>
      <c r="E26" s="68" t="s">
        <v>1084</v>
      </c>
      <c r="F26" s="53" t="str">
        <f>F25</f>
        <v>Labour</v>
      </c>
      <c r="G26" s="75">
        <v>3</v>
      </c>
      <c r="H26" s="70">
        <f>'Ext. Mat_3'!$H$72</f>
        <v>1000</v>
      </c>
      <c r="I26" s="70">
        <f>G26*H26</f>
        <v>3000</v>
      </c>
      <c r="J26" s="46" t="s">
        <v>138</v>
      </c>
      <c r="K26" s="68"/>
      <c r="L26" s="59"/>
      <c r="M26" s="59"/>
      <c r="N26" s="63">
        <f>I26*0.03</f>
        <v>90</v>
      </c>
      <c r="O26" s="63">
        <f>I26+N26</f>
        <v>3090</v>
      </c>
      <c r="P26" s="52">
        <f t="shared" si="0"/>
        <v>463.5</v>
      </c>
      <c r="Q26" s="63">
        <f>P26+O26</f>
        <v>3553.5</v>
      </c>
      <c r="R26" s="255">
        <f>ROUND((Q26/D26),2)</f>
        <v>3553.5</v>
      </c>
    </row>
    <row r="27" spans="1:18" ht="13.5" customHeight="1">
      <c r="A27" s="74">
        <v>9</v>
      </c>
      <c r="B27" s="76" t="s">
        <v>145</v>
      </c>
      <c r="C27" s="76" t="s">
        <v>146</v>
      </c>
      <c r="D27" s="77">
        <v>1</v>
      </c>
      <c r="E27" s="78" t="s">
        <v>1084</v>
      </c>
      <c r="F27" s="76" t="s">
        <v>122</v>
      </c>
      <c r="G27" s="79">
        <v>25.2</v>
      </c>
      <c r="H27" s="40">
        <f>'Ext. Mat_3'!$H$72</f>
        <v>1000</v>
      </c>
      <c r="I27" s="61">
        <f>G27*H27</f>
        <v>25200</v>
      </c>
      <c r="J27" s="33" t="s">
        <v>138</v>
      </c>
      <c r="K27" s="78"/>
      <c r="L27" s="76"/>
      <c r="M27" s="76"/>
      <c r="N27" s="80">
        <f>I27*0.03</f>
        <v>756</v>
      </c>
      <c r="O27" s="80">
        <f>I27+N27</f>
        <v>25956</v>
      </c>
      <c r="P27" s="52">
        <f t="shared" si="0"/>
        <v>3893.3999999999996</v>
      </c>
      <c r="Q27" s="80">
        <f>P27+O27</f>
        <v>29849.4</v>
      </c>
      <c r="R27" s="255">
        <f>ROUND((Q27/D27),2)</f>
        <v>29849.4</v>
      </c>
    </row>
    <row r="28" spans="1:18" ht="13.5" customHeight="1">
      <c r="A28" s="82"/>
      <c r="B28" s="27">
        <v>3</v>
      </c>
      <c r="C28" s="83" t="s">
        <v>147</v>
      </c>
      <c r="D28" s="67"/>
      <c r="E28" s="67"/>
      <c r="F28" s="67"/>
      <c r="G28" s="84"/>
      <c r="H28" s="85"/>
      <c r="I28" s="84"/>
      <c r="J28" s="67"/>
      <c r="K28" s="67"/>
      <c r="L28" s="67"/>
      <c r="M28" s="67"/>
      <c r="N28" s="86"/>
      <c r="O28" s="86"/>
      <c r="P28" s="52"/>
      <c r="Q28" s="86"/>
      <c r="R28" s="270"/>
    </row>
    <row r="29" spans="1:18" ht="13.5" customHeight="1">
      <c r="A29" s="59">
        <v>10</v>
      </c>
      <c r="B29" s="45" t="s">
        <v>148</v>
      </c>
      <c r="C29" s="88" t="s">
        <v>149</v>
      </c>
      <c r="D29" s="58">
        <v>1</v>
      </c>
      <c r="E29" s="47" t="s">
        <v>1084</v>
      </c>
      <c r="F29" s="44" t="s">
        <v>122</v>
      </c>
      <c r="G29" s="75">
        <v>0.5</v>
      </c>
      <c r="H29" s="70">
        <f>'Ext. Mat_3'!$H$72</f>
        <v>1000</v>
      </c>
      <c r="I29" s="41">
        <f>G29*H29</f>
        <v>500</v>
      </c>
      <c r="J29" s="46" t="s">
        <v>138</v>
      </c>
      <c r="K29" s="47"/>
      <c r="L29" s="44"/>
      <c r="M29" s="44"/>
      <c r="N29" s="63">
        <f>I29*0.03</f>
        <v>15</v>
      </c>
      <c r="O29" s="63">
        <f>I29+N29</f>
        <v>515</v>
      </c>
      <c r="P29" s="52">
        <f t="shared" si="0"/>
        <v>77.25</v>
      </c>
      <c r="Q29" s="63">
        <f>P29+O29</f>
        <v>592.25</v>
      </c>
      <c r="R29" s="255">
        <f>ROUND((Q29/D29),2)</f>
        <v>592.25</v>
      </c>
    </row>
    <row r="30" spans="1:18" ht="13.5" customHeight="1">
      <c r="A30" s="82">
        <v>11</v>
      </c>
      <c r="B30" s="59" t="s">
        <v>150</v>
      </c>
      <c r="C30" s="59" t="s">
        <v>151</v>
      </c>
      <c r="D30" s="67">
        <v>1</v>
      </c>
      <c r="E30" s="68" t="s">
        <v>1084</v>
      </c>
      <c r="F30" s="59" t="s">
        <v>122</v>
      </c>
      <c r="G30" s="73">
        <v>0.63</v>
      </c>
      <c r="H30" s="70">
        <f>'Ext. Mat_3'!$H$72</f>
        <v>1000</v>
      </c>
      <c r="I30" s="41">
        <f>G30*H30</f>
        <v>630</v>
      </c>
      <c r="J30" s="46" t="s">
        <v>138</v>
      </c>
      <c r="K30" s="68"/>
      <c r="L30" s="59"/>
      <c r="M30" s="59"/>
      <c r="N30" s="63">
        <f>I30*0.03</f>
        <v>18.899999999999999</v>
      </c>
      <c r="O30" s="63">
        <f>I30+N30</f>
        <v>648.9</v>
      </c>
      <c r="P30" s="52">
        <f t="shared" si="0"/>
        <v>97.334999999999994</v>
      </c>
      <c r="Q30" s="63">
        <f>P30+O30</f>
        <v>746.23500000000001</v>
      </c>
      <c r="R30" s="255">
        <f>ROUND((Q30/D30),2)</f>
        <v>746.24</v>
      </c>
    </row>
    <row r="31" spans="1:18" ht="13.5" customHeight="1">
      <c r="A31" s="76">
        <v>12</v>
      </c>
      <c r="B31" s="59" t="s">
        <v>152</v>
      </c>
      <c r="C31" s="59" t="s">
        <v>153</v>
      </c>
      <c r="D31" s="67">
        <v>1</v>
      </c>
      <c r="E31" s="68" t="s">
        <v>1084</v>
      </c>
      <c r="F31" s="59" t="s">
        <v>122</v>
      </c>
      <c r="G31" s="73">
        <v>0.6</v>
      </c>
      <c r="H31" s="70">
        <f>'Ext. Mat_3'!$H$72</f>
        <v>1000</v>
      </c>
      <c r="I31" s="41">
        <f>G31*H31</f>
        <v>600</v>
      </c>
      <c r="J31" s="46" t="s">
        <v>138</v>
      </c>
      <c r="K31" s="68"/>
      <c r="L31" s="59"/>
      <c r="M31" s="59"/>
      <c r="N31" s="63">
        <f>I31*0.03</f>
        <v>18</v>
      </c>
      <c r="O31" s="63">
        <f>I31+N31</f>
        <v>618</v>
      </c>
      <c r="P31" s="52">
        <f t="shared" si="0"/>
        <v>92.7</v>
      </c>
      <c r="Q31" s="63">
        <f>P31+O31</f>
        <v>710.7</v>
      </c>
      <c r="R31" s="255">
        <f>ROUND((Q31/D31),2)</f>
        <v>710.7</v>
      </c>
    </row>
    <row r="32" spans="1:18" ht="13.5" customHeight="1">
      <c r="A32" s="76">
        <v>13</v>
      </c>
      <c r="B32" s="76" t="s">
        <v>154</v>
      </c>
      <c r="C32" s="76" t="s">
        <v>155</v>
      </c>
      <c r="D32" s="77">
        <v>1</v>
      </c>
      <c r="E32" s="78" t="s">
        <v>1084</v>
      </c>
      <c r="F32" s="76" t="s">
        <v>122</v>
      </c>
      <c r="G32" s="79">
        <v>1.1000000000000001</v>
      </c>
      <c r="H32" s="40">
        <f>'Ext. Mat_3'!$H$72</f>
        <v>1000</v>
      </c>
      <c r="I32" s="61">
        <f>G32*H32</f>
        <v>1100</v>
      </c>
      <c r="J32" s="33" t="s">
        <v>138</v>
      </c>
      <c r="K32" s="78"/>
      <c r="L32" s="76"/>
      <c r="M32" s="76"/>
      <c r="N32" s="80">
        <f>I32*0.03</f>
        <v>33</v>
      </c>
      <c r="O32" s="80">
        <f>I32+N32</f>
        <v>1133</v>
      </c>
      <c r="P32" s="52">
        <f t="shared" si="0"/>
        <v>169.95</v>
      </c>
      <c r="Q32" s="80">
        <f>P32+O32</f>
        <v>1302.95</v>
      </c>
      <c r="R32" s="255">
        <f>ROUND((Q32/D32),2)</f>
        <v>1302.95</v>
      </c>
    </row>
    <row r="33" spans="1:18" ht="13.5" customHeight="1">
      <c r="A33" s="82"/>
      <c r="B33" s="89">
        <v>4</v>
      </c>
      <c r="C33" s="83" t="s">
        <v>156</v>
      </c>
      <c r="D33" s="67"/>
      <c r="E33" s="67"/>
      <c r="F33" s="67"/>
      <c r="G33" s="84"/>
      <c r="H33" s="85"/>
      <c r="I33" s="84"/>
      <c r="J33" s="67"/>
      <c r="K33" s="67"/>
      <c r="L33" s="67"/>
      <c r="M33" s="67"/>
      <c r="N33" s="86"/>
      <c r="O33" s="86"/>
      <c r="P33" s="52">
        <f t="shared" si="0"/>
        <v>0</v>
      </c>
      <c r="Q33" s="86"/>
      <c r="R33" s="270"/>
    </row>
    <row r="34" spans="1:18" ht="13.5" customHeight="1">
      <c r="A34" s="37">
        <v>14</v>
      </c>
      <c r="B34" s="37" t="s">
        <v>157</v>
      </c>
      <c r="C34" s="37" t="s">
        <v>158</v>
      </c>
      <c r="D34" s="60"/>
      <c r="E34" s="34"/>
      <c r="F34" s="37" t="s">
        <v>159</v>
      </c>
      <c r="G34" s="61">
        <v>1</v>
      </c>
      <c r="H34" s="40">
        <f>'Ext. Mat_3'!$H$71</f>
        <v>1330</v>
      </c>
      <c r="I34" s="61">
        <f>G34*H34</f>
        <v>1330</v>
      </c>
      <c r="J34" s="37" t="s">
        <v>160</v>
      </c>
      <c r="K34" s="90">
        <v>1.1000000000000001</v>
      </c>
      <c r="L34" s="36" t="s">
        <v>1084</v>
      </c>
      <c r="M34" s="40">
        <f>'Ext. Mat_3'!$H$61</f>
        <v>2752.43</v>
      </c>
      <c r="N34" s="80">
        <f>K34*M34</f>
        <v>3027.6730000000002</v>
      </c>
      <c r="O34" s="80"/>
      <c r="P34" s="52">
        <f t="shared" si="0"/>
        <v>0</v>
      </c>
      <c r="Q34" s="80"/>
      <c r="R34" s="256"/>
    </row>
    <row r="35" spans="1:18" ht="13.5" customHeight="1">
      <c r="A35" s="37"/>
      <c r="B35" s="37"/>
      <c r="C35" s="37"/>
      <c r="D35" s="60"/>
      <c r="E35" s="34"/>
      <c r="F35" s="37" t="s">
        <v>122</v>
      </c>
      <c r="G35" s="61">
        <v>2.25</v>
      </c>
      <c r="H35" s="70">
        <f>'Ext. Mat_3'!$H$72</f>
        <v>1000</v>
      </c>
      <c r="I35" s="41">
        <f>G35*H35</f>
        <v>2250</v>
      </c>
      <c r="J35" s="44" t="s">
        <v>161</v>
      </c>
      <c r="K35" s="62">
        <v>0.42</v>
      </c>
      <c r="L35" s="43" t="s">
        <v>1084</v>
      </c>
      <c r="M35" s="70">
        <f>'Ext. Mat_3'!$H$67</f>
        <v>343</v>
      </c>
      <c r="N35" s="63">
        <f>K35*M35</f>
        <v>144.06</v>
      </c>
      <c r="O35" s="63"/>
      <c r="P35" s="52">
        <f t="shared" si="0"/>
        <v>0</v>
      </c>
      <c r="Q35" s="63"/>
      <c r="R35" s="269"/>
    </row>
    <row r="36" spans="1:18" ht="13.5" customHeight="1">
      <c r="A36" s="44"/>
      <c r="B36" s="44"/>
      <c r="C36" s="44"/>
      <c r="D36" s="58">
        <v>1</v>
      </c>
      <c r="E36" s="58" t="s">
        <v>1084</v>
      </c>
      <c r="F36" s="48"/>
      <c r="G36" s="49"/>
      <c r="H36" s="50" t="s">
        <v>1108</v>
      </c>
      <c r="I36" s="51">
        <f>SUM(I34:I35)</f>
        <v>3580</v>
      </c>
      <c r="J36" s="48"/>
      <c r="K36" s="49"/>
      <c r="L36" s="29"/>
      <c r="M36" s="50" t="s">
        <v>1108</v>
      </c>
      <c r="N36" s="52">
        <f>SUM(N34:N35)</f>
        <v>3171.7330000000002</v>
      </c>
      <c r="O36" s="52">
        <f>N36+I36</f>
        <v>6751.7330000000002</v>
      </c>
      <c r="P36" s="52">
        <f t="shared" si="0"/>
        <v>1012.75995</v>
      </c>
      <c r="Q36" s="52">
        <f>P36+O36</f>
        <v>7764.4929499999998</v>
      </c>
      <c r="R36" s="255">
        <f>ROUND((Q36/D36),2)</f>
        <v>7764.49</v>
      </c>
    </row>
    <row r="37" spans="1:18" ht="13.5" customHeight="1">
      <c r="A37" s="37">
        <v>15</v>
      </c>
      <c r="B37" s="37" t="s">
        <v>162</v>
      </c>
      <c r="C37" s="37" t="s">
        <v>163</v>
      </c>
      <c r="D37" s="60"/>
      <c r="E37" s="34"/>
      <c r="F37" s="37" t="s">
        <v>159</v>
      </c>
      <c r="G37" s="61">
        <v>1</v>
      </c>
      <c r="H37" s="40">
        <f>'Ext. Mat_3'!$H$71</f>
        <v>1330</v>
      </c>
      <c r="I37" s="61">
        <f>G37*H37</f>
        <v>1330</v>
      </c>
      <c r="J37" s="37"/>
      <c r="K37" s="90"/>
      <c r="L37" s="36"/>
      <c r="M37" s="37"/>
      <c r="N37" s="80"/>
      <c r="O37" s="80"/>
      <c r="P37" s="52">
        <f t="shared" si="0"/>
        <v>0</v>
      </c>
      <c r="Q37" s="80"/>
      <c r="R37" s="256"/>
    </row>
    <row r="38" spans="1:18" ht="13.5" customHeight="1">
      <c r="A38" s="37"/>
      <c r="B38" s="37"/>
      <c r="C38" s="37"/>
      <c r="D38" s="60"/>
      <c r="E38" s="34"/>
      <c r="F38" s="37" t="s">
        <v>122</v>
      </c>
      <c r="G38" s="61">
        <v>2</v>
      </c>
      <c r="H38" s="70">
        <f>'Ext. Mat_3'!$H$72</f>
        <v>1000</v>
      </c>
      <c r="I38" s="41">
        <f>G38*H38</f>
        <v>2000</v>
      </c>
      <c r="J38" s="37" t="s">
        <v>160</v>
      </c>
      <c r="K38" s="90">
        <v>1.1000000000000001</v>
      </c>
      <c r="L38" s="36" t="s">
        <v>1084</v>
      </c>
      <c r="M38" s="40">
        <f>'Ext. Mat_3'!$H$61</f>
        <v>2752.43</v>
      </c>
      <c r="N38" s="63">
        <f>M38*K38</f>
        <v>3027.6730000000002</v>
      </c>
      <c r="O38" s="63"/>
      <c r="P38" s="52">
        <f t="shared" si="0"/>
        <v>0</v>
      </c>
      <c r="Q38" s="63"/>
      <c r="R38" s="269"/>
    </row>
    <row r="39" spans="1:18" ht="13.5" customHeight="1">
      <c r="A39" s="44"/>
      <c r="B39" s="44"/>
      <c r="C39" s="44"/>
      <c r="D39" s="58">
        <v>1</v>
      </c>
      <c r="E39" s="58" t="s">
        <v>1084</v>
      </c>
      <c r="F39" s="48"/>
      <c r="G39" s="49"/>
      <c r="H39" s="50" t="s">
        <v>1108</v>
      </c>
      <c r="I39" s="91">
        <f>SUM(I37:I38)</f>
        <v>3330</v>
      </c>
      <c r="J39" s="48"/>
      <c r="K39" s="49"/>
      <c r="L39" s="29"/>
      <c r="M39" s="50" t="s">
        <v>1108</v>
      </c>
      <c r="N39" s="92">
        <f>SUM(N37:N38)</f>
        <v>3027.6730000000002</v>
      </c>
      <c r="O39" s="52">
        <f>N39+I39</f>
        <v>6357.6730000000007</v>
      </c>
      <c r="P39" s="52">
        <f t="shared" si="0"/>
        <v>953.65095000000008</v>
      </c>
      <c r="Q39" s="52">
        <f>P39+O39</f>
        <v>7311.3239500000009</v>
      </c>
      <c r="R39" s="255">
        <f>ROUND((Q39/D39),2)</f>
        <v>7311.32</v>
      </c>
    </row>
    <row r="40" spans="1:18" ht="13.5" customHeight="1">
      <c r="A40" s="59">
        <v>16</v>
      </c>
      <c r="B40" s="59" t="s">
        <v>164</v>
      </c>
      <c r="C40" s="59" t="s">
        <v>165</v>
      </c>
      <c r="D40" s="67">
        <v>1</v>
      </c>
      <c r="E40" s="68" t="s">
        <v>1084</v>
      </c>
      <c r="F40" s="59" t="s">
        <v>122</v>
      </c>
      <c r="G40" s="73">
        <v>1.5</v>
      </c>
      <c r="H40" s="93">
        <f>'Ext. Mat_3'!$H$72</f>
        <v>1000</v>
      </c>
      <c r="I40" s="73">
        <f>G40*H40</f>
        <v>1500</v>
      </c>
      <c r="J40" s="59" t="s">
        <v>160</v>
      </c>
      <c r="K40" s="94">
        <v>1.2</v>
      </c>
      <c r="L40" s="95" t="s">
        <v>1084</v>
      </c>
      <c r="M40" s="93">
        <f>'Ext. Mat_3'!$H$61</f>
        <v>2752.43</v>
      </c>
      <c r="N40" s="96">
        <f>K40*M40</f>
        <v>3302.9159999999997</v>
      </c>
      <c r="O40" s="96">
        <f>N40+I40</f>
        <v>4802.9159999999993</v>
      </c>
      <c r="P40" s="52">
        <f t="shared" si="0"/>
        <v>720.43739999999991</v>
      </c>
      <c r="Q40" s="96">
        <f>P40+O40</f>
        <v>5523.3533999999991</v>
      </c>
      <c r="R40" s="255">
        <f>ROUND((Q40/D40),2)</f>
        <v>5523.35</v>
      </c>
    </row>
    <row r="41" spans="1:18" ht="12.95" customHeight="1">
      <c r="A41" s="37">
        <v>17</v>
      </c>
      <c r="B41" s="97" t="s">
        <v>166</v>
      </c>
      <c r="C41" s="37" t="s">
        <v>167</v>
      </c>
      <c r="D41" s="60"/>
      <c r="E41" s="34"/>
      <c r="F41" s="37" t="s">
        <v>159</v>
      </c>
      <c r="G41" s="61">
        <v>1</v>
      </c>
      <c r="H41" s="40">
        <f>'Ext. Mat_3'!$H$71</f>
        <v>1330</v>
      </c>
      <c r="I41" s="61">
        <f>G41*H41</f>
        <v>1330</v>
      </c>
      <c r="J41" s="37" t="s">
        <v>160</v>
      </c>
      <c r="K41" s="90">
        <v>1.1000000000000001</v>
      </c>
      <c r="L41" s="36" t="s">
        <v>1084</v>
      </c>
      <c r="M41" s="40">
        <f>'Ext. Mat_3'!$H$61</f>
        <v>2752.43</v>
      </c>
      <c r="N41" s="80">
        <f>M41*K41</f>
        <v>3027.6730000000002</v>
      </c>
      <c r="O41" s="80"/>
      <c r="P41" s="52">
        <f t="shared" si="0"/>
        <v>0</v>
      </c>
      <c r="Q41" s="80"/>
      <c r="R41" s="256"/>
    </row>
    <row r="42" spans="1:18" ht="12.95" customHeight="1">
      <c r="A42" s="37"/>
      <c r="B42" s="37"/>
      <c r="C42" s="37"/>
      <c r="D42" s="60"/>
      <c r="E42" s="34"/>
      <c r="F42" s="37" t="s">
        <v>122</v>
      </c>
      <c r="G42" s="61">
        <v>3.5</v>
      </c>
      <c r="H42" s="70">
        <f>'Ext. Mat_3'!$H$72</f>
        <v>1000</v>
      </c>
      <c r="I42" s="41">
        <f>G42*H42</f>
        <v>3500</v>
      </c>
      <c r="J42" s="44" t="s">
        <v>168</v>
      </c>
      <c r="K42" s="62">
        <v>0.71</v>
      </c>
      <c r="L42" s="43" t="s">
        <v>1084</v>
      </c>
      <c r="M42" s="70">
        <f>'Ext. Mat_3'!$H$66</f>
        <v>3387.6</v>
      </c>
      <c r="N42" s="63">
        <f>K42*M42</f>
        <v>2405.1959999999999</v>
      </c>
      <c r="O42" s="63"/>
      <c r="P42" s="52">
        <f t="shared" si="0"/>
        <v>0</v>
      </c>
      <c r="Q42" s="63"/>
      <c r="R42" s="269"/>
    </row>
    <row r="43" spans="1:18" ht="12.95" customHeight="1">
      <c r="A43" s="44"/>
      <c r="B43" s="44"/>
      <c r="C43" s="44"/>
      <c r="D43" s="58">
        <v>1</v>
      </c>
      <c r="E43" s="58" t="s">
        <v>1084</v>
      </c>
      <c r="F43" s="48"/>
      <c r="G43" s="49"/>
      <c r="H43" s="50" t="s">
        <v>1108</v>
      </c>
      <c r="I43" s="51">
        <f>SUM(I41:I42)</f>
        <v>4830</v>
      </c>
      <c r="J43" s="48"/>
      <c r="K43" s="49"/>
      <c r="L43" s="29"/>
      <c r="M43" s="50" t="s">
        <v>1108</v>
      </c>
      <c r="N43" s="52">
        <f>SUM(N41:N42)</f>
        <v>5432.8690000000006</v>
      </c>
      <c r="O43" s="52">
        <f>N43+I43</f>
        <v>10262.869000000001</v>
      </c>
      <c r="P43" s="52">
        <f t="shared" si="0"/>
        <v>1539.4303500000001</v>
      </c>
      <c r="Q43" s="52">
        <f>P43+O43</f>
        <v>11802.299350000001</v>
      </c>
      <c r="R43" s="255">
        <f>ROUND((Q43/D43),2)</f>
        <v>11802.3</v>
      </c>
    </row>
    <row r="44" spans="1:18" ht="12.95" customHeight="1">
      <c r="A44" s="37">
        <v>18</v>
      </c>
      <c r="B44" s="37" t="s">
        <v>169</v>
      </c>
      <c r="C44" s="37" t="s">
        <v>670</v>
      </c>
      <c r="D44" s="60"/>
      <c r="E44" s="34"/>
      <c r="F44" s="37" t="s">
        <v>159</v>
      </c>
      <c r="G44" s="61">
        <v>1.5</v>
      </c>
      <c r="H44" s="40">
        <f>'Ext. Mat_3'!$H$71</f>
        <v>1330</v>
      </c>
      <c r="I44" s="61">
        <f>G44*H44</f>
        <v>1995</v>
      </c>
      <c r="J44" s="37" t="s">
        <v>160</v>
      </c>
      <c r="K44" s="90">
        <v>1.1000000000000001</v>
      </c>
      <c r="L44" s="36" t="s">
        <v>1084</v>
      </c>
      <c r="M44" s="40">
        <f>'Ext. Mat_3'!$H$61</f>
        <v>2752.43</v>
      </c>
      <c r="N44" s="80">
        <f>K44*M44</f>
        <v>3027.6730000000002</v>
      </c>
      <c r="O44" s="80"/>
      <c r="P44" s="52">
        <f t="shared" si="0"/>
        <v>0</v>
      </c>
      <c r="Q44" s="80"/>
      <c r="R44" s="256"/>
    </row>
    <row r="45" spans="1:18" ht="12.95" customHeight="1">
      <c r="A45" s="37"/>
      <c r="B45" s="37"/>
      <c r="C45" s="37" t="s">
        <v>668</v>
      </c>
      <c r="D45" s="60"/>
      <c r="E45" s="34"/>
      <c r="F45" s="37" t="s">
        <v>122</v>
      </c>
      <c r="G45" s="61">
        <v>5</v>
      </c>
      <c r="H45" s="40">
        <f>'Ext. Mat_3'!$H$72</f>
        <v>1000</v>
      </c>
      <c r="I45" s="61">
        <f>G45*H45</f>
        <v>5000</v>
      </c>
      <c r="J45" s="37" t="s">
        <v>170</v>
      </c>
      <c r="K45" s="90">
        <v>3.18</v>
      </c>
      <c r="L45" s="36" t="s">
        <v>171</v>
      </c>
      <c r="M45" s="40">
        <f>'Ext. Mat_3'!$H$8</f>
        <v>640</v>
      </c>
      <c r="N45" s="80">
        <f>K45*M45</f>
        <v>2035.2</v>
      </c>
      <c r="O45" s="80"/>
      <c r="P45" s="52">
        <f t="shared" si="0"/>
        <v>0</v>
      </c>
      <c r="Q45" s="80"/>
      <c r="R45" s="256"/>
    </row>
    <row r="46" spans="1:18" ht="12.95" customHeight="1">
      <c r="A46" s="37"/>
      <c r="B46" s="37"/>
      <c r="C46" s="37"/>
      <c r="D46" s="60"/>
      <c r="E46" s="34"/>
      <c r="F46" s="37"/>
      <c r="G46" s="61"/>
      <c r="H46" s="39"/>
      <c r="I46" s="41"/>
      <c r="J46" s="44" t="s">
        <v>168</v>
      </c>
      <c r="K46" s="62">
        <v>0.45</v>
      </c>
      <c r="L46" s="43" t="s">
        <v>1084</v>
      </c>
      <c r="M46" s="70">
        <f>'Ext. Mat_3'!$H$66</f>
        <v>3387.6</v>
      </c>
      <c r="N46" s="63">
        <f>K46*M46</f>
        <v>1524.42</v>
      </c>
      <c r="O46" s="63"/>
      <c r="P46" s="52">
        <f t="shared" si="0"/>
        <v>0</v>
      </c>
      <c r="Q46" s="63"/>
      <c r="R46" s="269"/>
    </row>
    <row r="47" spans="1:18" ht="12.95" customHeight="1">
      <c r="A47" s="44"/>
      <c r="B47" s="44"/>
      <c r="C47" s="44"/>
      <c r="D47" s="58">
        <v>1</v>
      </c>
      <c r="E47" s="58" t="s">
        <v>1084</v>
      </c>
      <c r="F47" s="48"/>
      <c r="G47" s="49"/>
      <c r="H47" s="50" t="s">
        <v>1108</v>
      </c>
      <c r="I47" s="51">
        <f>SUM(I44:I46)</f>
        <v>6995</v>
      </c>
      <c r="J47" s="48"/>
      <c r="K47" s="49"/>
      <c r="L47" s="29"/>
      <c r="M47" s="50" t="s">
        <v>1108</v>
      </c>
      <c r="N47" s="52">
        <f>SUM(N44:N46)</f>
        <v>6587.2930000000006</v>
      </c>
      <c r="O47" s="52">
        <f>N47+I47</f>
        <v>13582.293000000001</v>
      </c>
      <c r="P47" s="52">
        <f t="shared" si="0"/>
        <v>2037.3439500000002</v>
      </c>
      <c r="Q47" s="98">
        <f>P47+O47</f>
        <v>15619.636950000002</v>
      </c>
      <c r="R47" s="255">
        <f>ROUND((Q47/D47),2)</f>
        <v>15619.64</v>
      </c>
    </row>
    <row r="48" spans="1:18" ht="12.95" customHeight="1">
      <c r="A48" s="37">
        <v>19</v>
      </c>
      <c r="B48" s="37" t="s">
        <v>172</v>
      </c>
      <c r="C48" s="37" t="s">
        <v>669</v>
      </c>
      <c r="D48" s="60"/>
      <c r="E48" s="34"/>
      <c r="F48" s="37" t="s">
        <v>159</v>
      </c>
      <c r="G48" s="61">
        <v>1.5</v>
      </c>
      <c r="H48" s="40">
        <f>'Ext. Mat_3'!$H$71</f>
        <v>1330</v>
      </c>
      <c r="I48" s="61">
        <f>H48*G48</f>
        <v>1995</v>
      </c>
      <c r="J48" s="76" t="s">
        <v>160</v>
      </c>
      <c r="K48" s="90">
        <v>1.1000000000000001</v>
      </c>
      <c r="L48" s="36" t="s">
        <v>1084</v>
      </c>
      <c r="M48" s="99">
        <f>'Ext. Mat_3'!$H$61</f>
        <v>2752.43</v>
      </c>
      <c r="N48" s="80">
        <f>M48*K48</f>
        <v>3027.6730000000002</v>
      </c>
      <c r="O48" s="80"/>
      <c r="P48" s="52">
        <f t="shared" si="0"/>
        <v>0</v>
      </c>
      <c r="Q48" s="80"/>
      <c r="R48" s="256"/>
    </row>
    <row r="49" spans="1:18" ht="12.95" customHeight="1">
      <c r="A49" s="37"/>
      <c r="B49" s="37"/>
      <c r="C49" s="37" t="s">
        <v>668</v>
      </c>
      <c r="D49" s="60"/>
      <c r="E49" s="34"/>
      <c r="F49" s="37" t="s">
        <v>122</v>
      </c>
      <c r="G49" s="61">
        <v>5</v>
      </c>
      <c r="H49" s="40">
        <f>'Ext. Mat_3'!$H$72</f>
        <v>1000</v>
      </c>
      <c r="I49" s="61">
        <f>H49*G49</f>
        <v>5000</v>
      </c>
      <c r="J49" s="37" t="s">
        <v>170</v>
      </c>
      <c r="K49" s="90">
        <v>2.12</v>
      </c>
      <c r="L49" s="36" t="s">
        <v>171</v>
      </c>
      <c r="M49" s="40">
        <f>'Ext. Mat_3'!$H$8</f>
        <v>640</v>
      </c>
      <c r="N49" s="80">
        <f>M49*K49</f>
        <v>1356.8000000000002</v>
      </c>
      <c r="O49" s="80"/>
      <c r="P49" s="52">
        <f t="shared" si="0"/>
        <v>0</v>
      </c>
      <c r="Q49" s="80"/>
      <c r="R49" s="256"/>
    </row>
    <row r="50" spans="1:18" ht="12.95" customHeight="1">
      <c r="A50" s="37"/>
      <c r="B50" s="37"/>
      <c r="C50" s="37"/>
      <c r="D50" s="60"/>
      <c r="E50" s="34"/>
      <c r="F50" s="37"/>
      <c r="G50" s="61"/>
      <c r="H50" s="39"/>
      <c r="I50" s="41"/>
      <c r="J50" s="44" t="s">
        <v>168</v>
      </c>
      <c r="K50" s="62">
        <v>0.47</v>
      </c>
      <c r="L50" s="43" t="s">
        <v>1084</v>
      </c>
      <c r="M50" s="70">
        <f>'Ext. Mat_3'!$H$66</f>
        <v>3387.6</v>
      </c>
      <c r="N50" s="63">
        <f>M50*K50</f>
        <v>1592.1719999999998</v>
      </c>
      <c r="O50" s="63"/>
      <c r="P50" s="52">
        <f t="shared" si="0"/>
        <v>0</v>
      </c>
      <c r="Q50" s="63"/>
      <c r="R50" s="269"/>
    </row>
    <row r="51" spans="1:18" ht="12.95" customHeight="1">
      <c r="A51" s="44"/>
      <c r="B51" s="44"/>
      <c r="C51" s="44"/>
      <c r="D51" s="58">
        <v>1</v>
      </c>
      <c r="E51" s="58" t="s">
        <v>1084</v>
      </c>
      <c r="F51" s="48"/>
      <c r="G51" s="49"/>
      <c r="H51" s="50" t="s">
        <v>1108</v>
      </c>
      <c r="I51" s="51">
        <f>SUM(I48:I50)</f>
        <v>6995</v>
      </c>
      <c r="J51" s="100"/>
      <c r="K51" s="49"/>
      <c r="L51" s="29"/>
      <c r="M51" s="50" t="s">
        <v>1108</v>
      </c>
      <c r="N51" s="92">
        <f>SUM(N48:N50)</f>
        <v>5976.6449999999995</v>
      </c>
      <c r="O51" s="92">
        <f>N51+I51</f>
        <v>12971.645</v>
      </c>
      <c r="P51" s="52">
        <f t="shared" si="0"/>
        <v>1945.74675</v>
      </c>
      <c r="Q51" s="52">
        <f>P51+O51</f>
        <v>14917.391750000001</v>
      </c>
      <c r="R51" s="255">
        <f>ROUND((Q51/D51),2)</f>
        <v>14917.39</v>
      </c>
    </row>
    <row r="52" spans="1:18" ht="12.95" customHeight="1">
      <c r="A52" s="37">
        <v>20</v>
      </c>
      <c r="B52" s="37"/>
      <c r="C52" s="37" t="s">
        <v>667</v>
      </c>
      <c r="D52" s="60"/>
      <c r="E52" s="34"/>
      <c r="F52" s="37" t="s">
        <v>159</v>
      </c>
      <c r="G52" s="61">
        <v>1.5</v>
      </c>
      <c r="H52" s="40">
        <f>'Ext. Mat_3'!$H$71</f>
        <v>1330</v>
      </c>
      <c r="I52" s="61">
        <f>H52*G52</f>
        <v>1995</v>
      </c>
      <c r="J52" s="76" t="s">
        <v>160</v>
      </c>
      <c r="K52" s="90">
        <v>1.1000000000000001</v>
      </c>
      <c r="L52" s="36" t="s">
        <v>1084</v>
      </c>
      <c r="M52" s="99">
        <f>'Ext. Mat_3'!$H$61</f>
        <v>2752.43</v>
      </c>
      <c r="N52" s="80">
        <f>M52*K52</f>
        <v>3027.6730000000002</v>
      </c>
      <c r="O52" s="80"/>
      <c r="P52" s="52">
        <f t="shared" si="0"/>
        <v>0</v>
      </c>
      <c r="Q52" s="80"/>
      <c r="R52" s="256"/>
    </row>
    <row r="53" spans="1:18" ht="12.95" customHeight="1">
      <c r="A53" s="37"/>
      <c r="B53" s="101" t="s">
        <v>173</v>
      </c>
      <c r="C53" s="37" t="s">
        <v>668</v>
      </c>
      <c r="D53" s="60"/>
      <c r="E53" s="34"/>
      <c r="F53" s="37" t="s">
        <v>122</v>
      </c>
      <c r="G53" s="61">
        <v>5</v>
      </c>
      <c r="H53" s="40">
        <f>'Ext. Mat_3'!$H$72</f>
        <v>1000</v>
      </c>
      <c r="I53" s="61">
        <f>H53*G53</f>
        <v>5000</v>
      </c>
      <c r="J53" s="37" t="s">
        <v>170</v>
      </c>
      <c r="K53" s="90">
        <v>3.88</v>
      </c>
      <c r="L53" s="36" t="s">
        <v>171</v>
      </c>
      <c r="M53" s="40">
        <f>'Ext. Mat_3'!$H$8</f>
        <v>640</v>
      </c>
      <c r="N53" s="80">
        <f>M53*K53</f>
        <v>2483.1999999999998</v>
      </c>
      <c r="O53" s="80"/>
      <c r="P53" s="52">
        <f t="shared" si="0"/>
        <v>0</v>
      </c>
      <c r="Q53" s="80"/>
      <c r="R53" s="256"/>
    </row>
    <row r="54" spans="1:18" ht="12.95" customHeight="1">
      <c r="A54" s="37"/>
      <c r="B54" s="37"/>
      <c r="C54" s="37"/>
      <c r="D54" s="60"/>
      <c r="E54" s="34"/>
      <c r="F54" s="37"/>
      <c r="G54" s="61"/>
      <c r="H54" s="39"/>
      <c r="I54" s="41"/>
      <c r="J54" s="44" t="s">
        <v>168</v>
      </c>
      <c r="K54" s="62">
        <v>0.42</v>
      </c>
      <c r="L54" s="43" t="s">
        <v>1084</v>
      </c>
      <c r="M54" s="70">
        <f>'Ext. Mat_3'!$H$66</f>
        <v>3387.6</v>
      </c>
      <c r="N54" s="63">
        <f>M54*K54</f>
        <v>1422.7919999999999</v>
      </c>
      <c r="O54" s="63"/>
      <c r="P54" s="52">
        <f t="shared" si="0"/>
        <v>0</v>
      </c>
      <c r="Q54" s="63"/>
      <c r="R54" s="269"/>
    </row>
    <row r="55" spans="1:18" ht="12.95" customHeight="1">
      <c r="A55" s="44"/>
      <c r="B55" s="44"/>
      <c r="C55" s="44"/>
      <c r="D55" s="58">
        <v>1</v>
      </c>
      <c r="E55" s="58" t="s">
        <v>1084</v>
      </c>
      <c r="F55" s="48"/>
      <c r="G55" s="49"/>
      <c r="H55" s="50" t="s">
        <v>1108</v>
      </c>
      <c r="I55" s="51">
        <f>SUM(I52:I54)</f>
        <v>6995</v>
      </c>
      <c r="J55" s="48"/>
      <c r="K55" s="49"/>
      <c r="L55" s="29"/>
      <c r="M55" s="50" t="s">
        <v>1108</v>
      </c>
      <c r="N55" s="92">
        <f>SUM(N52:N54)</f>
        <v>6933.6649999999991</v>
      </c>
      <c r="O55" s="92">
        <f>N55+I55</f>
        <v>13928.664999999999</v>
      </c>
      <c r="P55" s="52">
        <f t="shared" si="0"/>
        <v>2089.2997499999997</v>
      </c>
      <c r="Q55" s="98">
        <f>P55+O55</f>
        <v>16017.964749999999</v>
      </c>
      <c r="R55" s="255">
        <f>ROUND((Q55/D55),2)</f>
        <v>16017.96</v>
      </c>
    </row>
    <row r="56" spans="1:18" ht="12.95" customHeight="1">
      <c r="A56" s="37">
        <v>21</v>
      </c>
      <c r="B56" s="37"/>
      <c r="C56" s="37" t="s">
        <v>174</v>
      </c>
      <c r="D56" s="60"/>
      <c r="E56" s="34"/>
      <c r="F56" s="37" t="s">
        <v>175</v>
      </c>
      <c r="G56" s="61">
        <v>1</v>
      </c>
      <c r="H56" s="40">
        <f>'Ext. Mat_3'!$H$71</f>
        <v>1330</v>
      </c>
      <c r="I56" s="61">
        <f>H56*G56</f>
        <v>1330</v>
      </c>
      <c r="J56" s="37" t="s">
        <v>176</v>
      </c>
      <c r="K56" s="90"/>
      <c r="L56" s="36"/>
      <c r="M56" s="37"/>
      <c r="N56" s="80"/>
      <c r="O56" s="80"/>
      <c r="P56" s="52">
        <f t="shared" si="0"/>
        <v>0</v>
      </c>
      <c r="Q56" s="80"/>
      <c r="R56" s="256"/>
    </row>
    <row r="57" spans="1:18" ht="12.95" customHeight="1">
      <c r="A57" s="37"/>
      <c r="B57" s="37"/>
      <c r="C57" s="37" t="s">
        <v>177</v>
      </c>
      <c r="D57" s="60"/>
      <c r="E57" s="34"/>
      <c r="F57" s="37" t="s">
        <v>130</v>
      </c>
      <c r="G57" s="61">
        <v>3.5</v>
      </c>
      <c r="H57" s="40">
        <f>'Ext. Mat_3'!$H$72</f>
        <v>1000</v>
      </c>
      <c r="I57" s="41">
        <f>H57*G57</f>
        <v>3500</v>
      </c>
      <c r="J57" s="102" t="s">
        <v>178</v>
      </c>
      <c r="K57" s="62">
        <v>1.1000000000000001</v>
      </c>
      <c r="L57" s="43" t="s">
        <v>1084</v>
      </c>
      <c r="M57" s="70">
        <f>'Ext. Mat_3'!$H$63</f>
        <v>3528.76</v>
      </c>
      <c r="N57" s="63">
        <f>M57*K57</f>
        <v>3881.6360000000004</v>
      </c>
      <c r="O57" s="63"/>
      <c r="P57" s="52">
        <f t="shared" si="0"/>
        <v>0</v>
      </c>
      <c r="Q57" s="63"/>
      <c r="R57" s="256"/>
    </row>
    <row r="58" spans="1:18" ht="12.95" customHeight="1">
      <c r="A58" s="44"/>
      <c r="B58" s="44"/>
      <c r="C58" s="44"/>
      <c r="D58" s="58">
        <v>1</v>
      </c>
      <c r="E58" s="58" t="s">
        <v>1084</v>
      </c>
      <c r="F58" s="48"/>
      <c r="G58" s="49"/>
      <c r="H58" s="50" t="s">
        <v>1108</v>
      </c>
      <c r="I58" s="51">
        <f>SUM(I56:I57)</f>
        <v>4830</v>
      </c>
      <c r="J58" s="48"/>
      <c r="K58" s="49"/>
      <c r="L58" s="29"/>
      <c r="M58" s="50" t="s">
        <v>1108</v>
      </c>
      <c r="N58" s="52">
        <f>SUM(N56:N57)</f>
        <v>3881.6360000000004</v>
      </c>
      <c r="O58" s="52">
        <f>N58+I58</f>
        <v>8711.6360000000004</v>
      </c>
      <c r="P58" s="52">
        <f t="shared" si="0"/>
        <v>1306.7454</v>
      </c>
      <c r="Q58" s="52">
        <f>P58+O58</f>
        <v>10018.3814</v>
      </c>
      <c r="R58" s="255">
        <f>ROUND((Q58/D58),2)</f>
        <v>10018.379999999999</v>
      </c>
    </row>
    <row r="59" spans="1:18" ht="12.95" customHeight="1">
      <c r="A59" s="82"/>
      <c r="B59" s="83">
        <v>5</v>
      </c>
      <c r="C59" s="83" t="s">
        <v>179</v>
      </c>
      <c r="D59" s="67"/>
      <c r="E59" s="67"/>
      <c r="F59" s="89"/>
      <c r="G59" s="49"/>
      <c r="H59" s="103"/>
      <c r="I59" s="49"/>
      <c r="J59" s="89"/>
      <c r="K59" s="49"/>
      <c r="L59" s="29"/>
      <c r="M59" s="103"/>
      <c r="N59" s="104"/>
      <c r="O59" s="104"/>
      <c r="P59" s="52"/>
      <c r="Q59" s="104"/>
      <c r="R59" s="270"/>
    </row>
    <row r="60" spans="1:18" ht="12.95" customHeight="1">
      <c r="A60" s="37">
        <v>22</v>
      </c>
      <c r="B60" s="97" t="s">
        <v>180</v>
      </c>
      <c r="C60" s="37" t="s">
        <v>181</v>
      </c>
      <c r="D60" s="60"/>
      <c r="E60" s="34"/>
      <c r="F60" s="37" t="s">
        <v>159</v>
      </c>
      <c r="G60" s="61">
        <v>1</v>
      </c>
      <c r="H60" s="40">
        <f>'Ext. Mat_3'!$H$71</f>
        <v>1330</v>
      </c>
      <c r="I60" s="61">
        <f>H60*G60</f>
        <v>1330</v>
      </c>
      <c r="J60" s="37" t="s">
        <v>170</v>
      </c>
      <c r="K60" s="90">
        <v>8</v>
      </c>
      <c r="L60" s="36" t="s">
        <v>171</v>
      </c>
      <c r="M60" s="40">
        <f>'Ext. Mat_3'!$H$8</f>
        <v>640</v>
      </c>
      <c r="N60" s="80">
        <f>M60*K60</f>
        <v>5120</v>
      </c>
      <c r="O60" s="80"/>
      <c r="P60" s="52"/>
      <c r="Q60" s="80"/>
      <c r="R60" s="256"/>
    </row>
    <row r="61" spans="1:18" ht="12.95" customHeight="1">
      <c r="A61" s="37"/>
      <c r="B61" s="37"/>
      <c r="C61" s="37"/>
      <c r="D61" s="60"/>
      <c r="E61" s="34"/>
      <c r="F61" s="37" t="s">
        <v>122</v>
      </c>
      <c r="G61" s="61">
        <v>4</v>
      </c>
      <c r="H61" s="40">
        <f>'Ext. Mat_3'!$H$72</f>
        <v>1000</v>
      </c>
      <c r="I61" s="61">
        <f>H61*G61</f>
        <v>4000</v>
      </c>
      <c r="J61" s="37" t="s">
        <v>168</v>
      </c>
      <c r="K61" s="105">
        <v>0.42499999999999999</v>
      </c>
      <c r="L61" s="36" t="s">
        <v>1084</v>
      </c>
      <c r="M61" s="40">
        <f>'Ext. Mat_3'!$H$66</f>
        <v>3387.6</v>
      </c>
      <c r="N61" s="80">
        <f>M61*K61</f>
        <v>1439.73</v>
      </c>
      <c r="O61" s="80"/>
      <c r="P61" s="52"/>
      <c r="Q61" s="80"/>
      <c r="R61" s="256"/>
    </row>
    <row r="62" spans="1:18" ht="12.95" customHeight="1">
      <c r="A62" s="37"/>
      <c r="B62" s="37"/>
      <c r="C62" s="37"/>
      <c r="D62" s="60"/>
      <c r="E62" s="34"/>
      <c r="F62" s="37"/>
      <c r="G62" s="61"/>
      <c r="H62" s="39"/>
      <c r="I62" s="61"/>
      <c r="J62" s="37" t="s">
        <v>176</v>
      </c>
      <c r="K62" s="90"/>
      <c r="L62" s="36"/>
      <c r="M62" s="37"/>
      <c r="N62" s="80"/>
      <c r="O62" s="80"/>
      <c r="P62" s="52"/>
      <c r="Q62" s="80"/>
      <c r="R62" s="256"/>
    </row>
    <row r="63" spans="1:18" ht="12.95" customHeight="1">
      <c r="A63" s="37"/>
      <c r="B63" s="37"/>
      <c r="C63" s="37"/>
      <c r="D63" s="60"/>
      <c r="E63" s="34"/>
      <c r="F63" s="37"/>
      <c r="G63" s="61"/>
      <c r="H63" s="39"/>
      <c r="I63" s="61"/>
      <c r="J63" s="101" t="s">
        <v>182</v>
      </c>
      <c r="K63" s="90">
        <v>0.28999999999999998</v>
      </c>
      <c r="L63" s="36" t="s">
        <v>1084</v>
      </c>
      <c r="M63" s="40">
        <f>'Ext. Mat_3'!$H$65</f>
        <v>3528.76</v>
      </c>
      <c r="N63" s="80">
        <f>M63*K63</f>
        <v>1023.3404</v>
      </c>
      <c r="O63" s="80"/>
      <c r="P63" s="52"/>
      <c r="Q63" s="80"/>
      <c r="R63" s="256"/>
    </row>
    <row r="64" spans="1:18" ht="12.95" customHeight="1">
      <c r="A64" s="37"/>
      <c r="B64" s="37"/>
      <c r="C64" s="37"/>
      <c r="D64" s="60"/>
      <c r="E64" s="34"/>
      <c r="F64" s="37"/>
      <c r="G64" s="61"/>
      <c r="H64" s="39"/>
      <c r="I64" s="41"/>
      <c r="J64" s="106" t="s">
        <v>183</v>
      </c>
      <c r="K64" s="62">
        <v>0.56999999999999995</v>
      </c>
      <c r="L64" s="43" t="s">
        <v>1084</v>
      </c>
      <c r="M64" s="70">
        <f>'Ext. Mat_3'!$H$64</f>
        <v>3528.76</v>
      </c>
      <c r="N64" s="63">
        <f>M64*K64</f>
        <v>2011.3932</v>
      </c>
      <c r="O64" s="63"/>
      <c r="P64" s="52"/>
      <c r="Q64" s="63"/>
      <c r="R64" s="269"/>
    </row>
    <row r="65" spans="1:18" ht="12.95" customHeight="1">
      <c r="A65" s="44"/>
      <c r="B65" s="44"/>
      <c r="C65" s="44"/>
      <c r="D65" s="58">
        <v>1</v>
      </c>
      <c r="E65" s="58" t="s">
        <v>1084</v>
      </c>
      <c r="F65" s="48"/>
      <c r="G65" s="49"/>
      <c r="H65" s="50" t="s">
        <v>1108</v>
      </c>
      <c r="I65" s="51">
        <f>SUM(I60:I64)</f>
        <v>5330</v>
      </c>
      <c r="J65" s="48"/>
      <c r="K65" s="49"/>
      <c r="L65" s="29"/>
      <c r="M65" s="107" t="s">
        <v>1108</v>
      </c>
      <c r="N65" s="92">
        <f>SUM(N60:N64)</f>
        <v>9594.4635999999991</v>
      </c>
      <c r="O65" s="108">
        <f>N65+I65</f>
        <v>14924.463599999999</v>
      </c>
      <c r="P65" s="52">
        <f t="shared" si="0"/>
        <v>2238.6695399999999</v>
      </c>
      <c r="Q65" s="98">
        <f>P65+O65</f>
        <v>17163.133139999998</v>
      </c>
      <c r="R65" s="255">
        <f>ROUND((Q65/D65),2)</f>
        <v>17163.13</v>
      </c>
    </row>
    <row r="66" spans="1:18" ht="12.95" customHeight="1">
      <c r="A66" s="37">
        <v>23</v>
      </c>
      <c r="B66" s="37" t="s">
        <v>184</v>
      </c>
      <c r="C66" s="37" t="s">
        <v>185</v>
      </c>
      <c r="D66" s="60"/>
      <c r="E66" s="34"/>
      <c r="F66" s="37" t="s">
        <v>159</v>
      </c>
      <c r="G66" s="61">
        <v>1</v>
      </c>
      <c r="H66" s="40">
        <f>'Ext. Mat_3'!$H$71</f>
        <v>1330</v>
      </c>
      <c r="I66" s="61">
        <f>H66*G66</f>
        <v>1330</v>
      </c>
      <c r="J66" s="76" t="s">
        <v>170</v>
      </c>
      <c r="K66" s="90">
        <v>6.4</v>
      </c>
      <c r="L66" s="109" t="s">
        <v>171</v>
      </c>
      <c r="M66" s="99">
        <f>'Ext. Mat_3'!$H$8</f>
        <v>640</v>
      </c>
      <c r="N66" s="110">
        <f>M66*K66</f>
        <v>4096</v>
      </c>
      <c r="O66" s="80"/>
      <c r="P66" s="52"/>
      <c r="Q66" s="80"/>
      <c r="R66" s="256"/>
    </row>
    <row r="67" spans="1:18" ht="12.95" customHeight="1">
      <c r="A67" s="37"/>
      <c r="B67" s="37"/>
      <c r="C67" s="37"/>
      <c r="D67" s="60"/>
      <c r="E67" s="34"/>
      <c r="F67" s="37" t="s">
        <v>122</v>
      </c>
      <c r="G67" s="61">
        <v>4</v>
      </c>
      <c r="H67" s="40">
        <f>'Ext. Mat_3'!$H$72</f>
        <v>1000</v>
      </c>
      <c r="I67" s="61">
        <f>H67*G67</f>
        <v>4000</v>
      </c>
      <c r="J67" s="37" t="s">
        <v>168</v>
      </c>
      <c r="K67" s="105">
        <v>0.44500000000000001</v>
      </c>
      <c r="L67" s="109" t="s">
        <v>1084</v>
      </c>
      <c r="M67" s="40">
        <f>'Ext. Mat_3'!$H$66</f>
        <v>3387.6</v>
      </c>
      <c r="N67" s="110">
        <f>M67*K67</f>
        <v>1507.482</v>
      </c>
      <c r="O67" s="80"/>
      <c r="P67" s="52"/>
      <c r="Q67" s="80"/>
      <c r="R67" s="256"/>
    </row>
    <row r="68" spans="1:18" ht="12.95" customHeight="1">
      <c r="A68" s="37"/>
      <c r="B68" s="37"/>
      <c r="C68" s="37"/>
      <c r="D68" s="60"/>
      <c r="E68" s="34"/>
      <c r="F68" s="37"/>
      <c r="G68" s="61"/>
      <c r="H68" s="39"/>
      <c r="I68" s="61"/>
      <c r="J68" s="37" t="s">
        <v>176</v>
      </c>
      <c r="K68" s="90"/>
      <c r="L68" s="109"/>
      <c r="M68" s="37"/>
      <c r="N68" s="110"/>
      <c r="O68" s="80"/>
      <c r="P68" s="52"/>
      <c r="Q68" s="80"/>
      <c r="R68" s="256"/>
    </row>
    <row r="69" spans="1:18" ht="12.95" customHeight="1">
      <c r="A69" s="37"/>
      <c r="B69" s="37"/>
      <c r="C69" s="37"/>
      <c r="D69" s="60"/>
      <c r="E69" s="34"/>
      <c r="F69" s="37"/>
      <c r="G69" s="61"/>
      <c r="H69" s="39"/>
      <c r="I69" s="61"/>
      <c r="J69" s="101" t="s">
        <v>182</v>
      </c>
      <c r="K69" s="90">
        <v>0.11</v>
      </c>
      <c r="L69" s="109" t="s">
        <v>1084</v>
      </c>
      <c r="M69" s="40">
        <f>'Ext. Mat_3'!$H$65</f>
        <v>3528.76</v>
      </c>
      <c r="N69" s="110">
        <f>M69*K69</f>
        <v>388.16360000000003</v>
      </c>
      <c r="O69" s="80"/>
      <c r="P69" s="52"/>
      <c r="Q69" s="80"/>
      <c r="R69" s="256"/>
    </row>
    <row r="70" spans="1:18" ht="12.95" customHeight="1">
      <c r="A70" s="37"/>
      <c r="B70" s="37"/>
      <c r="C70" s="37"/>
      <c r="D70" s="60"/>
      <c r="E70" s="34"/>
      <c r="F70" s="37"/>
      <c r="G70" s="61"/>
      <c r="H70" s="39"/>
      <c r="I70" s="61"/>
      <c r="J70" s="101" t="s">
        <v>183</v>
      </c>
      <c r="K70" s="90">
        <v>0.22</v>
      </c>
      <c r="L70" s="109" t="s">
        <v>1084</v>
      </c>
      <c r="M70" s="40">
        <f>'Ext. Mat_3'!$H$64</f>
        <v>3528.76</v>
      </c>
      <c r="N70" s="110">
        <f>M70*K70</f>
        <v>776.32720000000006</v>
      </c>
      <c r="O70" s="80"/>
      <c r="P70" s="52"/>
      <c r="Q70" s="80"/>
      <c r="R70" s="256"/>
    </row>
    <row r="71" spans="1:18" ht="12.95" customHeight="1">
      <c r="A71" s="37"/>
      <c r="B71" s="37"/>
      <c r="C71" s="37"/>
      <c r="D71" s="60"/>
      <c r="E71" s="34"/>
      <c r="F71" s="37"/>
      <c r="G71" s="61"/>
      <c r="H71" s="39"/>
      <c r="I71" s="41"/>
      <c r="J71" s="106" t="s">
        <v>186</v>
      </c>
      <c r="K71" s="62">
        <v>0.52</v>
      </c>
      <c r="L71" s="65" t="s">
        <v>1084</v>
      </c>
      <c r="M71" s="70">
        <f>'Ext. Mat_3'!$H$63</f>
        <v>3528.76</v>
      </c>
      <c r="N71" s="111">
        <f>M71*K71</f>
        <v>1834.9552000000001</v>
      </c>
      <c r="O71" s="63"/>
      <c r="P71" s="52"/>
      <c r="Q71" s="63"/>
      <c r="R71" s="269"/>
    </row>
    <row r="72" spans="1:18" ht="12.95" customHeight="1">
      <c r="A72" s="44"/>
      <c r="B72" s="44"/>
      <c r="C72" s="44"/>
      <c r="D72" s="58">
        <v>1</v>
      </c>
      <c r="E72" s="58" t="s">
        <v>1084</v>
      </c>
      <c r="F72" s="48"/>
      <c r="G72" s="49"/>
      <c r="H72" s="50" t="s">
        <v>1108</v>
      </c>
      <c r="I72" s="51">
        <f>SUM(I66:I71)</f>
        <v>5330</v>
      </c>
      <c r="J72" s="48"/>
      <c r="K72" s="49"/>
      <c r="L72" s="29"/>
      <c r="M72" s="112" t="s">
        <v>1108</v>
      </c>
      <c r="N72" s="92">
        <f>SUM(N66:N71)</f>
        <v>8602.9279999999999</v>
      </c>
      <c r="O72" s="98">
        <f>N72+I72</f>
        <v>13932.928</v>
      </c>
      <c r="P72" s="52">
        <f t="shared" si="0"/>
        <v>2089.9391999999998</v>
      </c>
      <c r="Q72" s="98">
        <f>P72+O72</f>
        <v>16022.867200000001</v>
      </c>
      <c r="R72" s="255">
        <f>ROUND((Q72/D72),2)</f>
        <v>16022.87</v>
      </c>
    </row>
    <row r="73" spans="1:18" ht="12.95" customHeight="1">
      <c r="A73" s="37">
        <v>24</v>
      </c>
      <c r="B73" s="37" t="s">
        <v>187</v>
      </c>
      <c r="C73" s="37" t="s">
        <v>188</v>
      </c>
      <c r="D73" s="60"/>
      <c r="E73" s="34"/>
      <c r="F73" s="37" t="s">
        <v>159</v>
      </c>
      <c r="G73" s="61">
        <v>1</v>
      </c>
      <c r="H73" s="40">
        <f>'Ext. Mat_3'!$H$71</f>
        <v>1330</v>
      </c>
      <c r="I73" s="61">
        <f>H73*G73</f>
        <v>1330</v>
      </c>
      <c r="J73" s="37" t="s">
        <v>170</v>
      </c>
      <c r="K73" s="90">
        <v>4.4000000000000004</v>
      </c>
      <c r="L73" s="36" t="s">
        <v>171</v>
      </c>
      <c r="M73" s="40">
        <f>'Ext. Mat_3'!$H$8</f>
        <v>640</v>
      </c>
      <c r="N73" s="80">
        <f>M73*K73</f>
        <v>2816</v>
      </c>
      <c r="O73" s="80"/>
      <c r="P73" s="52"/>
      <c r="Q73" s="80"/>
      <c r="R73" s="256"/>
    </row>
    <row r="74" spans="1:18" ht="12.95" customHeight="1">
      <c r="A74" s="37"/>
      <c r="B74" s="37"/>
      <c r="C74" s="37"/>
      <c r="D74" s="60"/>
      <c r="E74" s="34"/>
      <c r="F74" s="37" t="s">
        <v>122</v>
      </c>
      <c r="G74" s="61">
        <v>4</v>
      </c>
      <c r="H74" s="40">
        <f>'Ext. Mat_3'!$H$72</f>
        <v>1000</v>
      </c>
      <c r="I74" s="61">
        <f>H74*G74</f>
        <v>4000</v>
      </c>
      <c r="J74" s="37" t="s">
        <v>168</v>
      </c>
      <c r="K74" s="90">
        <v>0.47</v>
      </c>
      <c r="L74" s="36" t="s">
        <v>1084</v>
      </c>
      <c r="M74" s="40">
        <f>'Ext. Mat_3'!$H$66</f>
        <v>3387.6</v>
      </c>
      <c r="N74" s="80">
        <f>M74*K74</f>
        <v>1592.1719999999998</v>
      </c>
      <c r="O74" s="80"/>
      <c r="P74" s="52"/>
      <c r="Q74" s="80"/>
      <c r="R74" s="256"/>
    </row>
    <row r="75" spans="1:18" ht="12.95" customHeight="1">
      <c r="A75" s="37"/>
      <c r="B75" s="37"/>
      <c r="C75" s="37"/>
      <c r="D75" s="60"/>
      <c r="E75" s="34"/>
      <c r="F75" s="37"/>
      <c r="G75" s="61"/>
      <c r="H75" s="39"/>
      <c r="I75" s="61"/>
      <c r="J75" s="37" t="s">
        <v>176</v>
      </c>
      <c r="K75" s="90"/>
      <c r="L75" s="36"/>
      <c r="M75" s="37"/>
      <c r="N75" s="80"/>
      <c r="O75" s="80"/>
      <c r="P75" s="52"/>
      <c r="Q75" s="80"/>
      <c r="R75" s="256"/>
    </row>
    <row r="76" spans="1:18" ht="12.95" customHeight="1">
      <c r="A76" s="37"/>
      <c r="B76" s="37"/>
      <c r="C76" s="37"/>
      <c r="D76" s="60"/>
      <c r="E76" s="34"/>
      <c r="F76" s="37"/>
      <c r="G76" s="61"/>
      <c r="H76" s="39"/>
      <c r="I76" s="61"/>
      <c r="J76" s="101" t="s">
        <v>183</v>
      </c>
      <c r="K76" s="90">
        <v>0.24</v>
      </c>
      <c r="L76" s="36" t="s">
        <v>1084</v>
      </c>
      <c r="M76" s="40">
        <f>'Ext. Mat_3'!$H$64</f>
        <v>3528.76</v>
      </c>
      <c r="N76" s="80">
        <f>M76*K76</f>
        <v>846.90240000000006</v>
      </c>
      <c r="O76" s="80"/>
      <c r="P76" s="52"/>
      <c r="Q76" s="80"/>
      <c r="R76" s="256"/>
    </row>
    <row r="77" spans="1:18" ht="12.95" customHeight="1">
      <c r="A77" s="37"/>
      <c r="B77" s="37"/>
      <c r="C77" s="37"/>
      <c r="D77" s="60"/>
      <c r="E77" s="34"/>
      <c r="F77" s="37"/>
      <c r="G77" s="61"/>
      <c r="H77" s="39"/>
      <c r="I77" s="41"/>
      <c r="J77" s="106" t="s">
        <v>186</v>
      </c>
      <c r="K77" s="62">
        <v>0.65</v>
      </c>
      <c r="L77" s="43" t="s">
        <v>1084</v>
      </c>
      <c r="M77" s="70">
        <f>'Ext. Mat_3'!$H$63</f>
        <v>3528.76</v>
      </c>
      <c r="N77" s="63">
        <f>M77*K77</f>
        <v>2293.6940000000004</v>
      </c>
      <c r="O77" s="63"/>
      <c r="P77" s="52"/>
      <c r="Q77" s="63"/>
      <c r="R77" s="269"/>
    </row>
    <row r="78" spans="1:18" ht="12.95" customHeight="1">
      <c r="A78" s="44"/>
      <c r="B78" s="44"/>
      <c r="C78" s="44"/>
      <c r="D78" s="58">
        <v>1</v>
      </c>
      <c r="E78" s="58" t="s">
        <v>1084</v>
      </c>
      <c r="F78" s="48"/>
      <c r="G78" s="49"/>
      <c r="H78" s="50" t="s">
        <v>1108</v>
      </c>
      <c r="I78" s="51">
        <f>SUM(I73:I77)</f>
        <v>5330</v>
      </c>
      <c r="J78" s="48"/>
      <c r="K78" s="49"/>
      <c r="L78" s="29"/>
      <c r="M78" s="50" t="s">
        <v>1108</v>
      </c>
      <c r="N78" s="92">
        <f>SUM(N73:N77)</f>
        <v>7548.7683999999999</v>
      </c>
      <c r="O78" s="52">
        <f>N78+I78</f>
        <v>12878.768400000001</v>
      </c>
      <c r="P78" s="52">
        <f t="shared" ref="P78:P141" si="1">0.15*O78</f>
        <v>1931.8152600000001</v>
      </c>
      <c r="Q78" s="52">
        <f>P78+O78</f>
        <v>14810.58366</v>
      </c>
      <c r="R78" s="255">
        <f>ROUND((Q78/D78),2)</f>
        <v>14810.58</v>
      </c>
    </row>
    <row r="79" spans="1:18" ht="12.95" customHeight="1">
      <c r="A79" s="37">
        <v>25</v>
      </c>
      <c r="B79" s="97" t="s">
        <v>189</v>
      </c>
      <c r="C79" s="37" t="s">
        <v>190</v>
      </c>
      <c r="D79" s="60"/>
      <c r="E79" s="34"/>
      <c r="F79" s="37" t="s">
        <v>175</v>
      </c>
      <c r="G79" s="61">
        <v>0.12</v>
      </c>
      <c r="H79" s="40">
        <f>'Ext. Mat_3'!$H$71</f>
        <v>1330</v>
      </c>
      <c r="I79" s="61">
        <f>H79*G79</f>
        <v>159.6</v>
      </c>
      <c r="J79" s="37" t="s">
        <v>191</v>
      </c>
      <c r="K79" s="258">
        <v>105</v>
      </c>
      <c r="L79" s="36" t="s">
        <v>192</v>
      </c>
      <c r="M79" s="40">
        <f>'Ext. Mat_3'!$H$9</f>
        <v>100</v>
      </c>
      <c r="N79" s="80">
        <f>M79*K79</f>
        <v>10500</v>
      </c>
      <c r="O79" s="80"/>
      <c r="P79" s="52">
        <f t="shared" si="1"/>
        <v>0</v>
      </c>
      <c r="Q79" s="80"/>
      <c r="R79" s="256"/>
    </row>
    <row r="80" spans="1:18" ht="12.95" customHeight="1">
      <c r="A80" s="37"/>
      <c r="B80" s="37"/>
      <c r="C80" s="39"/>
      <c r="D80" s="113"/>
      <c r="E80" s="34"/>
      <c r="F80" s="37" t="s">
        <v>130</v>
      </c>
      <c r="G80" s="61">
        <v>0.12</v>
      </c>
      <c r="H80" s="40">
        <f>'Ext. Mat_3'!$H$72</f>
        <v>1000</v>
      </c>
      <c r="I80" s="41">
        <f>H80*G80</f>
        <v>120</v>
      </c>
      <c r="J80" s="44" t="s">
        <v>193</v>
      </c>
      <c r="K80" s="62">
        <v>1</v>
      </c>
      <c r="L80" s="43" t="s">
        <v>192</v>
      </c>
      <c r="M80" s="70">
        <f>'Ext. Mat_3'!$H$12</f>
        <v>120</v>
      </c>
      <c r="N80" s="63">
        <f>M80*K80</f>
        <v>120</v>
      </c>
      <c r="O80" s="63"/>
      <c r="P80" s="52">
        <f t="shared" si="1"/>
        <v>0</v>
      </c>
      <c r="Q80" s="63"/>
      <c r="R80" s="269"/>
    </row>
    <row r="81" spans="1:18" ht="12.95" customHeight="1">
      <c r="A81" s="37"/>
      <c r="B81" s="37"/>
      <c r="C81" s="37"/>
      <c r="D81" s="254">
        <v>100</v>
      </c>
      <c r="E81" s="60" t="s">
        <v>1034</v>
      </c>
      <c r="F81" s="48"/>
      <c r="G81" s="49"/>
      <c r="H81" s="50" t="s">
        <v>1108</v>
      </c>
      <c r="I81" s="114">
        <f>SUM(I79:I80)</f>
        <v>279.60000000000002</v>
      </c>
      <c r="J81" s="100"/>
      <c r="K81" s="115"/>
      <c r="L81" s="116"/>
      <c r="M81" s="50" t="s">
        <v>1108</v>
      </c>
      <c r="N81" s="117">
        <f>SUM(N79:N80)</f>
        <v>10620</v>
      </c>
      <c r="O81" s="81">
        <f>N81+I81</f>
        <v>10899.6</v>
      </c>
      <c r="P81" s="52">
        <f t="shared" si="1"/>
        <v>1634.94</v>
      </c>
      <c r="Q81" s="81">
        <f>P81+O81</f>
        <v>12534.54</v>
      </c>
      <c r="R81" s="255">
        <f>ROUND((Q81/D81),2)</f>
        <v>125.35</v>
      </c>
    </row>
    <row r="82" spans="1:18" ht="12.95" customHeight="1">
      <c r="A82" s="37">
        <v>26</v>
      </c>
      <c r="B82" s="76"/>
      <c r="C82" s="76" t="s">
        <v>194</v>
      </c>
      <c r="D82" s="77"/>
      <c r="E82" s="78"/>
      <c r="F82" s="37" t="s">
        <v>175</v>
      </c>
      <c r="G82" s="61">
        <v>0.25</v>
      </c>
      <c r="H82" s="40">
        <f>'Ext. Mat_3'!$H$71</f>
        <v>1330</v>
      </c>
      <c r="I82" s="79">
        <f>H82*G82</f>
        <v>332.5</v>
      </c>
      <c r="J82" s="76" t="s">
        <v>195</v>
      </c>
      <c r="K82" s="118">
        <v>2.59</v>
      </c>
      <c r="L82" s="119" t="s">
        <v>192</v>
      </c>
      <c r="M82" s="40">
        <f>'Ext. Mat_3'!$H$9</f>
        <v>100</v>
      </c>
      <c r="N82" s="120">
        <f>M82*K82</f>
        <v>259</v>
      </c>
      <c r="O82" s="120"/>
      <c r="P82" s="52"/>
      <c r="Q82" s="120"/>
      <c r="R82" s="271"/>
    </row>
    <row r="83" spans="1:18" ht="12.95" customHeight="1">
      <c r="A83" s="37"/>
      <c r="B83" s="37"/>
      <c r="C83" s="37" t="s">
        <v>665</v>
      </c>
      <c r="D83" s="60"/>
      <c r="E83" s="34"/>
      <c r="F83" s="37" t="s">
        <v>130</v>
      </c>
      <c r="G83" s="61">
        <v>0.08</v>
      </c>
      <c r="H83" s="40">
        <f>'Ext. Mat_3'!$H$72</f>
        <v>1000</v>
      </c>
      <c r="I83" s="61">
        <f>H83*G83</f>
        <v>80</v>
      </c>
      <c r="J83" s="37" t="s">
        <v>196</v>
      </c>
      <c r="K83" s="90">
        <v>0.11</v>
      </c>
      <c r="L83" s="36" t="s">
        <v>192</v>
      </c>
      <c r="M83" s="40">
        <f>'Ext. Mat_3'!$H$13</f>
        <v>120</v>
      </c>
      <c r="N83" s="80">
        <f>M83*K83</f>
        <v>13.2</v>
      </c>
      <c r="O83" s="80"/>
      <c r="P83" s="52"/>
      <c r="Q83" s="80"/>
      <c r="R83" s="256"/>
    </row>
    <row r="84" spans="1:18" ht="12.95" customHeight="1">
      <c r="A84" s="37"/>
      <c r="B84" s="37"/>
      <c r="C84" s="37" t="s">
        <v>666</v>
      </c>
      <c r="D84" s="60"/>
      <c r="E84" s="34"/>
      <c r="F84" s="37"/>
      <c r="G84" s="61"/>
      <c r="H84" s="39"/>
      <c r="I84" s="61"/>
      <c r="J84" s="37" t="s">
        <v>197</v>
      </c>
      <c r="K84" s="90">
        <v>1.81</v>
      </c>
      <c r="L84" s="36" t="s">
        <v>198</v>
      </c>
      <c r="M84" s="40">
        <f>'Ext. Mat_3'!H14</f>
        <v>86</v>
      </c>
      <c r="N84" s="80">
        <f>M84*K84</f>
        <v>155.66</v>
      </c>
      <c r="O84" s="80"/>
      <c r="P84" s="52"/>
      <c r="Q84" s="80"/>
      <c r="R84" s="256"/>
    </row>
    <row r="85" spans="1:18" ht="12.95" customHeight="1">
      <c r="A85" s="37"/>
      <c r="B85" s="37"/>
      <c r="C85" s="37"/>
      <c r="D85" s="60"/>
      <c r="E85" s="34"/>
      <c r="F85" s="37"/>
      <c r="G85" s="61"/>
      <c r="H85" s="39"/>
      <c r="I85" s="61"/>
      <c r="J85" s="37" t="s">
        <v>199</v>
      </c>
      <c r="K85" s="90">
        <v>2.08</v>
      </c>
      <c r="L85" s="36" t="s">
        <v>192</v>
      </c>
      <c r="M85" s="40">
        <f>'Ext. Mat_3'!$H$10</f>
        <v>117</v>
      </c>
      <c r="N85" s="80">
        <f>M85*K85</f>
        <v>243.36</v>
      </c>
      <c r="O85" s="80"/>
      <c r="P85" s="52"/>
      <c r="Q85" s="80"/>
      <c r="R85" s="256"/>
    </row>
    <row r="86" spans="1:18" ht="12.95" customHeight="1">
      <c r="A86" s="44"/>
      <c r="B86" s="44"/>
      <c r="C86" s="44"/>
      <c r="D86" s="58">
        <v>1</v>
      </c>
      <c r="E86" s="58" t="s">
        <v>1085</v>
      </c>
      <c r="F86" s="48"/>
      <c r="G86" s="49"/>
      <c r="H86" s="50" t="s">
        <v>1108</v>
      </c>
      <c r="I86" s="121">
        <f>SUM(I82:I85)</f>
        <v>412.5</v>
      </c>
      <c r="J86" s="48"/>
      <c r="K86" s="49"/>
      <c r="L86" s="29"/>
      <c r="M86" s="50" t="s">
        <v>1108</v>
      </c>
      <c r="N86" s="64">
        <f>SUM(N82:N85)</f>
        <v>671.22</v>
      </c>
      <c r="O86" s="64">
        <f>N86+I86</f>
        <v>1083.72</v>
      </c>
      <c r="P86" s="52">
        <f t="shared" si="1"/>
        <v>162.55799999999999</v>
      </c>
      <c r="Q86" s="64">
        <f>P86+O86</f>
        <v>1246.278</v>
      </c>
      <c r="R86" s="255">
        <f>ROUND((Q86/D86),2)</f>
        <v>1246.28</v>
      </c>
    </row>
    <row r="87" spans="1:18" ht="12.95" customHeight="1">
      <c r="A87" s="82"/>
      <c r="B87" s="83">
        <v>6</v>
      </c>
      <c r="C87" s="83" t="s">
        <v>200</v>
      </c>
      <c r="D87" s="67"/>
      <c r="E87" s="67"/>
      <c r="F87" s="89"/>
      <c r="G87" s="49"/>
      <c r="H87" s="103"/>
      <c r="I87" s="49"/>
      <c r="J87" s="89"/>
      <c r="K87" s="49"/>
      <c r="L87" s="29"/>
      <c r="M87" s="103"/>
      <c r="N87" s="104"/>
      <c r="O87" s="104"/>
      <c r="P87" s="52">
        <f t="shared" si="1"/>
        <v>0</v>
      </c>
      <c r="Q87" s="104"/>
      <c r="R87" s="270"/>
    </row>
    <row r="88" spans="1:18" ht="12.95" customHeight="1">
      <c r="A88" s="37">
        <v>27</v>
      </c>
      <c r="B88" s="37" t="s">
        <v>201</v>
      </c>
      <c r="C88" s="37" t="s">
        <v>202</v>
      </c>
      <c r="D88" s="60"/>
      <c r="E88" s="34"/>
      <c r="F88" s="37" t="s">
        <v>175</v>
      </c>
      <c r="G88" s="61">
        <v>1.72</v>
      </c>
      <c r="H88" s="40">
        <f>'Ext. Mat_3'!$H$71</f>
        <v>1330</v>
      </c>
      <c r="I88" s="61">
        <f>H88*G88</f>
        <v>2287.6</v>
      </c>
      <c r="J88" s="37" t="s">
        <v>203</v>
      </c>
      <c r="K88" s="90">
        <v>0.11</v>
      </c>
      <c r="L88" s="36" t="s">
        <v>1084</v>
      </c>
      <c r="M88" s="260">
        <f>'Ext. Mat_3'!$H$69</f>
        <v>57400</v>
      </c>
      <c r="N88" s="80">
        <f>M88*K88</f>
        <v>6314</v>
      </c>
      <c r="O88" s="80"/>
      <c r="P88" s="52">
        <f t="shared" si="1"/>
        <v>0</v>
      </c>
      <c r="Q88" s="80"/>
      <c r="R88" s="256"/>
    </row>
    <row r="89" spans="1:18" ht="12.95" customHeight="1">
      <c r="A89" s="37"/>
      <c r="B89" s="37"/>
      <c r="C89" s="39"/>
      <c r="D89" s="113"/>
      <c r="E89" s="34"/>
      <c r="F89" s="37" t="s">
        <v>130</v>
      </c>
      <c r="G89" s="61">
        <v>2.57</v>
      </c>
      <c r="H89" s="40">
        <f>'Ext. Mat_3'!$H$72</f>
        <v>1000</v>
      </c>
      <c r="I89" s="41">
        <f>H89*G89</f>
        <v>2570</v>
      </c>
      <c r="J89" s="44" t="s">
        <v>204</v>
      </c>
      <c r="K89" s="62">
        <v>2.5</v>
      </c>
      <c r="L89" s="43" t="s">
        <v>192</v>
      </c>
      <c r="M89" s="70">
        <f>'Ext. Mat_3'!$H$18</f>
        <v>132</v>
      </c>
      <c r="N89" s="63">
        <f>M89*K89</f>
        <v>330</v>
      </c>
      <c r="O89" s="63"/>
      <c r="P89" s="52">
        <f t="shared" si="1"/>
        <v>0</v>
      </c>
      <c r="Q89" s="63"/>
      <c r="R89" s="269"/>
    </row>
    <row r="90" spans="1:18" ht="12.95" customHeight="1">
      <c r="A90" s="44"/>
      <c r="B90" s="44"/>
      <c r="C90" s="44"/>
      <c r="D90" s="58">
        <v>10</v>
      </c>
      <c r="E90" s="58" t="s">
        <v>1085</v>
      </c>
      <c r="F90" s="48"/>
      <c r="G90" s="49"/>
      <c r="H90" s="50" t="s">
        <v>1108</v>
      </c>
      <c r="I90" s="51">
        <f>SUM(I88:I89)</f>
        <v>4857.6000000000004</v>
      </c>
      <c r="J90" s="48"/>
      <c r="K90" s="49"/>
      <c r="L90" s="29"/>
      <c r="M90" s="50" t="s">
        <v>1108</v>
      </c>
      <c r="N90" s="52">
        <f>SUM(N88:N89)</f>
        <v>6644</v>
      </c>
      <c r="O90" s="52">
        <f>N90+I90</f>
        <v>11501.6</v>
      </c>
      <c r="P90" s="52">
        <f t="shared" si="1"/>
        <v>1725.24</v>
      </c>
      <c r="Q90" s="52">
        <f>P90+O90</f>
        <v>13226.84</v>
      </c>
      <c r="R90" s="255">
        <f>ROUND((Q90/D90),2)</f>
        <v>1322.68</v>
      </c>
    </row>
    <row r="91" spans="1:18" ht="12.95" customHeight="1">
      <c r="A91" s="37">
        <v>27</v>
      </c>
      <c r="B91" s="37" t="s">
        <v>201</v>
      </c>
      <c r="C91" s="3081" t="s">
        <v>2227</v>
      </c>
      <c r="D91" s="60"/>
      <c r="E91" s="34"/>
      <c r="F91" s="37" t="s">
        <v>175</v>
      </c>
      <c r="G91" s="61">
        <v>1.72</v>
      </c>
      <c r="H91" s="40">
        <f>'Ext. Mat_3'!$H$71</f>
        <v>1330</v>
      </c>
      <c r="I91" s="61">
        <f>H91*G91</f>
        <v>2287.6</v>
      </c>
      <c r="J91" s="37" t="s">
        <v>203</v>
      </c>
      <c r="K91" s="90">
        <v>0.11</v>
      </c>
      <c r="L91" s="36" t="s">
        <v>1084</v>
      </c>
      <c r="M91" s="260">
        <f>'Ext. Mat_3'!$H$69</f>
        <v>57400</v>
      </c>
      <c r="N91" s="80">
        <f>M91*K91</f>
        <v>6314</v>
      </c>
      <c r="O91" s="80"/>
      <c r="P91" s="52">
        <f t="shared" si="1"/>
        <v>0</v>
      </c>
      <c r="Q91" s="80"/>
      <c r="R91" s="256"/>
    </row>
    <row r="92" spans="1:18" ht="12.95" customHeight="1">
      <c r="A92" s="37"/>
      <c r="B92" s="37"/>
      <c r="C92" s="3082"/>
      <c r="D92" s="113"/>
      <c r="E92" s="34"/>
      <c r="F92" s="37" t="s">
        <v>130</v>
      </c>
      <c r="G92" s="61">
        <v>2.57</v>
      </c>
      <c r="H92" s="40">
        <f>'Ext. Mat_3'!$H$72</f>
        <v>1000</v>
      </c>
      <c r="I92" s="41">
        <f>H92*G92</f>
        <v>2570</v>
      </c>
      <c r="J92" s="44" t="s">
        <v>204</v>
      </c>
      <c r="K92" s="62">
        <v>2.5</v>
      </c>
      <c r="L92" s="43" t="s">
        <v>192</v>
      </c>
      <c r="M92" s="70">
        <f>'Ext. Mat_3'!$H$18</f>
        <v>132</v>
      </c>
      <c r="N92" s="63">
        <f>M92*K92</f>
        <v>330</v>
      </c>
      <c r="O92" s="63"/>
      <c r="P92" s="52">
        <f t="shared" si="1"/>
        <v>0</v>
      </c>
      <c r="Q92" s="63"/>
      <c r="R92" s="269"/>
    </row>
    <row r="93" spans="1:18" ht="12.95" customHeight="1">
      <c r="A93" s="44"/>
      <c r="B93" s="44"/>
      <c r="C93" s="3083"/>
      <c r="D93" s="58">
        <v>10</v>
      </c>
      <c r="E93" s="58" t="s">
        <v>1085</v>
      </c>
      <c r="F93" s="48"/>
      <c r="G93" s="49"/>
      <c r="H93" s="50" t="s">
        <v>1108</v>
      </c>
      <c r="I93" s="51">
        <f>SUM(I91:I92)</f>
        <v>4857.6000000000004</v>
      </c>
      <c r="J93" s="48"/>
      <c r="K93" s="49"/>
      <c r="L93" s="29"/>
      <c r="M93" s="50" t="s">
        <v>1108</v>
      </c>
      <c r="N93" s="52">
        <f>SUM(N91:N92)</f>
        <v>6644</v>
      </c>
      <c r="O93" s="52">
        <f>N93+I93</f>
        <v>11501.6</v>
      </c>
      <c r="P93" s="52">
        <f t="shared" si="1"/>
        <v>1725.24</v>
      </c>
      <c r="Q93" s="52">
        <f>P93+O93</f>
        <v>13226.84</v>
      </c>
      <c r="R93" s="255">
        <f>ROUND((Q93/D93),2)</f>
        <v>1322.68</v>
      </c>
    </row>
    <row r="94" spans="1:18" ht="12.95" customHeight="1">
      <c r="A94" s="37">
        <v>28</v>
      </c>
      <c r="B94" s="101"/>
      <c r="C94" s="37" t="s">
        <v>205</v>
      </c>
      <c r="D94" s="60"/>
      <c r="E94" s="34"/>
      <c r="F94" s="37" t="s">
        <v>175</v>
      </c>
      <c r="G94" s="61">
        <v>0.17</v>
      </c>
      <c r="H94" s="40">
        <f>'Ext. Mat_3'!$H$71</f>
        <v>1330</v>
      </c>
      <c r="I94" s="61">
        <f>H94*G94</f>
        <v>226.10000000000002</v>
      </c>
      <c r="J94" s="37" t="s">
        <v>196</v>
      </c>
      <c r="K94" s="90">
        <v>0.08</v>
      </c>
      <c r="L94" s="109" t="s">
        <v>192</v>
      </c>
      <c r="M94" s="40">
        <f>'Ext. Mat_3'!$H$13</f>
        <v>120</v>
      </c>
      <c r="N94" s="110">
        <f>M94*K94</f>
        <v>9.6</v>
      </c>
      <c r="O94" s="80"/>
      <c r="P94" s="52">
        <f t="shared" si="1"/>
        <v>0</v>
      </c>
      <c r="Q94" s="80"/>
      <c r="R94" s="256"/>
    </row>
    <row r="95" spans="1:18" ht="12.95" customHeight="1">
      <c r="A95" s="37"/>
      <c r="B95" s="101"/>
      <c r="C95" s="37" t="s">
        <v>206</v>
      </c>
      <c r="D95" s="60"/>
      <c r="E95" s="34"/>
      <c r="F95" s="37" t="s">
        <v>130</v>
      </c>
      <c r="G95" s="61">
        <v>0.11</v>
      </c>
      <c r="H95" s="40">
        <f>'Ext. Mat_3'!$H$72</f>
        <v>1000</v>
      </c>
      <c r="I95" s="61">
        <f>H95*G95</f>
        <v>110</v>
      </c>
      <c r="J95" s="37" t="s">
        <v>207</v>
      </c>
      <c r="K95" s="90">
        <v>0.33</v>
      </c>
      <c r="L95" s="109" t="s">
        <v>1087</v>
      </c>
      <c r="M95" s="40">
        <f>'Ext. Mat_3'!$H$70</f>
        <v>240</v>
      </c>
      <c r="N95" s="110">
        <f>M95*K95</f>
        <v>79.2</v>
      </c>
      <c r="O95" s="80"/>
      <c r="P95" s="52">
        <f t="shared" si="1"/>
        <v>0</v>
      </c>
      <c r="Q95" s="80"/>
      <c r="R95" s="256"/>
    </row>
    <row r="96" spans="1:18" ht="12.95" customHeight="1">
      <c r="A96" s="37"/>
      <c r="B96" s="37"/>
      <c r="C96" s="37"/>
      <c r="D96" s="60"/>
      <c r="E96" s="34"/>
      <c r="F96" s="37"/>
      <c r="G96" s="61"/>
      <c r="H96" s="39"/>
      <c r="I96" s="41"/>
      <c r="J96" s="44" t="s">
        <v>204</v>
      </c>
      <c r="K96" s="62">
        <v>0.01</v>
      </c>
      <c r="L96" s="65" t="s">
        <v>192</v>
      </c>
      <c r="M96" s="70">
        <f>'Ext. Mat_3'!$H$18</f>
        <v>132</v>
      </c>
      <c r="N96" s="111">
        <f>M96*K96</f>
        <v>1.32</v>
      </c>
      <c r="O96" s="63"/>
      <c r="P96" s="52">
        <f t="shared" si="1"/>
        <v>0</v>
      </c>
      <c r="Q96" s="63"/>
      <c r="R96" s="269"/>
    </row>
    <row r="97" spans="1:18" ht="12.95" customHeight="1">
      <c r="A97" s="44"/>
      <c r="B97" s="44"/>
      <c r="C97" s="44"/>
      <c r="D97" s="58">
        <v>1</v>
      </c>
      <c r="E97" s="58" t="s">
        <v>1085</v>
      </c>
      <c r="F97" s="48"/>
      <c r="G97" s="49"/>
      <c r="H97" s="50" t="s">
        <v>1108</v>
      </c>
      <c r="I97" s="51">
        <f>SUM(I94:I96)</f>
        <v>336.1</v>
      </c>
      <c r="J97" s="48"/>
      <c r="K97" s="49"/>
      <c r="L97" s="29"/>
      <c r="M97" s="112" t="s">
        <v>1108</v>
      </c>
      <c r="N97" s="52">
        <f>SUM(N94:N96)</f>
        <v>90.11999999999999</v>
      </c>
      <c r="O97" s="52">
        <f>N97+I97</f>
        <v>426.22</v>
      </c>
      <c r="P97" s="52">
        <f t="shared" si="1"/>
        <v>63.933</v>
      </c>
      <c r="Q97" s="52">
        <f>P97+O97</f>
        <v>490.15300000000002</v>
      </c>
      <c r="R97" s="255">
        <f>ROUND((Q97/D97),2)</f>
        <v>490.15</v>
      </c>
    </row>
    <row r="98" spans="1:18" ht="12.95" customHeight="1">
      <c r="A98" s="122"/>
      <c r="B98" s="83">
        <v>7</v>
      </c>
      <c r="C98" s="83" t="s">
        <v>208</v>
      </c>
      <c r="D98" s="123"/>
      <c r="E98" s="123"/>
      <c r="F98" s="123"/>
      <c r="G98" s="123"/>
      <c r="H98" s="123"/>
      <c r="I98" s="123"/>
      <c r="J98" s="123"/>
      <c r="K98" s="123"/>
      <c r="L98" s="123"/>
      <c r="M98" s="123"/>
      <c r="N98" s="123"/>
      <c r="O98" s="123"/>
      <c r="P98" s="52">
        <f t="shared" si="1"/>
        <v>0</v>
      </c>
      <c r="Q98" s="123"/>
      <c r="R98" s="272"/>
    </row>
    <row r="99" spans="1:18" ht="12.95" customHeight="1">
      <c r="A99" s="32">
        <v>29</v>
      </c>
      <c r="B99" s="97" t="s">
        <v>209</v>
      </c>
      <c r="C99" s="37" t="s">
        <v>210</v>
      </c>
      <c r="D99" s="60"/>
      <c r="E99" s="34"/>
      <c r="F99" s="37" t="s">
        <v>175</v>
      </c>
      <c r="G99" s="61">
        <v>0.11</v>
      </c>
      <c r="H99" s="40">
        <f>'Ext. Mat_3'!$H$71</f>
        <v>1330</v>
      </c>
      <c r="I99" s="61">
        <f>H99*G99</f>
        <v>146.30000000000001</v>
      </c>
      <c r="J99" s="37" t="s">
        <v>211</v>
      </c>
      <c r="K99" s="90">
        <v>1.2</v>
      </c>
      <c r="L99" s="36" t="s">
        <v>1085</v>
      </c>
      <c r="M99" s="40">
        <f>'Ext. Mat_3'!$H$30</f>
        <v>470.62857142857143</v>
      </c>
      <c r="N99" s="80">
        <f>M99*K99</f>
        <v>564.75428571428574</v>
      </c>
      <c r="O99" s="80"/>
      <c r="P99" s="52">
        <f t="shared" si="1"/>
        <v>0</v>
      </c>
      <c r="Q99" s="80"/>
      <c r="R99" s="256"/>
    </row>
    <row r="100" spans="1:18" ht="12.95" customHeight="1">
      <c r="A100" s="37"/>
      <c r="B100" s="37"/>
      <c r="C100" s="37"/>
      <c r="D100" s="60"/>
      <c r="E100" s="34"/>
      <c r="F100" s="37" t="s">
        <v>130</v>
      </c>
      <c r="G100" s="61">
        <v>0.13</v>
      </c>
      <c r="H100" s="40">
        <f>'Ext. Mat_3'!$H$72</f>
        <v>1000</v>
      </c>
      <c r="I100" s="61">
        <f>H100*G100</f>
        <v>130</v>
      </c>
      <c r="J100" s="37" t="s">
        <v>212</v>
      </c>
      <c r="K100" s="90">
        <v>3</v>
      </c>
      <c r="L100" s="36" t="s">
        <v>1087</v>
      </c>
      <c r="M100" s="40">
        <f>'Ext. Mat_3'!$H$39</f>
        <v>12.18</v>
      </c>
      <c r="N100" s="80">
        <f>M100*K100</f>
        <v>36.54</v>
      </c>
      <c r="O100" s="80"/>
      <c r="P100" s="52">
        <f t="shared" si="1"/>
        <v>0</v>
      </c>
      <c r="Q100" s="80"/>
      <c r="R100" s="256"/>
    </row>
    <row r="101" spans="1:18" ht="12.95" customHeight="1">
      <c r="A101" s="37"/>
      <c r="B101" s="37"/>
      <c r="C101" s="37"/>
      <c r="D101" s="60"/>
      <c r="E101" s="34"/>
      <c r="F101" s="37"/>
      <c r="G101" s="61"/>
      <c r="H101" s="39"/>
      <c r="I101" s="61"/>
      <c r="J101" s="37" t="s">
        <v>213</v>
      </c>
      <c r="K101" s="90">
        <v>2.5</v>
      </c>
      <c r="L101" s="36" t="s">
        <v>1087</v>
      </c>
      <c r="M101" s="40">
        <f>'Ext. Mat_3'!$H$40</f>
        <v>14.6</v>
      </c>
      <c r="N101" s="80">
        <f>M101*K101</f>
        <v>36.5</v>
      </c>
      <c r="O101" s="80"/>
      <c r="P101" s="52">
        <f t="shared" si="1"/>
        <v>0</v>
      </c>
      <c r="Q101" s="80"/>
      <c r="R101" s="256"/>
    </row>
    <row r="102" spans="1:18" ht="12.95" customHeight="1">
      <c r="A102" s="37"/>
      <c r="B102" s="37"/>
      <c r="C102" s="37"/>
      <c r="D102" s="60"/>
      <c r="E102" s="34"/>
      <c r="F102" s="37"/>
      <c r="G102" s="61"/>
      <c r="H102" s="39"/>
      <c r="I102" s="61"/>
      <c r="J102" s="37" t="s">
        <v>214</v>
      </c>
      <c r="K102" s="90"/>
      <c r="L102" s="36"/>
      <c r="M102" s="37"/>
      <c r="N102" s="80"/>
      <c r="O102" s="80"/>
      <c r="P102" s="52">
        <f t="shared" si="1"/>
        <v>0</v>
      </c>
      <c r="Q102" s="80"/>
      <c r="R102" s="256"/>
    </row>
    <row r="103" spans="1:18" ht="12.95" customHeight="1">
      <c r="A103" s="37"/>
      <c r="B103" s="37"/>
      <c r="C103" s="37"/>
      <c r="D103" s="60"/>
      <c r="E103" s="34"/>
      <c r="F103" s="37"/>
      <c r="G103" s="61"/>
      <c r="H103" s="39"/>
      <c r="I103" s="41"/>
      <c r="J103" s="44" t="s">
        <v>215</v>
      </c>
      <c r="K103" s="62">
        <v>5.5</v>
      </c>
      <c r="L103" s="43" t="s">
        <v>1087</v>
      </c>
      <c r="M103" s="70">
        <f>'Ext. Mat_3'!$H$42</f>
        <v>3</v>
      </c>
      <c r="N103" s="63">
        <f>M103*K103</f>
        <v>16.5</v>
      </c>
      <c r="O103" s="63"/>
      <c r="P103" s="52">
        <f t="shared" si="1"/>
        <v>0</v>
      </c>
      <c r="Q103" s="63"/>
      <c r="R103" s="269"/>
    </row>
    <row r="104" spans="1:18" ht="12.95" customHeight="1">
      <c r="A104" s="44"/>
      <c r="B104" s="44"/>
      <c r="C104" s="44"/>
      <c r="D104" s="60">
        <v>1</v>
      </c>
      <c r="E104" s="60" t="s">
        <v>1085</v>
      </c>
      <c r="F104" s="48"/>
      <c r="G104" s="49"/>
      <c r="H104" s="50" t="s">
        <v>1108</v>
      </c>
      <c r="I104" s="51">
        <f>SUM(I99:I103)</f>
        <v>276.3</v>
      </c>
      <c r="J104" s="48"/>
      <c r="K104" s="49"/>
      <c r="L104" s="29"/>
      <c r="M104" s="50" t="s">
        <v>1108</v>
      </c>
      <c r="N104" s="52">
        <f>SUM(N99:N103)</f>
        <v>654.29428571428571</v>
      </c>
      <c r="O104" s="52">
        <f>N104+I104</f>
        <v>930.59428571428566</v>
      </c>
      <c r="P104" s="52">
        <f t="shared" si="1"/>
        <v>139.58914285714283</v>
      </c>
      <c r="Q104" s="52">
        <f>P104+O104</f>
        <v>1070.1834285714285</v>
      </c>
      <c r="R104" s="255">
        <f>ROUND((Q104/D104),2)</f>
        <v>1070.18</v>
      </c>
    </row>
    <row r="105" spans="1:18" ht="12.95" customHeight="1">
      <c r="A105" s="33">
        <v>30</v>
      </c>
      <c r="B105" s="124" t="s">
        <v>216</v>
      </c>
      <c r="C105" s="32" t="s">
        <v>660</v>
      </c>
      <c r="D105" s="125"/>
      <c r="E105" s="78"/>
      <c r="F105" s="179" t="s">
        <v>217</v>
      </c>
      <c r="G105" s="55">
        <v>0.2</v>
      </c>
      <c r="H105" s="126">
        <f>'Ext. Mat_3'!$H$77</f>
        <v>1330</v>
      </c>
      <c r="I105" s="90">
        <f>G105*H105</f>
        <v>266</v>
      </c>
      <c r="J105" s="127" t="s">
        <v>218</v>
      </c>
      <c r="K105" s="128">
        <v>1.2</v>
      </c>
      <c r="L105" s="129" t="s">
        <v>219</v>
      </c>
      <c r="M105" s="126">
        <f>'Ext. Mat_3'!H31</f>
        <v>240</v>
      </c>
      <c r="N105" s="120">
        <f>M105*K105</f>
        <v>288</v>
      </c>
      <c r="O105" s="81"/>
      <c r="P105" s="52">
        <f t="shared" si="1"/>
        <v>0</v>
      </c>
      <c r="Q105" s="81"/>
      <c r="R105" s="273"/>
    </row>
    <row r="106" spans="1:18" ht="12.95" customHeight="1">
      <c r="A106" s="32"/>
      <c r="B106" s="31"/>
      <c r="C106" s="32" t="s">
        <v>661</v>
      </c>
      <c r="D106" s="130"/>
      <c r="E106" s="131"/>
      <c r="F106" s="251" t="s">
        <v>220</v>
      </c>
      <c r="G106" s="132">
        <v>0.3</v>
      </c>
      <c r="H106" s="40">
        <f>'Ext. Mat_3'!$H$72</f>
        <v>1000</v>
      </c>
      <c r="I106" s="62">
        <f>G106*H106</f>
        <v>300</v>
      </c>
      <c r="J106" s="133" t="s">
        <v>221</v>
      </c>
      <c r="K106" s="134">
        <v>4</v>
      </c>
      <c r="L106" s="65" t="s">
        <v>1087</v>
      </c>
      <c r="M106" s="40">
        <f>'Ext. Mat_3'!$H$39/2</f>
        <v>6.09</v>
      </c>
      <c r="N106" s="63">
        <f>M106*K106</f>
        <v>24.36</v>
      </c>
      <c r="O106" s="52"/>
      <c r="P106" s="52">
        <f t="shared" si="1"/>
        <v>0</v>
      </c>
      <c r="Q106" s="52"/>
      <c r="R106" s="255"/>
    </row>
    <row r="107" spans="1:18" ht="12.95" customHeight="1">
      <c r="A107" s="46"/>
      <c r="B107" s="135"/>
      <c r="C107" s="57" t="s">
        <v>662</v>
      </c>
      <c r="D107" s="136">
        <v>1</v>
      </c>
      <c r="E107" s="47" t="s">
        <v>992</v>
      </c>
      <c r="F107" s="58"/>
      <c r="G107" s="137"/>
      <c r="H107" s="50" t="s">
        <v>1108</v>
      </c>
      <c r="I107" s="51">
        <f>SUM(I105:I106)</f>
        <v>566</v>
      </c>
      <c r="J107" s="48"/>
      <c r="K107" s="49"/>
      <c r="L107" s="29"/>
      <c r="M107" s="50" t="s">
        <v>1108</v>
      </c>
      <c r="N107" s="52">
        <f>SUM(N105:N106)</f>
        <v>312.36</v>
      </c>
      <c r="O107" s="52">
        <f>N107+I107</f>
        <v>878.36</v>
      </c>
      <c r="P107" s="52">
        <f t="shared" si="1"/>
        <v>131.75399999999999</v>
      </c>
      <c r="Q107" s="52">
        <f>P107+O107</f>
        <v>1010.114</v>
      </c>
      <c r="R107" s="255">
        <f>ROUND((Q107/D107),2)</f>
        <v>1010.11</v>
      </c>
    </row>
    <row r="108" spans="1:18" ht="13.5" customHeight="1">
      <c r="A108" s="46"/>
      <c r="B108" s="138">
        <v>8</v>
      </c>
      <c r="C108" s="138" t="s">
        <v>222</v>
      </c>
      <c r="D108" s="58"/>
      <c r="E108" s="58"/>
      <c r="F108" s="139"/>
      <c r="G108" s="91"/>
      <c r="H108" s="140"/>
      <c r="I108" s="91"/>
      <c r="J108" s="139"/>
      <c r="K108" s="91"/>
      <c r="L108" s="26"/>
      <c r="M108" s="140"/>
      <c r="N108" s="141"/>
      <c r="O108" s="141"/>
      <c r="P108" s="52">
        <f t="shared" si="1"/>
        <v>0</v>
      </c>
      <c r="Q108" s="141"/>
      <c r="R108" s="274"/>
    </row>
    <row r="109" spans="1:18" ht="13.5" customHeight="1">
      <c r="A109" s="33">
        <v>31</v>
      </c>
      <c r="B109" s="124" t="s">
        <v>223</v>
      </c>
      <c r="C109" s="32" t="s">
        <v>663</v>
      </c>
      <c r="D109" s="125"/>
      <c r="E109" s="60"/>
      <c r="F109" s="32" t="s">
        <v>217</v>
      </c>
      <c r="G109" s="142">
        <v>1.5</v>
      </c>
      <c r="H109" s="126">
        <f>'Ext. Mat_3'!$H$77</f>
        <v>1330</v>
      </c>
      <c r="I109" s="61">
        <f>H109*G109</f>
        <v>1995</v>
      </c>
      <c r="J109" s="32" t="s">
        <v>224</v>
      </c>
      <c r="K109" s="33">
        <v>4.3999999999999997E-2</v>
      </c>
      <c r="L109" s="109" t="s">
        <v>1174</v>
      </c>
      <c r="M109" s="143">
        <f>'Ext. Mat_3'!$H$68</f>
        <v>214901.19167999993</v>
      </c>
      <c r="N109" s="80">
        <f>M109*K109</f>
        <v>9455.6524339199968</v>
      </c>
      <c r="O109" s="144"/>
      <c r="P109" s="52">
        <f t="shared" si="1"/>
        <v>0</v>
      </c>
      <c r="Q109" s="144"/>
      <c r="R109" s="275"/>
    </row>
    <row r="110" spans="1:18" ht="13.5" customHeight="1">
      <c r="A110" s="33"/>
      <c r="B110" s="145"/>
      <c r="C110" s="32" t="s">
        <v>664</v>
      </c>
      <c r="D110" s="33"/>
      <c r="E110" s="60"/>
      <c r="F110" s="32" t="s">
        <v>225</v>
      </c>
      <c r="G110" s="146">
        <v>0.15</v>
      </c>
      <c r="H110" s="40">
        <f>'Ext. Mat_3'!$H$72</f>
        <v>1000</v>
      </c>
      <c r="I110" s="61">
        <f>H110*G110</f>
        <v>150</v>
      </c>
      <c r="J110" s="32" t="s">
        <v>226</v>
      </c>
      <c r="K110" s="147">
        <v>4</v>
      </c>
      <c r="L110" s="109" t="s">
        <v>1087</v>
      </c>
      <c r="M110" s="148">
        <f>'Ext. Mat_3'!$H$34</f>
        <v>21.14</v>
      </c>
      <c r="N110" s="80">
        <f>M110*K110</f>
        <v>84.56</v>
      </c>
      <c r="O110" s="81"/>
      <c r="P110" s="52">
        <f t="shared" si="1"/>
        <v>0</v>
      </c>
      <c r="Q110" s="81"/>
      <c r="R110" s="273"/>
    </row>
    <row r="111" spans="1:18" ht="13.5" customHeight="1">
      <c r="A111" s="33"/>
      <c r="B111" s="145"/>
      <c r="C111" s="32" t="s">
        <v>227</v>
      </c>
      <c r="D111" s="33"/>
      <c r="E111" s="60"/>
      <c r="F111" s="46"/>
      <c r="G111" s="149"/>
      <c r="H111" s="150"/>
      <c r="I111" s="151"/>
      <c r="J111" s="57" t="s">
        <v>228</v>
      </c>
      <c r="K111" s="152">
        <v>8</v>
      </c>
      <c r="L111" s="65" t="s">
        <v>1087</v>
      </c>
      <c r="M111" s="153">
        <f>'Ext. Mat_3'!$H$18/40</f>
        <v>3.3</v>
      </c>
      <c r="N111" s="63">
        <f>M111*K111</f>
        <v>26.4</v>
      </c>
      <c r="O111" s="52"/>
      <c r="P111" s="52">
        <f t="shared" si="1"/>
        <v>0</v>
      </c>
      <c r="Q111" s="52"/>
      <c r="R111" s="255"/>
    </row>
    <row r="112" spans="1:18" ht="13.5" customHeight="1">
      <c r="A112" s="33"/>
      <c r="B112" s="145"/>
      <c r="C112" s="32" t="s">
        <v>229</v>
      </c>
      <c r="D112" s="46">
        <v>1</v>
      </c>
      <c r="E112" s="58" t="s">
        <v>1087</v>
      </c>
      <c r="F112" s="46"/>
      <c r="G112" s="91"/>
      <c r="H112" s="50" t="s">
        <v>1108</v>
      </c>
      <c r="I112" s="154">
        <f>SUM(I109:I111)</f>
        <v>2145</v>
      </c>
      <c r="J112" s="48"/>
      <c r="K112" s="49"/>
      <c r="L112" s="29"/>
      <c r="M112" s="50" t="s">
        <v>1108</v>
      </c>
      <c r="N112" s="52">
        <f>SUM(N109:N111)</f>
        <v>9566.612433919996</v>
      </c>
      <c r="O112" s="52">
        <f>N112+I112</f>
        <v>11711.612433919996</v>
      </c>
      <c r="P112" s="52">
        <f t="shared" si="1"/>
        <v>1756.7418650879993</v>
      </c>
      <c r="Q112" s="52">
        <f>P112+O112</f>
        <v>13468.354299007995</v>
      </c>
      <c r="R112" s="255">
        <f>ROUND((Q112/D112),2)</f>
        <v>13468.35</v>
      </c>
    </row>
    <row r="113" spans="1:18" ht="13.5" customHeight="1">
      <c r="A113" s="33"/>
      <c r="B113" s="145"/>
      <c r="C113" s="32"/>
      <c r="D113" s="33"/>
      <c r="E113" s="60"/>
      <c r="F113" s="32" t="s">
        <v>217</v>
      </c>
      <c r="G113" s="146">
        <v>34</v>
      </c>
      <c r="H113" s="126">
        <f>'Ext. Mat_3'!$H$77</f>
        <v>1330</v>
      </c>
      <c r="I113" s="61">
        <f>H113*G113</f>
        <v>45220</v>
      </c>
      <c r="J113" s="32" t="s">
        <v>224</v>
      </c>
      <c r="K113" s="147">
        <v>1.1000000000000001</v>
      </c>
      <c r="L113" s="109" t="s">
        <v>1174</v>
      </c>
      <c r="M113" s="143">
        <f>'Ext. Mat_3'!$H$68</f>
        <v>214901.19167999993</v>
      </c>
      <c r="N113" s="80">
        <f>M113*K113</f>
        <v>236391.31084799994</v>
      </c>
      <c r="O113" s="144"/>
      <c r="P113" s="52">
        <f t="shared" si="1"/>
        <v>0</v>
      </c>
      <c r="Q113" s="144"/>
      <c r="R113" s="275"/>
    </row>
    <row r="114" spans="1:18" ht="13.5" customHeight="1">
      <c r="A114" s="33"/>
      <c r="B114" s="145"/>
      <c r="C114" s="33"/>
      <c r="D114" s="33"/>
      <c r="E114" s="60"/>
      <c r="F114" s="32" t="s">
        <v>225</v>
      </c>
      <c r="G114" s="155">
        <v>3.4</v>
      </c>
      <c r="H114" s="40">
        <f>'Ext. Mat_3'!$H$72</f>
        <v>1000</v>
      </c>
      <c r="I114" s="61">
        <f>H114*G114</f>
        <v>3400</v>
      </c>
      <c r="J114" s="32" t="s">
        <v>230</v>
      </c>
      <c r="K114" s="156">
        <v>92</v>
      </c>
      <c r="L114" s="109" t="s">
        <v>1087</v>
      </c>
      <c r="M114" s="148">
        <f>'Ext. Mat_3'!$H$34</f>
        <v>21.14</v>
      </c>
      <c r="N114" s="80">
        <f>M114*K114</f>
        <v>1944.88</v>
      </c>
      <c r="O114" s="81"/>
      <c r="P114" s="52">
        <f t="shared" si="1"/>
        <v>0</v>
      </c>
      <c r="Q114" s="81"/>
      <c r="R114" s="273"/>
    </row>
    <row r="115" spans="1:18" ht="13.5" customHeight="1">
      <c r="A115" s="33"/>
      <c r="B115" s="145"/>
      <c r="C115" s="33"/>
      <c r="D115" s="33"/>
      <c r="E115" s="60"/>
      <c r="F115" s="57"/>
      <c r="G115" s="157"/>
      <c r="H115" s="70"/>
      <c r="I115" s="61"/>
      <c r="J115" s="57" t="s">
        <v>228</v>
      </c>
      <c r="K115" s="158">
        <v>184</v>
      </c>
      <c r="L115" s="65" t="s">
        <v>1087</v>
      </c>
      <c r="M115" s="153">
        <f>'Ext. Mat_3'!$H$18/40</f>
        <v>3.3</v>
      </c>
      <c r="N115" s="63">
        <f>M115*K115</f>
        <v>607.19999999999993</v>
      </c>
      <c r="O115" s="52"/>
      <c r="P115" s="52">
        <f t="shared" si="1"/>
        <v>0</v>
      </c>
      <c r="Q115" s="52"/>
      <c r="R115" s="255"/>
    </row>
    <row r="116" spans="1:18" ht="13.5" customHeight="1">
      <c r="A116" s="46"/>
      <c r="B116" s="56"/>
      <c r="C116" s="46"/>
      <c r="D116" s="46">
        <v>1</v>
      </c>
      <c r="E116" s="58" t="s">
        <v>1174</v>
      </c>
      <c r="F116" s="46"/>
      <c r="G116" s="91"/>
      <c r="H116" s="50" t="s">
        <v>1108</v>
      </c>
      <c r="I116" s="154">
        <f>SUM(I113:I114)</f>
        <v>48620</v>
      </c>
      <c r="J116" s="48"/>
      <c r="K116" s="49"/>
      <c r="L116" s="29"/>
      <c r="M116" s="50" t="s">
        <v>1108</v>
      </c>
      <c r="N116" s="52">
        <f>SUM(N113:N115)</f>
        <v>238943.39084799995</v>
      </c>
      <c r="O116" s="52">
        <f>N116+I116</f>
        <v>287563.39084799995</v>
      </c>
      <c r="P116" s="52">
        <f t="shared" si="1"/>
        <v>43134.50862719999</v>
      </c>
      <c r="Q116" s="52">
        <f>P116+O116</f>
        <v>330697.89947519993</v>
      </c>
      <c r="R116" s="255">
        <f>ROUND((Q116/D116),2)</f>
        <v>330697.90000000002</v>
      </c>
    </row>
    <row r="117" spans="1:18" ht="13.5" customHeight="1">
      <c r="A117" s="33">
        <v>32</v>
      </c>
      <c r="B117" s="31" t="s">
        <v>231</v>
      </c>
      <c r="C117" s="32" t="s">
        <v>232</v>
      </c>
      <c r="D117" s="33"/>
      <c r="E117" s="60"/>
      <c r="F117" s="32" t="s">
        <v>217</v>
      </c>
      <c r="G117" s="146">
        <v>10</v>
      </c>
      <c r="H117" s="159">
        <f>'Ext. Mat_3'!$H$77</f>
        <v>1330</v>
      </c>
      <c r="I117" s="61">
        <f>H117*G117</f>
        <v>13300</v>
      </c>
      <c r="J117" s="32" t="s">
        <v>224</v>
      </c>
      <c r="K117" s="33">
        <v>8.4000000000000005E-2</v>
      </c>
      <c r="L117" s="109" t="s">
        <v>1174</v>
      </c>
      <c r="M117" s="143">
        <f>'Ext. Mat_3'!$H$68</f>
        <v>214901.19167999993</v>
      </c>
      <c r="N117" s="80">
        <f>M117*K117</f>
        <v>18051.700101119994</v>
      </c>
      <c r="O117" s="81"/>
      <c r="P117" s="52">
        <f t="shared" si="1"/>
        <v>0</v>
      </c>
      <c r="Q117" s="81"/>
      <c r="R117" s="273"/>
    </row>
    <row r="118" spans="1:18" ht="13.5" customHeight="1">
      <c r="A118" s="33"/>
      <c r="B118" s="145"/>
      <c r="C118" s="32" t="s">
        <v>233</v>
      </c>
      <c r="D118" s="33"/>
      <c r="E118" s="60"/>
      <c r="F118" s="32" t="s">
        <v>225</v>
      </c>
      <c r="G118" s="146">
        <v>1</v>
      </c>
      <c r="H118" s="40">
        <f>'Ext. Mat_3'!$H$72</f>
        <v>1000</v>
      </c>
      <c r="I118" s="61">
        <f>H118*G118</f>
        <v>1000</v>
      </c>
      <c r="J118" s="32" t="s">
        <v>234</v>
      </c>
      <c r="K118" s="147">
        <v>6</v>
      </c>
      <c r="L118" s="109" t="s">
        <v>1087</v>
      </c>
      <c r="M118" s="148">
        <f>'Ext. Mat_3'!$H$36</f>
        <v>59</v>
      </c>
      <c r="N118" s="80">
        <f>M118*K118</f>
        <v>354</v>
      </c>
      <c r="O118" s="81"/>
      <c r="P118" s="52">
        <f t="shared" si="1"/>
        <v>0</v>
      </c>
      <c r="Q118" s="81"/>
      <c r="R118" s="273"/>
    </row>
    <row r="119" spans="1:18" ht="13.5" customHeight="1">
      <c r="A119" s="33"/>
      <c r="B119" s="145"/>
      <c r="C119" s="32" t="s">
        <v>235</v>
      </c>
      <c r="D119" s="130"/>
      <c r="E119" s="131"/>
      <c r="F119" s="33"/>
      <c r="G119" s="160"/>
      <c r="H119" s="161"/>
      <c r="I119" s="162"/>
      <c r="J119" s="32" t="s">
        <v>236</v>
      </c>
      <c r="K119" s="163"/>
      <c r="L119" s="33"/>
      <c r="M119" s="33"/>
      <c r="N119" s="80"/>
      <c r="O119" s="81"/>
      <c r="P119" s="52">
        <f t="shared" si="1"/>
        <v>0</v>
      </c>
      <c r="Q119" s="81"/>
      <c r="R119" s="273"/>
    </row>
    <row r="120" spans="1:18" ht="13.5" customHeight="1">
      <c r="A120" s="33"/>
      <c r="B120" s="145"/>
      <c r="C120" s="164" t="s">
        <v>237</v>
      </c>
      <c r="D120" s="33"/>
      <c r="E120" s="60"/>
      <c r="F120" s="33"/>
      <c r="G120" s="160"/>
      <c r="H120" s="161"/>
      <c r="I120" s="162"/>
      <c r="J120" s="32" t="s">
        <v>238</v>
      </c>
      <c r="K120" s="147">
        <v>1</v>
      </c>
      <c r="L120" s="109" t="s">
        <v>1087</v>
      </c>
      <c r="M120" s="165">
        <f>'Ext. Mat_3'!$H$37</f>
        <v>71</v>
      </c>
      <c r="N120" s="80">
        <f>M120*K120</f>
        <v>71</v>
      </c>
      <c r="O120" s="81"/>
      <c r="P120" s="52">
        <f t="shared" si="1"/>
        <v>0</v>
      </c>
      <c r="Q120" s="81"/>
      <c r="R120" s="273"/>
    </row>
    <row r="121" spans="1:18" ht="13.5" customHeight="1">
      <c r="A121" s="33"/>
      <c r="B121" s="145"/>
      <c r="C121" s="33"/>
      <c r="D121" s="33"/>
      <c r="E121" s="60"/>
      <c r="F121" s="33"/>
      <c r="G121" s="160"/>
      <c r="H121" s="161"/>
      <c r="I121" s="162"/>
      <c r="J121" s="32" t="s">
        <v>239</v>
      </c>
      <c r="K121" s="147"/>
      <c r="L121" s="33"/>
      <c r="M121" s="33"/>
      <c r="N121" s="80"/>
      <c r="O121" s="81"/>
      <c r="P121" s="52">
        <f t="shared" si="1"/>
        <v>0</v>
      </c>
      <c r="Q121" s="81"/>
      <c r="R121" s="273"/>
    </row>
    <row r="122" spans="1:18" ht="13.5" customHeight="1">
      <c r="A122" s="33"/>
      <c r="B122" s="145"/>
      <c r="C122" s="33"/>
      <c r="D122" s="130"/>
      <c r="E122" s="131"/>
      <c r="F122" s="33"/>
      <c r="G122" s="160"/>
      <c r="H122" s="161"/>
      <c r="I122" s="162"/>
      <c r="J122" s="32" t="s">
        <v>240</v>
      </c>
      <c r="K122" s="147">
        <v>1</v>
      </c>
      <c r="L122" s="109" t="s">
        <v>1087</v>
      </c>
      <c r="M122" s="165">
        <f>'Ext. Mat_3'!$H$38</f>
        <v>114</v>
      </c>
      <c r="N122" s="80">
        <f>M122*K122</f>
        <v>114</v>
      </c>
      <c r="O122" s="81"/>
      <c r="P122" s="52">
        <f t="shared" si="1"/>
        <v>0</v>
      </c>
      <c r="Q122" s="81"/>
      <c r="R122" s="273"/>
    </row>
    <row r="123" spans="1:18" ht="13.5" customHeight="1">
      <c r="A123" s="33"/>
      <c r="B123" s="145"/>
      <c r="C123" s="33"/>
      <c r="D123" s="33"/>
      <c r="E123" s="60"/>
      <c r="F123" s="33"/>
      <c r="G123" s="160"/>
      <c r="H123" s="161"/>
      <c r="I123" s="162"/>
      <c r="J123" s="32" t="s">
        <v>241</v>
      </c>
      <c r="K123" s="147"/>
      <c r="L123" s="33"/>
      <c r="M123" s="33"/>
      <c r="N123" s="80"/>
      <c r="O123" s="81"/>
      <c r="P123" s="52">
        <f t="shared" si="1"/>
        <v>0</v>
      </c>
      <c r="Q123" s="81"/>
      <c r="R123" s="273"/>
    </row>
    <row r="124" spans="1:18" ht="13.5" customHeight="1">
      <c r="A124" s="33"/>
      <c r="B124" s="145"/>
      <c r="C124" s="33"/>
      <c r="D124" s="33"/>
      <c r="E124" s="60"/>
      <c r="F124" s="33"/>
      <c r="G124" s="160"/>
      <c r="H124" s="161"/>
      <c r="I124" s="162"/>
      <c r="J124" s="32" t="s">
        <v>242</v>
      </c>
      <c r="K124" s="147">
        <v>1</v>
      </c>
      <c r="L124" s="109" t="s">
        <v>1087</v>
      </c>
      <c r="M124" s="165">
        <f>'Ext. Mat_3'!$H$44</f>
        <v>277</v>
      </c>
      <c r="N124" s="80">
        <f>M124*K124</f>
        <v>277</v>
      </c>
      <c r="O124" s="81"/>
      <c r="P124" s="52">
        <f t="shared" si="1"/>
        <v>0</v>
      </c>
      <c r="Q124" s="81"/>
      <c r="R124" s="273"/>
    </row>
    <row r="125" spans="1:18" ht="13.5" customHeight="1">
      <c r="A125" s="33"/>
      <c r="B125" s="145"/>
      <c r="C125" s="33"/>
      <c r="D125" s="33"/>
      <c r="E125" s="60"/>
      <c r="F125" s="33"/>
      <c r="G125" s="160"/>
      <c r="H125" s="161"/>
      <c r="I125" s="162"/>
      <c r="J125" s="32" t="s">
        <v>243</v>
      </c>
      <c r="K125" s="147">
        <v>2</v>
      </c>
      <c r="L125" s="109" t="s">
        <v>1087</v>
      </c>
      <c r="M125" s="165">
        <f>'Ext. Mat_3'!$H$45</f>
        <v>159</v>
      </c>
      <c r="N125" s="80">
        <f>M125*K125</f>
        <v>318</v>
      </c>
      <c r="O125" s="81"/>
      <c r="P125" s="52">
        <f t="shared" si="1"/>
        <v>0</v>
      </c>
      <c r="Q125" s="81"/>
      <c r="R125" s="273"/>
    </row>
    <row r="126" spans="1:18" ht="13.5" customHeight="1">
      <c r="A126" s="33"/>
      <c r="B126" s="145"/>
      <c r="C126" s="33"/>
      <c r="D126" s="33"/>
      <c r="E126" s="60"/>
      <c r="F126" s="44"/>
      <c r="G126" s="149"/>
      <c r="H126" s="161"/>
      <c r="I126" s="151"/>
      <c r="J126" s="57" t="s">
        <v>244</v>
      </c>
      <c r="K126" s="152">
        <v>1</v>
      </c>
      <c r="L126" s="65" t="s">
        <v>1081</v>
      </c>
      <c r="M126" s="153">
        <f>'Ext. Mat_3'!$H$18/40*50</f>
        <v>165</v>
      </c>
      <c r="N126" s="63">
        <f>M126*K126</f>
        <v>165</v>
      </c>
      <c r="O126" s="52"/>
      <c r="P126" s="52">
        <f t="shared" si="1"/>
        <v>0</v>
      </c>
      <c r="Q126" s="52"/>
      <c r="R126" s="255"/>
    </row>
    <row r="127" spans="1:18" ht="13.5" customHeight="1">
      <c r="A127" s="46"/>
      <c r="B127" s="56"/>
      <c r="C127" s="46"/>
      <c r="D127" s="46">
        <v>2.1207400000000001</v>
      </c>
      <c r="E127" s="58" t="s">
        <v>1182</v>
      </c>
      <c r="F127" s="46"/>
      <c r="G127" s="49"/>
      <c r="H127" s="50" t="s">
        <v>1108</v>
      </c>
      <c r="I127" s="151">
        <f>SUM(I117:I126)</f>
        <v>14300</v>
      </c>
      <c r="J127" s="48"/>
      <c r="K127" s="49"/>
      <c r="L127" s="29"/>
      <c r="M127" s="50" t="s">
        <v>1108</v>
      </c>
      <c r="N127" s="52">
        <f>SUM(N117:N126)</f>
        <v>19350.700101119994</v>
      </c>
      <c r="O127" s="52">
        <f>N127+I127</f>
        <v>33650.70010111999</v>
      </c>
      <c r="P127" s="52">
        <f t="shared" si="1"/>
        <v>5047.6050151679983</v>
      </c>
      <c r="Q127" s="52">
        <f>P127+O127</f>
        <v>38698.305116287986</v>
      </c>
      <c r="R127" s="255">
        <f>ROUND((Q127/D127),2)</f>
        <v>18247.55</v>
      </c>
    </row>
    <row r="128" spans="1:18" ht="13.5" customHeight="1">
      <c r="A128" s="37">
        <v>33</v>
      </c>
      <c r="B128" s="31" t="s">
        <v>245</v>
      </c>
      <c r="C128" s="32" t="s">
        <v>246</v>
      </c>
      <c r="D128" s="33"/>
      <c r="E128" s="60"/>
      <c r="F128" s="32" t="s">
        <v>217</v>
      </c>
      <c r="G128" s="146">
        <v>5</v>
      </c>
      <c r="H128" s="126">
        <f>'Ext. Mat_3'!$H$77</f>
        <v>1330</v>
      </c>
      <c r="I128" s="61">
        <f>H128*G128</f>
        <v>6650</v>
      </c>
      <c r="J128" s="32" t="s">
        <v>224</v>
      </c>
      <c r="K128" s="166">
        <v>2.5999999999999999E-2</v>
      </c>
      <c r="L128" s="129" t="s">
        <v>1174</v>
      </c>
      <c r="M128" s="143">
        <f>'Ext. Mat_3'!$H$68</f>
        <v>214901.19167999993</v>
      </c>
      <c r="N128" s="80">
        <f>M128*K128</f>
        <v>5587.4309836799976</v>
      </c>
      <c r="O128" s="144"/>
      <c r="P128" s="52">
        <f t="shared" si="1"/>
        <v>0</v>
      </c>
      <c r="Q128" s="81"/>
      <c r="R128" s="273"/>
    </row>
    <row r="129" spans="1:18" ht="13.5" customHeight="1">
      <c r="A129" s="33"/>
      <c r="B129" s="145"/>
      <c r="C129" s="32" t="s">
        <v>247</v>
      </c>
      <c r="D129" s="33"/>
      <c r="E129" s="60"/>
      <c r="F129" s="32" t="s">
        <v>225</v>
      </c>
      <c r="G129" s="146">
        <v>0.5</v>
      </c>
      <c r="H129" s="40">
        <f>'Ext. Mat_3'!$H$72</f>
        <v>1000</v>
      </c>
      <c r="I129" s="61">
        <f>H129*G129</f>
        <v>500</v>
      </c>
      <c r="J129" s="127" t="s">
        <v>248</v>
      </c>
      <c r="K129" s="33"/>
      <c r="L129" s="33"/>
      <c r="M129" s="33"/>
      <c r="N129" s="80"/>
      <c r="O129" s="81"/>
      <c r="P129" s="52">
        <f t="shared" si="1"/>
        <v>0</v>
      </c>
      <c r="Q129" s="81"/>
      <c r="R129" s="273"/>
    </row>
    <row r="130" spans="1:18" ht="13.5" customHeight="1">
      <c r="A130" s="33"/>
      <c r="B130" s="145"/>
      <c r="C130" s="32" t="s">
        <v>249</v>
      </c>
      <c r="D130" s="33"/>
      <c r="E130" s="60"/>
      <c r="F130" s="33"/>
      <c r="G130" s="160"/>
      <c r="H130" s="161"/>
      <c r="I130" s="162"/>
      <c r="J130" s="127" t="s">
        <v>250</v>
      </c>
      <c r="K130" s="55">
        <v>2.13</v>
      </c>
      <c r="L130" s="129" t="s">
        <v>1182</v>
      </c>
      <c r="M130" s="55">
        <f>'Ext. Mat_3'!$H$43</f>
        <v>100</v>
      </c>
      <c r="N130" s="80">
        <f>M130*K130</f>
        <v>213</v>
      </c>
      <c r="O130" s="81"/>
      <c r="P130" s="52">
        <f t="shared" si="1"/>
        <v>0</v>
      </c>
      <c r="Q130" s="81"/>
      <c r="R130" s="273"/>
    </row>
    <row r="131" spans="1:18" ht="13.5" customHeight="1">
      <c r="A131" s="33"/>
      <c r="B131" s="145"/>
      <c r="C131" s="32" t="s">
        <v>251</v>
      </c>
      <c r="D131" s="33"/>
      <c r="E131" s="60"/>
      <c r="F131" s="33"/>
      <c r="G131" s="160"/>
      <c r="H131" s="161"/>
      <c r="I131" s="162"/>
      <c r="J131" s="32" t="s">
        <v>252</v>
      </c>
      <c r="K131" s="55">
        <v>3</v>
      </c>
      <c r="L131" s="129" t="s">
        <v>1087</v>
      </c>
      <c r="M131" s="55">
        <f>'Ext. Mat_3'!$H$36</f>
        <v>59</v>
      </c>
      <c r="N131" s="80">
        <f>M131*K131</f>
        <v>177</v>
      </c>
      <c r="O131" s="81"/>
      <c r="P131" s="52">
        <f t="shared" si="1"/>
        <v>0</v>
      </c>
      <c r="Q131" s="81"/>
      <c r="R131" s="273"/>
    </row>
    <row r="132" spans="1:18" ht="13.5" customHeight="1">
      <c r="A132" s="33"/>
      <c r="B132" s="145"/>
      <c r="C132" s="33"/>
      <c r="D132" s="33"/>
      <c r="E132" s="60"/>
      <c r="F132" s="33"/>
      <c r="G132" s="160"/>
      <c r="H132" s="161"/>
      <c r="I132" s="162"/>
      <c r="J132" s="32" t="s">
        <v>239</v>
      </c>
      <c r="K132" s="33"/>
      <c r="L132" s="33"/>
      <c r="M132" s="33"/>
      <c r="N132" s="80"/>
      <c r="O132" s="81"/>
      <c r="P132" s="52">
        <f t="shared" si="1"/>
        <v>0</v>
      </c>
      <c r="Q132" s="81"/>
      <c r="R132" s="273"/>
    </row>
    <row r="133" spans="1:18" ht="13.5" customHeight="1">
      <c r="A133" s="33"/>
      <c r="B133" s="145"/>
      <c r="C133" s="33"/>
      <c r="D133" s="33"/>
      <c r="E133" s="60"/>
      <c r="F133" s="33"/>
      <c r="G133" s="160"/>
      <c r="H133" s="161"/>
      <c r="I133" s="162"/>
      <c r="J133" s="32" t="s">
        <v>238</v>
      </c>
      <c r="K133" s="55">
        <v>2</v>
      </c>
      <c r="L133" s="129" t="s">
        <v>1087</v>
      </c>
      <c r="M133" s="165">
        <f>'Ext. Mat_3'!$H$37</f>
        <v>71</v>
      </c>
      <c r="N133" s="80">
        <f>M133*K133</f>
        <v>142</v>
      </c>
      <c r="O133" s="81"/>
      <c r="P133" s="52">
        <f t="shared" si="1"/>
        <v>0</v>
      </c>
      <c r="Q133" s="81"/>
      <c r="R133" s="273"/>
    </row>
    <row r="134" spans="1:18" ht="13.5" customHeight="1">
      <c r="A134" s="33"/>
      <c r="B134" s="145"/>
      <c r="C134" s="33"/>
      <c r="D134" s="33"/>
      <c r="E134" s="60"/>
      <c r="F134" s="33"/>
      <c r="G134" s="160"/>
      <c r="H134" s="161"/>
      <c r="I134" s="162"/>
      <c r="J134" s="32" t="s">
        <v>243</v>
      </c>
      <c r="K134" s="55">
        <v>2</v>
      </c>
      <c r="L134" s="129" t="s">
        <v>1087</v>
      </c>
      <c r="M134" s="165">
        <f>'Ext. Mat_3'!$H$45</f>
        <v>159</v>
      </c>
      <c r="N134" s="80">
        <f>M134*K134</f>
        <v>318</v>
      </c>
      <c r="O134" s="81"/>
      <c r="P134" s="52">
        <f t="shared" si="1"/>
        <v>0</v>
      </c>
      <c r="Q134" s="81"/>
      <c r="R134" s="273"/>
    </row>
    <row r="135" spans="1:18" ht="13.5" customHeight="1">
      <c r="A135" s="33"/>
      <c r="B135" s="145"/>
      <c r="C135" s="33"/>
      <c r="D135" s="33"/>
      <c r="E135" s="60"/>
      <c r="F135" s="33"/>
      <c r="G135" s="160"/>
      <c r="H135" s="161"/>
      <c r="I135" s="162"/>
      <c r="J135" s="32" t="s">
        <v>253</v>
      </c>
      <c r="K135" s="55">
        <v>1</v>
      </c>
      <c r="L135" s="129" t="s">
        <v>1087</v>
      </c>
      <c r="M135" s="55">
        <f>'Ext. Mat_3'!$H$46</f>
        <v>190</v>
      </c>
      <c r="N135" s="80">
        <f>M135*K135</f>
        <v>190</v>
      </c>
      <c r="O135" s="81"/>
      <c r="P135" s="52">
        <f t="shared" si="1"/>
        <v>0</v>
      </c>
      <c r="Q135" s="81"/>
      <c r="R135" s="273"/>
    </row>
    <row r="136" spans="1:18" ht="13.5" customHeight="1">
      <c r="A136" s="33"/>
      <c r="B136" s="145"/>
      <c r="C136" s="33"/>
      <c r="D136" s="33"/>
      <c r="E136" s="60"/>
      <c r="F136" s="44"/>
      <c r="G136" s="149"/>
      <c r="H136" s="161"/>
      <c r="I136" s="151"/>
      <c r="J136" s="57" t="s">
        <v>244</v>
      </c>
      <c r="K136" s="46"/>
      <c r="L136" s="167" t="s">
        <v>1081</v>
      </c>
      <c r="M136" s="153">
        <f>'Ext. Mat_3'!$H$18/40*50</f>
        <v>165</v>
      </c>
      <c r="N136" s="63">
        <f>M136</f>
        <v>165</v>
      </c>
      <c r="O136" s="52"/>
      <c r="P136" s="52">
        <f t="shared" si="1"/>
        <v>0</v>
      </c>
      <c r="Q136" s="52"/>
      <c r="R136" s="255"/>
    </row>
    <row r="137" spans="1:18" ht="13.5" customHeight="1">
      <c r="A137" s="46"/>
      <c r="B137" s="56"/>
      <c r="C137" s="46"/>
      <c r="D137" s="46">
        <v>2.2400000000000002</v>
      </c>
      <c r="E137" s="58" t="s">
        <v>1182</v>
      </c>
      <c r="F137" s="46"/>
      <c r="G137" s="49"/>
      <c r="H137" s="50" t="s">
        <v>1108</v>
      </c>
      <c r="I137" s="151">
        <f>SUM(I128:I136)</f>
        <v>7150</v>
      </c>
      <c r="J137" s="48"/>
      <c r="K137" s="49"/>
      <c r="L137" s="29"/>
      <c r="M137" s="50" t="s">
        <v>1108</v>
      </c>
      <c r="N137" s="52">
        <f>SUM(N128:N136)</f>
        <v>6792.4309836799976</v>
      </c>
      <c r="O137" s="52">
        <f>N137+I137</f>
        <v>13942.430983679998</v>
      </c>
      <c r="P137" s="52">
        <f t="shared" si="1"/>
        <v>2091.3646475519995</v>
      </c>
      <c r="Q137" s="52">
        <f>P137+O137</f>
        <v>16033.795631231998</v>
      </c>
      <c r="R137" s="255">
        <f>ROUND((Q137/D137),2)</f>
        <v>7157.94</v>
      </c>
    </row>
    <row r="138" spans="1:18" ht="13.5" customHeight="1">
      <c r="A138" s="37">
        <v>34</v>
      </c>
      <c r="B138" s="37"/>
      <c r="C138" s="37" t="s">
        <v>254</v>
      </c>
      <c r="D138" s="60"/>
      <c r="E138" s="34"/>
      <c r="F138" s="37" t="s">
        <v>217</v>
      </c>
      <c r="G138" s="61">
        <v>3.12</v>
      </c>
      <c r="H138" s="126">
        <f>'Ext. Mat_3'!$H$77</f>
        <v>1330</v>
      </c>
      <c r="I138" s="61">
        <f>H138*G138</f>
        <v>4149.6000000000004</v>
      </c>
      <c r="J138" s="37" t="s">
        <v>255</v>
      </c>
      <c r="K138" s="90">
        <v>0.02</v>
      </c>
      <c r="L138" s="36" t="s">
        <v>1084</v>
      </c>
      <c r="M138" s="143">
        <f>'Ext. Mat_3'!$H$68</f>
        <v>214901.19167999993</v>
      </c>
      <c r="N138" s="80">
        <f>M138*K138</f>
        <v>4298.0238335999984</v>
      </c>
      <c r="O138" s="80"/>
      <c r="P138" s="52">
        <f t="shared" si="1"/>
        <v>0</v>
      </c>
      <c r="Q138" s="80"/>
      <c r="R138" s="256"/>
    </row>
    <row r="139" spans="1:18" ht="13.5" customHeight="1">
      <c r="A139" s="37"/>
      <c r="B139" s="37"/>
      <c r="C139" s="37" t="s">
        <v>256</v>
      </c>
      <c r="D139" s="60"/>
      <c r="E139" s="34"/>
      <c r="F139" s="37" t="s">
        <v>220</v>
      </c>
      <c r="G139" s="61">
        <v>0.31</v>
      </c>
      <c r="H139" s="40">
        <f>'Ext. Mat_3'!$H$78</f>
        <v>1000</v>
      </c>
      <c r="I139" s="61">
        <f>H139*G139</f>
        <v>310</v>
      </c>
      <c r="J139" s="37" t="s">
        <v>204</v>
      </c>
      <c r="K139" s="168" t="s">
        <v>1081</v>
      </c>
      <c r="L139" s="36" t="s">
        <v>192</v>
      </c>
      <c r="M139" s="148">
        <f>'Ext. Mat_3'!$H$18</f>
        <v>132</v>
      </c>
      <c r="N139" s="80">
        <f>M139</f>
        <v>132</v>
      </c>
      <c r="O139" s="80"/>
      <c r="P139" s="52">
        <f t="shared" si="1"/>
        <v>0</v>
      </c>
      <c r="Q139" s="80"/>
      <c r="R139" s="256"/>
    </row>
    <row r="140" spans="1:18" ht="13.5" customHeight="1">
      <c r="A140" s="37"/>
      <c r="B140" s="37"/>
      <c r="C140" s="37" t="s">
        <v>257</v>
      </c>
      <c r="D140" s="60"/>
      <c r="E140" s="34"/>
      <c r="F140" s="37"/>
      <c r="G140" s="61"/>
      <c r="H140" s="39"/>
      <c r="I140" s="61"/>
      <c r="J140" s="37" t="s">
        <v>258</v>
      </c>
      <c r="K140" s="90">
        <v>1.34</v>
      </c>
      <c r="L140" s="36" t="s">
        <v>1087</v>
      </c>
      <c r="M140" s="148">
        <f>'Ext. Mat_3'!$H$36</f>
        <v>59</v>
      </c>
      <c r="N140" s="80">
        <f t="shared" ref="N140:N145" si="2">M140*K140</f>
        <v>79.06</v>
      </c>
      <c r="O140" s="80"/>
      <c r="P140" s="52">
        <f t="shared" si="1"/>
        <v>0</v>
      </c>
      <c r="Q140" s="80"/>
      <c r="R140" s="256"/>
    </row>
    <row r="141" spans="1:18" ht="13.5" customHeight="1">
      <c r="A141" s="37"/>
      <c r="B141" s="37"/>
      <c r="C141" s="37"/>
      <c r="D141" s="60"/>
      <c r="E141" s="34"/>
      <c r="F141" s="37"/>
      <c r="G141" s="61"/>
      <c r="H141" s="39"/>
      <c r="I141" s="61"/>
      <c r="J141" s="37" t="s">
        <v>241</v>
      </c>
      <c r="K141" s="90">
        <v>0.45</v>
      </c>
      <c r="L141" s="36" t="s">
        <v>1087</v>
      </c>
      <c r="M141" s="148">
        <f>'Ext. Mat_3'!$H$44</f>
        <v>277</v>
      </c>
      <c r="N141" s="80">
        <f t="shared" si="2"/>
        <v>124.65</v>
      </c>
      <c r="O141" s="80"/>
      <c r="P141" s="52">
        <f t="shared" si="1"/>
        <v>0</v>
      </c>
      <c r="Q141" s="80"/>
      <c r="R141" s="256"/>
    </row>
    <row r="142" spans="1:18" ht="13.5" customHeight="1">
      <c r="A142" s="37"/>
      <c r="B142" s="37"/>
      <c r="C142" s="37"/>
      <c r="D142" s="60"/>
      <c r="E142" s="34"/>
      <c r="F142" s="37"/>
      <c r="G142" s="61"/>
      <c r="H142" s="39"/>
      <c r="I142" s="61"/>
      <c r="J142" s="37" t="s">
        <v>259</v>
      </c>
      <c r="K142" s="90">
        <v>0.89</v>
      </c>
      <c r="L142" s="36" t="s">
        <v>1087</v>
      </c>
      <c r="M142" s="148">
        <f>'Ext. Mat_3'!$H$37</f>
        <v>71</v>
      </c>
      <c r="N142" s="80">
        <f t="shared" si="2"/>
        <v>63.19</v>
      </c>
      <c r="O142" s="80"/>
      <c r="P142" s="52">
        <f t="shared" ref="P142:P205" si="3">0.15*O142</f>
        <v>0</v>
      </c>
      <c r="Q142" s="80"/>
      <c r="R142" s="256"/>
    </row>
    <row r="143" spans="1:18" ht="13.5" customHeight="1">
      <c r="A143" s="37"/>
      <c r="B143" s="37"/>
      <c r="C143" s="37"/>
      <c r="D143" s="60"/>
      <c r="E143" s="34"/>
      <c r="F143" s="37"/>
      <c r="G143" s="61"/>
      <c r="H143" s="39"/>
      <c r="I143" s="61"/>
      <c r="J143" s="37" t="s">
        <v>243</v>
      </c>
      <c r="K143" s="90">
        <v>0.45</v>
      </c>
      <c r="L143" s="36" t="s">
        <v>1087</v>
      </c>
      <c r="M143" s="148">
        <f>'Ext. Mat_3'!$H$45</f>
        <v>159</v>
      </c>
      <c r="N143" s="80">
        <f t="shared" si="2"/>
        <v>71.55</v>
      </c>
      <c r="O143" s="80"/>
      <c r="P143" s="52">
        <f t="shared" si="3"/>
        <v>0</v>
      </c>
      <c r="Q143" s="80"/>
      <c r="R143" s="256"/>
    </row>
    <row r="144" spans="1:18" ht="13.5" customHeight="1">
      <c r="A144" s="37"/>
      <c r="B144" s="37"/>
      <c r="C144" s="37"/>
      <c r="D144" s="60"/>
      <c r="E144" s="34"/>
      <c r="F144" s="37"/>
      <c r="G144" s="61"/>
      <c r="H144" s="39"/>
      <c r="I144" s="61"/>
      <c r="J144" s="37" t="s">
        <v>230</v>
      </c>
      <c r="K144" s="90">
        <v>1.78</v>
      </c>
      <c r="L144" s="36" t="s">
        <v>1087</v>
      </c>
      <c r="M144" s="148">
        <f>'Ext. Mat_3'!$H$34</f>
        <v>21.14</v>
      </c>
      <c r="N144" s="80">
        <f t="shared" si="2"/>
        <v>37.629200000000004</v>
      </c>
      <c r="O144" s="80"/>
      <c r="P144" s="52">
        <f t="shared" si="3"/>
        <v>0</v>
      </c>
      <c r="Q144" s="80"/>
      <c r="R144" s="256"/>
    </row>
    <row r="145" spans="1:18" ht="13.5" customHeight="1">
      <c r="A145" s="37"/>
      <c r="B145" s="37"/>
      <c r="C145" s="37"/>
      <c r="D145" s="60"/>
      <c r="E145" s="34"/>
      <c r="F145" s="37"/>
      <c r="G145" s="61"/>
      <c r="H145" s="39"/>
      <c r="I145" s="41"/>
      <c r="J145" s="44" t="s">
        <v>260</v>
      </c>
      <c r="K145" s="62">
        <v>2.0699999999999998</v>
      </c>
      <c r="L145" s="43" t="s">
        <v>1085</v>
      </c>
      <c r="M145" s="169">
        <f>'Ext. Mat_3'!$H$17</f>
        <v>462.70571428571429</v>
      </c>
      <c r="N145" s="63">
        <f t="shared" si="2"/>
        <v>957.8008285714285</v>
      </c>
      <c r="O145" s="63"/>
      <c r="P145" s="52">
        <f t="shared" si="3"/>
        <v>0</v>
      </c>
      <c r="Q145" s="63"/>
      <c r="R145" s="269"/>
    </row>
    <row r="146" spans="1:18" ht="13.5" customHeight="1">
      <c r="A146" s="44"/>
      <c r="B146" s="44"/>
      <c r="C146" s="44"/>
      <c r="D146" s="58">
        <v>1</v>
      </c>
      <c r="E146" s="58" t="s">
        <v>1085</v>
      </c>
      <c r="F146" s="48"/>
      <c r="G146" s="49"/>
      <c r="H146" s="50" t="s">
        <v>1108</v>
      </c>
      <c r="I146" s="51">
        <f>SUM(I138:I145)</f>
        <v>4459.6000000000004</v>
      </c>
      <c r="J146" s="48"/>
      <c r="K146" s="49"/>
      <c r="L146" s="29"/>
      <c r="M146" s="50" t="s">
        <v>1108</v>
      </c>
      <c r="N146" s="52">
        <f>SUM(N138:N145)</f>
        <v>5763.9038621714271</v>
      </c>
      <c r="O146" s="52">
        <f>N146+I146</f>
        <v>10223.503862171427</v>
      </c>
      <c r="P146" s="52">
        <f t="shared" si="3"/>
        <v>1533.525579325714</v>
      </c>
      <c r="Q146" s="52">
        <f>P146+O146</f>
        <v>11757.029441497141</v>
      </c>
      <c r="R146" s="255">
        <f>ROUND((Q146/D146),2)</f>
        <v>11757.03</v>
      </c>
    </row>
    <row r="147" spans="1:18" ht="13.5" customHeight="1">
      <c r="A147" s="37">
        <v>35</v>
      </c>
      <c r="B147" s="101" t="s">
        <v>261</v>
      </c>
      <c r="C147" s="33" t="s">
        <v>262</v>
      </c>
      <c r="D147" s="33"/>
      <c r="E147" s="34"/>
      <c r="F147" s="37" t="s">
        <v>175</v>
      </c>
      <c r="G147" s="61">
        <v>17.649999999999999</v>
      </c>
      <c r="H147" s="126">
        <f>'Ext. Mat_3'!$H$77</f>
        <v>1330</v>
      </c>
      <c r="I147" s="61">
        <f>H147*G147</f>
        <v>23474.499999999996</v>
      </c>
      <c r="J147" s="37" t="s">
        <v>203</v>
      </c>
      <c r="K147" s="90">
        <v>1.05</v>
      </c>
      <c r="L147" s="36" t="s">
        <v>1084</v>
      </c>
      <c r="M147" s="260">
        <f>'Ext. Mat_3'!$H$69</f>
        <v>57400</v>
      </c>
      <c r="N147" s="80">
        <f>M147*K147</f>
        <v>60270</v>
      </c>
      <c r="O147" s="80"/>
      <c r="P147" s="52">
        <f t="shared" si="3"/>
        <v>0</v>
      </c>
      <c r="Q147" s="80"/>
      <c r="R147" s="256"/>
    </row>
    <row r="148" spans="1:18" ht="13.5" customHeight="1">
      <c r="A148" s="37"/>
      <c r="B148" s="37"/>
      <c r="C148" s="33" t="s">
        <v>263</v>
      </c>
      <c r="D148" s="33"/>
      <c r="E148" s="34"/>
      <c r="F148" s="37" t="s">
        <v>130</v>
      </c>
      <c r="G148" s="61">
        <v>1.76</v>
      </c>
      <c r="H148" s="40">
        <f>'Ext. Mat_3'!$H$72</f>
        <v>1000</v>
      </c>
      <c r="I148" s="61">
        <f>H148*G148</f>
        <v>1760</v>
      </c>
      <c r="J148" s="44"/>
      <c r="K148" s="62"/>
      <c r="L148" s="43"/>
      <c r="M148" s="44"/>
      <c r="N148" s="63"/>
      <c r="O148" s="63"/>
      <c r="P148" s="52">
        <f t="shared" si="3"/>
        <v>0</v>
      </c>
      <c r="Q148" s="63"/>
      <c r="R148" s="269"/>
    </row>
    <row r="149" spans="1:18" ht="13.5" customHeight="1">
      <c r="A149" s="44"/>
      <c r="B149" s="44"/>
      <c r="C149" s="46"/>
      <c r="D149" s="46">
        <v>1</v>
      </c>
      <c r="E149" s="58" t="s">
        <v>1084</v>
      </c>
      <c r="F149" s="48"/>
      <c r="G149" s="49"/>
      <c r="H149" s="50" t="s">
        <v>1108</v>
      </c>
      <c r="I149" s="121">
        <f>SUM(I147:I148)</f>
        <v>25234.499999999996</v>
      </c>
      <c r="J149" s="48"/>
      <c r="K149" s="49"/>
      <c r="L149" s="29"/>
      <c r="M149" s="50" t="s">
        <v>1108</v>
      </c>
      <c r="N149" s="52">
        <f>SUM(N147:N148)</f>
        <v>60270</v>
      </c>
      <c r="O149" s="52">
        <f>N149+I149</f>
        <v>85504.5</v>
      </c>
      <c r="P149" s="52">
        <f t="shared" si="3"/>
        <v>12825.674999999999</v>
      </c>
      <c r="Q149" s="52">
        <f>P149+O149</f>
        <v>98330.175000000003</v>
      </c>
      <c r="R149" s="255">
        <f>ROUND((Q149/D149),2)</f>
        <v>98330.18</v>
      </c>
    </row>
    <row r="150" spans="1:18" ht="13.5" customHeight="1">
      <c r="A150" s="46"/>
      <c r="B150" s="138">
        <v>10</v>
      </c>
      <c r="C150" s="138" t="s">
        <v>264</v>
      </c>
      <c r="D150" s="58"/>
      <c r="E150" s="58"/>
      <c r="F150" s="139"/>
      <c r="G150" s="91"/>
      <c r="H150" s="140"/>
      <c r="I150" s="91"/>
      <c r="J150" s="139"/>
      <c r="K150" s="91"/>
      <c r="L150" s="26"/>
      <c r="M150" s="140"/>
      <c r="N150" s="141"/>
      <c r="O150" s="141"/>
      <c r="P150" s="52">
        <f t="shared" si="3"/>
        <v>0</v>
      </c>
      <c r="Q150" s="141"/>
      <c r="R150" s="274"/>
    </row>
    <row r="151" spans="1:18" ht="13.5" customHeight="1">
      <c r="A151" s="37">
        <v>36</v>
      </c>
      <c r="B151" s="37" t="s">
        <v>265</v>
      </c>
      <c r="C151" s="37" t="s">
        <v>266</v>
      </c>
      <c r="D151" s="60"/>
      <c r="E151" s="34"/>
      <c r="F151" s="37" t="s">
        <v>175</v>
      </c>
      <c r="G151" s="61">
        <v>12</v>
      </c>
      <c r="H151" s="40">
        <f>'Ext. Mat_3'!$H$71</f>
        <v>1330</v>
      </c>
      <c r="I151" s="61">
        <f>H151*G151</f>
        <v>15960</v>
      </c>
      <c r="J151" s="37" t="s">
        <v>170</v>
      </c>
      <c r="K151" s="90">
        <v>18</v>
      </c>
      <c r="L151" s="36" t="s">
        <v>171</v>
      </c>
      <c r="M151" s="40">
        <f>'Ext. Mat_3'!$H$8</f>
        <v>640</v>
      </c>
      <c r="N151" s="80">
        <f>M151*K151</f>
        <v>11520</v>
      </c>
      <c r="O151" s="80"/>
      <c r="P151" s="52">
        <f t="shared" si="3"/>
        <v>0</v>
      </c>
      <c r="Q151" s="80"/>
      <c r="R151" s="256"/>
    </row>
    <row r="152" spans="1:18" ht="13.5" customHeight="1">
      <c r="A152" s="37"/>
      <c r="B152" s="37" t="s">
        <v>267</v>
      </c>
      <c r="C152" s="31" t="s">
        <v>268</v>
      </c>
      <c r="D152" s="113"/>
      <c r="E152" s="34"/>
      <c r="F152" s="37" t="s">
        <v>130</v>
      </c>
      <c r="G152" s="61">
        <v>16</v>
      </c>
      <c r="H152" s="40">
        <f>'Ext. Mat_3'!$H$72</f>
        <v>1000</v>
      </c>
      <c r="I152" s="41">
        <f>H152*G152</f>
        <v>16000</v>
      </c>
      <c r="J152" s="44" t="s">
        <v>168</v>
      </c>
      <c r="K152" s="62">
        <v>1.22</v>
      </c>
      <c r="L152" s="43" t="s">
        <v>1084</v>
      </c>
      <c r="M152" s="40">
        <f>'Ext. Mat_3'!$H$66</f>
        <v>3387.6</v>
      </c>
      <c r="N152" s="63">
        <f>M152*K152</f>
        <v>4132.8719999999994</v>
      </c>
      <c r="O152" s="63"/>
      <c r="P152" s="52">
        <f t="shared" si="3"/>
        <v>0</v>
      </c>
      <c r="Q152" s="63"/>
      <c r="R152" s="269"/>
    </row>
    <row r="153" spans="1:18" ht="13.5" customHeight="1">
      <c r="A153" s="44"/>
      <c r="B153" s="44"/>
      <c r="C153" s="44"/>
      <c r="D153" s="252">
        <v>100</v>
      </c>
      <c r="E153" s="58" t="s">
        <v>1085</v>
      </c>
      <c r="F153" s="48"/>
      <c r="G153" s="49"/>
      <c r="H153" s="50" t="s">
        <v>1108</v>
      </c>
      <c r="I153" s="51">
        <f>SUM(I151:I152)</f>
        <v>31960</v>
      </c>
      <c r="J153" s="48"/>
      <c r="K153" s="49"/>
      <c r="L153" s="29"/>
      <c r="M153" s="50" t="s">
        <v>1108</v>
      </c>
      <c r="N153" s="92">
        <f>SUM(N151:N152)</f>
        <v>15652.871999999999</v>
      </c>
      <c r="O153" s="52">
        <f>N153+I153</f>
        <v>47612.872000000003</v>
      </c>
      <c r="P153" s="52">
        <f t="shared" si="3"/>
        <v>7141.9308000000001</v>
      </c>
      <c r="Q153" s="52">
        <f>P153+O153</f>
        <v>54754.802800000005</v>
      </c>
      <c r="R153" s="255">
        <f>ROUND((Q153/D153),2)</f>
        <v>547.54999999999995</v>
      </c>
    </row>
    <row r="154" spans="1:18" ht="13.5" customHeight="1">
      <c r="A154" s="76">
        <v>37</v>
      </c>
      <c r="B154" s="37" t="s">
        <v>265</v>
      </c>
      <c r="C154" s="37" t="s">
        <v>269</v>
      </c>
      <c r="D154" s="60"/>
      <c r="E154" s="34"/>
      <c r="F154" s="37" t="s">
        <v>175</v>
      </c>
      <c r="G154" s="61">
        <v>12</v>
      </c>
      <c r="H154" s="40">
        <f>'Ext. Mat_3'!$H$71</f>
        <v>1330</v>
      </c>
      <c r="I154" s="61">
        <f>H154*G154</f>
        <v>15960</v>
      </c>
      <c r="J154" s="37" t="s">
        <v>170</v>
      </c>
      <c r="K154" s="90">
        <v>12.5</v>
      </c>
      <c r="L154" s="36" t="s">
        <v>171</v>
      </c>
      <c r="M154" s="40">
        <f>'Ext. Mat_3'!$H$8</f>
        <v>640</v>
      </c>
      <c r="N154" s="80">
        <f>M154*K154</f>
        <v>8000</v>
      </c>
      <c r="O154" s="80"/>
      <c r="P154" s="52">
        <f t="shared" si="3"/>
        <v>0</v>
      </c>
      <c r="Q154" s="80"/>
      <c r="R154" s="256"/>
    </row>
    <row r="155" spans="1:18" ht="13.5" customHeight="1">
      <c r="A155" s="37"/>
      <c r="B155" s="37" t="s">
        <v>270</v>
      </c>
      <c r="C155" s="31" t="s">
        <v>271</v>
      </c>
      <c r="D155" s="113"/>
      <c r="E155" s="34"/>
      <c r="F155" s="37" t="s">
        <v>130</v>
      </c>
      <c r="G155" s="61">
        <v>16</v>
      </c>
      <c r="H155" s="40">
        <f>'Ext. Mat_3'!$H$72</f>
        <v>1000</v>
      </c>
      <c r="I155" s="41">
        <f>H155*G155</f>
        <v>16000</v>
      </c>
      <c r="J155" s="44" t="s">
        <v>168</v>
      </c>
      <c r="K155" s="62">
        <v>1.28</v>
      </c>
      <c r="L155" s="43" t="s">
        <v>1084</v>
      </c>
      <c r="M155" s="40">
        <f>'Ext. Mat_3'!$H$66</f>
        <v>3387.6</v>
      </c>
      <c r="N155" s="63">
        <f>M155*K155</f>
        <v>4336.1279999999997</v>
      </c>
      <c r="O155" s="63"/>
      <c r="P155" s="52">
        <f t="shared" si="3"/>
        <v>0</v>
      </c>
      <c r="Q155" s="63"/>
      <c r="R155" s="269"/>
    </row>
    <row r="156" spans="1:18" ht="13.5" customHeight="1">
      <c r="A156" s="44"/>
      <c r="B156" s="44"/>
      <c r="C156" s="44"/>
      <c r="D156" s="252">
        <v>100</v>
      </c>
      <c r="E156" s="58" t="s">
        <v>1085</v>
      </c>
      <c r="F156" s="48"/>
      <c r="G156" s="49"/>
      <c r="H156" s="50" t="s">
        <v>1108</v>
      </c>
      <c r="I156" s="51">
        <f>SUM(I154:I155)</f>
        <v>31960</v>
      </c>
      <c r="J156" s="48"/>
      <c r="K156" s="49"/>
      <c r="L156" s="29"/>
      <c r="M156" s="50" t="s">
        <v>1108</v>
      </c>
      <c r="N156" s="92">
        <f>SUM(N154:N155)</f>
        <v>12336.128000000001</v>
      </c>
      <c r="O156" s="52">
        <f>N156+I156</f>
        <v>44296.127999999997</v>
      </c>
      <c r="P156" s="52">
        <f t="shared" si="3"/>
        <v>6644.4191999999994</v>
      </c>
      <c r="Q156" s="52">
        <f>P156+O156</f>
        <v>50940.547199999994</v>
      </c>
      <c r="R156" s="255">
        <f>ROUND((Q156/D156),2)</f>
        <v>509.41</v>
      </c>
    </row>
    <row r="157" spans="1:18" ht="13.5" customHeight="1">
      <c r="A157" s="37">
        <v>38</v>
      </c>
      <c r="B157" s="37" t="s">
        <v>272</v>
      </c>
      <c r="C157" s="37" t="s">
        <v>266</v>
      </c>
      <c r="D157" s="60"/>
      <c r="E157" s="34"/>
      <c r="F157" s="37" t="s">
        <v>175</v>
      </c>
      <c r="G157" s="61">
        <v>12</v>
      </c>
      <c r="H157" s="40">
        <f>'Ext. Mat_3'!$H$71</f>
        <v>1330</v>
      </c>
      <c r="I157" s="61">
        <f>H157*G157</f>
        <v>15960</v>
      </c>
      <c r="J157" s="37" t="s">
        <v>170</v>
      </c>
      <c r="K157" s="90">
        <v>10.76</v>
      </c>
      <c r="L157" s="36" t="s">
        <v>171</v>
      </c>
      <c r="M157" s="40">
        <f>'Ext. Mat_3'!$H$8</f>
        <v>640</v>
      </c>
      <c r="N157" s="80">
        <f>M157*K157</f>
        <v>6886.4</v>
      </c>
      <c r="O157" s="80"/>
      <c r="P157" s="52">
        <f t="shared" si="3"/>
        <v>0</v>
      </c>
      <c r="Q157" s="80"/>
      <c r="R157" s="256"/>
    </row>
    <row r="158" spans="1:18" ht="13.5" customHeight="1">
      <c r="A158" s="37"/>
      <c r="B158" s="37"/>
      <c r="C158" s="31" t="s">
        <v>273</v>
      </c>
      <c r="D158" s="113"/>
      <c r="E158" s="34"/>
      <c r="F158" s="37" t="s">
        <v>130</v>
      </c>
      <c r="G158" s="61">
        <v>16</v>
      </c>
      <c r="H158" s="40">
        <f>'Ext. Mat_3'!$H$72</f>
        <v>1000</v>
      </c>
      <c r="I158" s="41">
        <f>H158*G158</f>
        <v>16000</v>
      </c>
      <c r="J158" s="44" t="s">
        <v>168</v>
      </c>
      <c r="K158" s="62">
        <v>1.46</v>
      </c>
      <c r="L158" s="43" t="s">
        <v>1084</v>
      </c>
      <c r="M158" s="40">
        <f>'Ext. Mat_3'!$H$66</f>
        <v>3387.6</v>
      </c>
      <c r="N158" s="63">
        <f>M158*K158</f>
        <v>4945.8959999999997</v>
      </c>
      <c r="O158" s="63"/>
      <c r="P158" s="52">
        <f t="shared" si="3"/>
        <v>0</v>
      </c>
      <c r="Q158" s="63"/>
      <c r="R158" s="269"/>
    </row>
    <row r="159" spans="1:18" ht="13.5" customHeight="1">
      <c r="A159" s="44"/>
      <c r="B159" s="44"/>
      <c r="C159" s="170"/>
      <c r="D159" s="253">
        <v>100</v>
      </c>
      <c r="E159" s="58" t="s">
        <v>1085</v>
      </c>
      <c r="F159" s="48"/>
      <c r="G159" s="49"/>
      <c r="H159" s="50" t="s">
        <v>1108</v>
      </c>
      <c r="I159" s="51">
        <f>SUM(I157:I158)</f>
        <v>31960</v>
      </c>
      <c r="J159" s="48"/>
      <c r="K159" s="49"/>
      <c r="L159" s="29"/>
      <c r="M159" s="50" t="s">
        <v>1108</v>
      </c>
      <c r="N159" s="92">
        <f>SUM(N157:N158)</f>
        <v>11832.295999999998</v>
      </c>
      <c r="O159" s="52">
        <f>N159+I159</f>
        <v>43792.296000000002</v>
      </c>
      <c r="P159" s="52">
        <f t="shared" si="3"/>
        <v>6568.8444</v>
      </c>
      <c r="Q159" s="52">
        <f>P159+O159</f>
        <v>50361.140400000004</v>
      </c>
      <c r="R159" s="255">
        <f>ROUND((Q159/D159),2)</f>
        <v>503.61</v>
      </c>
    </row>
    <row r="160" spans="1:18" ht="13.5" customHeight="1">
      <c r="A160" s="76">
        <v>39</v>
      </c>
      <c r="B160" s="37" t="s">
        <v>274</v>
      </c>
      <c r="C160" s="37" t="s">
        <v>275</v>
      </c>
      <c r="D160" s="60"/>
      <c r="E160" s="34"/>
      <c r="F160" s="37" t="s">
        <v>175</v>
      </c>
      <c r="G160" s="61">
        <v>14</v>
      </c>
      <c r="H160" s="40">
        <f>'Ext. Mat_3'!$H$71</f>
        <v>1330</v>
      </c>
      <c r="I160" s="61">
        <f>H160*G160</f>
        <v>18620</v>
      </c>
      <c r="J160" s="37" t="s">
        <v>170</v>
      </c>
      <c r="K160" s="90">
        <v>19.2</v>
      </c>
      <c r="L160" s="36" t="s">
        <v>171</v>
      </c>
      <c r="M160" s="40">
        <f>'Ext. Mat_3'!$H$8</f>
        <v>640</v>
      </c>
      <c r="N160" s="80">
        <f>M160*K160</f>
        <v>12288</v>
      </c>
      <c r="O160" s="80"/>
      <c r="P160" s="52">
        <f t="shared" si="3"/>
        <v>0</v>
      </c>
      <c r="Q160" s="80"/>
      <c r="R160" s="256"/>
    </row>
    <row r="161" spans="1:19" ht="13.5" customHeight="1">
      <c r="A161" s="37"/>
      <c r="B161" s="37"/>
      <c r="C161" s="31" t="s">
        <v>276</v>
      </c>
      <c r="D161" s="113"/>
      <c r="E161" s="34"/>
      <c r="F161" s="37" t="s">
        <v>130</v>
      </c>
      <c r="G161" s="61">
        <v>19</v>
      </c>
      <c r="H161" s="40">
        <f>'Ext. Mat_3'!$H$72</f>
        <v>1000</v>
      </c>
      <c r="I161" s="41">
        <f>H161*G161</f>
        <v>19000</v>
      </c>
      <c r="J161" s="44" t="s">
        <v>168</v>
      </c>
      <c r="K161" s="62">
        <v>1.95</v>
      </c>
      <c r="L161" s="43" t="s">
        <v>1084</v>
      </c>
      <c r="M161" s="40">
        <f>'Ext. Mat_3'!$H$66</f>
        <v>3387.6</v>
      </c>
      <c r="N161" s="63">
        <f>M161*K161</f>
        <v>6605.82</v>
      </c>
      <c r="O161" s="63"/>
      <c r="P161" s="52">
        <f t="shared" si="3"/>
        <v>0</v>
      </c>
      <c r="Q161" s="63"/>
      <c r="R161" s="269"/>
    </row>
    <row r="162" spans="1:19" ht="13.5" customHeight="1">
      <c r="A162" s="44"/>
      <c r="B162" s="44"/>
      <c r="C162" s="44"/>
      <c r="D162" s="252">
        <v>100</v>
      </c>
      <c r="E162" s="58" t="s">
        <v>1085</v>
      </c>
      <c r="F162" s="48"/>
      <c r="G162" s="49"/>
      <c r="H162" s="50" t="s">
        <v>1108</v>
      </c>
      <c r="I162" s="51">
        <f>SUM(I160:I161)</f>
        <v>37620</v>
      </c>
      <c r="J162" s="48"/>
      <c r="K162" s="49"/>
      <c r="L162" s="29"/>
      <c r="M162" s="50" t="s">
        <v>1108</v>
      </c>
      <c r="N162" s="92">
        <f>SUM(N160:N161)</f>
        <v>18893.82</v>
      </c>
      <c r="O162" s="52">
        <f>N162+I162</f>
        <v>56513.82</v>
      </c>
      <c r="P162" s="52">
        <f t="shared" si="3"/>
        <v>8477.0730000000003</v>
      </c>
      <c r="Q162" s="52">
        <f>P162+O162</f>
        <v>64990.892999999996</v>
      </c>
      <c r="R162" s="255">
        <f>ROUND((Q162/D162),2)</f>
        <v>649.91</v>
      </c>
    </row>
    <row r="163" spans="1:19" ht="13.5" customHeight="1">
      <c r="A163" s="37">
        <v>40</v>
      </c>
      <c r="B163" s="37" t="s">
        <v>277</v>
      </c>
      <c r="C163" s="37" t="s">
        <v>278</v>
      </c>
      <c r="D163" s="60"/>
      <c r="E163" s="34"/>
      <c r="F163" s="37" t="s">
        <v>175</v>
      </c>
      <c r="G163" s="61">
        <v>14</v>
      </c>
      <c r="H163" s="40">
        <f>'Ext. Mat_3'!$H$71</f>
        <v>1330</v>
      </c>
      <c r="I163" s="61">
        <f>H163*G163</f>
        <v>18620</v>
      </c>
      <c r="J163" s="37" t="s">
        <v>170</v>
      </c>
      <c r="K163" s="90">
        <v>16.2</v>
      </c>
      <c r="L163" s="36" t="s">
        <v>171</v>
      </c>
      <c r="M163" s="40">
        <f>'Ext. Mat_3'!$H$8</f>
        <v>640</v>
      </c>
      <c r="N163" s="80">
        <f>M163*K163</f>
        <v>10368</v>
      </c>
      <c r="O163" s="80"/>
      <c r="P163" s="52">
        <f t="shared" si="3"/>
        <v>0</v>
      </c>
      <c r="Q163" s="80"/>
      <c r="R163" s="256"/>
      <c r="S163" s="2513">
        <f>R159+R174</f>
        <v>849.87</v>
      </c>
    </row>
    <row r="164" spans="1:19" ht="13.5" customHeight="1">
      <c r="A164" s="37"/>
      <c r="B164" s="37" t="s">
        <v>270</v>
      </c>
      <c r="C164" s="31" t="s">
        <v>279</v>
      </c>
      <c r="D164" s="113"/>
      <c r="E164" s="34"/>
      <c r="F164" s="37" t="s">
        <v>130</v>
      </c>
      <c r="G164" s="61">
        <v>19</v>
      </c>
      <c r="H164" s="40">
        <f>'Ext. Mat_3'!$H$72</f>
        <v>1000</v>
      </c>
      <c r="I164" s="41">
        <f>H164*G164</f>
        <v>19000</v>
      </c>
      <c r="J164" s="44" t="s">
        <v>168</v>
      </c>
      <c r="K164" s="62">
        <v>2.2000000000000002</v>
      </c>
      <c r="L164" s="43" t="s">
        <v>1084</v>
      </c>
      <c r="M164" s="40">
        <f>'Ext. Mat_3'!$H$66</f>
        <v>3387.6</v>
      </c>
      <c r="N164" s="63">
        <f>M164*K164</f>
        <v>7452.72</v>
      </c>
      <c r="O164" s="63"/>
      <c r="P164" s="52">
        <f t="shared" si="3"/>
        <v>0</v>
      </c>
      <c r="Q164" s="63"/>
      <c r="R164" s="269"/>
    </row>
    <row r="165" spans="1:19" ht="13.5" customHeight="1">
      <c r="A165" s="44"/>
      <c r="B165" s="44"/>
      <c r="C165" s="44"/>
      <c r="D165" s="252">
        <v>100</v>
      </c>
      <c r="E165" s="58" t="s">
        <v>1085</v>
      </c>
      <c r="F165" s="48"/>
      <c r="G165" s="49"/>
      <c r="H165" s="50" t="s">
        <v>1108</v>
      </c>
      <c r="I165" s="51">
        <f>SUM(I163:I164)</f>
        <v>37620</v>
      </c>
      <c r="J165" s="48"/>
      <c r="K165" s="49"/>
      <c r="L165" s="29"/>
      <c r="M165" s="50" t="s">
        <v>1108</v>
      </c>
      <c r="N165" s="92">
        <f>SUM(N163:N164)</f>
        <v>17820.72</v>
      </c>
      <c r="O165" s="52">
        <f>N165+I165</f>
        <v>55440.72</v>
      </c>
      <c r="P165" s="52">
        <f t="shared" si="3"/>
        <v>8316.1080000000002</v>
      </c>
      <c r="Q165" s="52">
        <f>P165+O165</f>
        <v>63756.828000000001</v>
      </c>
      <c r="R165" s="255">
        <f>ROUND((Q165/D165),2)</f>
        <v>637.57000000000005</v>
      </c>
    </row>
    <row r="166" spans="1:19" ht="13.5" customHeight="1">
      <c r="A166" s="76">
        <v>41</v>
      </c>
      <c r="B166" s="37" t="s">
        <v>280</v>
      </c>
      <c r="C166" s="37" t="s">
        <v>275</v>
      </c>
      <c r="D166" s="60"/>
      <c r="E166" s="34"/>
      <c r="F166" s="37" t="s">
        <v>175</v>
      </c>
      <c r="G166" s="61">
        <v>14</v>
      </c>
      <c r="H166" s="40">
        <f>'Ext. Mat_3'!$H$71</f>
        <v>1330</v>
      </c>
      <c r="I166" s="61">
        <f>H166*G166</f>
        <v>18620</v>
      </c>
      <c r="J166" s="37" t="s">
        <v>170</v>
      </c>
      <c r="K166" s="90">
        <v>11.4</v>
      </c>
      <c r="L166" s="36" t="s">
        <v>171</v>
      </c>
      <c r="M166" s="40">
        <f>'Ext. Mat_3'!$H$8</f>
        <v>640</v>
      </c>
      <c r="N166" s="80">
        <f>M166*K166</f>
        <v>7296</v>
      </c>
      <c r="O166" s="80"/>
      <c r="P166" s="52">
        <f t="shared" si="3"/>
        <v>0</v>
      </c>
      <c r="Q166" s="80"/>
      <c r="R166" s="256"/>
    </row>
    <row r="167" spans="1:19" ht="13.5" customHeight="1">
      <c r="A167" s="37"/>
      <c r="B167" s="37"/>
      <c r="C167" s="31" t="s">
        <v>281</v>
      </c>
      <c r="D167" s="113"/>
      <c r="E167" s="34"/>
      <c r="F167" s="37" t="s">
        <v>130</v>
      </c>
      <c r="G167" s="61">
        <v>19</v>
      </c>
      <c r="H167" s="40">
        <f>'Ext. Mat_3'!$H$72</f>
        <v>1000</v>
      </c>
      <c r="I167" s="41">
        <f>H167*G167</f>
        <v>19000</v>
      </c>
      <c r="J167" s="44" t="s">
        <v>168</v>
      </c>
      <c r="K167" s="62">
        <v>2.35</v>
      </c>
      <c r="L167" s="43" t="s">
        <v>1084</v>
      </c>
      <c r="M167" s="40">
        <f>'Ext. Mat_3'!$H$66</f>
        <v>3387.6</v>
      </c>
      <c r="N167" s="63">
        <f>M167*K167</f>
        <v>7960.86</v>
      </c>
      <c r="O167" s="63"/>
      <c r="P167" s="52">
        <f t="shared" si="3"/>
        <v>0</v>
      </c>
      <c r="Q167" s="63"/>
      <c r="R167" s="269"/>
    </row>
    <row r="168" spans="1:19" ht="13.5" customHeight="1">
      <c r="A168" s="44"/>
      <c r="B168" s="44"/>
      <c r="C168" s="44"/>
      <c r="D168" s="252">
        <v>100</v>
      </c>
      <c r="E168" s="58" t="s">
        <v>1085</v>
      </c>
      <c r="F168" s="48"/>
      <c r="G168" s="49"/>
      <c r="H168" s="50" t="s">
        <v>1108</v>
      </c>
      <c r="I168" s="51">
        <f>SUM(I166:I167)</f>
        <v>37620</v>
      </c>
      <c r="J168" s="48"/>
      <c r="K168" s="49"/>
      <c r="L168" s="29"/>
      <c r="M168" s="50" t="s">
        <v>1108</v>
      </c>
      <c r="N168" s="92">
        <f>SUM(N166:N167)</f>
        <v>15256.86</v>
      </c>
      <c r="O168" s="52">
        <f>N168+I168</f>
        <v>52876.86</v>
      </c>
      <c r="P168" s="52">
        <f t="shared" si="3"/>
        <v>7931.5289999999995</v>
      </c>
      <c r="Q168" s="52">
        <f>P168+O168</f>
        <v>60808.389000000003</v>
      </c>
      <c r="R168" s="255">
        <f>ROUND((Q168/D168),2)</f>
        <v>608.08000000000004</v>
      </c>
    </row>
    <row r="169" spans="1:19" ht="13.5" customHeight="1">
      <c r="A169" s="37">
        <v>42</v>
      </c>
      <c r="B169" s="37" t="s">
        <v>282</v>
      </c>
      <c r="C169" s="37" t="s">
        <v>283</v>
      </c>
      <c r="D169" s="60"/>
      <c r="E169" s="34"/>
      <c r="F169" s="37" t="s">
        <v>175</v>
      </c>
      <c r="G169" s="61">
        <v>10</v>
      </c>
      <c r="H169" s="40">
        <f>'Ext. Mat_3'!$H$71</f>
        <v>1330</v>
      </c>
      <c r="I169" s="61">
        <f>H169*G169</f>
        <v>13300</v>
      </c>
      <c r="J169" s="37" t="s">
        <v>170</v>
      </c>
      <c r="K169" s="90">
        <v>6.12</v>
      </c>
      <c r="L169" s="36" t="s">
        <v>171</v>
      </c>
      <c r="M169" s="40">
        <f>'Ext. Mat_3'!$H$8</f>
        <v>640</v>
      </c>
      <c r="N169" s="80">
        <f>M169*K169</f>
        <v>3916.8</v>
      </c>
      <c r="O169" s="80"/>
      <c r="P169" s="52">
        <f t="shared" si="3"/>
        <v>0</v>
      </c>
      <c r="Q169" s="80"/>
      <c r="R169" s="256"/>
    </row>
    <row r="170" spans="1:19" ht="13.5" customHeight="1">
      <c r="A170" s="37"/>
      <c r="B170" s="37" t="s">
        <v>284</v>
      </c>
      <c r="C170" s="39"/>
      <c r="D170" s="113"/>
      <c r="E170" s="34"/>
      <c r="F170" s="37" t="s">
        <v>130</v>
      </c>
      <c r="G170" s="61">
        <v>14</v>
      </c>
      <c r="H170" s="40">
        <f>'Ext. Mat_3'!$H$72</f>
        <v>1000</v>
      </c>
      <c r="I170" s="61">
        <f>H170*G170</f>
        <v>14000</v>
      </c>
      <c r="J170" s="44" t="s">
        <v>168</v>
      </c>
      <c r="K170" s="62">
        <v>0.63</v>
      </c>
      <c r="L170" s="43" t="s">
        <v>1084</v>
      </c>
      <c r="M170" s="40">
        <f>'Ext. Mat_3'!$H$66</f>
        <v>3387.6</v>
      </c>
      <c r="N170" s="63">
        <f>M170*K170</f>
        <v>2134.1880000000001</v>
      </c>
      <c r="O170" s="63"/>
      <c r="P170" s="52">
        <f t="shared" si="3"/>
        <v>0</v>
      </c>
      <c r="Q170" s="63"/>
      <c r="R170" s="269"/>
    </row>
    <row r="171" spans="1:19" ht="13.5" customHeight="1">
      <c r="A171" s="44"/>
      <c r="B171" s="44"/>
      <c r="C171" s="44"/>
      <c r="D171" s="252">
        <v>100</v>
      </c>
      <c r="E171" s="58" t="s">
        <v>1085</v>
      </c>
      <c r="F171" s="48"/>
      <c r="G171" s="49"/>
      <c r="H171" s="50" t="s">
        <v>1108</v>
      </c>
      <c r="I171" s="121">
        <f>SUM(I169:I170)</f>
        <v>27300</v>
      </c>
      <c r="J171" s="48"/>
      <c r="K171" s="49"/>
      <c r="L171" s="29"/>
      <c r="M171" s="50" t="s">
        <v>1108</v>
      </c>
      <c r="N171" s="87">
        <f>SUM(N169:N170)</f>
        <v>6050.9880000000003</v>
      </c>
      <c r="O171" s="52">
        <f>N171+I171</f>
        <v>33350.987999999998</v>
      </c>
      <c r="P171" s="52">
        <f t="shared" si="3"/>
        <v>5002.6481999999996</v>
      </c>
      <c r="Q171" s="52">
        <f>P171+O171</f>
        <v>38353.636199999994</v>
      </c>
      <c r="R171" s="255">
        <f>ROUND((Q171/D171),2)</f>
        <v>383.54</v>
      </c>
    </row>
    <row r="172" spans="1:19" ht="13.5" customHeight="1">
      <c r="A172" s="37">
        <v>43</v>
      </c>
      <c r="B172" s="37" t="s">
        <v>201</v>
      </c>
      <c r="C172" s="37" t="s">
        <v>285</v>
      </c>
      <c r="D172" s="60"/>
      <c r="E172" s="34"/>
      <c r="F172" s="37" t="s">
        <v>175</v>
      </c>
      <c r="G172" s="61">
        <v>10</v>
      </c>
      <c r="H172" s="40">
        <f>'Ext. Mat_3'!$H$71</f>
        <v>1330</v>
      </c>
      <c r="I172" s="61">
        <f>H172*G172</f>
        <v>13300</v>
      </c>
      <c r="J172" s="37" t="s">
        <v>170</v>
      </c>
      <c r="K172" s="90">
        <v>10.64</v>
      </c>
      <c r="L172" s="36" t="s">
        <v>171</v>
      </c>
      <c r="M172" s="40">
        <f>'Ext. Mat_3'!$H$8</f>
        <v>640</v>
      </c>
      <c r="N172" s="80">
        <f>M172*K172</f>
        <v>6809.6</v>
      </c>
      <c r="O172" s="80"/>
      <c r="P172" s="52">
        <f t="shared" si="3"/>
        <v>0</v>
      </c>
      <c r="Q172" s="80"/>
      <c r="R172" s="256"/>
    </row>
    <row r="173" spans="1:19" ht="13.5" customHeight="1">
      <c r="A173" s="37"/>
      <c r="B173" s="37"/>
      <c r="C173" s="39"/>
      <c r="D173" s="113"/>
      <c r="E173" s="34"/>
      <c r="F173" s="37" t="s">
        <v>130</v>
      </c>
      <c r="G173" s="61">
        <v>10</v>
      </c>
      <c r="H173" s="40">
        <f>'Ext. Mat_3'!$H$72</f>
        <v>1000</v>
      </c>
      <c r="I173" s="61">
        <f>H173*G173</f>
        <v>10000</v>
      </c>
      <c r="J173" s="44"/>
      <c r="K173" s="62"/>
      <c r="L173" s="43"/>
      <c r="M173" s="44"/>
      <c r="N173" s="63"/>
      <c r="O173" s="63"/>
      <c r="P173" s="52">
        <f t="shared" si="3"/>
        <v>0</v>
      </c>
      <c r="Q173" s="63"/>
      <c r="R173" s="269"/>
    </row>
    <row r="174" spans="1:19" ht="13.5" customHeight="1">
      <c r="A174" s="44"/>
      <c r="B174" s="44"/>
      <c r="C174" s="44"/>
      <c r="D174" s="252">
        <v>100</v>
      </c>
      <c r="E174" s="58" t="s">
        <v>1085</v>
      </c>
      <c r="F174" s="48"/>
      <c r="G174" s="49"/>
      <c r="H174" s="50" t="s">
        <v>1108</v>
      </c>
      <c r="I174" s="121">
        <f>SUM(I172:I173)</f>
        <v>23300</v>
      </c>
      <c r="J174" s="48"/>
      <c r="K174" s="49"/>
      <c r="L174" s="29"/>
      <c r="M174" s="50" t="s">
        <v>1108</v>
      </c>
      <c r="N174" s="87">
        <f>SUM(N172:N173)</f>
        <v>6809.6</v>
      </c>
      <c r="O174" s="52">
        <f>N174+I174</f>
        <v>30109.599999999999</v>
      </c>
      <c r="P174" s="52">
        <f t="shared" si="3"/>
        <v>4516.4399999999996</v>
      </c>
      <c r="Q174" s="52">
        <f>P174+O174</f>
        <v>34626.04</v>
      </c>
      <c r="R174" s="255">
        <f>ROUND((Q174/D174),2)</f>
        <v>346.26</v>
      </c>
    </row>
    <row r="175" spans="1:19" ht="13.5" customHeight="1">
      <c r="A175" s="82"/>
      <c r="B175" s="83">
        <v>11</v>
      </c>
      <c r="C175" s="83" t="s">
        <v>286</v>
      </c>
      <c r="D175" s="67"/>
      <c r="E175" s="67"/>
      <c r="F175" s="89"/>
      <c r="G175" s="49"/>
      <c r="H175" s="103"/>
      <c r="I175" s="49"/>
      <c r="J175" s="89"/>
      <c r="K175" s="49"/>
      <c r="L175" s="29"/>
      <c r="M175" s="103"/>
      <c r="N175" s="104"/>
      <c r="O175" s="104"/>
      <c r="P175" s="52">
        <f t="shared" si="3"/>
        <v>0</v>
      </c>
      <c r="Q175" s="104"/>
      <c r="R175" s="270"/>
    </row>
    <row r="176" spans="1:19" ht="13.5" customHeight="1">
      <c r="A176" s="33">
        <v>44</v>
      </c>
      <c r="B176" s="172" t="s">
        <v>287</v>
      </c>
      <c r="C176" s="37" t="s">
        <v>288</v>
      </c>
      <c r="D176" s="60"/>
      <c r="E176" s="34"/>
      <c r="F176" s="37" t="s">
        <v>289</v>
      </c>
      <c r="G176" s="173">
        <v>6.5000000000000002E-2</v>
      </c>
      <c r="H176" s="159">
        <f>'Ext. Mat_3'!$H$73</f>
        <v>1330</v>
      </c>
      <c r="I176" s="61">
        <f>H176*G176</f>
        <v>86.45</v>
      </c>
      <c r="J176" s="37" t="s">
        <v>290</v>
      </c>
      <c r="K176" s="90">
        <v>0.5</v>
      </c>
      <c r="L176" s="36" t="s">
        <v>1034</v>
      </c>
      <c r="M176" s="40">
        <f>'Ext. Mat_3'!$H$24</f>
        <v>69</v>
      </c>
      <c r="N176" s="80">
        <f>M176*K176</f>
        <v>34.5</v>
      </c>
      <c r="O176" s="80"/>
      <c r="P176" s="52">
        <f t="shared" si="3"/>
        <v>0</v>
      </c>
      <c r="Q176" s="80"/>
      <c r="R176" s="256"/>
    </row>
    <row r="177" spans="1:18" ht="13.5" customHeight="1">
      <c r="A177" s="37"/>
      <c r="B177" s="37" t="s">
        <v>270</v>
      </c>
      <c r="C177" s="37"/>
      <c r="D177" s="60"/>
      <c r="E177" s="34"/>
      <c r="F177" s="37" t="s">
        <v>122</v>
      </c>
      <c r="G177" s="173">
        <v>6.5000000000000002E-2</v>
      </c>
      <c r="H177" s="40">
        <f>'Ext. Mat_3'!$H$72</f>
        <v>1000</v>
      </c>
      <c r="I177" s="41">
        <f>H177*G177</f>
        <v>65</v>
      </c>
      <c r="J177" s="44" t="s">
        <v>291</v>
      </c>
      <c r="K177" s="62"/>
      <c r="L177" s="43"/>
      <c r="M177" s="70"/>
      <c r="N177" s="63"/>
      <c r="O177" s="63"/>
      <c r="P177" s="52">
        <f t="shared" si="3"/>
        <v>0</v>
      </c>
      <c r="Q177" s="63"/>
      <c r="R177" s="269"/>
    </row>
    <row r="178" spans="1:18" ht="13.5" customHeight="1">
      <c r="A178" s="46"/>
      <c r="B178" s="174"/>
      <c r="C178" s="44"/>
      <c r="D178" s="58">
        <v>1</v>
      </c>
      <c r="E178" s="58" t="s">
        <v>1085</v>
      </c>
      <c r="F178" s="48"/>
      <c r="G178" s="49"/>
      <c r="H178" s="50" t="s">
        <v>1108</v>
      </c>
      <c r="I178" s="51">
        <f>SUM(I176:I177)</f>
        <v>151.44999999999999</v>
      </c>
      <c r="J178" s="48"/>
      <c r="K178" s="49"/>
      <c r="L178" s="29"/>
      <c r="M178" s="50" t="s">
        <v>1108</v>
      </c>
      <c r="N178" s="52">
        <f>SUM(N176:N177)</f>
        <v>34.5</v>
      </c>
      <c r="O178" s="52">
        <f>N178+I178</f>
        <v>185.95</v>
      </c>
      <c r="P178" s="52">
        <f t="shared" si="3"/>
        <v>27.892499999999998</v>
      </c>
      <c r="Q178" s="52">
        <f>P178+O178</f>
        <v>213.84249999999997</v>
      </c>
      <c r="R178" s="255">
        <f>ROUND((Q178/D178),2)</f>
        <v>213.84</v>
      </c>
    </row>
    <row r="179" spans="1:18" ht="13.5" customHeight="1">
      <c r="A179" s="37">
        <v>45</v>
      </c>
      <c r="B179" s="172" t="s">
        <v>292</v>
      </c>
      <c r="C179" s="37" t="s">
        <v>293</v>
      </c>
      <c r="D179" s="60"/>
      <c r="E179" s="34"/>
      <c r="F179" s="37" t="s">
        <v>289</v>
      </c>
      <c r="G179" s="61">
        <v>0.12</v>
      </c>
      <c r="H179" s="159">
        <f>'Ext. Mat_3'!$H$73</f>
        <v>1330</v>
      </c>
      <c r="I179" s="61">
        <f>H179*G179</f>
        <v>159.6</v>
      </c>
      <c r="J179" s="37" t="s">
        <v>294</v>
      </c>
      <c r="K179" s="90">
        <v>0.08</v>
      </c>
      <c r="L179" s="36" t="s">
        <v>295</v>
      </c>
      <c r="M179" s="40">
        <f>'Ext. Mat_3'!$H$26</f>
        <v>288</v>
      </c>
      <c r="N179" s="80">
        <f>M179*K179</f>
        <v>23.04</v>
      </c>
      <c r="O179" s="80"/>
      <c r="P179" s="52">
        <f t="shared" si="3"/>
        <v>0</v>
      </c>
      <c r="Q179" s="80"/>
      <c r="R179" s="256"/>
    </row>
    <row r="180" spans="1:18" ht="13.5" customHeight="1">
      <c r="A180" s="37"/>
      <c r="B180" s="101" t="s">
        <v>296</v>
      </c>
      <c r="C180" s="37" t="s">
        <v>297</v>
      </c>
      <c r="D180" s="60"/>
      <c r="E180" s="34"/>
      <c r="F180" s="37" t="s">
        <v>130</v>
      </c>
      <c r="G180" s="61">
        <v>0.08</v>
      </c>
      <c r="H180" s="40">
        <f>'Ext. Mat_3'!$H$72</f>
        <v>1000</v>
      </c>
      <c r="I180" s="41">
        <f>H180*G180</f>
        <v>80</v>
      </c>
      <c r="J180" s="44" t="s">
        <v>298</v>
      </c>
      <c r="K180" s="62">
        <v>0.16</v>
      </c>
      <c r="L180" s="43" t="s">
        <v>295</v>
      </c>
      <c r="M180" s="70">
        <f>'Ext. Mat_3'!$H$25</f>
        <v>534</v>
      </c>
      <c r="N180" s="63">
        <f>M180*K180</f>
        <v>85.44</v>
      </c>
      <c r="O180" s="63"/>
      <c r="P180" s="52">
        <f t="shared" si="3"/>
        <v>0</v>
      </c>
      <c r="Q180" s="63"/>
      <c r="R180" s="269"/>
    </row>
    <row r="181" spans="1:18" ht="13.5" customHeight="1">
      <c r="A181" s="44"/>
      <c r="B181" s="44"/>
      <c r="C181" s="44"/>
      <c r="D181" s="58">
        <v>1</v>
      </c>
      <c r="E181" s="58" t="s">
        <v>1085</v>
      </c>
      <c r="F181" s="48"/>
      <c r="G181" s="49"/>
      <c r="H181" s="50" t="s">
        <v>1108</v>
      </c>
      <c r="I181" s="51">
        <f>SUM(I179:I180)</f>
        <v>239.6</v>
      </c>
      <c r="J181" s="48"/>
      <c r="K181" s="49"/>
      <c r="L181" s="29"/>
      <c r="M181" s="50" t="s">
        <v>1108</v>
      </c>
      <c r="N181" s="52">
        <f>SUM(N179:N180)</f>
        <v>108.47999999999999</v>
      </c>
      <c r="O181" s="52">
        <f>N181+I181</f>
        <v>348.08</v>
      </c>
      <c r="P181" s="52">
        <f t="shared" si="3"/>
        <v>52.211999999999996</v>
      </c>
      <c r="Q181" s="52">
        <f>P181+O181</f>
        <v>400.29199999999997</v>
      </c>
      <c r="R181" s="255">
        <f>ROUND((Q181/D181),2)</f>
        <v>400.29</v>
      </c>
    </row>
    <row r="182" spans="1:18" ht="13.5" customHeight="1">
      <c r="A182" s="33">
        <v>46</v>
      </c>
      <c r="B182" s="124" t="s">
        <v>299</v>
      </c>
      <c r="C182" s="37" t="s">
        <v>300</v>
      </c>
      <c r="D182" s="60"/>
      <c r="E182" s="34"/>
      <c r="F182" s="37" t="s">
        <v>289</v>
      </c>
      <c r="G182" s="61">
        <v>0.03</v>
      </c>
      <c r="H182" s="159">
        <f>'Ext. Mat_3'!$H$73</f>
        <v>1330</v>
      </c>
      <c r="I182" s="61">
        <f>H182*G182</f>
        <v>39.9</v>
      </c>
      <c r="J182" s="37" t="s">
        <v>301</v>
      </c>
      <c r="K182" s="90">
        <v>0.12</v>
      </c>
      <c r="L182" s="36" t="s">
        <v>295</v>
      </c>
      <c r="M182" s="40">
        <f>'Ext. Mat_3'!$H$20</f>
        <v>249.73</v>
      </c>
      <c r="N182" s="80">
        <f>M182*K182</f>
        <v>29.967599999999997</v>
      </c>
      <c r="O182" s="80"/>
      <c r="P182" s="52">
        <f t="shared" si="3"/>
        <v>0</v>
      </c>
      <c r="Q182" s="80"/>
      <c r="R182" s="256"/>
    </row>
    <row r="183" spans="1:18" ht="13.5" customHeight="1">
      <c r="A183" s="37"/>
      <c r="B183" s="37"/>
      <c r="C183" s="37"/>
      <c r="D183" s="60"/>
      <c r="E183" s="34"/>
      <c r="F183" s="37" t="s">
        <v>130</v>
      </c>
      <c r="G183" s="61">
        <v>0.02</v>
      </c>
      <c r="H183" s="40">
        <f>'Ext. Mat_3'!$H$72</f>
        <v>1000</v>
      </c>
      <c r="I183" s="41">
        <f>H183*G183</f>
        <v>20</v>
      </c>
      <c r="J183" s="44"/>
      <c r="K183" s="62"/>
      <c r="L183" s="43"/>
      <c r="M183" s="44"/>
      <c r="N183" s="63"/>
      <c r="O183" s="63"/>
      <c r="P183" s="52">
        <f t="shared" si="3"/>
        <v>0</v>
      </c>
      <c r="Q183" s="63"/>
      <c r="R183" s="269"/>
    </row>
    <row r="184" spans="1:18" ht="13.5" customHeight="1">
      <c r="A184" s="44"/>
      <c r="B184" s="44"/>
      <c r="C184" s="44"/>
      <c r="D184" s="58">
        <v>1</v>
      </c>
      <c r="E184" s="58" t="s">
        <v>1085</v>
      </c>
      <c r="F184" s="48"/>
      <c r="G184" s="49"/>
      <c r="H184" s="50" t="s">
        <v>1108</v>
      </c>
      <c r="I184" s="51">
        <f>SUM(I182:I183)</f>
        <v>59.9</v>
      </c>
      <c r="J184" s="48"/>
      <c r="K184" s="49"/>
      <c r="L184" s="29"/>
      <c r="M184" s="50" t="s">
        <v>1108</v>
      </c>
      <c r="N184" s="52">
        <f>SUM(N182:N183)</f>
        <v>29.967599999999997</v>
      </c>
      <c r="O184" s="52">
        <f>N184+I184</f>
        <v>89.867599999999996</v>
      </c>
      <c r="P184" s="52">
        <f t="shared" si="3"/>
        <v>13.480139999999999</v>
      </c>
      <c r="Q184" s="52">
        <f>P184+O184</f>
        <v>103.34773999999999</v>
      </c>
      <c r="R184" s="255">
        <f>ROUND((Q184/D184),2)</f>
        <v>103.35</v>
      </c>
    </row>
    <row r="185" spans="1:18" ht="13.5" customHeight="1">
      <c r="A185" s="37">
        <v>47</v>
      </c>
      <c r="B185" s="37"/>
      <c r="C185" s="37" t="s">
        <v>302</v>
      </c>
      <c r="D185" s="60"/>
      <c r="E185" s="34"/>
      <c r="F185" s="37" t="s">
        <v>175</v>
      </c>
      <c r="G185" s="61">
        <v>0.06</v>
      </c>
      <c r="H185" s="40">
        <f>'Ext. Mat_3'!$H$71</f>
        <v>1330</v>
      </c>
      <c r="I185" s="61">
        <f>H185*G185</f>
        <v>79.8</v>
      </c>
      <c r="J185" s="37" t="s">
        <v>303</v>
      </c>
      <c r="K185" s="90">
        <v>1</v>
      </c>
      <c r="L185" s="36" t="s">
        <v>1085</v>
      </c>
      <c r="M185" s="40">
        <f>'Ext. Mat_3'!$H$19</f>
        <v>33</v>
      </c>
      <c r="N185" s="80">
        <f>M185*K185</f>
        <v>33</v>
      </c>
      <c r="O185" s="80"/>
      <c r="P185" s="52">
        <f t="shared" si="3"/>
        <v>0</v>
      </c>
      <c r="Q185" s="80"/>
      <c r="R185" s="256"/>
    </row>
    <row r="186" spans="1:18" ht="13.5" customHeight="1">
      <c r="A186" s="37"/>
      <c r="B186" s="37"/>
      <c r="C186" s="37" t="s">
        <v>304</v>
      </c>
      <c r="D186" s="60"/>
      <c r="E186" s="34"/>
      <c r="F186" s="37" t="s">
        <v>130</v>
      </c>
      <c r="G186" s="61">
        <v>0.06</v>
      </c>
      <c r="H186" s="40">
        <f>'Ext. Mat_3'!$H$72</f>
        <v>1000</v>
      </c>
      <c r="I186" s="41">
        <f>H186*G186</f>
        <v>60</v>
      </c>
      <c r="J186" s="175" t="s">
        <v>305</v>
      </c>
      <c r="K186" s="62"/>
      <c r="L186" s="43"/>
      <c r="M186" s="44"/>
      <c r="N186" s="63"/>
      <c r="O186" s="63"/>
      <c r="P186" s="52">
        <f t="shared" si="3"/>
        <v>0</v>
      </c>
      <c r="Q186" s="63"/>
      <c r="R186" s="269"/>
    </row>
    <row r="187" spans="1:18" ht="13.5" customHeight="1">
      <c r="A187" s="44"/>
      <c r="B187" s="44"/>
      <c r="C187" s="44" t="s">
        <v>306</v>
      </c>
      <c r="D187" s="58">
        <v>1</v>
      </c>
      <c r="E187" s="58" t="s">
        <v>1085</v>
      </c>
      <c r="F187" s="48"/>
      <c r="G187" s="49"/>
      <c r="H187" s="50" t="s">
        <v>1108</v>
      </c>
      <c r="I187" s="51">
        <f>SUM(I185:I186)</f>
        <v>139.80000000000001</v>
      </c>
      <c r="J187" s="48"/>
      <c r="K187" s="49"/>
      <c r="L187" s="29"/>
      <c r="M187" s="50" t="s">
        <v>1108</v>
      </c>
      <c r="N187" s="52">
        <f>SUM(N185:N186)</f>
        <v>33</v>
      </c>
      <c r="O187" s="52">
        <f>N187+I187</f>
        <v>172.8</v>
      </c>
      <c r="P187" s="52">
        <f t="shared" si="3"/>
        <v>25.92</v>
      </c>
      <c r="Q187" s="52">
        <f>P187+O187</f>
        <v>198.72000000000003</v>
      </c>
      <c r="R187" s="255">
        <f>ROUND((Q187/D187),2)</f>
        <v>198.72</v>
      </c>
    </row>
    <row r="188" spans="1:18" ht="13.5" customHeight="1">
      <c r="A188" s="37">
        <v>48</v>
      </c>
      <c r="B188" s="176" t="s">
        <v>307</v>
      </c>
      <c r="C188" s="37" t="s">
        <v>308</v>
      </c>
      <c r="D188" s="60"/>
      <c r="E188" s="34"/>
      <c r="F188" s="37" t="s">
        <v>175</v>
      </c>
      <c r="G188" s="177">
        <v>0.11</v>
      </c>
      <c r="H188" s="40">
        <f>'Ext. Mat_3'!$H$71</f>
        <v>1330</v>
      </c>
      <c r="I188" s="61">
        <f>H188*G188</f>
        <v>146.30000000000001</v>
      </c>
      <c r="J188" s="37" t="s">
        <v>309</v>
      </c>
      <c r="K188" s="90">
        <v>1.1000000000000001</v>
      </c>
      <c r="L188" s="37" t="s">
        <v>1182</v>
      </c>
      <c r="M188" s="40">
        <f>'Ext. Mat_3'!$H$53</f>
        <v>270</v>
      </c>
      <c r="N188" s="80">
        <f>M188*K188</f>
        <v>297</v>
      </c>
      <c r="O188" s="80"/>
      <c r="P188" s="52">
        <f t="shared" si="3"/>
        <v>0</v>
      </c>
      <c r="Q188" s="80"/>
      <c r="R188" s="256"/>
    </row>
    <row r="189" spans="1:18" ht="13.5" customHeight="1">
      <c r="A189" s="37"/>
      <c r="B189" s="176" t="s">
        <v>310</v>
      </c>
      <c r="C189" s="37" t="s">
        <v>311</v>
      </c>
      <c r="D189" s="60"/>
      <c r="E189" s="34"/>
      <c r="F189" s="37" t="s">
        <v>130</v>
      </c>
      <c r="G189" s="177">
        <v>0.35</v>
      </c>
      <c r="H189" s="40">
        <f>'Ext. Mat_3'!$H$72</f>
        <v>1000</v>
      </c>
      <c r="I189" s="41">
        <f>H189*G189</f>
        <v>350</v>
      </c>
      <c r="J189" s="37" t="s">
        <v>312</v>
      </c>
      <c r="K189" s="90">
        <v>1.5</v>
      </c>
      <c r="L189" s="37" t="s">
        <v>192</v>
      </c>
      <c r="M189" s="40">
        <f>'Ext. Mat_3'!$H$54</f>
        <v>30</v>
      </c>
      <c r="N189" s="80"/>
      <c r="O189" s="80"/>
      <c r="P189" s="52">
        <f t="shared" si="3"/>
        <v>0</v>
      </c>
      <c r="Q189" s="80"/>
      <c r="R189" s="256"/>
    </row>
    <row r="190" spans="1:18" ht="13.5" customHeight="1">
      <c r="A190" s="37"/>
      <c r="B190" s="176"/>
      <c r="C190" s="60"/>
      <c r="D190" s="60"/>
      <c r="E190" s="34"/>
      <c r="F190" s="37"/>
      <c r="G190" s="177"/>
      <c r="H190" s="40"/>
      <c r="I190" s="61"/>
      <c r="J190" s="37" t="s">
        <v>313</v>
      </c>
      <c r="K190" s="90">
        <v>6</v>
      </c>
      <c r="L190" s="37" t="s">
        <v>192</v>
      </c>
      <c r="M190" s="40">
        <f>'Ext. Mat_3'!$H$55</f>
        <v>3</v>
      </c>
      <c r="N190" s="80"/>
      <c r="O190" s="80"/>
      <c r="P190" s="52">
        <f t="shared" si="3"/>
        <v>0</v>
      </c>
      <c r="Q190" s="80"/>
      <c r="R190" s="256"/>
    </row>
    <row r="191" spans="1:18" ht="13.5" customHeight="1">
      <c r="A191" s="37"/>
      <c r="B191" s="176"/>
      <c r="C191" s="176"/>
      <c r="D191" s="60"/>
      <c r="E191" s="34"/>
      <c r="F191" s="37"/>
      <c r="G191" s="177"/>
      <c r="H191" s="40"/>
      <c r="I191" s="41"/>
      <c r="J191" s="37" t="s">
        <v>314</v>
      </c>
      <c r="K191" s="90">
        <v>3.1E-2</v>
      </c>
      <c r="L191" s="37" t="s">
        <v>1174</v>
      </c>
      <c r="M191" s="40">
        <f>'Ext. Mat_3'!$H$66</f>
        <v>3387.6</v>
      </c>
      <c r="N191" s="63"/>
      <c r="O191" s="63"/>
      <c r="P191" s="52">
        <f t="shared" si="3"/>
        <v>0</v>
      </c>
      <c r="Q191" s="63"/>
      <c r="R191" s="269"/>
    </row>
    <row r="192" spans="1:18" ht="13.5" customHeight="1">
      <c r="A192" s="37"/>
      <c r="B192" s="37"/>
      <c r="C192" s="37"/>
      <c r="D192" s="60">
        <v>1</v>
      </c>
      <c r="E192" s="60" t="s">
        <v>1085</v>
      </c>
      <c r="F192" s="100"/>
      <c r="G192" s="115"/>
      <c r="H192" s="107" t="s">
        <v>1108</v>
      </c>
      <c r="I192" s="114">
        <f>SUM(I188:I191)</f>
        <v>496.3</v>
      </c>
      <c r="J192" s="100"/>
      <c r="K192" s="115"/>
      <c r="L192" s="116"/>
      <c r="M192" s="107" t="s">
        <v>1108</v>
      </c>
      <c r="N192" s="81">
        <f>SUM(N188:N191)</f>
        <v>297</v>
      </c>
      <c r="O192" s="81">
        <f>N192+I192</f>
        <v>793.3</v>
      </c>
      <c r="P192" s="52">
        <f t="shared" si="3"/>
        <v>118.99499999999999</v>
      </c>
      <c r="Q192" s="81">
        <f>P192+O192</f>
        <v>912.29499999999996</v>
      </c>
      <c r="R192" s="255">
        <f>ROUND((Q192/D192),2)</f>
        <v>912.3</v>
      </c>
    </row>
    <row r="193" spans="1:18" ht="13.5" customHeight="1">
      <c r="A193" s="122"/>
      <c r="B193" s="83">
        <v>12</v>
      </c>
      <c r="C193" s="83" t="s">
        <v>315</v>
      </c>
      <c r="D193" s="123"/>
      <c r="E193" s="123"/>
      <c r="F193" s="123"/>
      <c r="G193" s="178"/>
      <c r="H193" s="123"/>
      <c r="I193" s="178"/>
      <c r="J193" s="123"/>
      <c r="K193" s="123"/>
      <c r="L193" s="123"/>
      <c r="M193" s="123"/>
      <c r="N193" s="123"/>
      <c r="O193" s="123"/>
      <c r="P193" s="52">
        <f t="shared" si="3"/>
        <v>0</v>
      </c>
      <c r="Q193" s="123"/>
      <c r="R193" s="272"/>
    </row>
    <row r="194" spans="1:18" ht="13.5" customHeight="1">
      <c r="A194" s="37">
        <v>49</v>
      </c>
      <c r="B194" s="101" t="s">
        <v>316</v>
      </c>
      <c r="C194" s="37" t="s">
        <v>317</v>
      </c>
      <c r="D194" s="60"/>
      <c r="E194" s="34"/>
      <c r="F194" s="37" t="s">
        <v>175</v>
      </c>
      <c r="G194" s="61">
        <v>0.5</v>
      </c>
      <c r="H194" s="40">
        <f>'Ext. Mat_3'!$H$71</f>
        <v>1330</v>
      </c>
      <c r="I194" s="61">
        <f>H194*G194</f>
        <v>665</v>
      </c>
      <c r="J194" s="37" t="s">
        <v>199</v>
      </c>
      <c r="K194" s="90">
        <v>28.4</v>
      </c>
      <c r="L194" s="36" t="s">
        <v>192</v>
      </c>
      <c r="M194" s="40">
        <f>'Ext. Mat_3'!$H$10</f>
        <v>117</v>
      </c>
      <c r="N194" s="80">
        <f>M194*K194</f>
        <v>3322.7999999999997</v>
      </c>
      <c r="O194" s="80"/>
      <c r="P194" s="52">
        <f t="shared" si="3"/>
        <v>0</v>
      </c>
      <c r="Q194" s="80"/>
      <c r="R194" s="256"/>
    </row>
    <row r="195" spans="1:18" ht="13.5" customHeight="1">
      <c r="A195" s="37"/>
      <c r="B195" s="37"/>
      <c r="C195" s="31" t="s">
        <v>318</v>
      </c>
      <c r="D195" s="179"/>
      <c r="E195" s="34"/>
      <c r="F195" s="37" t="s">
        <v>130</v>
      </c>
      <c r="G195" s="61">
        <v>0.2</v>
      </c>
      <c r="H195" s="40">
        <f>'Ext. Mat_3'!$H$72</f>
        <v>1000</v>
      </c>
      <c r="I195" s="61">
        <f>H195*G195</f>
        <v>200</v>
      </c>
      <c r="J195" s="37" t="s">
        <v>319</v>
      </c>
      <c r="K195" s="90">
        <v>3.15</v>
      </c>
      <c r="L195" s="36" t="s">
        <v>192</v>
      </c>
      <c r="M195" s="40">
        <f>'Ext. Mat_3'!$H$11</f>
        <v>92</v>
      </c>
      <c r="N195" s="80">
        <f>M195*K195</f>
        <v>289.8</v>
      </c>
      <c r="O195" s="80"/>
      <c r="P195" s="52">
        <f t="shared" si="3"/>
        <v>0</v>
      </c>
      <c r="Q195" s="80"/>
      <c r="R195" s="256"/>
    </row>
    <row r="196" spans="1:18" ht="14.25" customHeight="1">
      <c r="A196" s="44"/>
      <c r="B196" s="44"/>
      <c r="C196" s="45" t="s">
        <v>320</v>
      </c>
      <c r="D196" s="171">
        <v>2</v>
      </c>
      <c r="E196" s="58" t="s">
        <v>1084</v>
      </c>
      <c r="F196" s="48"/>
      <c r="G196" s="49"/>
      <c r="H196" s="50" t="s">
        <v>1108</v>
      </c>
      <c r="I196" s="121">
        <f>SUM(I194:I195)</f>
        <v>865</v>
      </c>
      <c r="J196" s="48"/>
      <c r="K196" s="49"/>
      <c r="L196" s="29"/>
      <c r="M196" s="50" t="s">
        <v>1108</v>
      </c>
      <c r="N196" s="64">
        <f>SUM(N194:N195)</f>
        <v>3612.6</v>
      </c>
      <c r="O196" s="64">
        <f>N196+I196</f>
        <v>4477.6000000000004</v>
      </c>
      <c r="P196" s="52">
        <f t="shared" si="3"/>
        <v>671.64</v>
      </c>
      <c r="Q196" s="64">
        <f>P196+O196</f>
        <v>5149.2400000000007</v>
      </c>
      <c r="R196" s="255">
        <f>ROUND((Q196/D196),2)</f>
        <v>2574.62</v>
      </c>
    </row>
    <row r="197" spans="1:18" ht="13.5" customHeight="1">
      <c r="A197" s="37">
        <v>50</v>
      </c>
      <c r="B197" s="101" t="s">
        <v>316</v>
      </c>
      <c r="C197" s="37" t="s">
        <v>317</v>
      </c>
      <c r="D197" s="60"/>
      <c r="E197" s="34"/>
      <c r="F197" s="37" t="s">
        <v>175</v>
      </c>
      <c r="G197" s="61">
        <v>0.7</v>
      </c>
      <c r="H197" s="40">
        <f>'Ext. Mat_3'!$H$71</f>
        <v>1330</v>
      </c>
      <c r="I197" s="61">
        <f>H197*G197</f>
        <v>930.99999999999989</v>
      </c>
      <c r="J197" s="37" t="s">
        <v>199</v>
      </c>
      <c r="K197" s="90">
        <v>41.3</v>
      </c>
      <c r="L197" s="36" t="s">
        <v>192</v>
      </c>
      <c r="M197" s="40">
        <f>'Ext. Mat_3'!$H$10</f>
        <v>117</v>
      </c>
      <c r="N197" s="80">
        <f>M197*K197</f>
        <v>4832.0999999999995</v>
      </c>
      <c r="O197" s="80"/>
      <c r="P197" s="52">
        <f t="shared" si="3"/>
        <v>0</v>
      </c>
      <c r="Q197" s="80"/>
      <c r="R197" s="256"/>
    </row>
    <row r="198" spans="1:18" ht="13.5" customHeight="1">
      <c r="A198" s="37"/>
      <c r="B198" s="37"/>
      <c r="C198" s="31" t="s">
        <v>318</v>
      </c>
      <c r="D198" s="179"/>
      <c r="E198" s="34"/>
      <c r="F198" s="37" t="s">
        <v>130</v>
      </c>
      <c r="G198" s="61">
        <v>0.28000000000000003</v>
      </c>
      <c r="H198" s="40">
        <f>'Ext. Mat_3'!$H$72</f>
        <v>1000</v>
      </c>
      <c r="I198" s="61">
        <f>H198*G198</f>
        <v>280</v>
      </c>
      <c r="J198" s="37" t="s">
        <v>319</v>
      </c>
      <c r="K198" s="90">
        <v>4.0999999999999996</v>
      </c>
      <c r="L198" s="36" t="s">
        <v>192</v>
      </c>
      <c r="M198" s="40">
        <f>'Ext. Mat_3'!$H$11</f>
        <v>92</v>
      </c>
      <c r="N198" s="80">
        <f>M198*K198</f>
        <v>377.2</v>
      </c>
      <c r="O198" s="80"/>
      <c r="P198" s="52">
        <f t="shared" si="3"/>
        <v>0</v>
      </c>
      <c r="Q198" s="80"/>
      <c r="R198" s="256"/>
    </row>
    <row r="199" spans="1:18" ht="14.25" customHeight="1">
      <c r="A199" s="44"/>
      <c r="B199" s="44"/>
      <c r="C199" s="45" t="s">
        <v>321</v>
      </c>
      <c r="D199" s="171">
        <v>3</v>
      </c>
      <c r="E199" s="58" t="s">
        <v>1084</v>
      </c>
      <c r="F199" s="48"/>
      <c r="G199" s="49"/>
      <c r="H199" s="50" t="s">
        <v>1108</v>
      </c>
      <c r="I199" s="121">
        <f>SUM(I197:I198)</f>
        <v>1211</v>
      </c>
      <c r="J199" s="48"/>
      <c r="K199" s="49"/>
      <c r="L199" s="29"/>
      <c r="M199" s="50" t="s">
        <v>1108</v>
      </c>
      <c r="N199" s="64">
        <f>SUM(N197:N198)</f>
        <v>5209.2999999999993</v>
      </c>
      <c r="O199" s="64">
        <f>N199+I199</f>
        <v>6420.2999999999993</v>
      </c>
      <c r="P199" s="52">
        <f t="shared" si="3"/>
        <v>963.04499999999985</v>
      </c>
      <c r="Q199" s="64">
        <f>P199+O199</f>
        <v>7383.3449999999993</v>
      </c>
      <c r="R199" s="255">
        <f>ROUND((Q199/D199),2)</f>
        <v>2461.12</v>
      </c>
    </row>
    <row r="200" spans="1:18" ht="13.5" customHeight="1">
      <c r="A200" s="33">
        <v>51</v>
      </c>
      <c r="B200" s="101" t="s">
        <v>322</v>
      </c>
      <c r="C200" s="33" t="s">
        <v>323</v>
      </c>
      <c r="D200" s="33">
        <v>1</v>
      </c>
      <c r="E200" s="34" t="s">
        <v>1084</v>
      </c>
      <c r="F200" s="34" t="s">
        <v>130</v>
      </c>
      <c r="G200" s="61">
        <v>0.5</v>
      </c>
      <c r="H200" s="40">
        <f>'Ext. Mat_3'!$H$72</f>
        <v>1000</v>
      </c>
      <c r="I200" s="61">
        <f>H200*G200</f>
        <v>500</v>
      </c>
      <c r="J200" s="37" t="s">
        <v>324</v>
      </c>
      <c r="K200" s="61">
        <v>1.1000000000000001</v>
      </c>
      <c r="L200" s="36" t="s">
        <v>1084</v>
      </c>
      <c r="M200" s="40">
        <f>'Ext. Mat_3'!$H$62</f>
        <v>2752.43</v>
      </c>
      <c r="N200" s="81">
        <f>M200*K200</f>
        <v>3027.6730000000002</v>
      </c>
      <c r="O200" s="81">
        <f>N200+I200</f>
        <v>3527.6730000000002</v>
      </c>
      <c r="P200" s="52">
        <f t="shared" si="3"/>
        <v>529.15094999999997</v>
      </c>
      <c r="Q200" s="81">
        <f>P200+O200</f>
        <v>4056.82395</v>
      </c>
      <c r="R200" s="255">
        <f>ROUND((Q200/D200),2)</f>
        <v>4056.82</v>
      </c>
    </row>
    <row r="201" spans="1:18" ht="13.5" customHeight="1">
      <c r="A201" s="46"/>
      <c r="B201" s="44"/>
      <c r="C201" s="46" t="s">
        <v>325</v>
      </c>
      <c r="D201" s="46"/>
      <c r="E201" s="47"/>
      <c r="F201" s="47"/>
      <c r="G201" s="41"/>
      <c r="H201" s="70"/>
      <c r="I201" s="41"/>
      <c r="J201" s="44"/>
      <c r="K201" s="41"/>
      <c r="L201" s="43"/>
      <c r="M201" s="70"/>
      <c r="N201" s="63"/>
      <c r="O201" s="63"/>
      <c r="P201" s="52">
        <f t="shared" si="3"/>
        <v>0</v>
      </c>
      <c r="Q201" s="63"/>
      <c r="R201" s="269"/>
    </row>
    <row r="202" spans="1:18" ht="13.5" customHeight="1">
      <c r="A202" s="82"/>
      <c r="B202" s="83">
        <v>13</v>
      </c>
      <c r="C202" s="83" t="s">
        <v>326</v>
      </c>
      <c r="D202" s="67"/>
      <c r="E202" s="67"/>
      <c r="F202" s="67"/>
      <c r="G202" s="84"/>
      <c r="H202" s="85"/>
      <c r="I202" s="84"/>
      <c r="J202" s="67"/>
      <c r="K202" s="84"/>
      <c r="L202" s="180"/>
      <c r="M202" s="85"/>
      <c r="N202" s="86"/>
      <c r="O202" s="86"/>
      <c r="P202" s="52">
        <f t="shared" si="3"/>
        <v>0</v>
      </c>
      <c r="Q202" s="86"/>
      <c r="R202" s="276"/>
    </row>
    <row r="203" spans="1:18" ht="13.5" customHeight="1">
      <c r="A203" s="37">
        <v>52</v>
      </c>
      <c r="B203" s="37" t="s">
        <v>327</v>
      </c>
      <c r="C203" s="37" t="s">
        <v>328</v>
      </c>
      <c r="D203" s="60"/>
      <c r="E203" s="34"/>
      <c r="F203" s="37" t="s">
        <v>329</v>
      </c>
      <c r="G203" s="61">
        <v>1</v>
      </c>
      <c r="H203" s="159">
        <f>'Ext. Mat_3'!$H$75</f>
        <v>1330</v>
      </c>
      <c r="I203" s="61">
        <f>H203*G203</f>
        <v>1330</v>
      </c>
      <c r="J203" s="33" t="s">
        <v>138</v>
      </c>
      <c r="K203" s="90"/>
      <c r="L203" s="36"/>
      <c r="M203" s="37"/>
      <c r="N203" s="80">
        <f>$I$206*0.03</f>
        <v>129.9</v>
      </c>
      <c r="O203" s="80"/>
      <c r="P203" s="52">
        <f t="shared" si="3"/>
        <v>0</v>
      </c>
      <c r="Q203" s="80"/>
      <c r="R203" s="256"/>
    </row>
    <row r="204" spans="1:18" ht="13.5" customHeight="1">
      <c r="A204" s="37"/>
      <c r="B204" s="37"/>
      <c r="C204" s="37" t="s">
        <v>177</v>
      </c>
      <c r="D204" s="60"/>
      <c r="E204" s="34"/>
      <c r="F204" s="37" t="s">
        <v>220</v>
      </c>
      <c r="G204" s="61">
        <v>1</v>
      </c>
      <c r="H204" s="159">
        <f>'Ext. Mat_3'!$H$76</f>
        <v>1000</v>
      </c>
      <c r="I204" s="61">
        <f>H204*G204</f>
        <v>1000</v>
      </c>
      <c r="J204" s="37" t="s">
        <v>330</v>
      </c>
      <c r="K204" s="90"/>
      <c r="L204" s="36"/>
      <c r="M204" s="37"/>
      <c r="N204" s="80">
        <f>$I$206*2.5/100</f>
        <v>108.25</v>
      </c>
      <c r="O204" s="80"/>
      <c r="P204" s="52">
        <f t="shared" si="3"/>
        <v>0</v>
      </c>
      <c r="Q204" s="80"/>
      <c r="R204" s="256"/>
    </row>
    <row r="205" spans="1:18" ht="13.5" customHeight="1">
      <c r="A205" s="37"/>
      <c r="B205" s="37"/>
      <c r="C205" s="37"/>
      <c r="D205" s="60"/>
      <c r="E205" s="34"/>
      <c r="F205" s="37" t="s">
        <v>122</v>
      </c>
      <c r="G205" s="61">
        <v>2</v>
      </c>
      <c r="H205" s="40">
        <f>'Ext. Mat_3'!$H$72</f>
        <v>1000</v>
      </c>
      <c r="I205" s="41">
        <f>H205*G205</f>
        <v>2000</v>
      </c>
      <c r="J205" s="44" t="s">
        <v>331</v>
      </c>
      <c r="K205" s="62">
        <v>0.25</v>
      </c>
      <c r="L205" s="43" t="s">
        <v>332</v>
      </c>
      <c r="M205" s="70">
        <f>'Ext. Mat_3'!$H$23</f>
        <v>174.33628318584073</v>
      </c>
      <c r="N205" s="63">
        <f>M205*K205</f>
        <v>43.584070796460182</v>
      </c>
      <c r="O205" s="63"/>
      <c r="P205" s="52">
        <f t="shared" si="3"/>
        <v>0</v>
      </c>
      <c r="Q205" s="63"/>
      <c r="R205" s="269"/>
    </row>
    <row r="206" spans="1:18" ht="13.5" customHeight="1">
      <c r="A206" s="44"/>
      <c r="B206" s="44"/>
      <c r="C206" s="44"/>
      <c r="D206" s="252">
        <v>1000</v>
      </c>
      <c r="E206" s="58" t="s">
        <v>965</v>
      </c>
      <c r="F206" s="48"/>
      <c r="G206" s="49"/>
      <c r="H206" s="50" t="s">
        <v>1108</v>
      </c>
      <c r="I206" s="51">
        <f>SUM(I203:I205)</f>
        <v>4330</v>
      </c>
      <c r="J206" s="48"/>
      <c r="K206" s="49"/>
      <c r="L206" s="29"/>
      <c r="M206" s="50" t="s">
        <v>1108</v>
      </c>
      <c r="N206" s="52">
        <f>SUM(N203:N205)</f>
        <v>281.73407079646017</v>
      </c>
      <c r="O206" s="52">
        <f>N206+I206</f>
        <v>4611.7340707964604</v>
      </c>
      <c r="P206" s="52">
        <f t="shared" ref="P206:P269" si="4">0.15*O206</f>
        <v>691.76011061946906</v>
      </c>
      <c r="Q206" s="52">
        <f>P206+O206</f>
        <v>5303.4941814159292</v>
      </c>
      <c r="R206" s="255">
        <f>ROUND((Q206/D206),2)</f>
        <v>5.3</v>
      </c>
    </row>
    <row r="207" spans="1:18" ht="13.5" customHeight="1">
      <c r="A207" s="37">
        <v>53</v>
      </c>
      <c r="B207" s="37" t="s">
        <v>327</v>
      </c>
      <c r="C207" s="37" t="s">
        <v>328</v>
      </c>
      <c r="D207" s="60"/>
      <c r="E207" s="34"/>
      <c r="F207" s="37" t="s">
        <v>329</v>
      </c>
      <c r="G207" s="61">
        <v>1</v>
      </c>
      <c r="H207" s="159">
        <f>'Ext. Mat_3'!$H$75</f>
        <v>1330</v>
      </c>
      <c r="I207" s="61">
        <f>H207*G207</f>
        <v>1330</v>
      </c>
      <c r="J207" s="33" t="s">
        <v>138</v>
      </c>
      <c r="K207" s="90"/>
      <c r="L207" s="36"/>
      <c r="M207" s="37"/>
      <c r="N207" s="80">
        <f>$I$210*0.03</f>
        <v>159.9</v>
      </c>
      <c r="O207" s="80"/>
      <c r="P207" s="52">
        <f t="shared" si="4"/>
        <v>0</v>
      </c>
      <c r="Q207" s="80"/>
      <c r="R207" s="256"/>
    </row>
    <row r="208" spans="1:18" ht="13.5" customHeight="1">
      <c r="A208" s="37"/>
      <c r="B208" s="37"/>
      <c r="C208" s="37" t="s">
        <v>333</v>
      </c>
      <c r="D208" s="60"/>
      <c r="E208" s="34"/>
      <c r="F208" s="37" t="s">
        <v>220</v>
      </c>
      <c r="G208" s="61">
        <v>1</v>
      </c>
      <c r="H208" s="159">
        <f>'Ext. Mat_3'!$H$76</f>
        <v>1000</v>
      </c>
      <c r="I208" s="61">
        <f>H208*G208</f>
        <v>1000</v>
      </c>
      <c r="J208" s="37" t="s">
        <v>330</v>
      </c>
      <c r="K208" s="90"/>
      <c r="L208" s="36"/>
      <c r="M208" s="37"/>
      <c r="N208" s="80">
        <f>$I$210*0.03</f>
        <v>159.9</v>
      </c>
      <c r="O208" s="80"/>
      <c r="P208" s="52">
        <f t="shared" si="4"/>
        <v>0</v>
      </c>
      <c r="Q208" s="80"/>
      <c r="R208" s="256"/>
    </row>
    <row r="209" spans="1:18" ht="13.5" customHeight="1">
      <c r="A209" s="37"/>
      <c r="B209" s="37"/>
      <c r="C209" s="37"/>
      <c r="D209" s="60"/>
      <c r="E209" s="34"/>
      <c r="F209" s="37" t="s">
        <v>122</v>
      </c>
      <c r="G209" s="61">
        <v>3</v>
      </c>
      <c r="H209" s="40">
        <f>'Ext. Mat_3'!$H$72</f>
        <v>1000</v>
      </c>
      <c r="I209" s="41">
        <f>H209*G209</f>
        <v>3000</v>
      </c>
      <c r="J209" s="44" t="s">
        <v>331</v>
      </c>
      <c r="K209" s="62">
        <v>0.25</v>
      </c>
      <c r="L209" s="43" t="s">
        <v>332</v>
      </c>
      <c r="M209" s="70">
        <f>'Ext. Mat_3'!$H$23</f>
        <v>174.33628318584073</v>
      </c>
      <c r="N209" s="63">
        <f>M209*K209</f>
        <v>43.584070796460182</v>
      </c>
      <c r="O209" s="63"/>
      <c r="P209" s="52">
        <f t="shared" si="4"/>
        <v>0</v>
      </c>
      <c r="Q209" s="63"/>
      <c r="R209" s="269"/>
    </row>
    <row r="210" spans="1:18" ht="13.5" customHeight="1">
      <c r="A210" s="44"/>
      <c r="B210" s="44"/>
      <c r="C210" s="44"/>
      <c r="D210" s="252">
        <v>1000</v>
      </c>
      <c r="E210" s="58" t="s">
        <v>965</v>
      </c>
      <c r="F210" s="48"/>
      <c r="G210" s="49"/>
      <c r="H210" s="50" t="s">
        <v>1108</v>
      </c>
      <c r="I210" s="51">
        <f>SUM(I207:I209)</f>
        <v>5330</v>
      </c>
      <c r="J210" s="48"/>
      <c r="K210" s="49"/>
      <c r="L210" s="29"/>
      <c r="M210" s="50" t="s">
        <v>1108</v>
      </c>
      <c r="N210" s="52">
        <f>SUM(N207:N209)</f>
        <v>363.38407079646021</v>
      </c>
      <c r="O210" s="52">
        <f>N210+I210</f>
        <v>5693.38407079646</v>
      </c>
      <c r="P210" s="52">
        <f t="shared" si="4"/>
        <v>854.00761061946901</v>
      </c>
      <c r="Q210" s="52">
        <f>P210+O210</f>
        <v>6547.3916814159293</v>
      </c>
      <c r="R210" s="255">
        <f>ROUND((Q210/D210),2)</f>
        <v>6.55</v>
      </c>
    </row>
    <row r="211" spans="1:18" ht="13.5" customHeight="1">
      <c r="A211" s="37">
        <v>54</v>
      </c>
      <c r="B211" s="37" t="s">
        <v>327</v>
      </c>
      <c r="C211" s="37" t="s">
        <v>328</v>
      </c>
      <c r="D211" s="60"/>
      <c r="E211" s="34"/>
      <c r="F211" s="37" t="s">
        <v>329</v>
      </c>
      <c r="G211" s="61">
        <v>1.5</v>
      </c>
      <c r="H211" s="159">
        <f>'Ext. Mat_3'!$H$75</f>
        <v>1330</v>
      </c>
      <c r="I211" s="61">
        <f>H211*G211</f>
        <v>1995</v>
      </c>
      <c r="J211" s="125" t="s">
        <v>138</v>
      </c>
      <c r="K211" s="90"/>
      <c r="L211" s="36"/>
      <c r="M211" s="37"/>
      <c r="N211" s="80">
        <f>$I$214*0.03</f>
        <v>194.85</v>
      </c>
      <c r="O211" s="80"/>
      <c r="P211" s="52">
        <f t="shared" si="4"/>
        <v>0</v>
      </c>
      <c r="Q211" s="80"/>
      <c r="R211" s="256"/>
    </row>
    <row r="212" spans="1:18" ht="13.5" customHeight="1">
      <c r="A212" s="37"/>
      <c r="B212" s="37"/>
      <c r="C212" s="37" t="s">
        <v>334</v>
      </c>
      <c r="D212" s="60"/>
      <c r="E212" s="34"/>
      <c r="F212" s="37" t="s">
        <v>220</v>
      </c>
      <c r="G212" s="61">
        <v>1.5</v>
      </c>
      <c r="H212" s="159">
        <f>'Ext. Mat_3'!$H$76</f>
        <v>1000</v>
      </c>
      <c r="I212" s="61">
        <f>H212*G212</f>
        <v>1500</v>
      </c>
      <c r="J212" s="37" t="s">
        <v>330</v>
      </c>
      <c r="K212" s="90"/>
      <c r="L212" s="36"/>
      <c r="M212" s="37"/>
      <c r="N212" s="80">
        <f>$I$214*2.5/100</f>
        <v>162.375</v>
      </c>
      <c r="O212" s="80"/>
      <c r="P212" s="52">
        <f t="shared" si="4"/>
        <v>0</v>
      </c>
      <c r="Q212" s="80"/>
      <c r="R212" s="256"/>
    </row>
    <row r="213" spans="1:18" ht="13.5" customHeight="1">
      <c r="A213" s="37"/>
      <c r="B213" s="37"/>
      <c r="C213" s="37"/>
      <c r="D213" s="60"/>
      <c r="E213" s="34"/>
      <c r="F213" s="37" t="s">
        <v>122</v>
      </c>
      <c r="G213" s="61">
        <v>3</v>
      </c>
      <c r="H213" s="40">
        <f>'Ext. Mat_3'!$H$72</f>
        <v>1000</v>
      </c>
      <c r="I213" s="41">
        <f>H213*G213</f>
        <v>3000</v>
      </c>
      <c r="J213" s="44" t="s">
        <v>331</v>
      </c>
      <c r="K213" s="62">
        <v>0.37</v>
      </c>
      <c r="L213" s="43" t="s">
        <v>332</v>
      </c>
      <c r="M213" s="70">
        <f>'Ext. Mat_3'!$H$23</f>
        <v>174.33628318584073</v>
      </c>
      <c r="N213" s="63">
        <f>M213*K213</f>
        <v>64.504424778761063</v>
      </c>
      <c r="O213" s="63"/>
      <c r="P213" s="52">
        <f t="shared" si="4"/>
        <v>0</v>
      </c>
      <c r="Q213" s="63"/>
      <c r="R213" s="269"/>
    </row>
    <row r="214" spans="1:18" ht="13.5" customHeight="1">
      <c r="A214" s="44"/>
      <c r="B214" s="44"/>
      <c r="C214" s="44"/>
      <c r="D214" s="252">
        <v>1000</v>
      </c>
      <c r="E214" s="58" t="s">
        <v>965</v>
      </c>
      <c r="F214" s="48"/>
      <c r="G214" s="49"/>
      <c r="H214" s="50" t="s">
        <v>1108</v>
      </c>
      <c r="I214" s="51">
        <f>SUM(I211:I213)</f>
        <v>6495</v>
      </c>
      <c r="J214" s="48"/>
      <c r="K214" s="49"/>
      <c r="L214" s="29"/>
      <c r="M214" s="50" t="s">
        <v>1108</v>
      </c>
      <c r="N214" s="52">
        <f>SUM(N211:N213)</f>
        <v>421.72942477876109</v>
      </c>
      <c r="O214" s="52">
        <f>N214+I214</f>
        <v>6916.7294247787613</v>
      </c>
      <c r="P214" s="52">
        <f t="shared" si="4"/>
        <v>1037.5094137168142</v>
      </c>
      <c r="Q214" s="52">
        <f>P214+O214</f>
        <v>7954.2388384955757</v>
      </c>
      <c r="R214" s="255">
        <f>ROUND((Q214/D214),2)</f>
        <v>7.95</v>
      </c>
    </row>
    <row r="215" spans="1:18" ht="13.5" customHeight="1">
      <c r="A215" s="37">
        <v>55</v>
      </c>
      <c r="B215" s="37" t="s">
        <v>327</v>
      </c>
      <c r="C215" s="37" t="s">
        <v>328</v>
      </c>
      <c r="D215" s="60"/>
      <c r="E215" s="34"/>
      <c r="F215" s="37" t="s">
        <v>329</v>
      </c>
      <c r="G215" s="61">
        <v>1</v>
      </c>
      <c r="H215" s="159">
        <f>'Ext. Mat_3'!$H$75</f>
        <v>1330</v>
      </c>
      <c r="I215" s="61">
        <f>H215*G215</f>
        <v>1330</v>
      </c>
      <c r="J215" s="125" t="s">
        <v>138</v>
      </c>
      <c r="K215" s="90"/>
      <c r="L215" s="36"/>
      <c r="M215" s="37"/>
      <c r="N215" s="80">
        <f>$I$218*0.03</f>
        <v>129.9</v>
      </c>
      <c r="O215" s="80"/>
      <c r="P215" s="52">
        <f t="shared" si="4"/>
        <v>0</v>
      </c>
      <c r="Q215" s="80"/>
      <c r="R215" s="256"/>
    </row>
    <row r="216" spans="1:18" ht="13.5" customHeight="1">
      <c r="A216" s="37"/>
      <c r="B216" s="37"/>
      <c r="C216" s="37" t="s">
        <v>335</v>
      </c>
      <c r="D216" s="60"/>
      <c r="E216" s="34"/>
      <c r="F216" s="37" t="s">
        <v>220</v>
      </c>
      <c r="G216" s="61">
        <v>1</v>
      </c>
      <c r="H216" s="159">
        <f>'Ext. Mat_3'!$H$76</f>
        <v>1000</v>
      </c>
      <c r="I216" s="61">
        <f>H216*G216</f>
        <v>1000</v>
      </c>
      <c r="J216" s="37" t="s">
        <v>330</v>
      </c>
      <c r="K216" s="90"/>
      <c r="L216" s="36"/>
      <c r="M216" s="37"/>
      <c r="N216" s="80">
        <f>$I$218*2.5/100</f>
        <v>108.25</v>
      </c>
      <c r="O216" s="80"/>
      <c r="P216" s="52">
        <f t="shared" si="4"/>
        <v>0</v>
      </c>
      <c r="Q216" s="80"/>
      <c r="R216" s="256"/>
    </row>
    <row r="217" spans="1:18" ht="13.5" customHeight="1">
      <c r="A217" s="37"/>
      <c r="B217" s="37"/>
      <c r="C217" s="37"/>
      <c r="D217" s="60"/>
      <c r="E217" s="34"/>
      <c r="F217" s="37" t="s">
        <v>122</v>
      </c>
      <c r="G217" s="61">
        <v>2</v>
      </c>
      <c r="H217" s="40">
        <f>'Ext. Mat_3'!$H$72</f>
        <v>1000</v>
      </c>
      <c r="I217" s="61">
        <f>H217*G217</f>
        <v>2000</v>
      </c>
      <c r="J217" s="44" t="s">
        <v>331</v>
      </c>
      <c r="K217" s="62">
        <v>0.05</v>
      </c>
      <c r="L217" s="43" t="s">
        <v>332</v>
      </c>
      <c r="M217" s="70">
        <f>'Ext. Mat_3'!$H$23</f>
        <v>174.33628318584073</v>
      </c>
      <c r="N217" s="63">
        <f>M217*K217</f>
        <v>8.7168141592920367</v>
      </c>
      <c r="O217" s="63"/>
      <c r="P217" s="52">
        <f t="shared" si="4"/>
        <v>0</v>
      </c>
      <c r="Q217" s="63"/>
      <c r="R217" s="269"/>
    </row>
    <row r="218" spans="1:18" ht="13.5" customHeight="1">
      <c r="A218" s="44"/>
      <c r="B218" s="44"/>
      <c r="C218" s="44"/>
      <c r="D218" s="58">
        <v>50</v>
      </c>
      <c r="E218" s="58" t="s">
        <v>965</v>
      </c>
      <c r="F218" s="48"/>
      <c r="G218" s="49"/>
      <c r="H218" s="50" t="s">
        <v>1108</v>
      </c>
      <c r="I218" s="121">
        <f>SUM(I215:I217)</f>
        <v>4330</v>
      </c>
      <c r="J218" s="48"/>
      <c r="K218" s="49"/>
      <c r="L218" s="29"/>
      <c r="M218" s="50" t="s">
        <v>1108</v>
      </c>
      <c r="N218" s="52">
        <f>SUM(N215:N217)</f>
        <v>246.86681415929203</v>
      </c>
      <c r="O218" s="52">
        <f>N218+I218</f>
        <v>4576.8668141592916</v>
      </c>
      <c r="P218" s="52">
        <f t="shared" si="4"/>
        <v>686.53002212389367</v>
      </c>
      <c r="Q218" s="52">
        <f>P218+O218</f>
        <v>5263.3968362831856</v>
      </c>
      <c r="R218" s="255">
        <f>ROUND((Q218/D218),2)</f>
        <v>105.27</v>
      </c>
    </row>
    <row r="219" spans="1:18" ht="13.5" customHeight="1">
      <c r="A219" s="37">
        <v>56</v>
      </c>
      <c r="B219" s="37" t="s">
        <v>327</v>
      </c>
      <c r="C219" s="37" t="s">
        <v>328</v>
      </c>
      <c r="D219" s="60"/>
      <c r="E219" s="34"/>
      <c r="F219" s="37" t="s">
        <v>329</v>
      </c>
      <c r="G219" s="61">
        <v>1.5</v>
      </c>
      <c r="H219" s="159">
        <f>'Ext. Mat_3'!$H$75</f>
        <v>1330</v>
      </c>
      <c r="I219" s="61">
        <f>H219*G219</f>
        <v>1995</v>
      </c>
      <c r="J219" s="125" t="s">
        <v>138</v>
      </c>
      <c r="K219" s="90"/>
      <c r="L219" s="36"/>
      <c r="M219" s="37"/>
      <c r="N219" s="80">
        <f>$I$218*0.03</f>
        <v>129.9</v>
      </c>
      <c r="O219" s="80"/>
      <c r="P219" s="52">
        <f t="shared" si="4"/>
        <v>0</v>
      </c>
      <c r="Q219" s="80"/>
      <c r="R219" s="256"/>
    </row>
    <row r="220" spans="1:18" ht="13.5" customHeight="1">
      <c r="A220" s="37"/>
      <c r="B220" s="37"/>
      <c r="C220" s="37" t="s">
        <v>336</v>
      </c>
      <c r="D220" s="60"/>
      <c r="E220" s="34"/>
      <c r="F220" s="37" t="s">
        <v>220</v>
      </c>
      <c r="G220" s="61">
        <v>1.5</v>
      </c>
      <c r="H220" s="159">
        <f>'Ext. Mat_3'!$H$76</f>
        <v>1000</v>
      </c>
      <c r="I220" s="61">
        <f>H220*G220</f>
        <v>1500</v>
      </c>
      <c r="J220" s="37" t="s">
        <v>330</v>
      </c>
      <c r="K220" s="90"/>
      <c r="L220" s="36"/>
      <c r="M220" s="37"/>
      <c r="N220" s="80">
        <f>$I$218*2.5/100</f>
        <v>108.25</v>
      </c>
      <c r="O220" s="80"/>
      <c r="P220" s="52">
        <f t="shared" si="4"/>
        <v>0</v>
      </c>
      <c r="Q220" s="80"/>
      <c r="R220" s="256"/>
    </row>
    <row r="221" spans="1:18" ht="13.5" customHeight="1">
      <c r="A221" s="37"/>
      <c r="B221" s="37"/>
      <c r="C221" s="37"/>
      <c r="D221" s="60"/>
      <c r="E221" s="34"/>
      <c r="F221" s="37" t="s">
        <v>122</v>
      </c>
      <c r="G221" s="61">
        <v>3</v>
      </c>
      <c r="H221" s="40">
        <f>'Ext. Mat_3'!$H$72</f>
        <v>1000</v>
      </c>
      <c r="I221" s="61">
        <f>H221*G221</f>
        <v>3000</v>
      </c>
      <c r="J221" s="44" t="s">
        <v>331</v>
      </c>
      <c r="K221" s="62">
        <v>0.05</v>
      </c>
      <c r="L221" s="43" t="s">
        <v>332</v>
      </c>
      <c r="M221" s="70">
        <f>'Ext. Mat_3'!$H$23</f>
        <v>174.33628318584073</v>
      </c>
      <c r="N221" s="63">
        <f>M221*K221</f>
        <v>8.7168141592920367</v>
      </c>
      <c r="O221" s="63"/>
      <c r="P221" s="52">
        <f t="shared" si="4"/>
        <v>0</v>
      </c>
      <c r="Q221" s="63"/>
      <c r="R221" s="269"/>
    </row>
    <row r="222" spans="1:18" ht="13.5" customHeight="1">
      <c r="A222" s="44"/>
      <c r="B222" s="44"/>
      <c r="C222" s="44"/>
      <c r="D222" s="58">
        <v>50</v>
      </c>
      <c r="E222" s="58" t="s">
        <v>965</v>
      </c>
      <c r="F222" s="48"/>
      <c r="G222" s="49"/>
      <c r="H222" s="50" t="s">
        <v>1108</v>
      </c>
      <c r="I222" s="121">
        <f>SUM(I219:I221)</f>
        <v>6495</v>
      </c>
      <c r="J222" s="48"/>
      <c r="K222" s="49"/>
      <c r="L222" s="29"/>
      <c r="M222" s="50" t="s">
        <v>1108</v>
      </c>
      <c r="N222" s="52">
        <f>SUM(N219:N221)</f>
        <v>246.86681415929203</v>
      </c>
      <c r="O222" s="52">
        <f>N222+I222</f>
        <v>6741.8668141592916</v>
      </c>
      <c r="P222" s="52">
        <f t="shared" si="4"/>
        <v>1011.2800221238937</v>
      </c>
      <c r="Q222" s="52">
        <f>P222+O222</f>
        <v>7753.1468362831856</v>
      </c>
      <c r="R222" s="255">
        <f>ROUND((Q222/D222),2)</f>
        <v>155.06</v>
      </c>
    </row>
    <row r="223" spans="1:18" ht="13.5" customHeight="1">
      <c r="A223" s="37">
        <v>57</v>
      </c>
      <c r="B223" s="37" t="s">
        <v>327</v>
      </c>
      <c r="C223" s="37" t="s">
        <v>328</v>
      </c>
      <c r="D223" s="60"/>
      <c r="E223" s="34"/>
      <c r="F223" s="37" t="s">
        <v>329</v>
      </c>
      <c r="G223" s="61">
        <v>2</v>
      </c>
      <c r="H223" s="159">
        <f>'Ext. Mat_3'!$H$75</f>
        <v>1330</v>
      </c>
      <c r="I223" s="61">
        <f>H223*G223</f>
        <v>2660</v>
      </c>
      <c r="J223" s="125" t="s">
        <v>138</v>
      </c>
      <c r="K223" s="90"/>
      <c r="L223" s="36"/>
      <c r="M223" s="37"/>
      <c r="N223" s="80">
        <f>$I$218*0.03</f>
        <v>129.9</v>
      </c>
      <c r="O223" s="80"/>
      <c r="P223" s="52">
        <f t="shared" si="4"/>
        <v>0</v>
      </c>
      <c r="Q223" s="80"/>
      <c r="R223" s="256"/>
    </row>
    <row r="224" spans="1:18" ht="13.5" customHeight="1">
      <c r="A224" s="37"/>
      <c r="B224" s="37"/>
      <c r="C224" s="37" t="s">
        <v>337</v>
      </c>
      <c r="D224" s="60"/>
      <c r="E224" s="34"/>
      <c r="F224" s="37" t="s">
        <v>220</v>
      </c>
      <c r="G224" s="61">
        <v>2</v>
      </c>
      <c r="H224" s="159">
        <f>'Ext. Mat_3'!$H$76</f>
        <v>1000</v>
      </c>
      <c r="I224" s="61">
        <f>H224*G224</f>
        <v>2000</v>
      </c>
      <c r="J224" s="37" t="s">
        <v>330</v>
      </c>
      <c r="K224" s="90"/>
      <c r="L224" s="36"/>
      <c r="M224" s="37"/>
      <c r="N224" s="80">
        <f>$I$218*2.5/100</f>
        <v>108.25</v>
      </c>
      <c r="O224" s="80"/>
      <c r="P224" s="52">
        <f t="shared" si="4"/>
        <v>0</v>
      </c>
      <c r="Q224" s="80"/>
      <c r="R224" s="256"/>
    </row>
    <row r="225" spans="1:18" ht="13.5" customHeight="1">
      <c r="A225" s="37"/>
      <c r="B225" s="37"/>
      <c r="C225" s="37"/>
      <c r="D225" s="60"/>
      <c r="E225" s="34"/>
      <c r="F225" s="37" t="s">
        <v>122</v>
      </c>
      <c r="G225" s="61">
        <v>4</v>
      </c>
      <c r="H225" s="40">
        <f>'Ext. Mat_3'!$H$72</f>
        <v>1000</v>
      </c>
      <c r="I225" s="61">
        <f>H225*G225</f>
        <v>4000</v>
      </c>
      <c r="J225" s="44" t="s">
        <v>331</v>
      </c>
      <c r="K225" s="62">
        <v>0.05</v>
      </c>
      <c r="L225" s="43" t="s">
        <v>332</v>
      </c>
      <c r="M225" s="70">
        <f>'Ext. Mat_3'!$H$23</f>
        <v>174.33628318584073</v>
      </c>
      <c r="N225" s="63">
        <f>M225*K225</f>
        <v>8.7168141592920367</v>
      </c>
      <c r="O225" s="63"/>
      <c r="P225" s="52">
        <f t="shared" si="4"/>
        <v>0</v>
      </c>
      <c r="Q225" s="63"/>
      <c r="R225" s="269"/>
    </row>
    <row r="226" spans="1:18" ht="13.5" customHeight="1">
      <c r="A226" s="44"/>
      <c r="B226" s="44"/>
      <c r="C226" s="44"/>
      <c r="D226" s="58">
        <v>50</v>
      </c>
      <c r="E226" s="58" t="s">
        <v>965</v>
      </c>
      <c r="F226" s="48"/>
      <c r="G226" s="49"/>
      <c r="H226" s="50" t="s">
        <v>1108</v>
      </c>
      <c r="I226" s="121">
        <f>SUM(I223:I225)</f>
        <v>8660</v>
      </c>
      <c r="J226" s="48"/>
      <c r="K226" s="49"/>
      <c r="L226" s="29"/>
      <c r="M226" s="50" t="s">
        <v>1108</v>
      </c>
      <c r="N226" s="52">
        <f>SUM(N223:N225)</f>
        <v>246.86681415929203</v>
      </c>
      <c r="O226" s="52">
        <f>N226+I226</f>
        <v>8906.8668141592916</v>
      </c>
      <c r="P226" s="52">
        <f t="shared" si="4"/>
        <v>1336.0300221238938</v>
      </c>
      <c r="Q226" s="52">
        <f>P226+O226</f>
        <v>10242.896836283186</v>
      </c>
      <c r="R226" s="255">
        <f>ROUND((Q226/D226),2)</f>
        <v>204.86</v>
      </c>
    </row>
    <row r="227" spans="1:18" ht="13.5" customHeight="1">
      <c r="A227" s="37">
        <v>58</v>
      </c>
      <c r="B227" s="37" t="s">
        <v>338</v>
      </c>
      <c r="C227" s="37" t="s">
        <v>339</v>
      </c>
      <c r="D227" s="60"/>
      <c r="E227" s="34"/>
      <c r="F227" s="37" t="s">
        <v>329</v>
      </c>
      <c r="G227" s="61">
        <v>0.5</v>
      </c>
      <c r="H227" s="159">
        <f>'Ext. Mat_3'!$H$75</f>
        <v>1330</v>
      </c>
      <c r="I227" s="61">
        <f>H227*G227</f>
        <v>665</v>
      </c>
      <c r="J227" s="37" t="s">
        <v>340</v>
      </c>
      <c r="K227" s="90"/>
      <c r="L227" s="36"/>
      <c r="M227" s="37"/>
      <c r="N227" s="80">
        <f>$I$230*10/100</f>
        <v>266.5</v>
      </c>
      <c r="O227" s="80"/>
      <c r="P227" s="52">
        <f t="shared" si="4"/>
        <v>0</v>
      </c>
      <c r="Q227" s="80"/>
      <c r="R227" s="256"/>
    </row>
    <row r="228" spans="1:18" ht="13.5" customHeight="1">
      <c r="A228" s="37"/>
      <c r="B228" s="37"/>
      <c r="C228" s="37" t="s">
        <v>341</v>
      </c>
      <c r="D228" s="60"/>
      <c r="E228" s="34"/>
      <c r="F228" s="37" t="s">
        <v>220</v>
      </c>
      <c r="G228" s="61">
        <v>1</v>
      </c>
      <c r="H228" s="159">
        <f>'Ext. Mat_3'!$H$76</f>
        <v>1000</v>
      </c>
      <c r="I228" s="61">
        <f>H228*G228</f>
        <v>1000</v>
      </c>
      <c r="J228" s="37" t="s">
        <v>330</v>
      </c>
      <c r="K228" s="90"/>
      <c r="L228" s="36"/>
      <c r="M228" s="37"/>
      <c r="N228" s="80">
        <f>$I$230*2.5/100</f>
        <v>66.625</v>
      </c>
      <c r="O228" s="80"/>
      <c r="P228" s="52">
        <f t="shared" si="4"/>
        <v>0</v>
      </c>
      <c r="Q228" s="80"/>
      <c r="R228" s="256"/>
    </row>
    <row r="229" spans="1:18" ht="13.5" customHeight="1">
      <c r="A229" s="37"/>
      <c r="B229" s="37"/>
      <c r="C229" s="37"/>
      <c r="D229" s="60"/>
      <c r="E229" s="34"/>
      <c r="F229" s="37" t="s">
        <v>122</v>
      </c>
      <c r="G229" s="61">
        <v>1</v>
      </c>
      <c r="H229" s="40">
        <f>'Ext. Mat_3'!$H$72</f>
        <v>1000</v>
      </c>
      <c r="I229" s="41">
        <f>H229*G229</f>
        <v>1000</v>
      </c>
      <c r="J229" s="46"/>
      <c r="K229" s="62"/>
      <c r="L229" s="43"/>
      <c r="M229" s="44"/>
      <c r="N229" s="63"/>
      <c r="O229" s="63"/>
      <c r="P229" s="52">
        <f t="shared" si="4"/>
        <v>0</v>
      </c>
      <c r="Q229" s="63"/>
      <c r="R229" s="269"/>
    </row>
    <row r="230" spans="1:18" ht="13.5" customHeight="1">
      <c r="A230" s="44"/>
      <c r="B230" s="44"/>
      <c r="C230" s="44"/>
      <c r="D230" s="58">
        <v>30</v>
      </c>
      <c r="E230" s="58" t="s">
        <v>965</v>
      </c>
      <c r="F230" s="48"/>
      <c r="G230" s="49"/>
      <c r="H230" s="50" t="s">
        <v>1108</v>
      </c>
      <c r="I230" s="51">
        <f>SUM(I227:I229)</f>
        <v>2665</v>
      </c>
      <c r="J230" s="48"/>
      <c r="K230" s="49"/>
      <c r="L230" s="29"/>
      <c r="M230" s="50" t="s">
        <v>1108</v>
      </c>
      <c r="N230" s="52">
        <f>SUM(N227:N229)</f>
        <v>333.125</v>
      </c>
      <c r="O230" s="52">
        <f>N230+I230</f>
        <v>2998.125</v>
      </c>
      <c r="P230" s="52">
        <f t="shared" si="4"/>
        <v>449.71875</v>
      </c>
      <c r="Q230" s="52">
        <f>P230+O230</f>
        <v>3447.84375</v>
      </c>
      <c r="R230" s="255">
        <f>ROUND((Q230/D230),2)</f>
        <v>114.93</v>
      </c>
    </row>
    <row r="231" spans="1:18" ht="13.5" customHeight="1">
      <c r="A231" s="37">
        <v>59</v>
      </c>
      <c r="B231" s="37" t="s">
        <v>338</v>
      </c>
      <c r="C231" s="37" t="s">
        <v>339</v>
      </c>
      <c r="D231" s="60"/>
      <c r="E231" s="34"/>
      <c r="F231" s="37" t="s">
        <v>329</v>
      </c>
      <c r="G231" s="61">
        <v>0.5</v>
      </c>
      <c r="H231" s="159">
        <f>'Ext. Mat_3'!$H$75</f>
        <v>1330</v>
      </c>
      <c r="I231" s="61">
        <f>H231*G231</f>
        <v>665</v>
      </c>
      <c r="J231" s="37" t="s">
        <v>340</v>
      </c>
      <c r="K231" s="90"/>
      <c r="L231" s="36"/>
      <c r="M231" s="37"/>
      <c r="N231" s="80">
        <f>I234*10/100</f>
        <v>366.5</v>
      </c>
      <c r="O231" s="80"/>
      <c r="P231" s="52">
        <f t="shared" si="4"/>
        <v>0</v>
      </c>
      <c r="Q231" s="80"/>
      <c r="R231" s="256"/>
    </row>
    <row r="232" spans="1:18" ht="13.5" customHeight="1">
      <c r="A232" s="37"/>
      <c r="B232" s="37"/>
      <c r="C232" s="37" t="s">
        <v>342</v>
      </c>
      <c r="D232" s="60"/>
      <c r="E232" s="34"/>
      <c r="F232" s="37" t="s">
        <v>220</v>
      </c>
      <c r="G232" s="61">
        <v>1.5</v>
      </c>
      <c r="H232" s="159">
        <f>'Ext. Mat_3'!$H$76</f>
        <v>1000</v>
      </c>
      <c r="I232" s="61">
        <f>H232*G232</f>
        <v>1500</v>
      </c>
      <c r="J232" s="37" t="s">
        <v>330</v>
      </c>
      <c r="K232" s="90"/>
      <c r="L232" s="36"/>
      <c r="M232" s="37"/>
      <c r="N232" s="80">
        <f>I234*2.5/100</f>
        <v>91.625</v>
      </c>
      <c r="O232" s="80"/>
      <c r="P232" s="52">
        <f t="shared" si="4"/>
        <v>0</v>
      </c>
      <c r="Q232" s="80"/>
      <c r="R232" s="256"/>
    </row>
    <row r="233" spans="1:18" ht="13.5" customHeight="1">
      <c r="A233" s="37"/>
      <c r="B233" s="37"/>
      <c r="C233" s="37"/>
      <c r="D233" s="60"/>
      <c r="E233" s="34"/>
      <c r="F233" s="37" t="s">
        <v>122</v>
      </c>
      <c r="G233" s="61">
        <v>1.5</v>
      </c>
      <c r="H233" s="40">
        <f>'Ext. Mat_3'!$H$72</f>
        <v>1000</v>
      </c>
      <c r="I233" s="41">
        <f>H233*G233</f>
        <v>1500</v>
      </c>
      <c r="J233" s="46"/>
      <c r="K233" s="62"/>
      <c r="L233" s="43"/>
      <c r="M233" s="44"/>
      <c r="N233" s="63"/>
      <c r="O233" s="63"/>
      <c r="P233" s="52">
        <f t="shared" si="4"/>
        <v>0</v>
      </c>
      <c r="Q233" s="63"/>
      <c r="R233" s="269"/>
    </row>
    <row r="234" spans="1:18" ht="13.5" customHeight="1">
      <c r="A234" s="44"/>
      <c r="B234" s="44"/>
      <c r="C234" s="44"/>
      <c r="D234" s="58">
        <v>30</v>
      </c>
      <c r="E234" s="58" t="s">
        <v>965</v>
      </c>
      <c r="F234" s="48"/>
      <c r="G234" s="49"/>
      <c r="H234" s="50" t="s">
        <v>1108</v>
      </c>
      <c r="I234" s="51">
        <f>SUM(I231:I233)</f>
        <v>3665</v>
      </c>
      <c r="J234" s="48"/>
      <c r="K234" s="49"/>
      <c r="L234" s="29"/>
      <c r="M234" s="50" t="s">
        <v>1108</v>
      </c>
      <c r="N234" s="52">
        <f>SUM(N231:N233)</f>
        <v>458.125</v>
      </c>
      <c r="O234" s="52">
        <f>N234+I234</f>
        <v>4123.125</v>
      </c>
      <c r="P234" s="52">
        <f t="shared" si="4"/>
        <v>618.46875</v>
      </c>
      <c r="Q234" s="52">
        <f>P234+O234</f>
        <v>4741.59375</v>
      </c>
      <c r="R234" s="255">
        <f>ROUND((Q234/D234),2)</f>
        <v>158.05000000000001</v>
      </c>
    </row>
    <row r="235" spans="1:18" ht="13.5" customHeight="1">
      <c r="A235" s="37">
        <v>60</v>
      </c>
      <c r="B235" s="37" t="s">
        <v>338</v>
      </c>
      <c r="C235" s="37" t="s">
        <v>339</v>
      </c>
      <c r="D235" s="60"/>
      <c r="E235" s="34"/>
      <c r="F235" s="37" t="s">
        <v>329</v>
      </c>
      <c r="G235" s="61">
        <v>0.75</v>
      </c>
      <c r="H235" s="159">
        <f>'Ext. Mat_3'!$H$75</f>
        <v>1330</v>
      </c>
      <c r="I235" s="61">
        <f>H235*G235</f>
        <v>997.5</v>
      </c>
      <c r="J235" s="37" t="s">
        <v>340</v>
      </c>
      <c r="K235" s="90"/>
      <c r="L235" s="36"/>
      <c r="M235" s="37"/>
      <c r="N235" s="80">
        <f>I238*0.1</f>
        <v>499.75</v>
      </c>
      <c r="O235" s="80"/>
      <c r="P235" s="52">
        <f t="shared" si="4"/>
        <v>0</v>
      </c>
      <c r="Q235" s="80"/>
      <c r="R235" s="256"/>
    </row>
    <row r="236" spans="1:18" ht="13.5" customHeight="1">
      <c r="A236" s="37"/>
      <c r="B236" s="37"/>
      <c r="C236" s="37" t="s">
        <v>334</v>
      </c>
      <c r="D236" s="60"/>
      <c r="E236" s="34"/>
      <c r="F236" s="37" t="s">
        <v>220</v>
      </c>
      <c r="G236" s="61">
        <v>2</v>
      </c>
      <c r="H236" s="159">
        <f>'Ext. Mat_3'!$H$76</f>
        <v>1000</v>
      </c>
      <c r="I236" s="61">
        <f>H236*G236</f>
        <v>2000</v>
      </c>
      <c r="J236" s="37" t="s">
        <v>330</v>
      </c>
      <c r="K236" s="90"/>
      <c r="L236" s="36"/>
      <c r="M236" s="37"/>
      <c r="N236" s="80">
        <f>I238*2.5/100</f>
        <v>124.9375</v>
      </c>
      <c r="O236" s="80"/>
      <c r="P236" s="52">
        <f t="shared" si="4"/>
        <v>0</v>
      </c>
      <c r="Q236" s="80"/>
      <c r="R236" s="256"/>
    </row>
    <row r="237" spans="1:18" ht="13.5" customHeight="1">
      <c r="A237" s="37"/>
      <c r="B237" s="37"/>
      <c r="C237" s="37"/>
      <c r="D237" s="60"/>
      <c r="E237" s="34"/>
      <c r="F237" s="37" t="s">
        <v>122</v>
      </c>
      <c r="G237" s="61">
        <v>2</v>
      </c>
      <c r="H237" s="40">
        <f>'Ext. Mat_3'!$H$72</f>
        <v>1000</v>
      </c>
      <c r="I237" s="41">
        <f>H237*G237</f>
        <v>2000</v>
      </c>
      <c r="J237" s="46"/>
      <c r="K237" s="62"/>
      <c r="L237" s="43"/>
      <c r="M237" s="44"/>
      <c r="N237" s="63"/>
      <c r="O237" s="63"/>
      <c r="P237" s="52">
        <f t="shared" si="4"/>
        <v>0</v>
      </c>
      <c r="Q237" s="63"/>
      <c r="R237" s="269"/>
    </row>
    <row r="238" spans="1:18" ht="13.5" customHeight="1">
      <c r="A238" s="44"/>
      <c r="B238" s="44"/>
      <c r="C238" s="44"/>
      <c r="D238" s="58">
        <v>30</v>
      </c>
      <c r="E238" s="58" t="s">
        <v>965</v>
      </c>
      <c r="F238" s="48"/>
      <c r="G238" s="49"/>
      <c r="H238" s="50" t="s">
        <v>1108</v>
      </c>
      <c r="I238" s="51">
        <f>SUM(I235:I237)</f>
        <v>4997.5</v>
      </c>
      <c r="J238" s="48"/>
      <c r="K238" s="49"/>
      <c r="L238" s="29"/>
      <c r="M238" s="50" t="s">
        <v>1108</v>
      </c>
      <c r="N238" s="52">
        <f>SUM(N235:N237)</f>
        <v>624.6875</v>
      </c>
      <c r="O238" s="52">
        <f>N238+I238</f>
        <v>5622.1875</v>
      </c>
      <c r="P238" s="52">
        <f t="shared" si="4"/>
        <v>843.328125</v>
      </c>
      <c r="Q238" s="52">
        <f>P238+O238</f>
        <v>6465.515625</v>
      </c>
      <c r="R238" s="255">
        <f>ROUND((Q238/D238),2)</f>
        <v>215.52</v>
      </c>
    </row>
    <row r="239" spans="1:18" ht="15" customHeight="1">
      <c r="A239" s="37">
        <v>61</v>
      </c>
      <c r="B239" s="37" t="s">
        <v>338</v>
      </c>
      <c r="C239" s="37" t="s">
        <v>339</v>
      </c>
      <c r="D239" s="60"/>
      <c r="E239" s="34"/>
      <c r="F239" s="37" t="s">
        <v>329</v>
      </c>
      <c r="G239" s="61">
        <v>1.25</v>
      </c>
      <c r="H239" s="159">
        <f>'Ext. Mat_3'!$H$75</f>
        <v>1330</v>
      </c>
      <c r="I239" s="61">
        <f>H239*G239</f>
        <v>1662.5</v>
      </c>
      <c r="J239" s="37" t="s">
        <v>340</v>
      </c>
      <c r="K239" s="90"/>
      <c r="L239" s="36"/>
      <c r="M239" s="37"/>
      <c r="N239" s="80">
        <f>I242*0.1</f>
        <v>666.25</v>
      </c>
      <c r="O239" s="80"/>
      <c r="P239" s="52">
        <f t="shared" si="4"/>
        <v>0</v>
      </c>
      <c r="Q239" s="80"/>
      <c r="R239" s="256"/>
    </row>
    <row r="240" spans="1:18" ht="15" customHeight="1">
      <c r="A240" s="37"/>
      <c r="B240" s="37"/>
      <c r="C240" s="37" t="s">
        <v>343</v>
      </c>
      <c r="D240" s="60"/>
      <c r="E240" s="34"/>
      <c r="F240" s="37" t="s">
        <v>220</v>
      </c>
      <c r="G240" s="61">
        <v>2</v>
      </c>
      <c r="H240" s="159">
        <f>'Ext. Mat_3'!$H$76</f>
        <v>1000</v>
      </c>
      <c r="I240" s="61">
        <f>H240*G240</f>
        <v>2000</v>
      </c>
      <c r="J240" s="37" t="s">
        <v>330</v>
      </c>
      <c r="K240" s="90"/>
      <c r="L240" s="36"/>
      <c r="M240" s="37"/>
      <c r="N240" s="80">
        <f>I242*2.5/100</f>
        <v>166.5625</v>
      </c>
      <c r="O240" s="80"/>
      <c r="P240" s="52">
        <f t="shared" si="4"/>
        <v>0</v>
      </c>
      <c r="Q240" s="80"/>
      <c r="R240" s="256"/>
    </row>
    <row r="241" spans="1:21" ht="15" customHeight="1">
      <c r="A241" s="37"/>
      <c r="B241" s="37"/>
      <c r="C241" s="37"/>
      <c r="D241" s="60"/>
      <c r="E241" s="34"/>
      <c r="F241" s="37" t="s">
        <v>122</v>
      </c>
      <c r="G241" s="61">
        <v>3</v>
      </c>
      <c r="H241" s="40">
        <f>'Ext. Mat_3'!$H$72</f>
        <v>1000</v>
      </c>
      <c r="I241" s="41">
        <f>H241*G241</f>
        <v>3000</v>
      </c>
      <c r="J241" s="46"/>
      <c r="K241" s="62"/>
      <c r="L241" s="43"/>
      <c r="M241" s="44"/>
      <c r="N241" s="63"/>
      <c r="O241" s="63"/>
      <c r="P241" s="52">
        <f t="shared" si="4"/>
        <v>0</v>
      </c>
      <c r="Q241" s="63"/>
      <c r="R241" s="269"/>
    </row>
    <row r="242" spans="1:21" ht="15" customHeight="1">
      <c r="A242" s="44"/>
      <c r="B242" s="44"/>
      <c r="C242" s="44"/>
      <c r="D242" s="58">
        <v>30</v>
      </c>
      <c r="E242" s="58" t="s">
        <v>965</v>
      </c>
      <c r="F242" s="48"/>
      <c r="G242" s="49"/>
      <c r="H242" s="50" t="s">
        <v>1108</v>
      </c>
      <c r="I242" s="51">
        <f>SUM(I239:I241)</f>
        <v>6662.5</v>
      </c>
      <c r="J242" s="48"/>
      <c r="K242" s="49"/>
      <c r="L242" s="29"/>
      <c r="M242" s="50" t="s">
        <v>1108</v>
      </c>
      <c r="N242" s="52">
        <f>SUM(N239:N241)</f>
        <v>832.8125</v>
      </c>
      <c r="O242" s="52">
        <f>N242+I242</f>
        <v>7495.3125</v>
      </c>
      <c r="P242" s="52">
        <f t="shared" si="4"/>
        <v>1124.296875</v>
      </c>
      <c r="Q242" s="52">
        <f>P242+O242</f>
        <v>8619.609375</v>
      </c>
      <c r="R242" s="255">
        <f>ROUND((Q242/D242),2)</f>
        <v>287.32</v>
      </c>
    </row>
    <row r="243" spans="1:21" ht="15" customHeight="1">
      <c r="A243" s="76">
        <v>62</v>
      </c>
      <c r="B243" s="37" t="s">
        <v>338</v>
      </c>
      <c r="C243" s="37" t="s">
        <v>339</v>
      </c>
      <c r="D243" s="60"/>
      <c r="E243" s="34"/>
      <c r="F243" s="37" t="s">
        <v>329</v>
      </c>
      <c r="G243" s="61">
        <v>1.75</v>
      </c>
      <c r="H243" s="159">
        <f>'Ext. Mat_3'!$H$75</f>
        <v>1330</v>
      </c>
      <c r="I243" s="61">
        <f>H243*G243</f>
        <v>2327.5</v>
      </c>
      <c r="J243" s="37" t="s">
        <v>340</v>
      </c>
      <c r="K243" s="90"/>
      <c r="L243" s="36"/>
      <c r="M243" s="37"/>
      <c r="N243" s="80">
        <f>I246*0.1</f>
        <v>832.75</v>
      </c>
      <c r="O243" s="80"/>
      <c r="P243" s="52">
        <f t="shared" si="4"/>
        <v>0</v>
      </c>
      <c r="Q243" s="80"/>
      <c r="R243" s="256"/>
      <c r="S243" s="181"/>
      <c r="U243" s="182"/>
    </row>
    <row r="244" spans="1:21" ht="15" customHeight="1">
      <c r="A244" s="37"/>
      <c r="B244" s="37"/>
      <c r="C244" s="37" t="s">
        <v>344</v>
      </c>
      <c r="D244" s="60"/>
      <c r="E244" s="34"/>
      <c r="F244" s="37" t="s">
        <v>220</v>
      </c>
      <c r="G244" s="61">
        <v>2</v>
      </c>
      <c r="H244" s="159">
        <f>'Ext. Mat_3'!$H$76</f>
        <v>1000</v>
      </c>
      <c r="I244" s="61">
        <f>H244*G244</f>
        <v>2000</v>
      </c>
      <c r="J244" s="37" t="s">
        <v>330</v>
      </c>
      <c r="K244" s="90"/>
      <c r="L244" s="36"/>
      <c r="M244" s="37"/>
      <c r="N244" s="80">
        <f>I246*2.5/100</f>
        <v>208.1875</v>
      </c>
      <c r="O244" s="80"/>
      <c r="P244" s="52">
        <f t="shared" si="4"/>
        <v>0</v>
      </c>
      <c r="Q244" s="80"/>
      <c r="R244" s="256"/>
      <c r="S244" s="181"/>
      <c r="U244" s="182"/>
    </row>
    <row r="245" spans="1:21" ht="15" customHeight="1">
      <c r="A245" s="37"/>
      <c r="B245" s="37"/>
      <c r="C245" s="37"/>
      <c r="D245" s="60"/>
      <c r="E245" s="34"/>
      <c r="F245" s="37" t="s">
        <v>122</v>
      </c>
      <c r="G245" s="61">
        <v>4</v>
      </c>
      <c r="H245" s="40">
        <f>'Ext. Mat_3'!$H$72</f>
        <v>1000</v>
      </c>
      <c r="I245" s="41">
        <f>H245*G245</f>
        <v>4000</v>
      </c>
      <c r="J245" s="46"/>
      <c r="K245" s="62"/>
      <c r="L245" s="43"/>
      <c r="M245" s="44"/>
      <c r="N245" s="63"/>
      <c r="O245" s="63"/>
      <c r="P245" s="52">
        <f t="shared" si="4"/>
        <v>0</v>
      </c>
      <c r="Q245" s="63"/>
      <c r="R245" s="269"/>
      <c r="S245" s="181"/>
      <c r="U245" s="182"/>
    </row>
    <row r="246" spans="1:21" ht="15" customHeight="1">
      <c r="A246" s="44"/>
      <c r="B246" s="44"/>
      <c r="C246" s="44"/>
      <c r="D246" s="58">
        <v>30</v>
      </c>
      <c r="E246" s="58" t="s">
        <v>965</v>
      </c>
      <c r="F246" s="48"/>
      <c r="G246" s="49"/>
      <c r="H246" s="50" t="s">
        <v>1108</v>
      </c>
      <c r="I246" s="51">
        <f>SUM(I243:I245)</f>
        <v>8327.5</v>
      </c>
      <c r="J246" s="48"/>
      <c r="K246" s="49"/>
      <c r="L246" s="29"/>
      <c r="M246" s="50" t="s">
        <v>1108</v>
      </c>
      <c r="N246" s="52">
        <f>SUM(N243:N245)</f>
        <v>1040.9375</v>
      </c>
      <c r="O246" s="52">
        <f>N246+I246</f>
        <v>9368.4375</v>
      </c>
      <c r="P246" s="52">
        <f t="shared" si="4"/>
        <v>1405.265625</v>
      </c>
      <c r="Q246" s="52">
        <f>P246+O246</f>
        <v>10773.703125</v>
      </c>
      <c r="R246" s="255">
        <f>ROUND((Q246/D246),2)</f>
        <v>359.12</v>
      </c>
    </row>
    <row r="247" spans="1:21" ht="15" customHeight="1">
      <c r="A247" s="37">
        <v>63</v>
      </c>
      <c r="B247" s="37" t="s">
        <v>338</v>
      </c>
      <c r="C247" s="37" t="s">
        <v>339</v>
      </c>
      <c r="D247" s="60"/>
      <c r="E247" s="34"/>
      <c r="F247" s="37" t="s">
        <v>329</v>
      </c>
      <c r="G247" s="61">
        <v>2</v>
      </c>
      <c r="H247" s="159">
        <f>'Ext. Mat_3'!$H$75</f>
        <v>1330</v>
      </c>
      <c r="I247" s="61">
        <f>H247*G247</f>
        <v>2660</v>
      </c>
      <c r="J247" s="37" t="s">
        <v>340</v>
      </c>
      <c r="K247" s="90"/>
      <c r="L247" s="36"/>
      <c r="M247" s="37"/>
      <c r="N247" s="80">
        <f>I250*0.1</f>
        <v>1016</v>
      </c>
      <c r="O247" s="80"/>
      <c r="P247" s="52">
        <f t="shared" si="4"/>
        <v>0</v>
      </c>
      <c r="Q247" s="80"/>
      <c r="R247" s="256"/>
    </row>
    <row r="248" spans="1:21" ht="15" customHeight="1">
      <c r="A248" s="37"/>
      <c r="B248" s="37"/>
      <c r="C248" s="37" t="s">
        <v>345</v>
      </c>
      <c r="D248" s="60"/>
      <c r="E248" s="34"/>
      <c r="F248" s="37" t="s">
        <v>220</v>
      </c>
      <c r="G248" s="61">
        <v>2.5</v>
      </c>
      <c r="H248" s="159">
        <f>'Ext. Mat_3'!$H$76</f>
        <v>1000</v>
      </c>
      <c r="I248" s="61">
        <f>H248*G248</f>
        <v>2500</v>
      </c>
      <c r="J248" s="37" t="s">
        <v>330</v>
      </c>
      <c r="K248" s="90"/>
      <c r="L248" s="36"/>
      <c r="M248" s="37"/>
      <c r="N248" s="80">
        <f>I250*2.5/100</f>
        <v>254</v>
      </c>
      <c r="O248" s="80"/>
      <c r="P248" s="52">
        <f t="shared" si="4"/>
        <v>0</v>
      </c>
      <c r="Q248" s="80"/>
      <c r="R248" s="256"/>
    </row>
    <row r="249" spans="1:21" ht="15" customHeight="1">
      <c r="A249" s="37"/>
      <c r="B249" s="37"/>
      <c r="C249" s="37"/>
      <c r="D249" s="60"/>
      <c r="E249" s="34"/>
      <c r="F249" s="37" t="s">
        <v>122</v>
      </c>
      <c r="G249" s="61">
        <v>5</v>
      </c>
      <c r="H249" s="40">
        <f>'Ext. Mat_3'!$H$72</f>
        <v>1000</v>
      </c>
      <c r="I249" s="41">
        <f>H249*G249</f>
        <v>5000</v>
      </c>
      <c r="J249" s="46"/>
      <c r="K249" s="62"/>
      <c r="L249" s="43"/>
      <c r="M249" s="44"/>
      <c r="N249" s="63"/>
      <c r="O249" s="63"/>
      <c r="P249" s="52">
        <f t="shared" si="4"/>
        <v>0</v>
      </c>
      <c r="Q249" s="63"/>
      <c r="R249" s="269"/>
    </row>
    <row r="250" spans="1:21" ht="15" customHeight="1">
      <c r="A250" s="44"/>
      <c r="B250" s="44"/>
      <c r="C250" s="44"/>
      <c r="D250" s="58">
        <v>30</v>
      </c>
      <c r="E250" s="58" t="s">
        <v>965</v>
      </c>
      <c r="F250" s="48"/>
      <c r="G250" s="49"/>
      <c r="H250" s="50" t="s">
        <v>1108</v>
      </c>
      <c r="I250" s="51">
        <f>SUM(I247:I249)</f>
        <v>10160</v>
      </c>
      <c r="J250" s="48"/>
      <c r="K250" s="49"/>
      <c r="L250" s="29"/>
      <c r="M250" s="50" t="s">
        <v>1108</v>
      </c>
      <c r="N250" s="52">
        <f>SUM(N247:N249)</f>
        <v>1270</v>
      </c>
      <c r="O250" s="52">
        <f>N250+I250</f>
        <v>11430</v>
      </c>
      <c r="P250" s="52">
        <f t="shared" si="4"/>
        <v>1714.5</v>
      </c>
      <c r="Q250" s="52">
        <f>P250+O250</f>
        <v>13144.5</v>
      </c>
      <c r="R250" s="255">
        <f>ROUND((Q250/D250),2)</f>
        <v>438.15</v>
      </c>
    </row>
    <row r="251" spans="1:21" ht="15" customHeight="1">
      <c r="A251" s="37">
        <v>63</v>
      </c>
      <c r="B251" s="37" t="s">
        <v>338</v>
      </c>
      <c r="C251" s="37" t="s">
        <v>339</v>
      </c>
      <c r="D251" s="60"/>
      <c r="E251" s="34"/>
      <c r="F251" s="37" t="s">
        <v>329</v>
      </c>
      <c r="G251" s="61">
        <v>2</v>
      </c>
      <c r="H251" s="159">
        <f>'Ext. Mat_3'!$H$75</f>
        <v>1330</v>
      </c>
      <c r="I251" s="61">
        <f>H251*G251</f>
        <v>2660</v>
      </c>
      <c r="J251" s="37" t="s">
        <v>340</v>
      </c>
      <c r="K251" s="90"/>
      <c r="L251" s="36"/>
      <c r="M251" s="37"/>
      <c r="N251" s="80">
        <f>I254*0.1</f>
        <v>1166</v>
      </c>
      <c r="O251" s="80"/>
      <c r="P251" s="52">
        <f t="shared" si="4"/>
        <v>0</v>
      </c>
      <c r="Q251" s="80"/>
      <c r="R251" s="256"/>
    </row>
    <row r="252" spans="1:21" ht="15" customHeight="1">
      <c r="A252" s="37"/>
      <c r="B252" s="37"/>
      <c r="C252" s="37" t="s">
        <v>3039</v>
      </c>
      <c r="D252" s="60"/>
      <c r="E252" s="34"/>
      <c r="F252" s="37" t="s">
        <v>220</v>
      </c>
      <c r="G252" s="61">
        <v>3</v>
      </c>
      <c r="H252" s="159">
        <f>'Ext. Mat_3'!$H$76</f>
        <v>1000</v>
      </c>
      <c r="I252" s="61">
        <f>H252*G252</f>
        <v>3000</v>
      </c>
      <c r="J252" s="37" t="s">
        <v>330</v>
      </c>
      <c r="K252" s="90"/>
      <c r="L252" s="36"/>
      <c r="M252" s="37"/>
      <c r="N252" s="80">
        <f>I254*2.5/100</f>
        <v>291.5</v>
      </c>
      <c r="O252" s="80"/>
      <c r="P252" s="52">
        <f t="shared" si="4"/>
        <v>0</v>
      </c>
      <c r="Q252" s="80"/>
      <c r="R252" s="256"/>
    </row>
    <row r="253" spans="1:21" ht="15" customHeight="1">
      <c r="A253" s="37"/>
      <c r="B253" s="37"/>
      <c r="C253" s="37"/>
      <c r="D253" s="60"/>
      <c r="E253" s="34"/>
      <c r="F253" s="37" t="s">
        <v>122</v>
      </c>
      <c r="G253" s="61">
        <v>6</v>
      </c>
      <c r="H253" s="40">
        <f>'Ext. Mat_3'!$H$72</f>
        <v>1000</v>
      </c>
      <c r="I253" s="41">
        <f>H253*G253</f>
        <v>6000</v>
      </c>
      <c r="J253" s="46"/>
      <c r="K253" s="62"/>
      <c r="L253" s="43"/>
      <c r="M253" s="44"/>
      <c r="N253" s="63"/>
      <c r="O253" s="63"/>
      <c r="P253" s="52">
        <f t="shared" si="4"/>
        <v>0</v>
      </c>
      <c r="Q253" s="63"/>
      <c r="R253" s="269"/>
    </row>
    <row r="254" spans="1:21" ht="15" customHeight="1">
      <c r="A254" s="44"/>
      <c r="B254" s="44"/>
      <c r="C254" s="44"/>
      <c r="D254" s="58">
        <v>30</v>
      </c>
      <c r="E254" s="58" t="s">
        <v>965</v>
      </c>
      <c r="F254" s="48"/>
      <c r="G254" s="49"/>
      <c r="H254" s="50" t="s">
        <v>1108</v>
      </c>
      <c r="I254" s="51">
        <f>SUM(I251:I253)</f>
        <v>11660</v>
      </c>
      <c r="J254" s="48"/>
      <c r="K254" s="49"/>
      <c r="L254" s="29"/>
      <c r="M254" s="50" t="s">
        <v>1108</v>
      </c>
      <c r="N254" s="52">
        <f>SUM(N251:N253)</f>
        <v>1457.5</v>
      </c>
      <c r="O254" s="52">
        <f>N254+I254</f>
        <v>13117.5</v>
      </c>
      <c r="P254" s="52">
        <f t="shared" si="4"/>
        <v>1967.625</v>
      </c>
      <c r="Q254" s="52">
        <f>P254+O254</f>
        <v>15085.125</v>
      </c>
      <c r="R254" s="255">
        <f>ROUND((Q254/D254),2)</f>
        <v>502.84</v>
      </c>
    </row>
    <row r="255" spans="1:21" ht="15" customHeight="1">
      <c r="A255" s="46"/>
      <c r="B255" s="138">
        <v>14</v>
      </c>
      <c r="C255" s="138" t="s">
        <v>346</v>
      </c>
      <c r="D255" s="58"/>
      <c r="E255" s="58"/>
      <c r="F255" s="139"/>
      <c r="G255" s="91"/>
      <c r="H255" s="140"/>
      <c r="I255" s="91"/>
      <c r="J255" s="139"/>
      <c r="K255" s="91"/>
      <c r="L255" s="26"/>
      <c r="M255" s="140"/>
      <c r="N255" s="141"/>
      <c r="O255" s="141"/>
      <c r="P255" s="52">
        <f t="shared" si="4"/>
        <v>0</v>
      </c>
      <c r="Q255" s="141"/>
      <c r="R255" s="274"/>
    </row>
    <row r="256" spans="1:21" ht="13.7" customHeight="1">
      <c r="A256" s="76">
        <v>64</v>
      </c>
      <c r="B256" s="101" t="s">
        <v>347</v>
      </c>
      <c r="C256" s="37" t="s">
        <v>348</v>
      </c>
      <c r="D256" s="60"/>
      <c r="E256" s="34"/>
      <c r="F256" s="37" t="s">
        <v>175</v>
      </c>
      <c r="G256" s="61">
        <v>1</v>
      </c>
      <c r="H256" s="40">
        <f>'Ext. Mat_3'!$H$71</f>
        <v>1330</v>
      </c>
      <c r="I256" s="61">
        <f>H256*G256</f>
        <v>1330</v>
      </c>
      <c r="J256" s="37" t="s">
        <v>203</v>
      </c>
      <c r="K256" s="90">
        <v>0.19</v>
      </c>
      <c r="L256" s="36" t="s">
        <v>1084</v>
      </c>
      <c r="M256" s="260">
        <f>'Ext. Mat_3'!$H$69</f>
        <v>57400</v>
      </c>
      <c r="N256" s="80">
        <f>M256*K256</f>
        <v>10906</v>
      </c>
      <c r="O256" s="80"/>
      <c r="P256" s="52">
        <f t="shared" si="4"/>
        <v>0</v>
      </c>
      <c r="Q256" s="80"/>
      <c r="R256" s="256"/>
    </row>
    <row r="257" spans="1:18" ht="13.7" customHeight="1">
      <c r="A257" s="37"/>
      <c r="B257" s="37"/>
      <c r="C257" s="37" t="s">
        <v>349</v>
      </c>
      <c r="D257" s="60"/>
      <c r="E257" s="34"/>
      <c r="F257" s="37" t="s">
        <v>130</v>
      </c>
      <c r="G257" s="61">
        <v>2</v>
      </c>
      <c r="H257" s="40">
        <f>'Ext. Mat_3'!$H$72</f>
        <v>1000</v>
      </c>
      <c r="I257" s="61">
        <f>H257*G257</f>
        <v>2000</v>
      </c>
      <c r="J257" s="37" t="s">
        <v>350</v>
      </c>
      <c r="K257" s="258">
        <v>250</v>
      </c>
      <c r="L257" s="36" t="s">
        <v>965</v>
      </c>
      <c r="M257" s="40">
        <v>10.08</v>
      </c>
      <c r="N257" s="80">
        <f>M257*K257</f>
        <v>2520</v>
      </c>
      <c r="O257" s="80"/>
      <c r="P257" s="52">
        <f t="shared" si="4"/>
        <v>0</v>
      </c>
      <c r="Q257" s="80"/>
      <c r="R257" s="256"/>
    </row>
    <row r="258" spans="1:18" ht="13.7" customHeight="1">
      <c r="A258" s="37"/>
      <c r="B258" s="37"/>
      <c r="C258" s="37" t="s">
        <v>351</v>
      </c>
      <c r="D258" s="183"/>
      <c r="E258" s="34"/>
      <c r="F258" s="37"/>
      <c r="G258" s="61"/>
      <c r="H258" s="39"/>
      <c r="I258" s="41"/>
      <c r="J258" s="44" t="s">
        <v>352</v>
      </c>
      <c r="K258" s="62">
        <v>77</v>
      </c>
      <c r="L258" s="43" t="s">
        <v>1087</v>
      </c>
      <c r="M258" s="70">
        <f>'Ext. Mat_3'!$H$41</f>
        <v>14.6</v>
      </c>
      <c r="N258" s="63">
        <f>M258*K258</f>
        <v>1124.2</v>
      </c>
      <c r="O258" s="63"/>
      <c r="P258" s="52">
        <f t="shared" si="4"/>
        <v>0</v>
      </c>
      <c r="Q258" s="63"/>
      <c r="R258" s="269"/>
    </row>
    <row r="259" spans="1:18" ht="13.7" customHeight="1">
      <c r="A259" s="44"/>
      <c r="B259" s="44"/>
      <c r="C259" s="101" t="s">
        <v>353</v>
      </c>
      <c r="D259" s="171">
        <v>30</v>
      </c>
      <c r="E259" s="58" t="s">
        <v>354</v>
      </c>
      <c r="F259" s="48"/>
      <c r="G259" s="49"/>
      <c r="H259" s="50" t="s">
        <v>1108</v>
      </c>
      <c r="I259" s="51">
        <f>SUM(I256:I258)</f>
        <v>3330</v>
      </c>
      <c r="J259" s="48"/>
      <c r="K259" s="49"/>
      <c r="L259" s="29"/>
      <c r="M259" s="50" t="s">
        <v>1108</v>
      </c>
      <c r="N259" s="52">
        <f>SUM(N256:N258)</f>
        <v>14550.2</v>
      </c>
      <c r="O259" s="52">
        <f>N259+I259</f>
        <v>17880.2</v>
      </c>
      <c r="P259" s="52">
        <f t="shared" si="4"/>
        <v>2682.03</v>
      </c>
      <c r="Q259" s="52">
        <f>P259+O259</f>
        <v>20562.23</v>
      </c>
      <c r="R259" s="255">
        <f>ROUND((Q259/D259),2)</f>
        <v>685.41</v>
      </c>
    </row>
    <row r="260" spans="1:18" ht="13.7" customHeight="1">
      <c r="A260" s="37">
        <v>65</v>
      </c>
      <c r="B260" s="101" t="s">
        <v>355</v>
      </c>
      <c r="C260" s="37" t="s">
        <v>356</v>
      </c>
      <c r="D260" s="60"/>
      <c r="E260" s="34"/>
      <c r="F260" s="37" t="s">
        <v>175</v>
      </c>
      <c r="G260" s="61">
        <v>1.08</v>
      </c>
      <c r="H260" s="40">
        <f>'Ext. Mat_3'!$H$71</f>
        <v>1330</v>
      </c>
      <c r="I260" s="61">
        <f>H260*G260</f>
        <v>1436.4</v>
      </c>
      <c r="J260" s="37" t="s">
        <v>350</v>
      </c>
      <c r="K260" s="258">
        <v>110</v>
      </c>
      <c r="L260" s="36" t="s">
        <v>965</v>
      </c>
      <c r="M260" s="40">
        <v>10.08</v>
      </c>
      <c r="N260" s="80">
        <f>M260*K260</f>
        <v>1108.8</v>
      </c>
      <c r="O260" s="80"/>
      <c r="P260" s="52">
        <f t="shared" si="4"/>
        <v>0</v>
      </c>
      <c r="Q260" s="80"/>
      <c r="R260" s="256"/>
    </row>
    <row r="261" spans="1:18" ht="13.7" customHeight="1">
      <c r="A261" s="37"/>
      <c r="B261" s="37"/>
      <c r="C261" s="39"/>
      <c r="D261" s="113"/>
      <c r="E261" s="34"/>
      <c r="F261" s="37" t="s">
        <v>130</v>
      </c>
      <c r="G261" s="61">
        <v>5.38</v>
      </c>
      <c r="H261" s="40">
        <f>'Ext. Mat_3'!$H$72</f>
        <v>1000</v>
      </c>
      <c r="I261" s="61">
        <f>H261*G261</f>
        <v>5380</v>
      </c>
      <c r="J261" s="44"/>
      <c r="K261" s="62"/>
      <c r="L261" s="43"/>
      <c r="M261" s="44"/>
      <c r="N261" s="63"/>
      <c r="O261" s="63"/>
      <c r="P261" s="52">
        <f t="shared" si="4"/>
        <v>0</v>
      </c>
      <c r="Q261" s="63"/>
      <c r="R261" s="269"/>
    </row>
    <row r="262" spans="1:18" ht="13.5" customHeight="1">
      <c r="A262" s="44"/>
      <c r="B262" s="44"/>
      <c r="C262" s="44"/>
      <c r="D262" s="252">
        <v>100</v>
      </c>
      <c r="E262" s="58" t="s">
        <v>354</v>
      </c>
      <c r="F262" s="48"/>
      <c r="G262" s="49"/>
      <c r="H262" s="50" t="s">
        <v>1108</v>
      </c>
      <c r="I262" s="121">
        <f>SUM(I260:I261)</f>
        <v>6816.4</v>
      </c>
      <c r="J262" s="48"/>
      <c r="K262" s="49"/>
      <c r="L262" s="29"/>
      <c r="M262" s="50" t="s">
        <v>1108</v>
      </c>
      <c r="N262" s="52">
        <f>SUM(N260:N261)</f>
        <v>1108.8</v>
      </c>
      <c r="O262" s="52">
        <f>N262+I262</f>
        <v>7925.2</v>
      </c>
      <c r="P262" s="52">
        <f t="shared" si="4"/>
        <v>1188.78</v>
      </c>
      <c r="Q262" s="52">
        <f>P262+O262</f>
        <v>9113.98</v>
      </c>
      <c r="R262" s="255">
        <f>ROUND((Q262/D262),2)</f>
        <v>91.14</v>
      </c>
    </row>
    <row r="263" spans="1:18" ht="13.7" customHeight="1">
      <c r="A263" s="37">
        <v>66</v>
      </c>
      <c r="B263" s="101" t="s">
        <v>347</v>
      </c>
      <c r="C263" s="37" t="s">
        <v>357</v>
      </c>
      <c r="D263" s="60"/>
      <c r="E263" s="34"/>
      <c r="F263" s="37" t="s">
        <v>175</v>
      </c>
      <c r="G263" s="61">
        <v>2</v>
      </c>
      <c r="H263" s="40">
        <f>'Ext. Mat_3'!$H$71</f>
        <v>1330</v>
      </c>
      <c r="I263" s="61">
        <f>H263*G263</f>
        <v>2660</v>
      </c>
      <c r="J263" s="37" t="s">
        <v>358</v>
      </c>
      <c r="K263" s="90">
        <v>0.33</v>
      </c>
      <c r="L263" s="36" t="s">
        <v>1084</v>
      </c>
      <c r="M263" s="184">
        <f>O65</f>
        <v>14924.463599999999</v>
      </c>
      <c r="N263" s="80">
        <f t="shared" ref="N263:N268" si="5">M263*K263</f>
        <v>4925.0729879999999</v>
      </c>
      <c r="O263" s="80"/>
      <c r="P263" s="52">
        <f t="shared" si="4"/>
        <v>0</v>
      </c>
      <c r="Q263" s="80"/>
      <c r="R263" s="256"/>
    </row>
    <row r="264" spans="1:18" ht="13.7" customHeight="1">
      <c r="A264" s="37"/>
      <c r="B264" s="37"/>
      <c r="C264" s="37" t="s">
        <v>359</v>
      </c>
      <c r="D264" s="33"/>
      <c r="E264" s="34"/>
      <c r="F264" s="37" t="s">
        <v>130</v>
      </c>
      <c r="G264" s="61">
        <v>5.31</v>
      </c>
      <c r="H264" s="40">
        <f>'Ext. Mat_3'!$H$72</f>
        <v>1000</v>
      </c>
      <c r="I264" s="61">
        <f>H264*G264</f>
        <v>5310</v>
      </c>
      <c r="J264" s="37" t="s">
        <v>360</v>
      </c>
      <c r="K264" s="90">
        <v>36.46</v>
      </c>
      <c r="L264" s="36" t="s">
        <v>1034</v>
      </c>
      <c r="M264" s="40">
        <f>'Ext. Mat_3'!$H$9</f>
        <v>100</v>
      </c>
      <c r="N264" s="80">
        <f t="shared" si="5"/>
        <v>3646</v>
      </c>
      <c r="O264" s="80"/>
      <c r="P264" s="52">
        <f t="shared" si="4"/>
        <v>0</v>
      </c>
      <c r="Q264" s="80"/>
      <c r="R264" s="256"/>
    </row>
    <row r="265" spans="1:18" ht="13.7" customHeight="1">
      <c r="A265" s="37"/>
      <c r="B265" s="37"/>
      <c r="C265" s="32" t="s">
        <v>361</v>
      </c>
      <c r="D265" s="60"/>
      <c r="E265" s="34"/>
      <c r="F265" s="37"/>
      <c r="G265" s="61"/>
      <c r="H265" s="40"/>
      <c r="I265" s="61"/>
      <c r="J265" s="37" t="s">
        <v>362</v>
      </c>
      <c r="K265" s="90">
        <v>13.2</v>
      </c>
      <c r="L265" s="36" t="s">
        <v>1182</v>
      </c>
      <c r="M265" s="40">
        <f>$R$90</f>
        <v>1322.68</v>
      </c>
      <c r="N265" s="80">
        <f t="shared" si="5"/>
        <v>17459.376</v>
      </c>
      <c r="O265" s="80"/>
      <c r="P265" s="52">
        <f t="shared" si="4"/>
        <v>0</v>
      </c>
      <c r="Q265" s="80"/>
      <c r="R265" s="256"/>
    </row>
    <row r="266" spans="1:18" ht="13.7" customHeight="1">
      <c r="A266" s="37"/>
      <c r="B266" s="37"/>
      <c r="C266" s="37" t="s">
        <v>363</v>
      </c>
      <c r="D266" s="33"/>
      <c r="E266" s="34"/>
      <c r="F266" s="37"/>
      <c r="G266" s="61"/>
      <c r="H266" s="40"/>
      <c r="I266" s="61"/>
      <c r="J266" s="37" t="s">
        <v>364</v>
      </c>
      <c r="K266" s="90">
        <v>0.36</v>
      </c>
      <c r="L266" s="36" t="s">
        <v>1034</v>
      </c>
      <c r="M266" s="40">
        <f>'Ext. Mat_3'!H12</f>
        <v>120</v>
      </c>
      <c r="N266" s="80">
        <f t="shared" si="5"/>
        <v>43.199999999999996</v>
      </c>
      <c r="O266" s="80"/>
      <c r="P266" s="52">
        <f t="shared" si="4"/>
        <v>0</v>
      </c>
      <c r="Q266" s="80"/>
      <c r="R266" s="256"/>
    </row>
    <row r="267" spans="1:18" ht="13.7" customHeight="1">
      <c r="A267" s="37"/>
      <c r="B267" s="37"/>
      <c r="C267" s="32"/>
      <c r="D267" s="33"/>
      <c r="E267" s="34"/>
      <c r="F267" s="37"/>
      <c r="G267" s="61"/>
      <c r="H267" s="40"/>
      <c r="I267" s="61"/>
      <c r="J267" s="37" t="s">
        <v>350</v>
      </c>
      <c r="K267" s="258">
        <v>250</v>
      </c>
      <c r="L267" s="36" t="s">
        <v>965</v>
      </c>
      <c r="M267" s="40">
        <v>10.08</v>
      </c>
      <c r="N267" s="256">
        <f t="shared" si="5"/>
        <v>2520</v>
      </c>
      <c r="O267" s="80"/>
      <c r="P267" s="52">
        <f t="shared" si="4"/>
        <v>0</v>
      </c>
      <c r="Q267" s="80"/>
      <c r="R267" s="256"/>
    </row>
    <row r="268" spans="1:18" ht="13.7" customHeight="1">
      <c r="A268" s="37"/>
      <c r="B268" s="37"/>
      <c r="D268" s="164"/>
      <c r="E268" s="34"/>
      <c r="F268" s="37"/>
      <c r="G268" s="61"/>
      <c r="H268" s="39"/>
      <c r="I268" s="41"/>
      <c r="J268" s="44" t="s">
        <v>352</v>
      </c>
      <c r="K268" s="259">
        <v>116</v>
      </c>
      <c r="L268" s="43" t="s">
        <v>1087</v>
      </c>
      <c r="M268" s="70">
        <f>'Ext. Mat_3'!$H$41</f>
        <v>14.6</v>
      </c>
      <c r="N268" s="63">
        <f t="shared" si="5"/>
        <v>1693.6</v>
      </c>
      <c r="O268" s="63"/>
      <c r="P268" s="52">
        <f t="shared" si="4"/>
        <v>0</v>
      </c>
      <c r="Q268" s="63"/>
      <c r="R268" s="269"/>
    </row>
    <row r="269" spans="1:18" ht="13.7" customHeight="1">
      <c r="A269" s="44"/>
      <c r="B269" s="44"/>
      <c r="C269" s="106"/>
      <c r="D269" s="171">
        <v>30</v>
      </c>
      <c r="E269" s="58" t="s">
        <v>354</v>
      </c>
      <c r="F269" s="48"/>
      <c r="G269" s="49"/>
      <c r="H269" s="50" t="s">
        <v>1108</v>
      </c>
      <c r="I269" s="51">
        <f>SUM(I263:I268)</f>
        <v>7970</v>
      </c>
      <c r="J269" s="48"/>
      <c r="K269" s="49"/>
      <c r="L269" s="29"/>
      <c r="M269" s="50" t="s">
        <v>1108</v>
      </c>
      <c r="N269" s="257">
        <f>SUM(N263:N268)</f>
        <v>30287.248987999999</v>
      </c>
      <c r="O269" s="52">
        <f>N269+I269</f>
        <v>38257.248987999999</v>
      </c>
      <c r="P269" s="52">
        <f t="shared" si="4"/>
        <v>5738.5873481999997</v>
      </c>
      <c r="Q269" s="52">
        <f>P269+O269</f>
        <v>43995.836336200002</v>
      </c>
      <c r="R269" s="255">
        <f>ROUND((Q269/D269),2)</f>
        <v>1466.53</v>
      </c>
    </row>
    <row r="270" spans="1:18" ht="12.95" customHeight="1">
      <c r="A270" s="37">
        <v>67</v>
      </c>
      <c r="B270" s="37" t="s">
        <v>365</v>
      </c>
      <c r="C270" s="37" t="s">
        <v>366</v>
      </c>
      <c r="D270" s="60"/>
      <c r="E270" s="34"/>
      <c r="F270" s="37" t="s">
        <v>159</v>
      </c>
      <c r="G270" s="61">
        <v>1.5</v>
      </c>
      <c r="H270" s="40">
        <f>'Ext. Mat_3'!$H$71</f>
        <v>1330</v>
      </c>
      <c r="I270" s="61">
        <f>G270*H270</f>
        <v>1995</v>
      </c>
      <c r="J270" s="37" t="s">
        <v>367</v>
      </c>
      <c r="K270" s="258">
        <v>560</v>
      </c>
      <c r="L270" s="36" t="s">
        <v>1087</v>
      </c>
      <c r="M270" s="70">
        <f>'Ext. Mat_3'!$H$56</f>
        <v>15.145</v>
      </c>
      <c r="N270" s="80">
        <f>K270*M270</f>
        <v>8481.1999999999989</v>
      </c>
      <c r="O270" s="80"/>
      <c r="P270" s="52">
        <f t="shared" ref="P270:P281" si="6">0.15*O270</f>
        <v>0</v>
      </c>
      <c r="Q270" s="80"/>
      <c r="R270" s="256"/>
    </row>
    <row r="271" spans="1:18" ht="12.95" customHeight="1">
      <c r="A271" s="37"/>
      <c r="B271" s="37"/>
      <c r="C271" s="37" t="s">
        <v>368</v>
      </c>
      <c r="D271" s="60"/>
      <c r="E271" s="34"/>
      <c r="F271" s="37" t="s">
        <v>122</v>
      </c>
      <c r="G271" s="61">
        <v>4.2</v>
      </c>
      <c r="H271" s="70">
        <f>'Ext. Mat_3'!$H$72</f>
        <v>1000</v>
      </c>
      <c r="I271" s="61">
        <f>G271*H271</f>
        <v>4200</v>
      </c>
      <c r="J271" s="37" t="s">
        <v>170</v>
      </c>
      <c r="K271" s="90">
        <f>0.1*20</f>
        <v>2</v>
      </c>
      <c r="L271" s="36" t="s">
        <v>171</v>
      </c>
      <c r="M271" s="40">
        <f>'Ext. Mat_3'!$H$8</f>
        <v>640</v>
      </c>
      <c r="N271" s="80">
        <f>K271*M271</f>
        <v>1280</v>
      </c>
      <c r="O271" s="80"/>
      <c r="P271" s="52">
        <f t="shared" si="6"/>
        <v>0</v>
      </c>
      <c r="Q271" s="80"/>
      <c r="R271" s="256"/>
    </row>
    <row r="272" spans="1:18" ht="12.95" customHeight="1">
      <c r="A272" s="37"/>
      <c r="B272" s="37"/>
      <c r="C272" s="37"/>
      <c r="D272" s="60"/>
      <c r="E272" s="34"/>
      <c r="F272" s="37"/>
      <c r="G272" s="61"/>
      <c r="H272" s="39"/>
      <c r="I272" s="41"/>
      <c r="J272" s="44" t="s">
        <v>168</v>
      </c>
      <c r="K272" s="62">
        <v>0.28000000000000003</v>
      </c>
      <c r="L272" s="43" t="s">
        <v>1084</v>
      </c>
      <c r="M272" s="70">
        <f>'Ext. Mat_3'!$H$66</f>
        <v>3387.6</v>
      </c>
      <c r="N272" s="63">
        <f>K272*M272</f>
        <v>948.52800000000002</v>
      </c>
      <c r="O272" s="63"/>
      <c r="P272" s="52">
        <f t="shared" si="6"/>
        <v>0</v>
      </c>
      <c r="Q272" s="63"/>
      <c r="R272" s="269"/>
    </row>
    <row r="273" spans="1:18" ht="12.95" customHeight="1">
      <c r="A273" s="44"/>
      <c r="B273" s="44"/>
      <c r="C273" s="44"/>
      <c r="D273" s="58">
        <v>1</v>
      </c>
      <c r="E273" s="58" t="s">
        <v>1084</v>
      </c>
      <c r="F273" s="48"/>
      <c r="G273" s="49"/>
      <c r="H273" s="50" t="s">
        <v>1108</v>
      </c>
      <c r="I273" s="51">
        <f>SUM(I270:I272)</f>
        <v>6195</v>
      </c>
      <c r="J273" s="48"/>
      <c r="K273" s="49"/>
      <c r="L273" s="29"/>
      <c r="M273" s="50" t="s">
        <v>1108</v>
      </c>
      <c r="N273" s="52">
        <f>SUM(N270:N272)</f>
        <v>10709.727999999999</v>
      </c>
      <c r="O273" s="52">
        <f>N273+I273</f>
        <v>16904.727999999999</v>
      </c>
      <c r="P273" s="52">
        <f t="shared" si="6"/>
        <v>2535.7091999999998</v>
      </c>
      <c r="Q273" s="98">
        <f>P273+O273</f>
        <v>19440.4372</v>
      </c>
      <c r="R273" s="255">
        <f>ROUND((Q273/D273),2)</f>
        <v>19440.439999999999</v>
      </c>
    </row>
    <row r="274" spans="1:18" ht="12.95" customHeight="1">
      <c r="A274" s="37">
        <v>68</v>
      </c>
      <c r="B274" s="37" t="s">
        <v>369</v>
      </c>
      <c r="C274" s="37" t="s">
        <v>366</v>
      </c>
      <c r="D274" s="60"/>
      <c r="E274" s="34"/>
      <c r="F274" s="37" t="s">
        <v>159</v>
      </c>
      <c r="G274" s="61">
        <v>1.5</v>
      </c>
      <c r="H274" s="40">
        <f>'Ext. Mat_3'!$H$71</f>
        <v>1330</v>
      </c>
      <c r="I274" s="61">
        <f>G274*H274</f>
        <v>1995</v>
      </c>
      <c r="J274" s="37" t="s">
        <v>367</v>
      </c>
      <c r="K274" s="258">
        <v>560</v>
      </c>
      <c r="L274" s="36" t="s">
        <v>1087</v>
      </c>
      <c r="M274" s="70">
        <f>'Ext. Mat_3'!$H$56</f>
        <v>15.145</v>
      </c>
      <c r="N274" s="80">
        <f>K274*M274</f>
        <v>8481.1999999999989</v>
      </c>
      <c r="O274" s="80"/>
      <c r="P274" s="52">
        <f t="shared" si="6"/>
        <v>0</v>
      </c>
      <c r="Q274" s="80"/>
      <c r="R274" s="256"/>
    </row>
    <row r="275" spans="1:18" ht="12.95" customHeight="1">
      <c r="A275" s="37"/>
      <c r="B275" s="37"/>
      <c r="C275" s="37" t="s">
        <v>370</v>
      </c>
      <c r="D275" s="60"/>
      <c r="E275" s="34"/>
      <c r="F275" s="37" t="s">
        <v>122</v>
      </c>
      <c r="G275" s="61">
        <v>4.2</v>
      </c>
      <c r="H275" s="70">
        <f>'Ext. Mat_3'!$H$72</f>
        <v>1000</v>
      </c>
      <c r="I275" s="61">
        <f>G275*H275</f>
        <v>4200</v>
      </c>
      <c r="J275" s="37" t="s">
        <v>170</v>
      </c>
      <c r="K275" s="90">
        <f>0.07*20</f>
        <v>1.4000000000000001</v>
      </c>
      <c r="L275" s="36" t="s">
        <v>171</v>
      </c>
      <c r="M275" s="40">
        <f>'Ext. Mat_3'!$H$8</f>
        <v>640</v>
      </c>
      <c r="N275" s="80">
        <f>K275*M275</f>
        <v>896.00000000000011</v>
      </c>
      <c r="O275" s="80"/>
      <c r="P275" s="52">
        <f t="shared" si="6"/>
        <v>0</v>
      </c>
      <c r="Q275" s="80"/>
      <c r="R275" s="256"/>
    </row>
    <row r="276" spans="1:18" ht="12.95" customHeight="1">
      <c r="A276" s="37"/>
      <c r="B276" s="37"/>
      <c r="C276" s="37"/>
      <c r="D276" s="60"/>
      <c r="E276" s="34"/>
      <c r="F276" s="37"/>
      <c r="G276" s="61"/>
      <c r="H276" s="39"/>
      <c r="I276" s="41"/>
      <c r="J276" s="44" t="s">
        <v>168</v>
      </c>
      <c r="K276" s="62">
        <v>0.3</v>
      </c>
      <c r="L276" s="43" t="s">
        <v>1084</v>
      </c>
      <c r="M276" s="70">
        <f>'Ext. Mat_3'!$H$66</f>
        <v>3387.6</v>
      </c>
      <c r="N276" s="63">
        <f>K276*M276</f>
        <v>1016.28</v>
      </c>
      <c r="O276" s="63"/>
      <c r="P276" s="52">
        <f t="shared" si="6"/>
        <v>0</v>
      </c>
      <c r="Q276" s="63"/>
      <c r="R276" s="269"/>
    </row>
    <row r="277" spans="1:18" ht="12.95" customHeight="1">
      <c r="A277" s="44"/>
      <c r="B277" s="44"/>
      <c r="C277" s="44"/>
      <c r="D277" s="58">
        <v>1</v>
      </c>
      <c r="E277" s="58" t="s">
        <v>1084</v>
      </c>
      <c r="F277" s="48"/>
      <c r="G277" s="49"/>
      <c r="H277" s="50" t="s">
        <v>1108</v>
      </c>
      <c r="I277" s="51">
        <f>SUM(I274:I276)</f>
        <v>6195</v>
      </c>
      <c r="J277" s="48"/>
      <c r="K277" s="49"/>
      <c r="L277" s="29"/>
      <c r="M277" s="50" t="s">
        <v>1108</v>
      </c>
      <c r="N277" s="52">
        <f>SUM(N274:N276)</f>
        <v>10393.48</v>
      </c>
      <c r="O277" s="52">
        <f>N277+I277</f>
        <v>16588.48</v>
      </c>
      <c r="P277" s="52">
        <f t="shared" si="6"/>
        <v>2488.2719999999999</v>
      </c>
      <c r="Q277" s="98">
        <f>P277+O277</f>
        <v>19076.752</v>
      </c>
      <c r="R277" s="255">
        <f>ROUND((Q277/D277),2)</f>
        <v>19076.75</v>
      </c>
    </row>
    <row r="278" spans="1:18" ht="12.95" customHeight="1">
      <c r="A278" s="37">
        <v>69</v>
      </c>
      <c r="B278" s="37" t="s">
        <v>371</v>
      </c>
      <c r="C278" s="37" t="s">
        <v>372</v>
      </c>
      <c r="D278" s="60"/>
      <c r="E278" s="34"/>
      <c r="F278" s="37" t="s">
        <v>159</v>
      </c>
      <c r="G278" s="61">
        <v>0.05</v>
      </c>
      <c r="H278" s="40">
        <f>'Ext. Mat_3'!$H$71</f>
        <v>1330</v>
      </c>
      <c r="I278" s="61">
        <f>G278*H278</f>
        <v>66.5</v>
      </c>
      <c r="J278" s="37" t="s">
        <v>367</v>
      </c>
      <c r="K278" s="90">
        <v>42</v>
      </c>
      <c r="L278" s="36" t="s">
        <v>1087</v>
      </c>
      <c r="M278" s="70">
        <f>'Ext. Mat_3'!$H$56</f>
        <v>15.145</v>
      </c>
      <c r="N278" s="80">
        <f>K278*M278</f>
        <v>636.09</v>
      </c>
      <c r="O278" s="80"/>
      <c r="P278" s="52">
        <f t="shared" si="6"/>
        <v>0</v>
      </c>
      <c r="Q278" s="80"/>
      <c r="R278" s="256"/>
    </row>
    <row r="279" spans="1:18" ht="12.95" customHeight="1">
      <c r="A279" s="37"/>
      <c r="B279" s="37"/>
      <c r="C279" s="37"/>
      <c r="D279" s="60"/>
      <c r="E279" s="34"/>
      <c r="F279" s="37" t="s">
        <v>122</v>
      </c>
      <c r="G279" s="61">
        <v>0.1</v>
      </c>
      <c r="H279" s="70">
        <f>'Ext. Mat_3'!$H$72</f>
        <v>1000</v>
      </c>
      <c r="I279" s="61">
        <f>G279*H279</f>
        <v>100</v>
      </c>
      <c r="J279" s="37" t="s">
        <v>168</v>
      </c>
      <c r="K279" s="90">
        <v>7.0000000000000007E-2</v>
      </c>
      <c r="L279" s="36" t="s">
        <v>1084</v>
      </c>
      <c r="M279" s="70">
        <f>'Ext. Mat_3'!$H$66</f>
        <v>3387.6</v>
      </c>
      <c r="N279" s="80">
        <f>K279*M279</f>
        <v>237.13200000000001</v>
      </c>
      <c r="O279" s="80"/>
      <c r="P279" s="52">
        <f t="shared" si="6"/>
        <v>0</v>
      </c>
      <c r="Q279" s="80"/>
      <c r="R279" s="256"/>
    </row>
    <row r="280" spans="1:18" ht="12.95" customHeight="1">
      <c r="A280" s="37"/>
      <c r="B280" s="37"/>
      <c r="C280" s="37"/>
      <c r="D280" s="60"/>
      <c r="E280" s="34"/>
      <c r="F280" s="37"/>
      <c r="G280" s="61"/>
      <c r="H280" s="39"/>
      <c r="I280" s="41"/>
      <c r="J280" s="44"/>
      <c r="K280" s="62"/>
      <c r="L280" s="43"/>
      <c r="M280" s="70"/>
      <c r="N280" s="63"/>
      <c r="O280" s="63"/>
      <c r="P280" s="52">
        <f t="shared" si="6"/>
        <v>0</v>
      </c>
      <c r="Q280" s="63"/>
      <c r="R280" s="269"/>
    </row>
    <row r="281" spans="1:18" ht="12.95" customHeight="1">
      <c r="A281" s="44"/>
      <c r="B281" s="44"/>
      <c r="C281" s="44"/>
      <c r="D281" s="58">
        <v>1</v>
      </c>
      <c r="E281" s="58" t="s">
        <v>373</v>
      </c>
      <c r="F281" s="48"/>
      <c r="G281" s="49"/>
      <c r="H281" s="50" t="s">
        <v>1108</v>
      </c>
      <c r="I281" s="51">
        <f>SUM(I278:I280)</f>
        <v>166.5</v>
      </c>
      <c r="J281" s="48"/>
      <c r="K281" s="49"/>
      <c r="L281" s="29"/>
      <c r="M281" s="50" t="s">
        <v>1108</v>
      </c>
      <c r="N281" s="52">
        <f>SUM(N278:N280)</f>
        <v>873.22199999999998</v>
      </c>
      <c r="O281" s="52">
        <f>N281+I281</f>
        <v>1039.722</v>
      </c>
      <c r="P281" s="52">
        <f t="shared" si="6"/>
        <v>155.95829999999998</v>
      </c>
      <c r="Q281" s="98">
        <f>P281+O281</f>
        <v>1195.6803</v>
      </c>
      <c r="R281" s="255">
        <f>ROUND((Q281/D281),2)</f>
        <v>1195.68</v>
      </c>
    </row>
    <row r="282" spans="1:18">
      <c r="I282" s="6"/>
    </row>
    <row r="283" spans="1:18">
      <c r="I283" s="6"/>
    </row>
    <row r="284" spans="1:18">
      <c r="I284" s="6"/>
    </row>
  </sheetData>
  <mergeCells count="2">
    <mergeCell ref="A1:R1"/>
    <mergeCell ref="C91:C93"/>
  </mergeCells>
  <phoneticPr fontId="0" type="noConversion"/>
  <printOptions horizontalCentered="1"/>
  <pageMargins left="0.5" right="0.3" top="0.56999999999999995" bottom="0.42" header="0.33" footer="0.2"/>
  <pageSetup paperSize="9" scale="95" firstPageNumber="74" orientation="landscape" useFirstPageNumber="1" horizontalDpi="300" verticalDpi="300" r:id="rId1"/>
  <headerFooter alignWithMargins="0">
    <oddFooter>&amp;C&amp;"Times New Roman,Regular"&amp;11&amp;P</oddFooter>
  </headerFooter>
  <rowBreaks count="7" manualBreakCount="7">
    <brk id="39" max="16383" man="1"/>
    <brk id="72" max="16383" man="1"/>
    <brk id="107" max="16383" man="1"/>
    <brk id="137" max="16383" man="1"/>
    <brk id="201" max="16383" man="1"/>
    <brk id="234" max="16383" man="1"/>
    <brk id="269"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L118"/>
  <sheetViews>
    <sheetView view="pageBreakPreview" topLeftCell="A87" zoomScaleNormal="100" zoomScaleSheetLayoutView="100" workbookViewId="0">
      <selection activeCell="G3" sqref="G3"/>
    </sheetView>
  </sheetViews>
  <sheetFormatPr defaultColWidth="9.140625" defaultRowHeight="15.75"/>
  <cols>
    <col min="1" max="1" width="6.7109375" style="1309" customWidth="1"/>
    <col min="2" max="2" width="8.140625" style="1309" customWidth="1"/>
    <col min="3" max="3" width="44" style="1309" customWidth="1"/>
    <col min="4" max="4" width="5.140625" style="1309" customWidth="1"/>
    <col min="5" max="5" width="6.5703125" style="1309" hidden="1" customWidth="1"/>
    <col min="6" max="6" width="12.5703125" style="1309" bestFit="1" customWidth="1"/>
    <col min="7" max="7" width="12.5703125" style="1309" customWidth="1"/>
    <col min="8" max="8" width="10" style="1309" customWidth="1"/>
    <col min="9" max="10" width="9.140625" style="1309"/>
    <col min="11" max="11" width="23" style="1309" customWidth="1"/>
    <col min="12" max="12" width="11.5703125" style="1309" bestFit="1" customWidth="1"/>
    <col min="13" max="16384" width="9.140625" style="1309"/>
  </cols>
  <sheetData>
    <row r="1" spans="1:9">
      <c r="A1" s="2863" t="s">
        <v>3592</v>
      </c>
      <c r="B1" s="2863"/>
      <c r="C1" s="2863"/>
      <c r="D1" s="2863"/>
      <c r="E1" s="2863"/>
      <c r="F1" s="2863"/>
      <c r="G1" s="2863"/>
      <c r="H1" s="2863"/>
    </row>
    <row r="2" spans="1:9" ht="18.75">
      <c r="A2" s="2864" t="s">
        <v>3159</v>
      </c>
      <c r="B2" s="2864"/>
      <c r="C2" s="2864"/>
      <c r="D2" s="2864"/>
      <c r="E2" s="2864"/>
      <c r="F2" s="2864"/>
      <c r="G2" s="2864"/>
      <c r="H2" s="2864"/>
    </row>
    <row r="3" spans="1:9" ht="18.75">
      <c r="A3" s="2847"/>
      <c r="B3" s="2847"/>
      <c r="C3" s="2847"/>
      <c r="D3" s="2847"/>
      <c r="E3" s="2847"/>
      <c r="F3" s="2847"/>
      <c r="G3" s="2847"/>
      <c r="H3" s="2847"/>
    </row>
    <row r="4" spans="1:9" ht="16.5" thickBot="1">
      <c r="A4" s="2862" t="s">
        <v>3598</v>
      </c>
      <c r="B4" s="2862"/>
      <c r="C4" s="2862"/>
      <c r="D4" s="2862"/>
      <c r="E4" s="2862"/>
      <c r="F4" s="2862"/>
      <c r="G4" s="2862"/>
      <c r="H4" s="2862"/>
    </row>
    <row r="5" spans="1:9" ht="51.75">
      <c r="A5" s="1310" t="s">
        <v>2147</v>
      </c>
      <c r="B5" s="1311" t="s">
        <v>2148</v>
      </c>
      <c r="C5" s="1311" t="s">
        <v>1308</v>
      </c>
      <c r="D5" s="1312" t="s">
        <v>1035</v>
      </c>
      <c r="E5" s="1312"/>
      <c r="F5" s="1313" t="s">
        <v>3599</v>
      </c>
      <c r="G5" s="2859" t="s">
        <v>3600</v>
      </c>
      <c r="H5" s="1314" t="s">
        <v>2149</v>
      </c>
    </row>
    <row r="6" spans="1:9" ht="15.75" customHeight="1">
      <c r="A6" s="1315"/>
      <c r="B6" s="1316" t="s">
        <v>2150</v>
      </c>
      <c r="C6" s="1317"/>
      <c r="D6" s="1318"/>
      <c r="E6" s="1318"/>
      <c r="F6" s="1319"/>
      <c r="G6" s="2860"/>
      <c r="H6" s="1320"/>
    </row>
    <row r="7" spans="1:9">
      <c r="A7" s="1321">
        <v>1</v>
      </c>
      <c r="B7" s="1322" t="s">
        <v>2151</v>
      </c>
      <c r="C7" s="1323" t="s">
        <v>129</v>
      </c>
      <c r="D7" s="1324" t="s">
        <v>2152</v>
      </c>
      <c r="E7" s="1324"/>
      <c r="F7" s="1325">
        <f>Analysis!R13</f>
        <v>149.5</v>
      </c>
      <c r="G7" s="2861">
        <f>F7/1.15</f>
        <v>130</v>
      </c>
      <c r="H7" s="1326" t="s">
        <v>2153</v>
      </c>
    </row>
    <row r="8" spans="1:9">
      <c r="A8" s="1321">
        <v>2</v>
      </c>
      <c r="B8" s="1322" t="s">
        <v>2154</v>
      </c>
      <c r="C8" s="1323" t="s">
        <v>2155</v>
      </c>
      <c r="D8" s="1324" t="s">
        <v>2156</v>
      </c>
      <c r="E8" s="1324"/>
      <c r="F8" s="1325">
        <f>Analysis!R23</f>
        <v>1184.5</v>
      </c>
      <c r="G8" s="2861">
        <f t="shared" ref="G8:G71" si="0">F8/1.15</f>
        <v>1030</v>
      </c>
      <c r="H8" s="1326" t="s">
        <v>2157</v>
      </c>
    </row>
    <row r="9" spans="1:9">
      <c r="A9" s="1321">
        <v>3</v>
      </c>
      <c r="B9" s="1322" t="s">
        <v>2158</v>
      </c>
      <c r="C9" s="1323" t="s">
        <v>2159</v>
      </c>
      <c r="D9" s="1324" t="s">
        <v>2156</v>
      </c>
      <c r="E9" s="1324"/>
      <c r="F9" s="1325">
        <f>Analysis!R24</f>
        <v>1480.63</v>
      </c>
      <c r="G9" s="2861">
        <f t="shared" si="0"/>
        <v>1287.504347826087</v>
      </c>
      <c r="H9" s="1326" t="s">
        <v>2160</v>
      </c>
    </row>
    <row r="10" spans="1:9">
      <c r="A10" s="1321">
        <v>4</v>
      </c>
      <c r="B10" s="1322" t="s">
        <v>2161</v>
      </c>
      <c r="C10" s="1323" t="s">
        <v>2162</v>
      </c>
      <c r="D10" s="1324" t="s">
        <v>2156</v>
      </c>
      <c r="E10" s="1324"/>
      <c r="F10" s="1325">
        <f>Analysis!R25</f>
        <v>1883.36</v>
      </c>
      <c r="G10" s="2861">
        <f t="shared" si="0"/>
        <v>1637.7043478260871</v>
      </c>
      <c r="H10" s="1326" t="s">
        <v>2163</v>
      </c>
    </row>
    <row r="11" spans="1:9">
      <c r="A11" s="1321">
        <v>5</v>
      </c>
      <c r="B11" s="1322" t="s">
        <v>2164</v>
      </c>
      <c r="C11" s="1323" t="s">
        <v>2165</v>
      </c>
      <c r="D11" s="1324" t="s">
        <v>2156</v>
      </c>
      <c r="E11" s="1324"/>
      <c r="F11" s="1325">
        <f>Analysis!R26</f>
        <v>3553.5</v>
      </c>
      <c r="G11" s="2861">
        <f t="shared" si="0"/>
        <v>3090.0000000000005</v>
      </c>
      <c r="H11" s="1326" t="s">
        <v>2166</v>
      </c>
    </row>
    <row r="12" spans="1:9">
      <c r="A12" s="1321">
        <v>6</v>
      </c>
      <c r="B12" s="1322" t="s">
        <v>2167</v>
      </c>
      <c r="C12" s="1323" t="s">
        <v>2168</v>
      </c>
      <c r="D12" s="1324" t="s">
        <v>2156</v>
      </c>
      <c r="E12" s="1324"/>
      <c r="F12" s="1325">
        <f>'Analysis (2)'!M$13</f>
        <v>4903.83</v>
      </c>
      <c r="G12" s="2861">
        <f t="shared" si="0"/>
        <v>4264.2</v>
      </c>
      <c r="H12" s="1326" t="s">
        <v>2169</v>
      </c>
      <c r="I12" s="1309" t="s">
        <v>2758</v>
      </c>
    </row>
    <row r="13" spans="1:9">
      <c r="A13" s="1321">
        <v>7</v>
      </c>
      <c r="B13" s="1322" t="s">
        <v>2170</v>
      </c>
      <c r="C13" s="1323" t="s">
        <v>2171</v>
      </c>
      <c r="D13" s="1324" t="s">
        <v>2156</v>
      </c>
      <c r="E13" s="1324"/>
      <c r="F13" s="1325">
        <f>Analysis!R27</f>
        <v>29849.4</v>
      </c>
      <c r="G13" s="2861">
        <f t="shared" si="0"/>
        <v>25956.000000000004</v>
      </c>
      <c r="H13" s="1326" t="s">
        <v>2172</v>
      </c>
    </row>
    <row r="14" spans="1:9">
      <c r="A14" s="1321">
        <v>8</v>
      </c>
      <c r="B14" s="1322" t="s">
        <v>2173</v>
      </c>
      <c r="C14" s="1323" t="s">
        <v>2174</v>
      </c>
      <c r="D14" s="1324" t="s">
        <v>2156</v>
      </c>
      <c r="E14" s="1324"/>
      <c r="F14" s="1325">
        <f>Analysis!R29</f>
        <v>592.25</v>
      </c>
      <c r="G14" s="2861">
        <f t="shared" si="0"/>
        <v>515</v>
      </c>
      <c r="H14" s="1326" t="s">
        <v>2175</v>
      </c>
    </row>
    <row r="15" spans="1:9">
      <c r="A15" s="1321">
        <v>9</v>
      </c>
      <c r="B15" s="1322" t="s">
        <v>2176</v>
      </c>
      <c r="C15" s="1323" t="s">
        <v>2177</v>
      </c>
      <c r="D15" s="1324" t="s">
        <v>2156</v>
      </c>
      <c r="E15" s="1324"/>
      <c r="F15" s="1325">
        <f>Analysis!R30</f>
        <v>746.24</v>
      </c>
      <c r="G15" s="2861">
        <f t="shared" si="0"/>
        <v>648.90434782608702</v>
      </c>
      <c r="H15" s="1326" t="s">
        <v>2178</v>
      </c>
    </row>
    <row r="16" spans="1:9">
      <c r="A16" s="1321">
        <v>10</v>
      </c>
      <c r="B16" s="1322" t="s">
        <v>2179</v>
      </c>
      <c r="C16" s="1323" t="s">
        <v>2180</v>
      </c>
      <c r="D16" s="1324" t="s">
        <v>2156</v>
      </c>
      <c r="E16" s="1324"/>
      <c r="F16" s="1325">
        <f>Analysis!R31</f>
        <v>710.7</v>
      </c>
      <c r="G16" s="2861">
        <f t="shared" si="0"/>
        <v>618.00000000000011</v>
      </c>
      <c r="H16" s="1326" t="s">
        <v>2181</v>
      </c>
    </row>
    <row r="17" spans="1:8">
      <c r="A17" s="1321">
        <v>11</v>
      </c>
      <c r="B17" s="1322" t="s">
        <v>2182</v>
      </c>
      <c r="C17" s="1323" t="s">
        <v>2183</v>
      </c>
      <c r="D17" s="1324" t="s">
        <v>2156</v>
      </c>
      <c r="E17" s="1324"/>
      <c r="F17" s="1325">
        <f>Analysis!R32</f>
        <v>1302.95</v>
      </c>
      <c r="G17" s="2861">
        <f t="shared" si="0"/>
        <v>1133.0000000000002</v>
      </c>
      <c r="H17" s="1326" t="s">
        <v>2184</v>
      </c>
    </row>
    <row r="18" spans="1:8">
      <c r="A18" s="1327"/>
      <c r="B18" s="1316" t="s">
        <v>156</v>
      </c>
      <c r="C18" s="1318"/>
      <c r="D18" s="1328"/>
      <c r="E18" s="1328"/>
      <c r="F18" s="1319"/>
      <c r="G18" s="2861">
        <f t="shared" si="0"/>
        <v>0</v>
      </c>
      <c r="H18" s="1320"/>
    </row>
    <row r="19" spans="1:8">
      <c r="A19" s="1321">
        <v>11</v>
      </c>
      <c r="B19" s="1322" t="s">
        <v>2185</v>
      </c>
      <c r="C19" s="1323" t="s">
        <v>2186</v>
      </c>
      <c r="D19" s="1324" t="s">
        <v>2156</v>
      </c>
      <c r="E19" s="1324"/>
      <c r="F19" s="1325">
        <f>Analysis!R40</f>
        <v>5523.35</v>
      </c>
      <c r="G19" s="2861">
        <f t="shared" si="0"/>
        <v>4802.9130434782619</v>
      </c>
      <c r="H19" s="1326" t="s">
        <v>2187</v>
      </c>
    </row>
    <row r="20" spans="1:8">
      <c r="A20" s="1321">
        <v>12</v>
      </c>
      <c r="B20" s="1329" t="s">
        <v>166</v>
      </c>
      <c r="C20" s="1323" t="s">
        <v>2188</v>
      </c>
      <c r="D20" s="1324" t="s">
        <v>2156</v>
      </c>
      <c r="E20" s="1324"/>
      <c r="F20" s="1325">
        <f>Analysis!R43</f>
        <v>11802.3</v>
      </c>
      <c r="G20" s="2861">
        <f t="shared" si="0"/>
        <v>10262.869565217392</v>
      </c>
      <c r="H20" s="1326" t="s">
        <v>2189</v>
      </c>
    </row>
    <row r="21" spans="1:8">
      <c r="A21" s="1321">
        <v>13</v>
      </c>
      <c r="B21" s="1322" t="s">
        <v>2190</v>
      </c>
      <c r="C21" s="1323" t="s">
        <v>163</v>
      </c>
      <c r="D21" s="1324" t="s">
        <v>2156</v>
      </c>
      <c r="E21" s="1324"/>
      <c r="F21" s="1325">
        <f>Analysis!R39</f>
        <v>7311.32</v>
      </c>
      <c r="G21" s="2861">
        <f t="shared" si="0"/>
        <v>6357.6695652173912</v>
      </c>
      <c r="H21" s="1326" t="s">
        <v>2191</v>
      </c>
    </row>
    <row r="22" spans="1:8">
      <c r="A22" s="1321">
        <v>14</v>
      </c>
      <c r="B22" s="1324" t="s">
        <v>2192</v>
      </c>
      <c r="C22" s="1323" t="s">
        <v>844</v>
      </c>
      <c r="D22" s="1324" t="s">
        <v>2156</v>
      </c>
      <c r="E22" s="1324"/>
      <c r="F22" s="1325">
        <f>Analysis!R36</f>
        <v>7764.49</v>
      </c>
      <c r="G22" s="2861">
        <f t="shared" si="0"/>
        <v>6751.7304347826093</v>
      </c>
      <c r="H22" s="1326" t="s">
        <v>2193</v>
      </c>
    </row>
    <row r="23" spans="1:8">
      <c r="A23" s="1321">
        <v>15</v>
      </c>
      <c r="B23" s="1322" t="s">
        <v>2194</v>
      </c>
      <c r="C23" s="1323" t="s">
        <v>2195</v>
      </c>
      <c r="D23" s="1324" t="s">
        <v>2156</v>
      </c>
      <c r="E23" s="1324"/>
      <c r="F23" s="1325">
        <f>Analysis!R55</f>
        <v>16017.96</v>
      </c>
      <c r="G23" s="2861">
        <f t="shared" si="0"/>
        <v>13928.660869565218</v>
      </c>
      <c r="H23" s="1326" t="s">
        <v>2196</v>
      </c>
    </row>
    <row r="24" spans="1:8">
      <c r="A24" s="1321">
        <v>16</v>
      </c>
      <c r="B24" s="1322" t="s">
        <v>2197</v>
      </c>
      <c r="C24" s="1323" t="s">
        <v>2198</v>
      </c>
      <c r="D24" s="1324" t="s">
        <v>2156</v>
      </c>
      <c r="E24" s="1324"/>
      <c r="F24" s="1325">
        <f>Analysis!R47</f>
        <v>15619.64</v>
      </c>
      <c r="G24" s="2861">
        <f t="shared" si="0"/>
        <v>13582.295652173914</v>
      </c>
      <c r="H24" s="1326" t="s">
        <v>2199</v>
      </c>
    </row>
    <row r="25" spans="1:8">
      <c r="A25" s="1321">
        <v>17</v>
      </c>
      <c r="B25" s="1322" t="s">
        <v>2200</v>
      </c>
      <c r="C25" s="1323" t="s">
        <v>2201</v>
      </c>
      <c r="D25" s="1324" t="s">
        <v>2156</v>
      </c>
      <c r="E25" s="1324"/>
      <c r="F25" s="1325">
        <f>Analysis!R51</f>
        <v>14917.39</v>
      </c>
      <c r="G25" s="2861">
        <f t="shared" si="0"/>
        <v>12971.64347826087</v>
      </c>
      <c r="H25" s="1326" t="s">
        <v>2202</v>
      </c>
    </row>
    <row r="26" spans="1:8">
      <c r="A26" s="1327"/>
      <c r="B26" s="1316" t="s">
        <v>2759</v>
      </c>
      <c r="C26" s="1318"/>
      <c r="D26" s="1328"/>
      <c r="E26" s="1328"/>
      <c r="F26" s="1319"/>
      <c r="G26" s="2861">
        <f t="shared" si="0"/>
        <v>0</v>
      </c>
      <c r="H26" s="1320"/>
    </row>
    <row r="27" spans="1:8">
      <c r="A27" s="1321">
        <v>18</v>
      </c>
      <c r="B27" s="1322" t="s">
        <v>371</v>
      </c>
      <c r="C27" s="1323" t="s">
        <v>372</v>
      </c>
      <c r="D27" s="1324" t="s">
        <v>1182</v>
      </c>
      <c r="E27" s="1324"/>
      <c r="F27" s="1325">
        <f>Analysis!R281</f>
        <v>1195.68</v>
      </c>
      <c r="G27" s="2861">
        <f t="shared" si="0"/>
        <v>1039.721739130435</v>
      </c>
      <c r="H27" s="1326" t="s">
        <v>2187</v>
      </c>
    </row>
    <row r="28" spans="1:8">
      <c r="A28" s="1321">
        <v>19</v>
      </c>
      <c r="B28" s="1329" t="s">
        <v>365</v>
      </c>
      <c r="C28" s="1323" t="s">
        <v>2760</v>
      </c>
      <c r="D28" s="1324" t="s">
        <v>2156</v>
      </c>
      <c r="E28" s="1324"/>
      <c r="F28" s="1325">
        <f>Analysis!R273</f>
        <v>19440.439999999999</v>
      </c>
      <c r="G28" s="2861">
        <f t="shared" si="0"/>
        <v>16904.73043478261</v>
      </c>
      <c r="H28" s="1326" t="s">
        <v>2189</v>
      </c>
    </row>
    <row r="29" spans="1:8">
      <c r="A29" s="1321">
        <v>20</v>
      </c>
      <c r="B29" s="1322" t="s">
        <v>369</v>
      </c>
      <c r="C29" s="1323" t="s">
        <v>2761</v>
      </c>
      <c r="D29" s="1324" t="s">
        <v>2156</v>
      </c>
      <c r="E29" s="1324"/>
      <c r="F29" s="1325">
        <f>Analysis!R277</f>
        <v>19076.75</v>
      </c>
      <c r="G29" s="2861">
        <f t="shared" si="0"/>
        <v>16588.478260869568</v>
      </c>
      <c r="H29" s="1326" t="s">
        <v>2191</v>
      </c>
    </row>
    <row r="30" spans="1:8">
      <c r="A30" s="1327"/>
      <c r="B30" s="1316" t="s">
        <v>2203</v>
      </c>
      <c r="C30" s="1330"/>
      <c r="D30" s="1328"/>
      <c r="E30" s="1328"/>
      <c r="F30" s="1331"/>
      <c r="G30" s="2861">
        <f t="shared" si="0"/>
        <v>0</v>
      </c>
      <c r="H30" s="1320"/>
    </row>
    <row r="31" spans="1:8">
      <c r="A31" s="1321">
        <v>21</v>
      </c>
      <c r="B31" s="1322" t="s">
        <v>2204</v>
      </c>
      <c r="C31" s="1323" t="s">
        <v>2205</v>
      </c>
      <c r="D31" s="1324" t="s">
        <v>2156</v>
      </c>
      <c r="E31" s="1324"/>
      <c r="F31" s="1325">
        <f>Analysis!R78</f>
        <v>14810.58</v>
      </c>
      <c r="G31" s="2861">
        <f t="shared" si="0"/>
        <v>12878.765217391305</v>
      </c>
      <c r="H31" s="1326" t="s">
        <v>2206</v>
      </c>
    </row>
    <row r="32" spans="1:8">
      <c r="A32" s="1321">
        <v>22</v>
      </c>
      <c r="B32" s="1322" t="s">
        <v>2207</v>
      </c>
      <c r="C32" s="1323" t="s">
        <v>2208</v>
      </c>
      <c r="D32" s="1324" t="s">
        <v>2156</v>
      </c>
      <c r="E32" s="1324"/>
      <c r="F32" s="1325">
        <f>Analysis!R72</f>
        <v>16022.87</v>
      </c>
      <c r="G32" s="2861">
        <f t="shared" si="0"/>
        <v>13932.930434782611</v>
      </c>
      <c r="H32" s="1326" t="s">
        <v>2209</v>
      </c>
    </row>
    <row r="33" spans="1:12">
      <c r="A33" s="1321">
        <v>23</v>
      </c>
      <c r="B33" s="1322" t="s">
        <v>2210</v>
      </c>
      <c r="C33" s="1323" t="s">
        <v>2211</v>
      </c>
      <c r="D33" s="1324" t="s">
        <v>2156</v>
      </c>
      <c r="E33" s="1324"/>
      <c r="F33" s="1325">
        <f>Analysis!R65</f>
        <v>17163.13</v>
      </c>
      <c r="G33" s="2861">
        <f t="shared" si="0"/>
        <v>14924.460869565219</v>
      </c>
      <c r="H33" s="1326" t="s">
        <v>2212</v>
      </c>
    </row>
    <row r="34" spans="1:12">
      <c r="A34" s="1321">
        <v>24</v>
      </c>
      <c r="B34" s="1322" t="s">
        <v>2213</v>
      </c>
      <c r="C34" s="1323" t="s">
        <v>2214</v>
      </c>
      <c r="D34" s="1324" t="s">
        <v>2156</v>
      </c>
      <c r="E34" s="1324"/>
      <c r="F34" s="1631">
        <f>'Analysis (2)'!K$62</f>
        <v>18426.37</v>
      </c>
      <c r="G34" s="2861">
        <f t="shared" si="0"/>
        <v>16022.930434782609</v>
      </c>
      <c r="H34" s="1326" t="s">
        <v>2215</v>
      </c>
      <c r="I34" s="1309" t="s">
        <v>2758</v>
      </c>
      <c r="L34" s="2849">
        <f>F34/1.15</f>
        <v>16022.930434782609</v>
      </c>
    </row>
    <row r="35" spans="1:12">
      <c r="A35" s="1321">
        <v>25</v>
      </c>
      <c r="B35" s="1322" t="s">
        <v>2210</v>
      </c>
      <c r="C35" s="1323" t="s">
        <v>2216</v>
      </c>
      <c r="D35" s="1324" t="s">
        <v>2156</v>
      </c>
      <c r="E35" s="1324"/>
      <c r="F35" s="1631">
        <f>'Analysis (2)'!M$62</f>
        <v>19566.629999999997</v>
      </c>
      <c r="G35" s="2861">
        <f t="shared" si="0"/>
        <v>17014.460869565217</v>
      </c>
      <c r="H35" s="1326" t="s">
        <v>2217</v>
      </c>
      <c r="L35" s="2849">
        <f t="shared" ref="L35:L37" si="1">F35/1.15</f>
        <v>17014.460869565217</v>
      </c>
    </row>
    <row r="36" spans="1:12">
      <c r="A36" s="1321">
        <v>26</v>
      </c>
      <c r="B36" s="1322" t="s">
        <v>2207</v>
      </c>
      <c r="C36" s="1323" t="s">
        <v>2218</v>
      </c>
      <c r="D36" s="1324" t="s">
        <v>2156</v>
      </c>
      <c r="E36" s="1324"/>
      <c r="F36" s="1631">
        <f>'Analysis (2)'!S$62</f>
        <v>16395.239999999998</v>
      </c>
      <c r="G36" s="2861">
        <f t="shared" si="0"/>
        <v>14256.730434782608</v>
      </c>
      <c r="H36" s="1326" t="s">
        <v>2219</v>
      </c>
      <c r="L36" s="2849">
        <f t="shared" si="1"/>
        <v>14256.730434782608</v>
      </c>
    </row>
    <row r="37" spans="1:12">
      <c r="A37" s="1321">
        <v>27</v>
      </c>
      <c r="B37" s="1322" t="s">
        <v>2210</v>
      </c>
      <c r="C37" s="1323" t="s">
        <v>2220</v>
      </c>
      <c r="D37" s="1324" t="s">
        <v>2156</v>
      </c>
      <c r="E37" s="1324"/>
      <c r="F37" s="1631">
        <f>'Analysis (2)'!U$62</f>
        <v>17750.78</v>
      </c>
      <c r="G37" s="2861">
        <f t="shared" si="0"/>
        <v>15435.460869565217</v>
      </c>
      <c r="H37" s="1326" t="s">
        <v>2221</v>
      </c>
      <c r="L37" s="2849">
        <f t="shared" si="1"/>
        <v>15435.460869565217</v>
      </c>
    </row>
    <row r="38" spans="1:12">
      <c r="A38" s="1327"/>
      <c r="B38" s="1316" t="s">
        <v>2222</v>
      </c>
      <c r="C38" s="1330"/>
      <c r="D38" s="1328"/>
      <c r="E38" s="1328"/>
      <c r="F38" s="1332"/>
      <c r="G38" s="2861">
        <f t="shared" si="0"/>
        <v>0</v>
      </c>
      <c r="H38" s="1320"/>
    </row>
    <row r="39" spans="1:12">
      <c r="A39" s="1321">
        <v>28</v>
      </c>
      <c r="B39" s="1329" t="s">
        <v>189</v>
      </c>
      <c r="C39" s="1323" t="s">
        <v>190</v>
      </c>
      <c r="D39" s="1324" t="s">
        <v>1034</v>
      </c>
      <c r="E39" s="1324"/>
      <c r="F39" s="1325">
        <f>Analysis!R81</f>
        <v>125.35</v>
      </c>
      <c r="G39" s="2861">
        <f t="shared" si="0"/>
        <v>109</v>
      </c>
      <c r="H39" s="1326" t="s">
        <v>2223</v>
      </c>
    </row>
    <row r="40" spans="1:12">
      <c r="A40" s="1321">
        <v>29</v>
      </c>
      <c r="B40" s="1322" t="s">
        <v>2224</v>
      </c>
      <c r="C40" s="1333" t="s">
        <v>2225</v>
      </c>
      <c r="D40" s="1324" t="s">
        <v>2152</v>
      </c>
      <c r="E40" s="1324"/>
      <c r="F40" s="1325">
        <f>Analysis!R90</f>
        <v>1322.68</v>
      </c>
      <c r="G40" s="2861">
        <f t="shared" si="0"/>
        <v>1150.1565217391305</v>
      </c>
      <c r="H40" s="1326" t="s">
        <v>2226</v>
      </c>
    </row>
    <row r="41" spans="1:12" ht="23.25">
      <c r="A41" s="1321"/>
      <c r="B41" s="1324"/>
      <c r="C41" s="1333" t="s">
        <v>2227</v>
      </c>
      <c r="D41" s="1324" t="s">
        <v>2152</v>
      </c>
      <c r="E41" s="1324"/>
      <c r="F41" s="1334">
        <f>'Analysis (2)'!S76</f>
        <v>2395.0800000000004</v>
      </c>
      <c r="G41" s="2861">
        <f t="shared" si="0"/>
        <v>2082.6782608695657</v>
      </c>
      <c r="H41" s="1326" t="s">
        <v>2228</v>
      </c>
    </row>
    <row r="42" spans="1:12">
      <c r="A42" s="1321">
        <v>30</v>
      </c>
      <c r="B42" s="1324" t="s">
        <v>2229</v>
      </c>
      <c r="C42" s="1323" t="s">
        <v>2230</v>
      </c>
      <c r="D42" s="1324" t="s">
        <v>2152</v>
      </c>
      <c r="E42" s="1324"/>
      <c r="F42" s="1325">
        <f>Analysis!R97</f>
        <v>490.15</v>
      </c>
      <c r="G42" s="2861">
        <f t="shared" si="0"/>
        <v>426.21739130434781</v>
      </c>
      <c r="H42" s="1326" t="s">
        <v>2231</v>
      </c>
    </row>
    <row r="43" spans="1:12" ht="23.25">
      <c r="A43" s="1321">
        <v>31</v>
      </c>
      <c r="B43" s="1324" t="s">
        <v>2229</v>
      </c>
      <c r="C43" s="1333" t="s">
        <v>2232</v>
      </c>
      <c r="D43" s="1324" t="s">
        <v>2152</v>
      </c>
      <c r="E43" s="1324"/>
      <c r="F43" s="1325">
        <f>Analysis!R86</f>
        <v>1246.28</v>
      </c>
      <c r="G43" s="2861">
        <f t="shared" si="0"/>
        <v>1083.7217391304348</v>
      </c>
      <c r="H43" s="1326" t="s">
        <v>2233</v>
      </c>
    </row>
    <row r="44" spans="1:12">
      <c r="A44" s="1321">
        <v>32</v>
      </c>
      <c r="B44" s="1322" t="s">
        <v>355</v>
      </c>
      <c r="C44" s="1323" t="s">
        <v>356</v>
      </c>
      <c r="D44" s="1324" t="s">
        <v>965</v>
      </c>
      <c r="E44" s="1324"/>
      <c r="F44" s="1631">
        <f>'Analysis (2)'!I110</f>
        <v>99.291000000000011</v>
      </c>
      <c r="G44" s="2861">
        <f t="shared" si="0"/>
        <v>86.340000000000018</v>
      </c>
      <c r="H44" s="1326" t="s">
        <v>2234</v>
      </c>
    </row>
    <row r="45" spans="1:12" ht="23.25">
      <c r="A45" s="1321">
        <v>33</v>
      </c>
      <c r="B45" s="1322" t="s">
        <v>347</v>
      </c>
      <c r="C45" s="1333" t="s">
        <v>2235</v>
      </c>
      <c r="D45" s="1324" t="s">
        <v>965</v>
      </c>
      <c r="E45" s="1324"/>
      <c r="F45" s="1325">
        <f>Analysis!R269</f>
        <v>1466.53</v>
      </c>
      <c r="G45" s="2861">
        <f t="shared" si="0"/>
        <v>1275.2434782608696</v>
      </c>
      <c r="H45" s="1326" t="s">
        <v>2236</v>
      </c>
    </row>
    <row r="46" spans="1:12">
      <c r="A46" s="1321">
        <v>34</v>
      </c>
      <c r="B46" s="1322" t="s">
        <v>261</v>
      </c>
      <c r="C46" s="1323" t="s">
        <v>2237</v>
      </c>
      <c r="D46" s="1324" t="s">
        <v>2156</v>
      </c>
      <c r="E46" s="1324"/>
      <c r="F46" s="1325">
        <f>Analysis!R116</f>
        <v>330697.90000000002</v>
      </c>
      <c r="G46" s="2861">
        <f t="shared" si="0"/>
        <v>287563.3913043479</v>
      </c>
      <c r="H46" s="1326" t="s">
        <v>2238</v>
      </c>
    </row>
    <row r="47" spans="1:12" ht="23.25">
      <c r="A47" s="1321">
        <v>35</v>
      </c>
      <c r="B47" s="1324"/>
      <c r="C47" s="1333" t="s">
        <v>2239</v>
      </c>
      <c r="D47" s="1324" t="s">
        <v>2152</v>
      </c>
      <c r="E47" s="1324"/>
      <c r="F47" s="1325">
        <f>Analysis!R127</f>
        <v>18247.55</v>
      </c>
      <c r="G47" s="2861">
        <f t="shared" si="0"/>
        <v>15867.434782608696</v>
      </c>
      <c r="H47" s="1326" t="s">
        <v>2240</v>
      </c>
    </row>
    <row r="48" spans="1:12">
      <c r="A48" s="1321"/>
      <c r="B48" s="1324"/>
      <c r="C48" s="1333" t="s">
        <v>2241</v>
      </c>
      <c r="D48" s="1324" t="s">
        <v>2152</v>
      </c>
      <c r="E48" s="1324"/>
      <c r="F48" s="1631">
        <f>'Analysis (2)'!I184</f>
        <v>10386.540000000001</v>
      </c>
      <c r="G48" s="2861">
        <f t="shared" si="0"/>
        <v>9031.7739130434802</v>
      </c>
      <c r="H48" s="1326" t="s">
        <v>2242</v>
      </c>
    </row>
    <row r="49" spans="1:8">
      <c r="A49" s="1321">
        <v>36</v>
      </c>
      <c r="B49" s="1322" t="s">
        <v>209</v>
      </c>
      <c r="C49" s="1323" t="s">
        <v>210</v>
      </c>
      <c r="D49" s="1324" t="s">
        <v>2152</v>
      </c>
      <c r="E49" s="1324"/>
      <c r="F49" s="1325">
        <f>Analysis!$R$104</f>
        <v>1070.18</v>
      </c>
      <c r="G49" s="2861">
        <f t="shared" si="0"/>
        <v>930.59130434782617</v>
      </c>
      <c r="H49" s="1326" t="s">
        <v>2243</v>
      </c>
    </row>
    <row r="50" spans="1:8">
      <c r="A50" s="1321">
        <v>37</v>
      </c>
      <c r="B50" s="1322" t="s">
        <v>216</v>
      </c>
      <c r="C50" s="1323" t="s">
        <v>2762</v>
      </c>
      <c r="D50" s="1324" t="s">
        <v>1033</v>
      </c>
      <c r="E50" s="1324"/>
      <c r="F50" s="1325">
        <f>Analysis!R107</f>
        <v>1010.11</v>
      </c>
      <c r="G50" s="2861">
        <f t="shared" si="0"/>
        <v>878.35652173913047</v>
      </c>
      <c r="H50" s="1326" t="s">
        <v>2243</v>
      </c>
    </row>
    <row r="51" spans="1:8">
      <c r="A51" s="1321">
        <v>38</v>
      </c>
      <c r="B51" s="1324"/>
      <c r="C51" s="1333" t="s">
        <v>2244</v>
      </c>
      <c r="D51" s="1324" t="s">
        <v>2152</v>
      </c>
      <c r="E51" s="1324"/>
      <c r="F51" s="1325">
        <f>Analysis!$R$187</f>
        <v>198.72</v>
      </c>
      <c r="G51" s="2861">
        <f t="shared" si="0"/>
        <v>172.8</v>
      </c>
      <c r="H51" s="1326" t="s">
        <v>2245</v>
      </c>
    </row>
    <row r="52" spans="1:8" ht="45.75">
      <c r="A52" s="1321">
        <v>39</v>
      </c>
      <c r="B52" s="1322" t="s">
        <v>2246</v>
      </c>
      <c r="C52" s="1333" t="s">
        <v>2247</v>
      </c>
      <c r="D52" s="1324" t="s">
        <v>973</v>
      </c>
      <c r="E52" s="1324"/>
      <c r="F52" s="1325">
        <f>Analysis!$R$196</f>
        <v>2574.62</v>
      </c>
      <c r="G52" s="2861">
        <f t="shared" si="0"/>
        <v>2238.8000000000002</v>
      </c>
      <c r="H52" s="1326" t="s">
        <v>2248</v>
      </c>
    </row>
    <row r="53" spans="1:8">
      <c r="A53" s="1321">
        <v>40</v>
      </c>
      <c r="B53" s="1322" t="s">
        <v>322</v>
      </c>
      <c r="C53" s="1323" t="s">
        <v>2249</v>
      </c>
      <c r="D53" s="1324" t="s">
        <v>2156</v>
      </c>
      <c r="E53" s="1324"/>
      <c r="F53" s="1325">
        <f>Analysis!$R$200</f>
        <v>4056.82</v>
      </c>
      <c r="G53" s="2861">
        <f t="shared" si="0"/>
        <v>3527.6695652173917</v>
      </c>
      <c r="H53" s="1326" t="s">
        <v>2250</v>
      </c>
    </row>
    <row r="54" spans="1:8">
      <c r="A54" s="1321">
        <v>41</v>
      </c>
      <c r="B54" s="1324"/>
      <c r="C54" s="1323" t="s">
        <v>2251</v>
      </c>
      <c r="D54" s="1324" t="s">
        <v>2156</v>
      </c>
      <c r="E54" s="1324"/>
      <c r="F54" s="1631">
        <f>+'Analysis (2)'!E184</f>
        <v>5111.75</v>
      </c>
      <c r="G54" s="2861">
        <f t="shared" si="0"/>
        <v>4445</v>
      </c>
      <c r="H54" s="1326" t="s">
        <v>2252</v>
      </c>
    </row>
    <row r="55" spans="1:8">
      <c r="A55" s="1321">
        <v>42</v>
      </c>
      <c r="B55" s="1335" t="s">
        <v>261</v>
      </c>
      <c r="C55" s="1323" t="s">
        <v>2253</v>
      </c>
      <c r="D55" s="1324" t="s">
        <v>2156</v>
      </c>
      <c r="E55" s="1324"/>
      <c r="F55" s="1631">
        <f>+'Analysis (2)'!K184</f>
        <v>96024.08</v>
      </c>
      <c r="G55" s="2861">
        <f t="shared" si="0"/>
        <v>83499.200000000012</v>
      </c>
      <c r="H55" s="1326" t="s">
        <v>2254</v>
      </c>
    </row>
    <row r="56" spans="1:8">
      <c r="A56" s="1321">
        <v>43</v>
      </c>
      <c r="B56" s="1322" t="s">
        <v>2255</v>
      </c>
      <c r="C56" s="1323" t="s">
        <v>2256</v>
      </c>
      <c r="D56" s="1324" t="s">
        <v>47</v>
      </c>
      <c r="E56" s="1324"/>
      <c r="F56" s="1631">
        <f>+'Analysis (2)'!M184</f>
        <v>2056.38</v>
      </c>
      <c r="G56" s="2861">
        <f t="shared" si="0"/>
        <v>1788.1565217391308</v>
      </c>
      <c r="H56" s="1326" t="s">
        <v>2257</v>
      </c>
    </row>
    <row r="57" spans="1:8">
      <c r="A57" s="1336"/>
      <c r="B57" s="1316" t="s">
        <v>2258</v>
      </c>
      <c r="C57" s="1330"/>
      <c r="D57" s="1328"/>
      <c r="E57" s="1328"/>
      <c r="F57" s="1332"/>
      <c r="G57" s="2861">
        <f t="shared" si="0"/>
        <v>0</v>
      </c>
      <c r="H57" s="1320"/>
    </row>
    <row r="58" spans="1:8">
      <c r="A58" s="1321">
        <v>44</v>
      </c>
      <c r="B58" s="1322" t="s">
        <v>2259</v>
      </c>
      <c r="C58" s="1323" t="s">
        <v>2260</v>
      </c>
      <c r="D58" s="1324" t="s">
        <v>2152</v>
      </c>
      <c r="E58" s="1324"/>
      <c r="F58" s="1325">
        <f>Analysis!$R$153</f>
        <v>547.54999999999995</v>
      </c>
      <c r="G58" s="2861">
        <f t="shared" si="0"/>
        <v>476.13043478260869</v>
      </c>
      <c r="H58" s="1326" t="s">
        <v>2261</v>
      </c>
    </row>
    <row r="59" spans="1:8">
      <c r="A59" s="1321">
        <v>45</v>
      </c>
      <c r="B59" s="1337" t="s">
        <v>2262</v>
      </c>
      <c r="C59" s="1323" t="s">
        <v>2263</v>
      </c>
      <c r="D59" s="1324" t="s">
        <v>2152</v>
      </c>
      <c r="E59" s="1324"/>
      <c r="F59" s="1325">
        <f>Analysis!$R$156</f>
        <v>509.41</v>
      </c>
      <c r="G59" s="2861">
        <f t="shared" si="0"/>
        <v>442.96521739130441</v>
      </c>
      <c r="H59" s="1326" t="s">
        <v>2264</v>
      </c>
    </row>
    <row r="60" spans="1:8">
      <c r="A60" s="1321">
        <v>46</v>
      </c>
      <c r="B60" s="1337" t="s">
        <v>2265</v>
      </c>
      <c r="C60" s="1323" t="s">
        <v>1720</v>
      </c>
      <c r="D60" s="1324" t="s">
        <v>2152</v>
      </c>
      <c r="E60" s="1324"/>
      <c r="F60" s="1325">
        <f>Analysis!$R$159</f>
        <v>503.61</v>
      </c>
      <c r="G60" s="2861">
        <f t="shared" si="0"/>
        <v>437.92173913043484</v>
      </c>
      <c r="H60" s="1326" t="s">
        <v>2266</v>
      </c>
    </row>
    <row r="61" spans="1:8">
      <c r="A61" s="1321">
        <v>47</v>
      </c>
      <c r="B61" s="1337" t="s">
        <v>2267</v>
      </c>
      <c r="C61" s="1323" t="s">
        <v>2268</v>
      </c>
      <c r="D61" s="1324" t="s">
        <v>2152</v>
      </c>
      <c r="E61" s="1324"/>
      <c r="F61" s="1325">
        <f>Analysis!$R$162</f>
        <v>649.91</v>
      </c>
      <c r="G61" s="2861">
        <f t="shared" si="0"/>
        <v>565.1391304347826</v>
      </c>
      <c r="H61" s="1326" t="s">
        <v>2269</v>
      </c>
    </row>
    <row r="62" spans="1:8">
      <c r="A62" s="1321">
        <v>48</v>
      </c>
      <c r="B62" s="1337" t="s">
        <v>2270</v>
      </c>
      <c r="C62" s="1323" t="s">
        <v>2271</v>
      </c>
      <c r="D62" s="1324" t="s">
        <v>2152</v>
      </c>
      <c r="E62" s="1324"/>
      <c r="F62" s="1325">
        <f>Analysis!$R$165</f>
        <v>637.57000000000005</v>
      </c>
      <c r="G62" s="2861">
        <f t="shared" si="0"/>
        <v>554.40869565217395</v>
      </c>
      <c r="H62" s="1326" t="s">
        <v>2272</v>
      </c>
    </row>
    <row r="63" spans="1:8">
      <c r="A63" s="1321">
        <v>49</v>
      </c>
      <c r="B63" s="1322" t="s">
        <v>2273</v>
      </c>
      <c r="C63" s="1323" t="s">
        <v>2274</v>
      </c>
      <c r="D63" s="1324" t="s">
        <v>2152</v>
      </c>
      <c r="E63" s="1324"/>
      <c r="F63" s="1325">
        <f>Analysis!$R$168</f>
        <v>608.08000000000004</v>
      </c>
      <c r="G63" s="2861">
        <f t="shared" si="0"/>
        <v>528.76521739130442</v>
      </c>
      <c r="H63" s="1326" t="s">
        <v>2275</v>
      </c>
    </row>
    <row r="64" spans="1:8">
      <c r="A64" s="1321"/>
      <c r="B64" s="1322" t="s">
        <v>2259</v>
      </c>
      <c r="C64" s="1323" t="s">
        <v>2276</v>
      </c>
      <c r="D64" s="1324" t="s">
        <v>2152</v>
      </c>
      <c r="E64" s="1324"/>
      <c r="F64" s="1631">
        <f>'Analysis (2)'!S$94</f>
        <v>542.56000000000006</v>
      </c>
      <c r="G64" s="2861">
        <f t="shared" si="0"/>
        <v>471.79130434782616</v>
      </c>
      <c r="H64" s="1326" t="s">
        <v>2277</v>
      </c>
    </row>
    <row r="65" spans="1:8">
      <c r="A65" s="1321"/>
      <c r="B65" s="1322" t="s">
        <v>2262</v>
      </c>
      <c r="C65" s="1323" t="s">
        <v>2278</v>
      </c>
      <c r="D65" s="1324" t="s">
        <v>2152</v>
      </c>
      <c r="E65" s="1324"/>
      <c r="F65" s="1631">
        <f>'Analysis (2)'!U$94</f>
        <v>497.69</v>
      </c>
      <c r="G65" s="2861">
        <f t="shared" si="0"/>
        <v>432.77391304347827</v>
      </c>
      <c r="H65" s="1326" t="s">
        <v>2279</v>
      </c>
    </row>
    <row r="66" spans="1:8">
      <c r="A66" s="1321"/>
      <c r="B66" s="1322" t="s">
        <v>2267</v>
      </c>
      <c r="C66" s="1323" t="s">
        <v>2280</v>
      </c>
      <c r="D66" s="1324" t="s">
        <v>2152</v>
      </c>
      <c r="E66" s="1324"/>
      <c r="F66" s="1631">
        <f>'Analysis (2)'!W$94</f>
        <v>641.09</v>
      </c>
      <c r="G66" s="2861">
        <f t="shared" si="0"/>
        <v>557.46956521739139</v>
      </c>
      <c r="H66" s="1326" t="s">
        <v>2281</v>
      </c>
    </row>
    <row r="67" spans="1:8">
      <c r="A67" s="1321">
        <v>50</v>
      </c>
      <c r="B67" s="1322" t="s">
        <v>2282</v>
      </c>
      <c r="C67" s="1323" t="s">
        <v>1530</v>
      </c>
      <c r="D67" s="1324" t="s">
        <v>2152</v>
      </c>
      <c r="E67" s="1324"/>
      <c r="F67" s="1325">
        <f>Analysis!$R$174</f>
        <v>346.26</v>
      </c>
      <c r="G67" s="2861">
        <f t="shared" si="0"/>
        <v>301.09565217391304</v>
      </c>
      <c r="H67" s="1326" t="s">
        <v>2283</v>
      </c>
    </row>
    <row r="68" spans="1:8">
      <c r="A68" s="1321">
        <v>51</v>
      </c>
      <c r="B68" s="1324" t="s">
        <v>2284</v>
      </c>
      <c r="C68" s="1323" t="s">
        <v>2285</v>
      </c>
      <c r="D68" s="1324" t="s">
        <v>2152</v>
      </c>
      <c r="E68" s="1324"/>
      <c r="F68" s="1325">
        <f>Analysis!$R$171</f>
        <v>383.54</v>
      </c>
      <c r="G68" s="2861">
        <f t="shared" si="0"/>
        <v>333.5130434782609</v>
      </c>
      <c r="H68" s="1326" t="s">
        <v>2286</v>
      </c>
    </row>
    <row r="69" spans="1:8">
      <c r="A69" s="1327"/>
      <c r="B69" s="1338" t="s">
        <v>2287</v>
      </c>
      <c r="C69" s="1330"/>
      <c r="D69" s="1328"/>
      <c r="E69" s="1328"/>
      <c r="F69" s="1332"/>
      <c r="G69" s="2861">
        <f t="shared" si="0"/>
        <v>0</v>
      </c>
      <c r="H69" s="1326"/>
    </row>
    <row r="70" spans="1:8">
      <c r="A70" s="1321">
        <v>52</v>
      </c>
      <c r="B70" s="1339" t="s">
        <v>2288</v>
      </c>
      <c r="C70" s="1323" t="s">
        <v>2289</v>
      </c>
      <c r="D70" s="1324" t="s">
        <v>2152</v>
      </c>
      <c r="E70" s="1324"/>
      <c r="F70" s="1325">
        <f>Analysis!$R$181</f>
        <v>400.29</v>
      </c>
      <c r="G70" s="2861">
        <f t="shared" si="0"/>
        <v>348.07826086956527</v>
      </c>
      <c r="H70" s="1326" t="s">
        <v>2290</v>
      </c>
    </row>
    <row r="71" spans="1:8">
      <c r="A71" s="1321">
        <v>53</v>
      </c>
      <c r="B71" s="1339" t="s">
        <v>2291</v>
      </c>
      <c r="C71" s="1323" t="s">
        <v>2292</v>
      </c>
      <c r="D71" s="1324" t="s">
        <v>2152</v>
      </c>
      <c r="E71" s="1324"/>
      <c r="F71" s="1325">
        <f>Analysis!$R$178</f>
        <v>213.84</v>
      </c>
      <c r="G71" s="2861">
        <f t="shared" si="0"/>
        <v>185.94782608695655</v>
      </c>
      <c r="H71" s="1326" t="s">
        <v>2293</v>
      </c>
    </row>
    <row r="72" spans="1:8">
      <c r="A72" s="1321">
        <v>54</v>
      </c>
      <c r="B72" s="1339" t="s">
        <v>2282</v>
      </c>
      <c r="C72" s="1323" t="s">
        <v>300</v>
      </c>
      <c r="D72" s="1324" t="s">
        <v>2152</v>
      </c>
      <c r="E72" s="1324"/>
      <c r="F72" s="1325">
        <f>Analysis!$R$184</f>
        <v>103.35</v>
      </c>
      <c r="G72" s="2861">
        <f t="shared" ref="G72:G113" si="2">F72/1.15</f>
        <v>89.869565217391312</v>
      </c>
      <c r="H72" s="1326" t="s">
        <v>2294</v>
      </c>
    </row>
    <row r="73" spans="1:8">
      <c r="A73" s="1327"/>
      <c r="B73" s="1316" t="s">
        <v>2295</v>
      </c>
      <c r="D73" s="1340"/>
      <c r="E73" s="1340"/>
      <c r="F73" s="1332"/>
      <c r="G73" s="2861">
        <f t="shared" si="2"/>
        <v>0</v>
      </c>
      <c r="H73" s="1320"/>
    </row>
    <row r="74" spans="1:8">
      <c r="A74" s="1327"/>
      <c r="B74" s="1317" t="s">
        <v>2296</v>
      </c>
      <c r="C74" s="1330"/>
      <c r="D74" s="1328"/>
      <c r="E74" s="1328"/>
      <c r="F74" s="1332"/>
      <c r="G74" s="2861">
        <f t="shared" si="2"/>
        <v>0</v>
      </c>
      <c r="H74" s="1320"/>
    </row>
    <row r="75" spans="1:8">
      <c r="A75" s="1321">
        <v>55</v>
      </c>
      <c r="B75" s="1322" t="s">
        <v>327</v>
      </c>
      <c r="C75" s="1323" t="s">
        <v>2297</v>
      </c>
      <c r="D75" s="1324" t="s">
        <v>965</v>
      </c>
      <c r="E75" s="1324"/>
      <c r="F75" s="1325">
        <f>Analysis!$R$206</f>
        <v>5.3</v>
      </c>
      <c r="G75" s="2861">
        <f t="shared" si="2"/>
        <v>4.6086956521739131</v>
      </c>
      <c r="H75" s="1341" t="s">
        <v>2298</v>
      </c>
    </row>
    <row r="76" spans="1:8">
      <c r="A76" s="1321">
        <v>56</v>
      </c>
      <c r="B76" s="1322" t="s">
        <v>327</v>
      </c>
      <c r="C76" s="1323" t="s">
        <v>2299</v>
      </c>
      <c r="D76" s="1324" t="s">
        <v>965</v>
      </c>
      <c r="E76" s="1324"/>
      <c r="F76" s="1325">
        <f>Analysis!$R$210</f>
        <v>6.55</v>
      </c>
      <c r="G76" s="2861">
        <f t="shared" si="2"/>
        <v>5.6956521739130439</v>
      </c>
      <c r="H76" s="1341" t="s">
        <v>2300</v>
      </c>
    </row>
    <row r="77" spans="1:8">
      <c r="A77" s="1321">
        <v>57</v>
      </c>
      <c r="B77" s="1322" t="s">
        <v>327</v>
      </c>
      <c r="C77" s="1323" t="s">
        <v>2301</v>
      </c>
      <c r="D77" s="1324" t="s">
        <v>965</v>
      </c>
      <c r="E77" s="1324"/>
      <c r="F77" s="1325">
        <f>Analysis!$R$214</f>
        <v>7.95</v>
      </c>
      <c r="G77" s="2861">
        <f t="shared" si="2"/>
        <v>6.9130434782608701</v>
      </c>
      <c r="H77" s="1341" t="s">
        <v>2302</v>
      </c>
    </row>
    <row r="78" spans="1:8">
      <c r="A78" s="1321">
        <v>58</v>
      </c>
      <c r="B78" s="1322" t="s">
        <v>327</v>
      </c>
      <c r="C78" s="1323" t="s">
        <v>2303</v>
      </c>
      <c r="D78" s="1324" t="s">
        <v>965</v>
      </c>
      <c r="E78" s="1324"/>
      <c r="F78" s="1325">
        <f>Analysis!$R$218</f>
        <v>105.27</v>
      </c>
      <c r="G78" s="2861">
        <f t="shared" si="2"/>
        <v>91.539130434782606</v>
      </c>
      <c r="H78" s="1341" t="s">
        <v>2304</v>
      </c>
    </row>
    <row r="79" spans="1:8">
      <c r="A79" s="1321"/>
      <c r="B79" s="1322" t="s">
        <v>327</v>
      </c>
      <c r="C79" s="1323" t="s">
        <v>2305</v>
      </c>
      <c r="D79" s="1324" t="s">
        <v>965</v>
      </c>
      <c r="E79" s="1324"/>
      <c r="F79" s="1325">
        <f>Analysis!$R$222</f>
        <v>155.06</v>
      </c>
      <c r="G79" s="2861">
        <f t="shared" si="2"/>
        <v>134.83478260869566</v>
      </c>
      <c r="H79" s="1341" t="s">
        <v>2306</v>
      </c>
    </row>
    <row r="80" spans="1:8">
      <c r="A80" s="1321"/>
      <c r="B80" s="1322" t="s">
        <v>327</v>
      </c>
      <c r="C80" s="1323" t="s">
        <v>2307</v>
      </c>
      <c r="D80" s="1324" t="s">
        <v>965</v>
      </c>
      <c r="E80" s="1324"/>
      <c r="F80" s="1325">
        <f>Analysis!$R$226</f>
        <v>204.86</v>
      </c>
      <c r="G80" s="2861">
        <f t="shared" si="2"/>
        <v>178.13913043478263</v>
      </c>
      <c r="H80" s="1341" t="s">
        <v>2308</v>
      </c>
    </row>
    <row r="81" spans="1:8">
      <c r="A81" s="1321">
        <v>59</v>
      </c>
      <c r="B81" s="1324" t="s">
        <v>2229</v>
      </c>
      <c r="C81" s="1323" t="s">
        <v>2309</v>
      </c>
      <c r="D81" s="1324" t="s">
        <v>965</v>
      </c>
      <c r="E81" s="1324"/>
      <c r="F81" s="1325">
        <f>'Analysis (2)'!U$141</f>
        <v>273.18</v>
      </c>
      <c r="G81" s="2861">
        <f t="shared" si="2"/>
        <v>237.54782608695655</v>
      </c>
      <c r="H81" s="1341" t="s">
        <v>2310</v>
      </c>
    </row>
    <row r="82" spans="1:8">
      <c r="A82" s="1327"/>
      <c r="B82" s="1317" t="s">
        <v>2311</v>
      </c>
      <c r="C82" s="1330"/>
      <c r="D82" s="1328"/>
      <c r="E82" s="1328"/>
      <c r="F82" s="1332"/>
      <c r="G82" s="2861">
        <f t="shared" si="2"/>
        <v>0</v>
      </c>
      <c r="H82" s="1342"/>
    </row>
    <row r="83" spans="1:8">
      <c r="A83" s="1321">
        <v>60</v>
      </c>
      <c r="B83" s="1322" t="s">
        <v>2312</v>
      </c>
      <c r="C83" s="1323" t="s">
        <v>2313</v>
      </c>
      <c r="D83" s="1324" t="s">
        <v>965</v>
      </c>
      <c r="E83" s="1324"/>
      <c r="F83" s="1325">
        <f>Analysis!$R$230</f>
        <v>114.93</v>
      </c>
      <c r="G83" s="2861">
        <f t="shared" si="2"/>
        <v>99.939130434782626</v>
      </c>
      <c r="H83" s="1341" t="s">
        <v>2314</v>
      </c>
    </row>
    <row r="84" spans="1:8">
      <c r="A84" s="1321">
        <v>61</v>
      </c>
      <c r="B84" s="1322" t="s">
        <v>2312</v>
      </c>
      <c r="C84" s="1323" t="s">
        <v>2315</v>
      </c>
      <c r="D84" s="1324" t="s">
        <v>965</v>
      </c>
      <c r="E84" s="1324"/>
      <c r="F84" s="1325">
        <f>Analysis!$R$234</f>
        <v>158.05000000000001</v>
      </c>
      <c r="G84" s="2861">
        <f t="shared" si="2"/>
        <v>137.43478260869568</v>
      </c>
      <c r="H84" s="1341" t="s">
        <v>2316</v>
      </c>
    </row>
    <row r="85" spans="1:8">
      <c r="A85" s="1321">
        <v>62</v>
      </c>
      <c r="B85" s="1322" t="s">
        <v>2312</v>
      </c>
      <c r="C85" s="1323" t="s">
        <v>2317</v>
      </c>
      <c r="D85" s="1324" t="s">
        <v>965</v>
      </c>
      <c r="E85" s="1324"/>
      <c r="F85" s="1325">
        <f>Analysis!$R$238</f>
        <v>215.52</v>
      </c>
      <c r="G85" s="2861">
        <f t="shared" si="2"/>
        <v>187.40869565217395</v>
      </c>
      <c r="H85" s="1341" t="s">
        <v>2318</v>
      </c>
    </row>
    <row r="86" spans="1:8">
      <c r="A86" s="1321">
        <v>63</v>
      </c>
      <c r="B86" s="1322" t="s">
        <v>2312</v>
      </c>
      <c r="C86" s="1323" t="s">
        <v>2319</v>
      </c>
      <c r="D86" s="1324" t="s">
        <v>965</v>
      </c>
      <c r="E86" s="1324"/>
      <c r="F86" s="1325">
        <f>Analysis!$R$242</f>
        <v>287.32</v>
      </c>
      <c r="G86" s="2861">
        <f t="shared" si="2"/>
        <v>249.84347826086957</v>
      </c>
      <c r="H86" s="1341" t="s">
        <v>2320</v>
      </c>
    </row>
    <row r="87" spans="1:8">
      <c r="A87" s="1343"/>
      <c r="B87" s="1322" t="s">
        <v>2312</v>
      </c>
      <c r="C87" s="1323" t="s">
        <v>2321</v>
      </c>
      <c r="D87" s="1324" t="s">
        <v>965</v>
      </c>
      <c r="E87" s="1324"/>
      <c r="F87" s="1325">
        <f>Analysis!$R$246</f>
        <v>359.12</v>
      </c>
      <c r="G87" s="2861">
        <f t="shared" si="2"/>
        <v>312.27826086956526</v>
      </c>
      <c r="H87" s="1341" t="s">
        <v>2322</v>
      </c>
    </row>
    <row r="88" spans="1:8">
      <c r="A88" s="1343">
        <v>64</v>
      </c>
      <c r="B88" s="1322" t="s">
        <v>2312</v>
      </c>
      <c r="C88" s="1323" t="s">
        <v>2323</v>
      </c>
      <c r="D88" s="1324" t="s">
        <v>965</v>
      </c>
      <c r="E88" s="1324"/>
      <c r="F88" s="1325">
        <f>Analysis!$R$250</f>
        <v>438.15</v>
      </c>
      <c r="G88" s="2861">
        <f t="shared" si="2"/>
        <v>381</v>
      </c>
      <c r="H88" s="1341" t="s">
        <v>2324</v>
      </c>
    </row>
    <row r="89" spans="1:8">
      <c r="A89" s="1343">
        <v>64</v>
      </c>
      <c r="B89" s="1322" t="s">
        <v>2312</v>
      </c>
      <c r="C89" s="1323" t="s">
        <v>3038</v>
      </c>
      <c r="D89" s="1324" t="s">
        <v>965</v>
      </c>
      <c r="E89" s="1324"/>
      <c r="F89" s="1325">
        <f>Analysis!$R$254</f>
        <v>502.84</v>
      </c>
      <c r="G89" s="2861">
        <f t="shared" si="2"/>
        <v>437.25217391304346</v>
      </c>
      <c r="H89" s="1341" t="s">
        <v>2324</v>
      </c>
    </row>
    <row r="90" spans="1:8">
      <c r="A90" s="1327"/>
      <c r="B90" s="1344"/>
      <c r="C90" s="1330" t="s">
        <v>2325</v>
      </c>
      <c r="D90" s="1328"/>
      <c r="E90" s="1328"/>
      <c r="F90" s="1332">
        <f>MR!I40*1.35</f>
        <v>2025.0000000000002</v>
      </c>
      <c r="G90" s="2861">
        <f t="shared" si="2"/>
        <v>1760.8695652173917</v>
      </c>
      <c r="H90" s="1345"/>
    </row>
    <row r="91" spans="1:8">
      <c r="A91" s="1327"/>
      <c r="B91" s="1344"/>
      <c r="C91" s="1330" t="s">
        <v>2326</v>
      </c>
      <c r="D91" s="1328"/>
      <c r="E91" s="1328"/>
      <c r="F91" s="1332">
        <f>MR!I43</f>
        <v>1399.65</v>
      </c>
      <c r="G91" s="2861">
        <f t="shared" si="2"/>
        <v>1217.0869565217392</v>
      </c>
      <c r="H91" s="1345"/>
    </row>
    <row r="92" spans="1:8">
      <c r="A92" s="1327"/>
      <c r="B92" s="1344"/>
      <c r="C92" s="1330" t="s">
        <v>2327</v>
      </c>
      <c r="D92" s="1328"/>
      <c r="E92" s="1328"/>
      <c r="F92" s="1332">
        <f>MR!I42</f>
        <v>1274.0999999999999</v>
      </c>
      <c r="G92" s="2861">
        <f t="shared" si="2"/>
        <v>1107.913043478261</v>
      </c>
      <c r="H92" s="1345"/>
    </row>
    <row r="93" spans="1:8">
      <c r="A93" s="1327"/>
      <c r="B93" s="1344"/>
      <c r="C93" s="1330" t="s">
        <v>2328</v>
      </c>
      <c r="D93" s="1328"/>
      <c r="E93" s="1328"/>
      <c r="F93" s="1332">
        <f>MR!I41*1.35</f>
        <v>2479.6125000000002</v>
      </c>
      <c r="G93" s="2861">
        <f t="shared" si="2"/>
        <v>2156.184782608696</v>
      </c>
      <c r="H93" s="1345"/>
    </row>
    <row r="94" spans="1:8">
      <c r="A94" s="1327"/>
      <c r="B94" s="1344"/>
      <c r="C94" s="1330" t="s">
        <v>2329</v>
      </c>
      <c r="D94" s="1328"/>
      <c r="E94" s="1328"/>
      <c r="F94" s="1332">
        <f>MR!I15*1.35*1.05</f>
        <v>194.19750000000002</v>
      </c>
      <c r="G94" s="2861">
        <f t="shared" si="2"/>
        <v>168.86739130434785</v>
      </c>
      <c r="H94" s="1345"/>
    </row>
    <row r="95" spans="1:8">
      <c r="A95" s="1336"/>
      <c r="B95" s="1346" t="s">
        <v>2330</v>
      </c>
      <c r="D95" s="1340"/>
      <c r="E95" s="1340"/>
      <c r="G95" s="2861">
        <f t="shared" si="2"/>
        <v>0</v>
      </c>
      <c r="H95" s="1342"/>
    </row>
    <row r="96" spans="1:8">
      <c r="A96" s="1347">
        <v>65</v>
      </c>
      <c r="C96" s="1323" t="s">
        <v>2331</v>
      </c>
      <c r="D96" s="1324" t="s">
        <v>1034</v>
      </c>
      <c r="E96" s="1324"/>
      <c r="F96" s="1348">
        <f>ROUND('Rate-1'!D84*1.15,2)</f>
        <v>0</v>
      </c>
      <c r="G96" s="2861">
        <f t="shared" si="2"/>
        <v>0</v>
      </c>
      <c r="H96" s="1341" t="s">
        <v>2332</v>
      </c>
    </row>
    <row r="97" spans="1:8" ht="16.5" thickBot="1">
      <c r="A97" s="1349">
        <v>66</v>
      </c>
      <c r="B97" s="1350"/>
      <c r="C97" s="1350" t="s">
        <v>2333</v>
      </c>
      <c r="D97" s="1351" t="s">
        <v>1034</v>
      </c>
      <c r="E97" s="1351"/>
      <c r="F97" s="1352">
        <f>+'Rate-1'!I85</f>
        <v>0</v>
      </c>
      <c r="G97" s="2861">
        <f t="shared" si="2"/>
        <v>0</v>
      </c>
      <c r="H97" s="1353" t="s">
        <v>2334</v>
      </c>
    </row>
    <row r="98" spans="1:8">
      <c r="B98" s="1346" t="s">
        <v>2335</v>
      </c>
      <c r="G98" s="2861">
        <f t="shared" si="2"/>
        <v>0</v>
      </c>
      <c r="H98" s="1354"/>
    </row>
    <row r="99" spans="1:8">
      <c r="A99" s="1343"/>
      <c r="B99" s="1322"/>
      <c r="C99" s="1355" t="s">
        <v>2336</v>
      </c>
      <c r="D99" s="1324" t="s">
        <v>1154</v>
      </c>
      <c r="E99" s="1324"/>
      <c r="F99" s="1325">
        <f>'Entry for Rates'!F115</f>
        <v>600</v>
      </c>
      <c r="G99" s="2861">
        <f t="shared" si="2"/>
        <v>521.73913043478262</v>
      </c>
      <c r="H99" s="1341" t="s">
        <v>2337</v>
      </c>
    </row>
    <row r="100" spans="1:8">
      <c r="A100" s="1343"/>
      <c r="B100" s="1322"/>
      <c r="C100" s="1355" t="s">
        <v>2338</v>
      </c>
      <c r="D100" s="1324" t="s">
        <v>1154</v>
      </c>
      <c r="E100" s="1324"/>
      <c r="F100" s="1325">
        <f>'Entry for Rates'!F116</f>
        <v>600</v>
      </c>
      <c r="G100" s="2861">
        <f t="shared" si="2"/>
        <v>521.73913043478262</v>
      </c>
      <c r="H100" s="1341" t="s">
        <v>2339</v>
      </c>
    </row>
    <row r="101" spans="1:8">
      <c r="A101" s="1343"/>
      <c r="B101" s="1322"/>
      <c r="C101" s="1355" t="s">
        <v>2340</v>
      </c>
      <c r="D101" s="1324" t="s">
        <v>1154</v>
      </c>
      <c r="E101" s="1324"/>
      <c r="F101" s="1325">
        <f>'Entry for Rates'!F117</f>
        <v>1500</v>
      </c>
      <c r="G101" s="2861">
        <f t="shared" si="2"/>
        <v>1304.3478260869567</v>
      </c>
      <c r="H101" s="1341" t="s">
        <v>2341</v>
      </c>
    </row>
    <row r="102" spans="1:8">
      <c r="A102" s="1343"/>
      <c r="B102" s="1322"/>
      <c r="C102" s="1355" t="s">
        <v>2342</v>
      </c>
      <c r="D102" s="1324" t="s">
        <v>1154</v>
      </c>
      <c r="E102" s="1324"/>
      <c r="F102" s="1325">
        <f>'Entry for Rates'!F118</f>
        <v>800</v>
      </c>
      <c r="G102" s="2861">
        <f t="shared" si="2"/>
        <v>695.6521739130435</v>
      </c>
      <c r="H102" s="1341" t="s">
        <v>2343</v>
      </c>
    </row>
    <row r="103" spans="1:8">
      <c r="A103" s="1343"/>
      <c r="B103" s="1322"/>
      <c r="C103" s="1355" t="s">
        <v>2344</v>
      </c>
      <c r="D103" s="1324" t="s">
        <v>1154</v>
      </c>
      <c r="E103" s="1324"/>
      <c r="F103" s="1325">
        <f>'Entry for Rates'!F119</f>
        <v>800</v>
      </c>
      <c r="G103" s="2861">
        <f t="shared" si="2"/>
        <v>695.6521739130435</v>
      </c>
      <c r="H103" s="1341" t="s">
        <v>2345</v>
      </c>
    </row>
    <row r="104" spans="1:8">
      <c r="A104" s="1343"/>
      <c r="B104" s="1322"/>
      <c r="C104" s="1355" t="s">
        <v>2346</v>
      </c>
      <c r="D104" s="1324" t="s">
        <v>1154</v>
      </c>
      <c r="E104" s="1324"/>
      <c r="F104" s="1325">
        <f>'Entry for Rates'!F120</f>
        <v>800</v>
      </c>
      <c r="G104" s="2861">
        <f t="shared" si="2"/>
        <v>695.6521739130435</v>
      </c>
      <c r="H104" s="1341" t="s">
        <v>2347</v>
      </c>
    </row>
    <row r="105" spans="1:8">
      <c r="A105" s="1343"/>
      <c r="B105" s="1322"/>
      <c r="C105" s="1355" t="s">
        <v>2348</v>
      </c>
      <c r="D105" s="1324" t="s">
        <v>1154</v>
      </c>
      <c r="E105" s="1324"/>
      <c r="F105" s="1325">
        <f>'Entry for Rates'!F121</f>
        <v>600</v>
      </c>
      <c r="G105" s="2861">
        <f t="shared" si="2"/>
        <v>521.73913043478262</v>
      </c>
      <c r="H105" s="1341" t="s">
        <v>2349</v>
      </c>
    </row>
    <row r="106" spans="1:8">
      <c r="A106" s="1343"/>
      <c r="B106" s="1322"/>
      <c r="C106" s="1355" t="s">
        <v>2350</v>
      </c>
      <c r="D106" s="1324" t="s">
        <v>1154</v>
      </c>
      <c r="E106" s="1324"/>
      <c r="F106" s="1325">
        <f>'Entry for Rates'!F122</f>
        <v>800</v>
      </c>
      <c r="G106" s="2861">
        <f t="shared" si="2"/>
        <v>695.6521739130435</v>
      </c>
      <c r="H106" s="1341" t="s">
        <v>2351</v>
      </c>
    </row>
    <row r="107" spans="1:8">
      <c r="A107" s="1343"/>
      <c r="B107" s="1322"/>
      <c r="C107" s="1355" t="s">
        <v>2352</v>
      </c>
      <c r="D107" s="1324" t="s">
        <v>1154</v>
      </c>
      <c r="E107" s="1324"/>
      <c r="F107" s="1325">
        <f>'Entry for Rates'!F123</f>
        <v>600</v>
      </c>
      <c r="G107" s="2861">
        <f t="shared" si="2"/>
        <v>521.73913043478262</v>
      </c>
      <c r="H107" s="1341" t="s">
        <v>2353</v>
      </c>
    </row>
    <row r="108" spans="1:8">
      <c r="A108" s="1343"/>
      <c r="B108" s="1322"/>
      <c r="C108" s="1355" t="s">
        <v>2354</v>
      </c>
      <c r="D108" s="1324" t="s">
        <v>1154</v>
      </c>
      <c r="E108" s="1324"/>
      <c r="F108" s="1325">
        <f>'Entry for Rates'!F124</f>
        <v>800</v>
      </c>
      <c r="G108" s="2861">
        <f t="shared" si="2"/>
        <v>695.6521739130435</v>
      </c>
      <c r="H108" s="1341" t="s">
        <v>2355</v>
      </c>
    </row>
    <row r="109" spans="1:8">
      <c r="A109" s="1343"/>
      <c r="B109" s="1322"/>
      <c r="C109" s="1355" t="s">
        <v>2356</v>
      </c>
      <c r="D109" s="1324" t="s">
        <v>1154</v>
      </c>
      <c r="E109" s="1324"/>
      <c r="F109" s="1325">
        <f>'Entry for Rates'!F125</f>
        <v>1500</v>
      </c>
      <c r="G109" s="2861">
        <f t="shared" si="2"/>
        <v>1304.3478260869567</v>
      </c>
      <c r="H109" s="1341" t="s">
        <v>2357</v>
      </c>
    </row>
    <row r="110" spans="1:8">
      <c r="A110" s="1343"/>
      <c r="B110" s="1322"/>
      <c r="C110" s="1355" t="s">
        <v>2358</v>
      </c>
      <c r="D110" s="1324" t="s">
        <v>1154</v>
      </c>
      <c r="E110" s="1324"/>
      <c r="F110" s="1325">
        <f>'Entry for Rates'!F126</f>
        <v>1500</v>
      </c>
      <c r="G110" s="2861">
        <f t="shared" si="2"/>
        <v>1304.3478260869567</v>
      </c>
      <c r="H110" s="1341" t="s">
        <v>2359</v>
      </c>
    </row>
    <row r="111" spans="1:8">
      <c r="A111" s="1343"/>
      <c r="B111" s="1322"/>
      <c r="C111" s="1355" t="s">
        <v>2360</v>
      </c>
      <c r="D111" s="1324" t="s">
        <v>1154</v>
      </c>
      <c r="E111" s="1324"/>
      <c r="F111" s="1325">
        <f>'Entry for Rates'!F127</f>
        <v>450</v>
      </c>
      <c r="G111" s="2861">
        <f t="shared" si="2"/>
        <v>391.304347826087</v>
      </c>
      <c r="H111" s="1341" t="s">
        <v>2361</v>
      </c>
    </row>
    <row r="112" spans="1:8">
      <c r="A112" s="1343"/>
      <c r="B112" s="1322"/>
      <c r="C112" s="1355" t="s">
        <v>2362</v>
      </c>
      <c r="D112" s="1324" t="s">
        <v>1154</v>
      </c>
      <c r="E112" s="1324"/>
      <c r="F112" s="1325">
        <f>(MR!I39+MR!D71)*1.15</f>
        <v>1184.5</v>
      </c>
      <c r="G112" s="2861">
        <f t="shared" si="2"/>
        <v>1030</v>
      </c>
      <c r="H112" s="1341" t="s">
        <v>2363</v>
      </c>
    </row>
    <row r="113" spans="1:12">
      <c r="A113" s="1343"/>
      <c r="B113" s="1322"/>
      <c r="C113" s="1355" t="s">
        <v>2364</v>
      </c>
      <c r="D113" s="1324" t="s">
        <v>1154</v>
      </c>
      <c r="E113" s="1324"/>
      <c r="F113" s="1325">
        <v>1500</v>
      </c>
      <c r="G113" s="2861">
        <f t="shared" si="2"/>
        <v>1304.3478260869567</v>
      </c>
      <c r="H113" s="1341" t="s">
        <v>2363</v>
      </c>
    </row>
    <row r="118" spans="1:12">
      <c r="L118" s="1309">
        <f>IF(I113=C118,0,5)</f>
        <v>0</v>
      </c>
    </row>
  </sheetData>
  <mergeCells count="3">
    <mergeCell ref="A4:H4"/>
    <mergeCell ref="A1:H1"/>
    <mergeCell ref="A2:H2"/>
  </mergeCells>
  <pageMargins left="0.25" right="0.25" top="0.75" bottom="0.75" header="0.3" footer="0.3"/>
  <pageSetup paperSize="9" scale="95" orientation="portrait" horizontalDpi="4294967293" verticalDpi="4294967293"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K128"/>
  <sheetViews>
    <sheetView topLeftCell="A22" workbookViewId="0">
      <selection activeCell="I56" sqref="I56"/>
    </sheetView>
  </sheetViews>
  <sheetFormatPr defaultColWidth="9.140625" defaultRowHeight="15.75"/>
  <cols>
    <col min="1" max="1" width="3.7109375" style="1253" customWidth="1"/>
    <col min="2" max="2" width="20.5703125" style="1253" customWidth="1"/>
    <col min="3" max="3" width="10.140625" style="1253" customWidth="1"/>
    <col min="4" max="4" width="9.5703125" style="1253" customWidth="1"/>
    <col min="5" max="5" width="7.42578125" style="1253" customWidth="1"/>
    <col min="6" max="6" width="5.42578125" style="1253" bestFit="1" customWidth="1"/>
    <col min="7" max="7" width="2.5703125" style="1253" customWidth="1"/>
    <col min="8" max="8" width="2" style="1253" bestFit="1" customWidth="1"/>
    <col min="9" max="9" width="11.42578125" style="1253" customWidth="1"/>
    <col min="10" max="10" width="15.140625" style="1253" customWidth="1"/>
    <col min="11" max="16384" width="9.140625" style="1253"/>
  </cols>
  <sheetData>
    <row r="1" spans="1:10" ht="25.5">
      <c r="A1" s="1356" t="s">
        <v>2365</v>
      </c>
      <c r="B1" s="1357"/>
      <c r="C1" s="1357"/>
      <c r="D1" s="1357"/>
      <c r="E1" s="1357"/>
      <c r="F1" s="1357"/>
      <c r="G1" s="1357"/>
      <c r="H1" s="1357"/>
      <c r="I1" s="1357"/>
      <c r="J1" s="1357"/>
    </row>
    <row r="2" spans="1:10" ht="8.25" customHeight="1">
      <c r="A2" s="1358"/>
      <c r="B2" s="1358"/>
      <c r="C2" s="1358"/>
      <c r="D2" s="1358"/>
      <c r="E2" s="1358"/>
      <c r="F2" s="1358"/>
      <c r="G2" s="1358"/>
      <c r="H2" s="1358"/>
      <c r="I2" s="1358"/>
      <c r="J2" s="1358"/>
    </row>
    <row r="3" spans="1:10">
      <c r="A3" s="1260"/>
      <c r="B3" s="1281" t="s">
        <v>2366</v>
      </c>
      <c r="C3" s="1281"/>
      <c r="D3" s="1359">
        <f>'Entry for Rates'!F4</f>
        <v>0</v>
      </c>
      <c r="E3" s="1359"/>
      <c r="F3" s="1261"/>
      <c r="G3" s="1261"/>
      <c r="H3" s="1261"/>
      <c r="I3" s="1360"/>
      <c r="J3" s="1265"/>
    </row>
    <row r="4" spans="1:10">
      <c r="A4" s="1260"/>
      <c r="B4" s="1361" t="s">
        <v>2367</v>
      </c>
      <c r="C4" s="1361"/>
      <c r="D4" s="1267"/>
      <c r="E4" s="1267"/>
      <c r="F4" s="1267"/>
      <c r="G4" s="1267"/>
      <c r="H4" s="1267"/>
      <c r="I4" s="1362"/>
      <c r="J4" s="1258"/>
    </row>
    <row r="5" spans="1:10">
      <c r="A5" s="1260"/>
      <c r="B5" s="1269" t="s">
        <v>2368</v>
      </c>
      <c r="C5" s="1269"/>
      <c r="D5" s="1283"/>
      <c r="E5" s="1283"/>
      <c r="G5" s="1271" t="s">
        <v>2025</v>
      </c>
      <c r="H5" s="1271"/>
      <c r="I5" s="1300">
        <v>1450</v>
      </c>
      <c r="J5" s="1258" t="s">
        <v>2369</v>
      </c>
    </row>
    <row r="6" spans="1:10">
      <c r="A6" s="1260"/>
      <c r="B6" s="1269" t="s">
        <v>2370</v>
      </c>
      <c r="C6" s="1269"/>
      <c r="D6" s="1283"/>
      <c r="E6" s="1283"/>
      <c r="G6" s="1271" t="s">
        <v>2025</v>
      </c>
      <c r="H6" s="1271"/>
      <c r="I6" s="1300">
        <v>2000</v>
      </c>
      <c r="J6" s="1258" t="s">
        <v>2369</v>
      </c>
    </row>
    <row r="7" spans="1:10">
      <c r="A7" s="1260"/>
      <c r="B7" s="1269" t="s">
        <v>2371</v>
      </c>
      <c r="C7" s="1269"/>
      <c r="D7" s="1283"/>
      <c r="E7" s="1283"/>
      <c r="G7" s="1271" t="s">
        <v>2025</v>
      </c>
      <c r="H7" s="1271"/>
      <c r="I7" s="1300">
        <v>1600</v>
      </c>
      <c r="J7" s="1258" t="s">
        <v>2369</v>
      </c>
    </row>
    <row r="8" spans="1:10">
      <c r="A8" s="1260"/>
      <c r="B8" s="1269" t="s">
        <v>2372</v>
      </c>
      <c r="C8" s="1269"/>
      <c r="D8" s="1363" t="str">
        <f>+'Entry for Rates'!F7</f>
        <v>Sankhu</v>
      </c>
      <c r="E8" s="1363"/>
      <c r="G8" s="1271"/>
      <c r="H8" s="1271"/>
      <c r="I8" s="1300"/>
      <c r="J8" s="1258"/>
    </row>
    <row r="9" spans="1:10">
      <c r="A9" s="1260"/>
      <c r="B9" s="1269" t="s">
        <v>2373</v>
      </c>
      <c r="C9" s="1269"/>
      <c r="D9" s="1363" t="str">
        <f>+'Entry for Rates'!F8</f>
        <v>Sankhu</v>
      </c>
      <c r="E9" s="1363"/>
      <c r="G9" s="1271"/>
      <c r="H9" s="1271"/>
      <c r="I9" s="1300"/>
      <c r="J9" s="1258"/>
    </row>
    <row r="10" spans="1:10">
      <c r="A10" s="1260"/>
      <c r="B10" s="1269" t="s">
        <v>2374</v>
      </c>
      <c r="C10" s="1269"/>
      <c r="D10" s="1364"/>
      <c r="E10" s="1364"/>
      <c r="G10" s="1271"/>
      <c r="H10" s="1271"/>
      <c r="I10" s="1300"/>
      <c r="J10" s="1258"/>
    </row>
    <row r="11" spans="1:10">
      <c r="A11" s="1260"/>
      <c r="C11" s="1270"/>
      <c r="D11" s="1269" t="s">
        <v>2375</v>
      </c>
      <c r="E11" s="1271"/>
      <c r="G11" s="1271" t="s">
        <v>2025</v>
      </c>
      <c r="H11" s="1271"/>
      <c r="I11" s="1365">
        <f>+'Entry for Rates'!F13</f>
        <v>0</v>
      </c>
      <c r="J11" s="1258" t="s">
        <v>2029</v>
      </c>
    </row>
    <row r="12" spans="1:10">
      <c r="A12" s="1260"/>
      <c r="C12" s="1270"/>
      <c r="D12" s="1269" t="s">
        <v>2037</v>
      </c>
      <c r="E12" s="1271"/>
      <c r="G12" s="1271" t="s">
        <v>2025</v>
      </c>
      <c r="H12" s="1271"/>
      <c r="I12" s="1365">
        <f>+'Entry for Rates'!F10</f>
        <v>0</v>
      </c>
      <c r="J12" s="1258" t="s">
        <v>386</v>
      </c>
    </row>
    <row r="13" spans="1:10">
      <c r="A13" s="1260"/>
      <c r="C13" s="1270"/>
      <c r="D13" s="1269" t="s">
        <v>2038</v>
      </c>
      <c r="E13" s="1271"/>
      <c r="G13" s="1271" t="s">
        <v>2025</v>
      </c>
      <c r="H13" s="1271"/>
      <c r="I13" s="1365">
        <f>+'Entry for Rates'!F11</f>
        <v>0</v>
      </c>
      <c r="J13" s="1258" t="s">
        <v>386</v>
      </c>
    </row>
    <row r="14" spans="1:10">
      <c r="A14" s="1260"/>
      <c r="C14" s="1270"/>
      <c r="D14" s="1269" t="s">
        <v>2027</v>
      </c>
      <c r="E14" s="1271"/>
      <c r="G14" s="1271" t="s">
        <v>2025</v>
      </c>
      <c r="H14" s="1271"/>
      <c r="I14" s="1365">
        <f>+'Entry for Rates'!F12</f>
        <v>0</v>
      </c>
      <c r="J14" s="1258" t="s">
        <v>386</v>
      </c>
    </row>
    <row r="15" spans="1:10">
      <c r="A15" s="1260"/>
      <c r="B15" s="1269" t="s">
        <v>2031</v>
      </c>
      <c r="C15" s="1269"/>
      <c r="D15" s="1365" t="str">
        <f>+'Entry for Rates'!F15</f>
        <v>Sankhu</v>
      </c>
      <c r="E15" s="1365"/>
      <c r="I15" s="1366"/>
      <c r="J15" s="1258"/>
    </row>
    <row r="16" spans="1:10">
      <c r="A16" s="1260"/>
      <c r="B16" s="1269" t="s">
        <v>2376</v>
      </c>
      <c r="C16" s="1269"/>
      <c r="D16" s="1279"/>
      <c r="E16" s="1279"/>
    </row>
    <row r="17" spans="1:10">
      <c r="A17" s="1260"/>
      <c r="B17" s="1367" t="s">
        <v>2377</v>
      </c>
      <c r="C17" s="1367"/>
      <c r="D17" s="1279"/>
      <c r="E17" s="1279"/>
      <c r="G17" s="1271" t="s">
        <v>2025</v>
      </c>
      <c r="H17" s="1271"/>
      <c r="I17" s="1300">
        <f>+'Entry for Rates'!F17</f>
        <v>0</v>
      </c>
      <c r="J17" s="1258" t="s">
        <v>386</v>
      </c>
    </row>
    <row r="18" spans="1:10">
      <c r="A18" s="1260"/>
      <c r="B18" s="1269" t="s">
        <v>2378</v>
      </c>
      <c r="C18" s="1269"/>
      <c r="D18" s="1364"/>
      <c r="E18" s="1364"/>
      <c r="F18" s="1271"/>
      <c r="G18" s="1271"/>
      <c r="H18" s="1271"/>
      <c r="I18" s="1366"/>
      <c r="J18" s="1258"/>
    </row>
    <row r="19" spans="1:10">
      <c r="A19" s="1260"/>
      <c r="B19" s="1269"/>
      <c r="C19" s="1269"/>
      <c r="D19" s="1269" t="s">
        <v>2037</v>
      </c>
      <c r="E19" s="1270"/>
      <c r="F19" s="1271"/>
      <c r="G19" s="1271" t="s">
        <v>2025</v>
      </c>
      <c r="H19" s="1271"/>
      <c r="I19" s="1365">
        <f>+'Entry for Rates'!F19</f>
        <v>0</v>
      </c>
      <c r="J19" s="1258" t="s">
        <v>386</v>
      </c>
    </row>
    <row r="20" spans="1:10">
      <c r="A20" s="1260"/>
      <c r="B20" s="1269"/>
      <c r="C20" s="1269"/>
      <c r="D20" s="1269" t="s">
        <v>2038</v>
      </c>
      <c r="E20" s="1270"/>
      <c r="F20" s="1271"/>
      <c r="G20" s="1271" t="s">
        <v>2025</v>
      </c>
      <c r="H20" s="1271"/>
      <c r="I20" s="1365">
        <f>+'Entry for Rates'!F20</f>
        <v>0</v>
      </c>
      <c r="J20" s="1258" t="s">
        <v>386</v>
      </c>
    </row>
    <row r="21" spans="1:10">
      <c r="A21" s="1260"/>
      <c r="B21" s="1269"/>
      <c r="C21" s="1269"/>
      <c r="D21" s="1269" t="s">
        <v>2027</v>
      </c>
      <c r="E21" s="1270"/>
      <c r="F21" s="1271"/>
      <c r="G21" s="1271" t="s">
        <v>2025</v>
      </c>
      <c r="H21" s="1271"/>
      <c r="I21" s="1365">
        <f>+'Entry for Rates'!F21</f>
        <v>0</v>
      </c>
      <c r="J21" s="1258" t="s">
        <v>386</v>
      </c>
    </row>
    <row r="22" spans="1:10">
      <c r="A22" s="1260"/>
      <c r="B22" s="1269" t="s">
        <v>2379</v>
      </c>
      <c r="C22" s="1269"/>
      <c r="D22" s="1364"/>
      <c r="E22" s="1364"/>
      <c r="G22" s="1271" t="s">
        <v>2025</v>
      </c>
      <c r="H22" s="1271"/>
      <c r="I22" s="1300">
        <f>'Entry for Rates'!F24</f>
        <v>0</v>
      </c>
      <c r="J22" s="1258" t="s">
        <v>386</v>
      </c>
    </row>
    <row r="23" spans="1:10">
      <c r="A23" s="1260"/>
      <c r="B23" s="1269" t="str">
        <f>+IF('Entry for Rates'!F22&gt;0,"Cost of sand per m³ for purchase","")</f>
        <v>Cost of sand per m³ for purchase</v>
      </c>
      <c r="C23" s="1269"/>
      <c r="D23" s="1283"/>
      <c r="E23" s="1283"/>
      <c r="F23" s="1271"/>
      <c r="G23" s="1271"/>
      <c r="H23" s="1271"/>
      <c r="I23" s="1300">
        <v>0</v>
      </c>
      <c r="J23" s="1258" t="s">
        <v>107</v>
      </c>
    </row>
    <row r="24" spans="1:10">
      <c r="A24" s="1260"/>
      <c r="B24" s="1274" t="s">
        <v>2380</v>
      </c>
      <c r="C24" s="1274"/>
      <c r="D24" s="1283"/>
      <c r="E24" s="1283"/>
      <c r="F24" s="1271"/>
      <c r="G24" s="1271"/>
      <c r="H24" s="1271"/>
      <c r="I24" s="1300"/>
      <c r="J24" s="1258"/>
    </row>
    <row r="25" spans="1:10">
      <c r="A25" s="1260"/>
      <c r="B25" s="1269" t="s">
        <v>2052</v>
      </c>
      <c r="C25" s="1269"/>
      <c r="D25" s="1271"/>
      <c r="E25" s="1271"/>
      <c r="F25" s="1271"/>
      <c r="G25" s="1271"/>
      <c r="H25" s="1271"/>
      <c r="I25" s="1300" t="s">
        <v>3051</v>
      </c>
      <c r="J25" s="1283"/>
    </row>
    <row r="26" spans="1:10">
      <c r="A26" s="1260"/>
      <c r="B26" s="1269" t="s">
        <v>2053</v>
      </c>
      <c r="C26" s="1270"/>
      <c r="D26" s="1271"/>
      <c r="E26" s="1271"/>
      <c r="F26" s="1271" t="s">
        <v>2025</v>
      </c>
      <c r="G26" s="1271"/>
      <c r="H26" s="1271"/>
      <c r="I26" s="1368">
        <f>+'Entry for Rates'!F38</f>
        <v>0</v>
      </c>
      <c r="J26" s="1258" t="s">
        <v>2054</v>
      </c>
    </row>
    <row r="27" spans="1:10">
      <c r="A27" s="1260"/>
      <c r="B27" s="1269" t="s">
        <v>2055</v>
      </c>
      <c r="C27" s="1369"/>
      <c r="D27" s="1369"/>
      <c r="E27" s="1369"/>
      <c r="F27" s="1271" t="s">
        <v>2025</v>
      </c>
      <c r="G27" s="1271"/>
      <c r="H27" s="1271"/>
      <c r="I27" s="1368">
        <f>+'Entry for Rates'!F39</f>
        <v>0</v>
      </c>
      <c r="J27" s="1258" t="s">
        <v>2054</v>
      </c>
    </row>
    <row r="28" spans="1:10">
      <c r="A28" s="1260"/>
      <c r="B28" s="1269" t="s">
        <v>2056</v>
      </c>
      <c r="C28" s="1369"/>
      <c r="D28" s="1369"/>
      <c r="E28" s="1369"/>
      <c r="F28" s="1271"/>
      <c r="G28" s="1271"/>
      <c r="H28" s="1271"/>
      <c r="I28" s="1368">
        <f>+'Entry for Rates'!F40</f>
        <v>0</v>
      </c>
      <c r="J28" s="1258" t="s">
        <v>2054</v>
      </c>
    </row>
    <row r="29" spans="1:10">
      <c r="A29" s="1260"/>
      <c r="B29" s="1269" t="s">
        <v>2060</v>
      </c>
      <c r="C29" s="1269"/>
      <c r="D29" s="1271"/>
      <c r="E29" s="1271"/>
      <c r="F29" s="1271"/>
      <c r="G29" s="1269" t="str">
        <f>+'Entry for Rates'!C42</f>
        <v>Truck analysis</v>
      </c>
      <c r="H29" s="1269"/>
      <c r="I29" s="1370"/>
      <c r="J29" s="1293"/>
    </row>
    <row r="30" spans="1:10">
      <c r="A30" s="1260"/>
      <c r="C30" s="1270"/>
      <c r="D30" s="1269" t="s">
        <v>2037</v>
      </c>
      <c r="E30" s="1271"/>
      <c r="F30" s="1271" t="s">
        <v>2025</v>
      </c>
      <c r="G30" s="1271"/>
      <c r="H30" s="1271"/>
      <c r="I30" s="1368">
        <f>+'Entry for Rates'!F44</f>
        <v>0</v>
      </c>
      <c r="J30" s="1258" t="s">
        <v>2061</v>
      </c>
    </row>
    <row r="31" spans="1:10">
      <c r="A31" s="1260"/>
      <c r="C31" s="1270"/>
      <c r="D31" s="1269" t="s">
        <v>2038</v>
      </c>
      <c r="E31" s="1271"/>
      <c r="F31" s="1271" t="s">
        <v>2025</v>
      </c>
      <c r="G31" s="1271"/>
      <c r="H31" s="1271"/>
      <c r="I31" s="1368">
        <f>+'Entry for Rates'!F45</f>
        <v>0</v>
      </c>
      <c r="J31" s="1258" t="s">
        <v>2061</v>
      </c>
    </row>
    <row r="32" spans="1:10">
      <c r="A32" s="1260"/>
      <c r="C32" s="1270"/>
      <c r="D32" s="1269" t="s">
        <v>2027</v>
      </c>
      <c r="E32" s="1271"/>
      <c r="F32" s="1271" t="s">
        <v>2025</v>
      </c>
      <c r="G32" s="1271"/>
      <c r="H32" s="1271"/>
      <c r="I32" s="1368">
        <f>+'Entry for Rates'!F46</f>
        <v>0</v>
      </c>
      <c r="J32" s="1258" t="s">
        <v>2061</v>
      </c>
    </row>
    <row r="33" spans="1:10">
      <c r="A33" s="1260"/>
      <c r="B33" s="1269" t="s">
        <v>2063</v>
      </c>
      <c r="C33" s="1269"/>
      <c r="D33" s="1271"/>
      <c r="E33" s="1271"/>
      <c r="F33" s="1271"/>
      <c r="G33" s="1269" t="str">
        <f>+G29</f>
        <v>Truck analysis</v>
      </c>
      <c r="H33" s="1269"/>
      <c r="I33" s="1300"/>
      <c r="J33" s="1258"/>
    </row>
    <row r="34" spans="1:10">
      <c r="A34" s="1260"/>
      <c r="C34" s="1270"/>
      <c r="D34" s="1269" t="s">
        <v>2037</v>
      </c>
      <c r="E34" s="1271"/>
      <c r="F34" s="1271" t="s">
        <v>2025</v>
      </c>
      <c r="G34" s="1271"/>
      <c r="H34" s="1271"/>
      <c r="I34" s="1368">
        <f>+'Entry for Rates'!F48</f>
        <v>0</v>
      </c>
      <c r="J34" s="1258" t="s">
        <v>2061</v>
      </c>
    </row>
    <row r="35" spans="1:10">
      <c r="A35" s="1260"/>
      <c r="C35" s="1270"/>
      <c r="D35" s="1269" t="s">
        <v>2038</v>
      </c>
      <c r="E35" s="1271"/>
      <c r="F35" s="1271" t="s">
        <v>2025</v>
      </c>
      <c r="G35" s="1271"/>
      <c r="H35" s="1271"/>
      <c r="I35" s="1368">
        <f>+'Entry for Rates'!F49</f>
        <v>0</v>
      </c>
      <c r="J35" s="1258" t="s">
        <v>2061</v>
      </c>
    </row>
    <row r="36" spans="1:10">
      <c r="A36" s="1260"/>
      <c r="C36" s="1270"/>
      <c r="D36" s="1269" t="s">
        <v>2027</v>
      </c>
      <c r="E36" s="1271"/>
      <c r="F36" s="1271" t="s">
        <v>2025</v>
      </c>
      <c r="G36" s="1271"/>
      <c r="H36" s="1271"/>
      <c r="I36" s="1368">
        <f>+'Entry for Rates'!F50</f>
        <v>0</v>
      </c>
      <c r="J36" s="1258" t="s">
        <v>2061</v>
      </c>
    </row>
    <row r="37" spans="1:10">
      <c r="A37" s="1307"/>
      <c r="B37" s="1258" t="s">
        <v>2064</v>
      </c>
      <c r="C37" s="1258"/>
      <c r="D37" s="1258"/>
      <c r="E37" s="1258"/>
      <c r="F37" s="1271" t="s">
        <v>2065</v>
      </c>
      <c r="G37" s="1271"/>
      <c r="H37" s="1271"/>
      <c r="I37" s="1371">
        <f>'Entry for Rates'!F52</f>
        <v>0</v>
      </c>
      <c r="J37" s="1258" t="s">
        <v>2066</v>
      </c>
    </row>
    <row r="38" spans="1:10">
      <c r="A38" s="1307"/>
      <c r="B38" s="1258" t="s">
        <v>2381</v>
      </c>
      <c r="C38" s="1258"/>
      <c r="D38" s="1258"/>
      <c r="E38" s="1258"/>
      <c r="F38" s="1271" t="s">
        <v>2025</v>
      </c>
      <c r="G38" s="1271"/>
      <c r="H38" s="1271"/>
      <c r="I38" s="1371">
        <v>1225</v>
      </c>
      <c r="J38" s="1258" t="s">
        <v>2382</v>
      </c>
    </row>
    <row r="39" spans="1:10">
      <c r="A39" s="1307"/>
      <c r="B39" s="1258" t="s">
        <v>2383</v>
      </c>
      <c r="C39" s="1258"/>
      <c r="D39" s="1258"/>
      <c r="E39" s="1258"/>
      <c r="F39" s="1271" t="s">
        <v>2025</v>
      </c>
      <c r="G39" s="1271"/>
      <c r="H39" s="1271"/>
      <c r="I39" s="1371">
        <v>920</v>
      </c>
      <c r="J39" s="1258" t="s">
        <v>2382</v>
      </c>
    </row>
    <row r="40" spans="1:10">
      <c r="A40" s="1307"/>
      <c r="B40" s="1258" t="s">
        <v>2384</v>
      </c>
      <c r="C40" s="1258"/>
      <c r="D40" s="1258"/>
      <c r="E40" s="1258"/>
      <c r="F40" s="1271" t="s">
        <v>2025</v>
      </c>
      <c r="G40" s="1258"/>
      <c r="H40" s="1258"/>
      <c r="I40" s="1371">
        <f>I39</f>
        <v>920</v>
      </c>
      <c r="J40" s="1258" t="s">
        <v>2382</v>
      </c>
    </row>
    <row r="41" spans="1:10" ht="23.25" customHeight="1">
      <c r="A41" s="1307"/>
      <c r="B41" s="1372" t="s">
        <v>2385</v>
      </c>
      <c r="C41" s="1372"/>
      <c r="D41" s="1258"/>
      <c r="E41" s="1258"/>
      <c r="F41" s="1258"/>
      <c r="G41" s="1258"/>
      <c r="H41" s="1258"/>
      <c r="I41" s="1365"/>
      <c r="J41" s="1258"/>
    </row>
    <row r="42" spans="1:10" ht="6.75" customHeight="1">
      <c r="A42" s="1307"/>
      <c r="B42" s="1372"/>
      <c r="C42" s="1372"/>
      <c r="D42" s="1258"/>
      <c r="E42" s="1258"/>
      <c r="F42" s="1258"/>
      <c r="G42" s="1258"/>
      <c r="H42" s="1258"/>
      <c r="I42" s="1365"/>
      <c r="J42" s="1258"/>
    </row>
    <row r="43" spans="1:10">
      <c r="A43" s="1307">
        <v>1</v>
      </c>
      <c r="B43" s="1284" t="s">
        <v>2386</v>
      </c>
      <c r="C43" s="1284"/>
      <c r="D43" s="1258"/>
      <c r="E43" s="1258"/>
      <c r="F43" s="1270"/>
      <c r="G43" s="1270"/>
      <c r="H43" s="1270"/>
      <c r="I43" s="1365">
        <f>'Mat-Collect_2'!G55</f>
        <v>3387.6049919999991</v>
      </c>
      <c r="J43" s="1258"/>
    </row>
    <row r="44" spans="1:10">
      <c r="A44" s="1307"/>
      <c r="B44" s="1258" t="s">
        <v>2387</v>
      </c>
      <c r="C44" s="1258"/>
      <c r="D44" s="1365" t="str">
        <f>IF(SUM(I19:I21)&gt;0,"Road head",D15)</f>
        <v>Sankhu</v>
      </c>
      <c r="E44" s="1365"/>
      <c r="F44" s="1269" t="s">
        <v>2065</v>
      </c>
      <c r="G44" s="1269"/>
      <c r="H44" s="1269"/>
      <c r="I44" s="1365">
        <f>I17</f>
        <v>0</v>
      </c>
      <c r="J44" s="1258" t="s">
        <v>386</v>
      </c>
    </row>
    <row r="45" spans="1:10">
      <c r="A45" s="1307"/>
      <c r="B45" s="1365" t="s">
        <v>2388</v>
      </c>
      <c r="C45" s="1365"/>
      <c r="D45" s="1258"/>
      <c r="E45" s="1258"/>
      <c r="F45" s="1270"/>
      <c r="G45" s="1270"/>
      <c r="H45" s="1270"/>
      <c r="I45" s="1365">
        <f>+IF('Entry for Rates'!F22&gt;0,0,3.75)</f>
        <v>0</v>
      </c>
      <c r="J45" s="1258" t="s">
        <v>2389</v>
      </c>
    </row>
    <row r="46" spans="1:10">
      <c r="A46" s="1307"/>
      <c r="B46" s="1269" t="s">
        <v>2390</v>
      </c>
      <c r="C46" s="1269"/>
      <c r="D46" s="1369"/>
      <c r="E46" s="1369"/>
      <c r="F46" s="1369"/>
      <c r="I46" s="1365">
        <v>36.25</v>
      </c>
      <c r="J46" s="1258" t="s">
        <v>2389</v>
      </c>
    </row>
    <row r="47" spans="1:10">
      <c r="A47" s="1307"/>
      <c r="B47" s="1269" t="s">
        <v>2391</v>
      </c>
      <c r="C47" s="1269"/>
      <c r="D47" s="1369"/>
      <c r="E47" s="1369"/>
      <c r="F47" s="1373">
        <f>I17</f>
        <v>0</v>
      </c>
      <c r="G47" s="1269" t="s">
        <v>386</v>
      </c>
      <c r="H47" s="1374" t="s">
        <v>585</v>
      </c>
      <c r="I47" s="1365">
        <f>ROUND(36.25/13*I17,2)</f>
        <v>0</v>
      </c>
      <c r="J47" s="1258" t="s">
        <v>2389</v>
      </c>
    </row>
    <row r="48" spans="1:10" ht="16.5">
      <c r="A48" s="1307"/>
      <c r="B48" s="1258" t="s">
        <v>2392</v>
      </c>
      <c r="C48" s="1258"/>
      <c r="D48" s="1375"/>
      <c r="E48" s="1375"/>
      <c r="F48" s="1270"/>
      <c r="G48" s="1270"/>
      <c r="H48" s="1374" t="s">
        <v>585</v>
      </c>
      <c r="I48" s="1376">
        <f>I45+I47</f>
        <v>0</v>
      </c>
      <c r="J48" s="1258" t="s">
        <v>2389</v>
      </c>
    </row>
    <row r="49" spans="1:10">
      <c r="A49" s="1307"/>
      <c r="B49" s="1258" t="s">
        <v>2393</v>
      </c>
      <c r="C49" s="1258"/>
      <c r="D49" s="1375"/>
      <c r="E49" s="1375"/>
      <c r="F49" s="1270"/>
      <c r="G49" s="1270"/>
      <c r="H49" s="1270"/>
      <c r="I49" s="1377">
        <f>ROUND(I48*I39,2)</f>
        <v>0</v>
      </c>
      <c r="J49" s="1258"/>
    </row>
    <row r="50" spans="1:10">
      <c r="A50" s="1307"/>
      <c r="B50" s="1258" t="s">
        <v>2394</v>
      </c>
      <c r="C50" s="1258"/>
      <c r="D50" s="1375" t="str">
        <f>+'Entry for Rates'!B19</f>
        <v xml:space="preserve"> - Earthen road </v>
      </c>
      <c r="E50" s="1375"/>
      <c r="F50" s="1378">
        <f>+'Entry for Rates'!F19</f>
        <v>0</v>
      </c>
      <c r="G50" s="1270" t="s">
        <v>386</v>
      </c>
      <c r="H50" s="1374" t="s">
        <v>585</v>
      </c>
      <c r="I50" s="1376">
        <f>ROUND(F50*I30*10,2)</f>
        <v>0</v>
      </c>
      <c r="J50" s="1258"/>
    </row>
    <row r="51" spans="1:10">
      <c r="A51" s="1307"/>
      <c r="B51" s="1258"/>
      <c r="C51" s="1258"/>
      <c r="D51" s="1379" t="s">
        <v>2026</v>
      </c>
      <c r="E51" s="1380"/>
      <c r="F51" s="1378">
        <f>+'Entry for Rates'!F20</f>
        <v>0</v>
      </c>
      <c r="G51" s="1270" t="s">
        <v>386</v>
      </c>
      <c r="H51" s="1374" t="s">
        <v>585</v>
      </c>
      <c r="I51" s="1376">
        <f>ROUND(F51*I31*10,2)</f>
        <v>0</v>
      </c>
      <c r="J51" s="1258"/>
    </row>
    <row r="52" spans="1:10">
      <c r="A52" s="1307"/>
      <c r="B52" s="1258"/>
      <c r="C52" s="1258"/>
      <c r="D52" s="1375" t="str">
        <f>+'Entry for Rates'!B21</f>
        <v xml:space="preserve"> - Metalled road</v>
      </c>
      <c r="E52" s="1375"/>
      <c r="F52" s="1378">
        <f>+'Entry for Rates'!F21</f>
        <v>0</v>
      </c>
      <c r="G52" s="1270" t="s">
        <v>386</v>
      </c>
      <c r="H52" s="1374" t="s">
        <v>585</v>
      </c>
      <c r="I52" s="1376">
        <f>ROUND(F52*I32*10,2)</f>
        <v>0</v>
      </c>
      <c r="J52" s="1258"/>
    </row>
    <row r="53" spans="1:10">
      <c r="A53" s="1307"/>
      <c r="B53" s="1274" t="s">
        <v>2395</v>
      </c>
      <c r="C53" s="1274"/>
      <c r="D53" s="1381"/>
      <c r="E53" s="1381"/>
      <c r="F53" s="1270"/>
      <c r="G53" s="1374"/>
      <c r="H53" s="1374" t="s">
        <v>585</v>
      </c>
      <c r="I53" s="1377">
        <f>+I49+I50+I51+I52+I23+I43</f>
        <v>3387.6049919999991</v>
      </c>
      <c r="J53" s="1258" t="s">
        <v>107</v>
      </c>
    </row>
    <row r="54" spans="1:10" ht="9" customHeight="1">
      <c r="A54" s="1307"/>
      <c r="B54" s="1284"/>
      <c r="C54" s="1284"/>
      <c r="D54" s="1382"/>
      <c r="E54" s="1382"/>
      <c r="F54" s="1270"/>
      <c r="G54" s="1270"/>
      <c r="H54" s="1270"/>
      <c r="I54" s="1376"/>
      <c r="J54" s="1258"/>
    </row>
    <row r="55" spans="1:10">
      <c r="A55" s="1307">
        <v>2</v>
      </c>
      <c r="B55" s="1284" t="s">
        <v>2396</v>
      </c>
      <c r="C55" s="1284"/>
      <c r="D55" s="1258"/>
      <c r="E55" s="1258"/>
      <c r="F55" s="1270"/>
      <c r="G55" s="1270"/>
      <c r="H55" s="1270"/>
      <c r="I55" s="1383"/>
      <c r="J55" s="1258"/>
    </row>
    <row r="56" spans="1:10">
      <c r="A56" s="1307"/>
      <c r="B56" s="1258" t="s">
        <v>2397</v>
      </c>
      <c r="C56" s="1258"/>
      <c r="D56" s="1258"/>
      <c r="E56" s="1258"/>
      <c r="F56" s="1270"/>
      <c r="G56" s="1374" t="s">
        <v>585</v>
      </c>
      <c r="H56" s="1270"/>
      <c r="I56" s="1383">
        <f>+'Entry for Rates'!F25</f>
        <v>2752.4290559999995</v>
      </c>
      <c r="J56" s="1258"/>
    </row>
    <row r="57" spans="1:10">
      <c r="A57" s="1307"/>
      <c r="B57" s="1258" t="s">
        <v>2043</v>
      </c>
      <c r="C57" s="1258"/>
      <c r="D57" s="1283"/>
      <c r="E57" s="1283"/>
      <c r="F57" s="1270"/>
      <c r="G57" s="1374" t="s">
        <v>2025</v>
      </c>
      <c r="H57" s="1374"/>
      <c r="I57" s="1365">
        <f>I22</f>
        <v>0</v>
      </c>
      <c r="J57" s="1258" t="s">
        <v>386</v>
      </c>
    </row>
    <row r="58" spans="1:10">
      <c r="A58" s="1307"/>
      <c r="B58" s="1365" t="s">
        <v>2398</v>
      </c>
      <c r="C58" s="1365"/>
      <c r="D58" s="1283"/>
      <c r="E58" s="1283"/>
      <c r="F58" s="1270"/>
      <c r="G58" s="1374" t="s">
        <v>2025</v>
      </c>
      <c r="H58" s="1374"/>
      <c r="I58" s="1365">
        <v>1.4</v>
      </c>
      <c r="J58" s="1258" t="s">
        <v>2389</v>
      </c>
    </row>
    <row r="59" spans="1:10" ht="16.5">
      <c r="A59" s="1307"/>
      <c r="B59" s="1258" t="s">
        <v>2399</v>
      </c>
      <c r="C59" s="1258"/>
      <c r="D59" s="1283"/>
      <c r="E59" s="1283"/>
      <c r="F59" s="1270"/>
      <c r="G59" s="1374" t="s">
        <v>2025</v>
      </c>
      <c r="H59" s="1374"/>
      <c r="I59" s="1365">
        <f>IF(I56&gt;0,0,ROUND(I58*I39,2))</f>
        <v>0</v>
      </c>
      <c r="J59" s="1258" t="s">
        <v>107</v>
      </c>
    </row>
    <row r="60" spans="1:10" ht="16.5">
      <c r="A60" s="1307"/>
      <c r="B60" s="1258" t="s">
        <v>2400</v>
      </c>
      <c r="C60" s="1258"/>
      <c r="D60" s="1283"/>
      <c r="E60" s="1283"/>
      <c r="F60" s="1270"/>
      <c r="G60" s="1374" t="s">
        <v>2025</v>
      </c>
      <c r="H60" s="1374"/>
      <c r="I60" s="1365">
        <f>ROUND(I6*I26/3.2*I22,2)</f>
        <v>0</v>
      </c>
      <c r="J60" s="1258" t="s">
        <v>107</v>
      </c>
    </row>
    <row r="61" spans="1:10">
      <c r="A61" s="1307"/>
      <c r="B61" s="1284" t="s">
        <v>2401</v>
      </c>
      <c r="C61" s="1284"/>
      <c r="D61" s="1283"/>
      <c r="E61" s="1283"/>
      <c r="F61" s="1270"/>
      <c r="G61" s="1270" t="s">
        <v>2025</v>
      </c>
      <c r="H61" s="1270"/>
      <c r="I61" s="1384">
        <f>I59+I60+I56</f>
        <v>2752.4290559999995</v>
      </c>
      <c r="J61" s="1258" t="s">
        <v>107</v>
      </c>
    </row>
    <row r="62" spans="1:10" ht="8.25" customHeight="1">
      <c r="A62" s="1307"/>
      <c r="B62" s="1284"/>
      <c r="C62" s="1284"/>
      <c r="D62" s="1258"/>
      <c r="E62" s="1258"/>
      <c r="F62" s="1270"/>
      <c r="G62" s="1270"/>
      <c r="H62" s="1270"/>
      <c r="I62" s="1384"/>
      <c r="J62" s="1258"/>
    </row>
    <row r="63" spans="1:10">
      <c r="A63" s="1307">
        <v>3</v>
      </c>
      <c r="B63" s="1284" t="s">
        <v>2402</v>
      </c>
      <c r="C63" s="1284"/>
      <c r="D63" s="1258"/>
      <c r="E63" s="1258"/>
      <c r="F63" s="1270"/>
      <c r="G63" s="1270"/>
      <c r="H63" s="1270"/>
      <c r="I63" s="1384"/>
      <c r="J63" s="1258"/>
    </row>
    <row r="64" spans="1:10">
      <c r="A64" s="1307"/>
      <c r="B64" s="1258" t="s">
        <v>2403</v>
      </c>
      <c r="C64" s="1258"/>
      <c r="D64" s="1258"/>
      <c r="E64" s="1258"/>
    </row>
    <row r="65" spans="1:11">
      <c r="A65" s="1307"/>
      <c r="B65" s="1258" t="s">
        <v>2404</v>
      </c>
      <c r="C65" s="1258"/>
      <c r="D65" s="1258"/>
      <c r="E65" s="1258"/>
      <c r="G65" s="1270" t="s">
        <v>2025</v>
      </c>
      <c r="H65" s="1270"/>
      <c r="I65" s="1300"/>
      <c r="J65" s="1258" t="s">
        <v>2405</v>
      </c>
      <c r="K65" s="1253">
        <v>7.5</v>
      </c>
    </row>
    <row r="66" spans="1:11">
      <c r="A66" s="1307"/>
      <c r="B66" s="1258" t="s">
        <v>2406</v>
      </c>
      <c r="C66" s="1258"/>
      <c r="D66" s="1258"/>
      <c r="E66" s="1258"/>
      <c r="G66" s="1270" t="s">
        <v>2025</v>
      </c>
      <c r="H66" s="1270"/>
      <c r="I66" s="1365">
        <f>I65*I$39</f>
        <v>0</v>
      </c>
      <c r="J66" s="1258" t="s">
        <v>107</v>
      </c>
    </row>
    <row r="67" spans="1:11" ht="16.5">
      <c r="A67" s="1307"/>
      <c r="B67" s="1258" t="s">
        <v>2407</v>
      </c>
      <c r="C67" s="1258"/>
      <c r="D67" s="1258"/>
      <c r="E67" s="1258"/>
      <c r="G67" s="1270" t="s">
        <v>2025</v>
      </c>
      <c r="H67" s="1270"/>
      <c r="I67" s="1365">
        <f>I$26*I$7/3.2*I$22</f>
        <v>0</v>
      </c>
      <c r="J67" s="1258"/>
    </row>
    <row r="68" spans="1:11">
      <c r="A68" s="1307"/>
      <c r="B68" s="1284" t="s">
        <v>2408</v>
      </c>
      <c r="C68" s="1284"/>
      <c r="D68" s="1284"/>
      <c r="E68" s="1284"/>
      <c r="G68" s="1299" t="s">
        <v>2025</v>
      </c>
      <c r="H68" s="1299"/>
      <c r="I68" s="1384">
        <f>ROUND(SUM(I66:I67),2)</f>
        <v>0</v>
      </c>
      <c r="J68" s="1284" t="s">
        <v>107</v>
      </c>
    </row>
    <row r="69" spans="1:11" ht="16.5" customHeight="1">
      <c r="A69" s="1307"/>
      <c r="B69" s="1258"/>
      <c r="C69" s="1258"/>
      <c r="D69" s="1258"/>
      <c r="E69" s="1258"/>
      <c r="F69" s="1270"/>
      <c r="G69" s="1270"/>
      <c r="H69" s="1270"/>
      <c r="I69" s="1365"/>
      <c r="J69" s="1258"/>
    </row>
    <row r="70" spans="1:11" ht="16.5" customHeight="1">
      <c r="A70" s="1307">
        <v>4</v>
      </c>
      <c r="B70" s="1284" t="s">
        <v>2409</v>
      </c>
      <c r="C70" s="1284"/>
      <c r="D70" s="1258"/>
      <c r="E70" s="1258"/>
      <c r="F70" s="1270"/>
      <c r="G70" s="1270"/>
      <c r="H70" s="1270"/>
      <c r="I70" s="1384"/>
      <c r="J70" s="1258"/>
    </row>
    <row r="71" spans="1:11" ht="16.5" customHeight="1">
      <c r="A71" s="1307"/>
      <c r="B71" s="1258" t="s">
        <v>2403</v>
      </c>
      <c r="C71" s="1258"/>
      <c r="D71" s="1258"/>
      <c r="E71" s="1258"/>
    </row>
    <row r="72" spans="1:11" ht="16.5" customHeight="1">
      <c r="A72" s="1307"/>
      <c r="B72" s="1258" t="s">
        <v>2410</v>
      </c>
      <c r="C72" s="1258"/>
      <c r="D72" s="1258"/>
      <c r="E72" s="1258"/>
      <c r="G72" s="1270" t="s">
        <v>2025</v>
      </c>
      <c r="H72" s="1270"/>
      <c r="I72" s="1300"/>
      <c r="J72" s="1258" t="s">
        <v>2405</v>
      </c>
      <c r="K72" s="1253">
        <v>10.75</v>
      </c>
    </row>
    <row r="73" spans="1:11" ht="16.5" customHeight="1">
      <c r="A73" s="1307"/>
      <c r="B73" s="1258" t="s">
        <v>2406</v>
      </c>
      <c r="C73" s="1258"/>
      <c r="D73" s="1258"/>
      <c r="E73" s="1258"/>
      <c r="G73" s="1270" t="s">
        <v>2025</v>
      </c>
      <c r="H73" s="1270"/>
      <c r="I73" s="1365">
        <f>I72*I$39</f>
        <v>0</v>
      </c>
      <c r="J73" s="1258" t="s">
        <v>107</v>
      </c>
    </row>
    <row r="74" spans="1:11" ht="16.5" customHeight="1">
      <c r="A74" s="1307"/>
      <c r="B74" s="1258" t="s">
        <v>2407</v>
      </c>
      <c r="C74" s="1258"/>
      <c r="D74" s="1258"/>
      <c r="E74" s="1258"/>
      <c r="G74" s="1270" t="s">
        <v>2025</v>
      </c>
      <c r="H74" s="1270"/>
      <c r="I74" s="1365">
        <f>I$26*I$7/3.2*I$22</f>
        <v>0</v>
      </c>
      <c r="J74" s="1258"/>
    </row>
    <row r="75" spans="1:11" ht="16.5" customHeight="1">
      <c r="A75" s="1307"/>
      <c r="B75" s="1284" t="s">
        <v>2408</v>
      </c>
      <c r="C75" s="1284"/>
      <c r="D75" s="1284"/>
      <c r="E75" s="1284"/>
      <c r="G75" s="1299" t="s">
        <v>2025</v>
      </c>
      <c r="H75" s="1299"/>
      <c r="I75" s="1384">
        <f>ROUND(SUM(I73:I74),2)</f>
        <v>0</v>
      </c>
      <c r="J75" s="1284" t="s">
        <v>107</v>
      </c>
    </row>
    <row r="76" spans="1:11" ht="11.25" customHeight="1">
      <c r="A76" s="1307"/>
      <c r="B76" s="1284"/>
      <c r="C76" s="1284"/>
      <c r="D76" s="1284"/>
      <c r="E76" s="1284"/>
      <c r="G76" s="1299"/>
      <c r="H76" s="1299"/>
      <c r="I76" s="1384"/>
      <c r="J76" s="1284"/>
    </row>
    <row r="77" spans="1:11" ht="16.5" customHeight="1">
      <c r="A77" s="1307">
        <v>5</v>
      </c>
      <c r="B77" s="1284" t="s">
        <v>2411</v>
      </c>
      <c r="C77" s="1284"/>
      <c r="D77" s="1258"/>
      <c r="E77" s="1258"/>
      <c r="F77" s="1270"/>
      <c r="G77" s="1270"/>
      <c r="H77" s="1270"/>
      <c r="I77" s="1365"/>
      <c r="J77" s="1258"/>
    </row>
    <row r="78" spans="1:11">
      <c r="A78" s="1307"/>
      <c r="B78" s="1253" t="s">
        <v>2412</v>
      </c>
      <c r="C78" s="1253" t="s">
        <v>2413</v>
      </c>
      <c r="D78" s="1284" t="s">
        <v>377</v>
      </c>
      <c r="E78" s="1284" t="s">
        <v>378</v>
      </c>
      <c r="F78" s="1284"/>
      <c r="G78" s="1270"/>
      <c r="H78" s="1270"/>
      <c r="I78" s="1274" t="s">
        <v>2414</v>
      </c>
      <c r="J78" s="1258"/>
    </row>
    <row r="79" spans="1:11">
      <c r="A79" s="1307"/>
      <c r="B79" s="1270" t="s">
        <v>2037</v>
      </c>
      <c r="C79" s="1300">
        <f>I12</f>
        <v>0</v>
      </c>
      <c r="D79" s="1365">
        <f>I30/100*C79</f>
        <v>0</v>
      </c>
      <c r="E79" s="1365">
        <f>I34/100*I12</f>
        <v>0</v>
      </c>
      <c r="F79" s="1258"/>
      <c r="G79" s="1270"/>
      <c r="H79" s="1270"/>
      <c r="I79" s="1365">
        <f>I34*C79/100</f>
        <v>0</v>
      </c>
      <c r="J79" s="1258" t="s">
        <v>2415</v>
      </c>
    </row>
    <row r="80" spans="1:11">
      <c r="A80" s="1307"/>
      <c r="B80" s="1270" t="s">
        <v>2038</v>
      </c>
      <c r="C80" s="1300">
        <f>I13</f>
        <v>0</v>
      </c>
      <c r="D80" s="1365">
        <f>C80/100*I31</f>
        <v>0</v>
      </c>
      <c r="E80" s="1365">
        <f>I35/100*I13</f>
        <v>0</v>
      </c>
      <c r="F80" s="1258"/>
      <c r="G80" s="1270"/>
      <c r="H80" s="1270"/>
      <c r="I80" s="1365">
        <f>I35*C80/100</f>
        <v>0</v>
      </c>
      <c r="J80" s="1258" t="s">
        <v>2415</v>
      </c>
    </row>
    <row r="81" spans="1:10">
      <c r="A81" s="1307"/>
      <c r="B81" s="1270" t="s">
        <v>2027</v>
      </c>
      <c r="C81" s="1300">
        <f>I14</f>
        <v>0</v>
      </c>
      <c r="D81" s="1365">
        <f>C81/100*I32</f>
        <v>0</v>
      </c>
      <c r="E81" s="1365">
        <f>I36/100*I14</f>
        <v>0</v>
      </c>
      <c r="F81" s="1258"/>
      <c r="G81" s="1270"/>
      <c r="H81" s="1270"/>
      <c r="I81" s="1365">
        <f>I36*C81/100</f>
        <v>0</v>
      </c>
      <c r="J81" s="1258" t="s">
        <v>2415</v>
      </c>
    </row>
    <row r="82" spans="1:10">
      <c r="A82" s="1307"/>
      <c r="B82" s="1270" t="s">
        <v>2416</v>
      </c>
      <c r="C82" s="1300">
        <f>I11</f>
        <v>0</v>
      </c>
      <c r="D82" s="1365">
        <f>C82*I26</f>
        <v>0</v>
      </c>
      <c r="E82" s="1365">
        <f>I27*I11</f>
        <v>0</v>
      </c>
      <c r="F82" s="1258"/>
      <c r="G82" s="1270"/>
      <c r="H82" s="1270"/>
      <c r="I82" s="1365">
        <f>C82*I28</f>
        <v>0</v>
      </c>
      <c r="J82" s="1258" t="s">
        <v>2415</v>
      </c>
    </row>
    <row r="83" spans="1:10">
      <c r="A83" s="1307"/>
      <c r="B83" s="1270" t="s">
        <v>2417</v>
      </c>
      <c r="C83" s="1270"/>
      <c r="D83" s="1365"/>
      <c r="E83" s="1365"/>
      <c r="F83" s="1258"/>
      <c r="G83" s="1270"/>
      <c r="H83" s="1270"/>
      <c r="I83" s="1365"/>
      <c r="J83" s="1258" t="s">
        <v>2415</v>
      </c>
    </row>
    <row r="84" spans="1:10">
      <c r="A84" s="1307"/>
      <c r="B84" s="1274" t="s">
        <v>2418</v>
      </c>
      <c r="C84" s="1274"/>
      <c r="D84" s="1384">
        <f>ROUND(SUM(D79:D83),2)</f>
        <v>0</v>
      </c>
      <c r="E84" s="1384">
        <f>ROUND(SUM(E79:E83),2)</f>
        <v>0</v>
      </c>
      <c r="F84" s="1284" t="s">
        <v>2415</v>
      </c>
      <c r="G84" s="1299"/>
      <c r="H84" s="1299"/>
      <c r="I84" s="1384">
        <f>ROUND(SUM(I79:I83),2)</f>
        <v>0</v>
      </c>
      <c r="J84" s="1284" t="s">
        <v>2415</v>
      </c>
    </row>
    <row r="85" spans="1:10">
      <c r="A85" s="1307"/>
      <c r="B85" s="1274" t="s">
        <v>2419</v>
      </c>
      <c r="C85" s="1274"/>
      <c r="D85" s="1258"/>
      <c r="E85" s="1258"/>
      <c r="F85" s="1299"/>
      <c r="G85" s="1299"/>
      <c r="H85" s="1299"/>
      <c r="I85" s="1384">
        <f>+ROUND(I84*1.15,2)</f>
        <v>0</v>
      </c>
      <c r="J85" s="1284" t="s">
        <v>2415</v>
      </c>
    </row>
    <row r="86" spans="1:10" ht="7.5" customHeight="1">
      <c r="A86" s="1307"/>
      <c r="B86" s="1274"/>
      <c r="C86" s="1274"/>
      <c r="D86" s="1258"/>
      <c r="E86" s="1258"/>
      <c r="F86" s="1299"/>
      <c r="G86" s="1299"/>
      <c r="H86" s="1299"/>
      <c r="J86" s="1284"/>
    </row>
    <row r="87" spans="1:10">
      <c r="A87" s="1307">
        <v>6</v>
      </c>
      <c r="B87" s="1284" t="s">
        <v>2420</v>
      </c>
      <c r="C87" s="1284"/>
      <c r="D87" s="1299"/>
      <c r="E87" s="1299"/>
      <c r="F87" s="1270"/>
      <c r="G87" s="1270"/>
      <c r="H87" s="1270"/>
      <c r="I87" s="1384"/>
      <c r="J87" s="1258"/>
    </row>
    <row r="88" spans="1:10">
      <c r="A88" s="1271"/>
      <c r="B88" s="1258" t="s">
        <v>2421</v>
      </c>
      <c r="C88" s="1258"/>
      <c r="D88" s="1270"/>
      <c r="E88" s="1270"/>
      <c r="F88" s="1270" t="s">
        <v>2025</v>
      </c>
      <c r="G88" s="1270"/>
      <c r="H88" s="1270"/>
      <c r="I88" s="1384">
        <f>+'Entry for Rates'!F31</f>
        <v>57400</v>
      </c>
      <c r="J88" s="1258" t="s">
        <v>107</v>
      </c>
    </row>
    <row r="89" spans="1:10">
      <c r="A89" s="1271"/>
      <c r="B89" s="1258" t="s">
        <v>2120</v>
      </c>
      <c r="C89" s="1258"/>
      <c r="D89" s="1258"/>
      <c r="E89" s="1258"/>
      <c r="F89" s="1270" t="s">
        <v>2025</v>
      </c>
      <c r="G89" s="1270"/>
      <c r="H89" s="1270"/>
      <c r="I89" s="1365">
        <f>+'Entry for Rates'!F100</f>
        <v>0</v>
      </c>
      <c r="J89" s="1258" t="s">
        <v>2422</v>
      </c>
    </row>
    <row r="90" spans="1:10">
      <c r="A90" s="1271"/>
      <c r="B90" s="1258" t="s">
        <v>2121</v>
      </c>
      <c r="C90" s="1258"/>
      <c r="D90" s="1258"/>
      <c r="E90" s="1258"/>
      <c r="F90" s="1270" t="s">
        <v>2025</v>
      </c>
      <c r="G90" s="1270"/>
      <c r="H90" s="1270"/>
      <c r="I90" s="1365">
        <f>+'Entry for Rates'!F101</f>
        <v>0</v>
      </c>
      <c r="J90" s="1258" t="s">
        <v>2422</v>
      </c>
    </row>
    <row r="91" spans="1:10">
      <c r="A91" s="1271"/>
      <c r="B91" s="1258" t="s">
        <v>2423</v>
      </c>
      <c r="C91" s="1258"/>
      <c r="D91" s="1258"/>
      <c r="E91" s="1258"/>
      <c r="F91" s="1270" t="s">
        <v>2025</v>
      </c>
      <c r="G91" s="1270"/>
      <c r="H91" s="1270"/>
      <c r="I91" s="1365">
        <f>0.1*I90</f>
        <v>0</v>
      </c>
      <c r="J91" s="1258" t="s">
        <v>2422</v>
      </c>
    </row>
    <row r="92" spans="1:10">
      <c r="A92" s="1271"/>
      <c r="B92" s="1258" t="s">
        <v>2424</v>
      </c>
      <c r="C92" s="1258"/>
      <c r="D92" s="1258"/>
      <c r="E92" s="1258"/>
      <c r="F92" s="1270"/>
      <c r="G92" s="1270"/>
      <c r="H92" s="1270"/>
      <c r="I92" s="1365">
        <f>IF(I88&gt;0,0,SUM(I89:I91))</f>
        <v>0</v>
      </c>
      <c r="J92" s="1258" t="s">
        <v>2422</v>
      </c>
    </row>
    <row r="93" spans="1:10">
      <c r="A93" s="1271"/>
      <c r="B93" s="1258" t="s">
        <v>2425</v>
      </c>
      <c r="C93" s="1258"/>
      <c r="D93" s="1258"/>
      <c r="E93" s="1258"/>
    </row>
    <row r="94" spans="1:10">
      <c r="A94" s="1271"/>
      <c r="B94" s="1270" t="s">
        <v>2426</v>
      </c>
      <c r="C94" s="1270"/>
      <c r="D94" s="1258"/>
      <c r="E94" s="1258"/>
      <c r="F94" s="1270" t="s">
        <v>2025</v>
      </c>
      <c r="G94" s="1270"/>
      <c r="H94" s="1270"/>
      <c r="I94" s="1365">
        <f>I92/0.7</f>
        <v>0</v>
      </c>
      <c r="J94" s="1258" t="s">
        <v>2422</v>
      </c>
    </row>
    <row r="95" spans="1:10">
      <c r="A95" s="1271"/>
      <c r="B95" s="1269" t="s">
        <v>2427</v>
      </c>
      <c r="C95" s="1269"/>
      <c r="D95" s="1369"/>
      <c r="E95" s="1369"/>
      <c r="F95" s="1270" t="s">
        <v>2025</v>
      </c>
      <c r="G95" s="1369"/>
      <c r="H95" s="1369"/>
      <c r="I95" s="1298">
        <f>ROUND('Entry for Rates'!F30*'Rate-1'!I26*800/35.31,2)</f>
        <v>0</v>
      </c>
      <c r="J95" s="1258" t="s">
        <v>2422</v>
      </c>
    </row>
    <row r="96" spans="1:10">
      <c r="A96" s="1271"/>
      <c r="B96" s="1258" t="s">
        <v>2424</v>
      </c>
      <c r="C96" s="1258"/>
      <c r="D96" s="1258"/>
      <c r="E96" s="1258"/>
      <c r="F96" s="1270" t="s">
        <v>2025</v>
      </c>
      <c r="G96" s="1270"/>
      <c r="H96" s="1270"/>
      <c r="I96" s="1365">
        <f>SUM(I94:I95)</f>
        <v>0</v>
      </c>
      <c r="J96" s="1258" t="s">
        <v>2422</v>
      </c>
    </row>
    <row r="97" spans="1:10">
      <c r="A97" s="1271"/>
      <c r="B97" s="1269" t="s">
        <v>2428</v>
      </c>
      <c r="C97" s="1269"/>
      <c r="D97" s="1258"/>
      <c r="E97" s="1258"/>
      <c r="F97" s="1270" t="s">
        <v>2025</v>
      </c>
      <c r="G97" s="1270"/>
      <c r="H97" s="1270"/>
      <c r="I97" s="1365">
        <f>I96*0.1</f>
        <v>0</v>
      </c>
      <c r="J97" s="1258" t="s">
        <v>2422</v>
      </c>
    </row>
    <row r="98" spans="1:10">
      <c r="A98" s="1271"/>
      <c r="B98" s="1258" t="s">
        <v>2429</v>
      </c>
      <c r="C98" s="1258"/>
      <c r="D98" s="1258"/>
      <c r="E98" s="1258"/>
      <c r="F98" s="1270" t="s">
        <v>2025</v>
      </c>
      <c r="G98" s="1270"/>
      <c r="H98" s="1270"/>
      <c r="I98" s="1365">
        <f>SUM(I96:I97)</f>
        <v>0</v>
      </c>
      <c r="J98" s="1258" t="s">
        <v>107</v>
      </c>
    </row>
    <row r="99" spans="1:10" ht="15.75" customHeight="1">
      <c r="A99" s="1307"/>
      <c r="B99" s="1284" t="s">
        <v>2430</v>
      </c>
      <c r="C99" s="1284"/>
      <c r="D99" s="1284"/>
      <c r="E99" s="1284"/>
      <c r="F99" s="1299" t="s">
        <v>2025</v>
      </c>
      <c r="G99" s="1299"/>
      <c r="H99" s="1299"/>
      <c r="I99" s="1377">
        <f>35.31*I98+I88</f>
        <v>57400</v>
      </c>
      <c r="J99" s="1284" t="s">
        <v>2431</v>
      </c>
    </row>
    <row r="100" spans="1:10" ht="8.25" customHeight="1">
      <c r="A100" s="1267"/>
    </row>
    <row r="101" spans="1:10">
      <c r="A101" s="1260">
        <v>7</v>
      </c>
      <c r="B101" s="1284" t="s">
        <v>2432</v>
      </c>
      <c r="C101" s="1284"/>
    </row>
    <row r="102" spans="1:10">
      <c r="A102" s="1267"/>
      <c r="B102" s="1253" t="s">
        <v>2433</v>
      </c>
      <c r="I102" s="1377">
        <f>+'Entry for Rates'!F35</f>
        <v>214901.19167999993</v>
      </c>
      <c r="J102" s="1284" t="s">
        <v>2431</v>
      </c>
    </row>
    <row r="103" spans="1:10" ht="6" customHeight="1">
      <c r="A103" s="1267"/>
    </row>
    <row r="104" spans="1:10">
      <c r="A104" s="1260">
        <v>8</v>
      </c>
      <c r="B104" s="1255" t="s">
        <v>2434</v>
      </c>
      <c r="C104" s="1255"/>
    </row>
    <row r="105" spans="1:10">
      <c r="A105" s="1267"/>
      <c r="B105" s="1269" t="s">
        <v>2435</v>
      </c>
      <c r="C105" s="1269"/>
      <c r="F105" s="1299" t="s">
        <v>2025</v>
      </c>
      <c r="I105" s="1385">
        <f>IF('Entry for Rates'!F102&gt;0,'Entry for Rates'!F102,1.5*'Entry for Rates'!F59)</f>
        <v>343</v>
      </c>
      <c r="J105" s="1284" t="s">
        <v>2431</v>
      </c>
    </row>
    <row r="106" spans="1:10">
      <c r="A106" s="1267"/>
      <c r="B106" s="1253" t="s">
        <v>2436</v>
      </c>
    </row>
    <row r="107" spans="1:10">
      <c r="A107" s="1267"/>
    </row>
    <row r="108" spans="1:10">
      <c r="A108" s="1267"/>
    </row>
    <row r="109" spans="1:10">
      <c r="A109" s="1267"/>
    </row>
    <row r="110" spans="1:10">
      <c r="A110" s="1267"/>
    </row>
    <row r="111" spans="1:10">
      <c r="A111" s="1267"/>
    </row>
    <row r="112" spans="1:10">
      <c r="A112" s="1267"/>
    </row>
    <row r="113" spans="1:1">
      <c r="A113" s="1267"/>
    </row>
    <row r="114" spans="1:1">
      <c r="A114" s="1267"/>
    </row>
    <row r="115" spans="1:1">
      <c r="A115" s="1267"/>
    </row>
    <row r="116" spans="1:1">
      <c r="A116" s="1267"/>
    </row>
    <row r="117" spans="1:1">
      <c r="A117" s="1267"/>
    </row>
    <row r="118" spans="1:1">
      <c r="A118" s="1267"/>
    </row>
    <row r="119" spans="1:1">
      <c r="A119" s="1267"/>
    </row>
    <row r="120" spans="1:1">
      <c r="A120" s="1267"/>
    </row>
    <row r="121" spans="1:1">
      <c r="A121" s="1267"/>
    </row>
    <row r="122" spans="1:1">
      <c r="A122" s="1267"/>
    </row>
    <row r="123" spans="1:1">
      <c r="A123" s="1267"/>
    </row>
    <row r="124" spans="1:1">
      <c r="A124" s="1267"/>
    </row>
    <row r="125" spans="1:1">
      <c r="A125" s="1267"/>
    </row>
    <row r="126" spans="1:1">
      <c r="A126" s="1267"/>
    </row>
    <row r="127" spans="1:1">
      <c r="A127" s="1267"/>
    </row>
    <row r="128" spans="1:1">
      <c r="A128" s="1267"/>
    </row>
  </sheetData>
  <pageMargins left="1.25" right="0.22" top="0.56999999999999995" bottom="0.28000000000000003" header="0.35" footer="0.28000000000000003"/>
  <pageSetup paperSize="9" scale="94" orientation="portrait" horizontalDpi="180" verticalDpi="180" r:id="rId1"/>
  <headerFooter alignWithMargins="0">
    <oddFooter>&amp;LEstimated by&amp;CChecked by&amp;RApproved by</oddFooter>
  </headerFooter>
  <rowBreaks count="1" manualBreakCount="1">
    <brk id="53" max="16383" man="1"/>
  </rowBreaks>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L77"/>
  <sheetViews>
    <sheetView workbookViewId="0">
      <selection activeCell="H11" sqref="H11"/>
    </sheetView>
  </sheetViews>
  <sheetFormatPr defaultColWidth="9.140625" defaultRowHeight="15.75"/>
  <cols>
    <col min="1" max="1" width="5" style="1387" customWidth="1"/>
    <col min="2" max="2" width="24.42578125" style="1387" customWidth="1"/>
    <col min="3" max="3" width="5" style="1387" customWidth="1"/>
    <col min="4" max="4" width="12.140625" style="1387" customWidth="1"/>
    <col min="5" max="5" width="12.140625" style="1387" hidden="1" customWidth="1"/>
    <col min="6" max="6" width="5.7109375" style="1387" customWidth="1"/>
    <col min="7" max="7" width="6.7109375" style="1387" customWidth="1"/>
    <col min="8" max="8" width="9.5703125" style="1387" customWidth="1"/>
    <col min="9" max="9" width="13.28515625" style="1387" customWidth="1"/>
    <col min="10" max="10" width="13.5703125" style="1387" customWidth="1"/>
    <col min="11" max="11" width="10.7109375" style="1387" customWidth="1"/>
    <col min="12" max="12" width="12.7109375" style="1387" bestFit="1" customWidth="1"/>
    <col min="13" max="16384" width="9.140625" style="1387"/>
  </cols>
  <sheetData>
    <row r="1" spans="1:12" ht="18.75">
      <c r="A1" s="3084" t="s">
        <v>2437</v>
      </c>
      <c r="B1" s="3084"/>
      <c r="C1" s="3084"/>
      <c r="D1" s="3084"/>
      <c r="E1" s="3084"/>
      <c r="F1" s="3084"/>
      <c r="G1" s="3084"/>
      <c r="H1" s="3084"/>
      <c r="I1" s="3084"/>
      <c r="J1" s="1386"/>
      <c r="K1" s="1386"/>
      <c r="L1" s="1386"/>
    </row>
    <row r="2" spans="1:12" ht="8.25" customHeight="1"/>
    <row r="3" spans="1:12">
      <c r="A3" s="1388">
        <f>+'Entry for Rates'!F4</f>
        <v>0</v>
      </c>
      <c r="B3" s="1389"/>
      <c r="C3" s="1389"/>
      <c r="D3" s="1389"/>
      <c r="E3" s="1389"/>
      <c r="F3" s="1389"/>
      <c r="G3" s="1389"/>
      <c r="H3" s="1304" t="s">
        <v>2438</v>
      </c>
      <c r="J3" s="1389"/>
      <c r="K3" s="1389"/>
      <c r="L3" s="1389"/>
    </row>
    <row r="4" spans="1:12">
      <c r="A4" s="1390" t="s">
        <v>405</v>
      </c>
      <c r="B4" s="1391" t="s">
        <v>406</v>
      </c>
      <c r="C4" s="1392" t="s">
        <v>1035</v>
      </c>
      <c r="D4" s="3085" t="s">
        <v>2439</v>
      </c>
      <c r="E4" s="3086"/>
      <c r="F4" s="1392" t="s">
        <v>1035</v>
      </c>
      <c r="G4" s="1393" t="s">
        <v>2440</v>
      </c>
      <c r="H4" s="1393"/>
      <c r="I4" s="1394" t="s">
        <v>2441</v>
      </c>
    </row>
    <row r="5" spans="1:12">
      <c r="A5" s="1395"/>
      <c r="B5" s="1396"/>
      <c r="C5" s="1397"/>
      <c r="D5" s="1398" t="s">
        <v>2442</v>
      </c>
      <c r="E5" s="1398" t="s">
        <v>2443</v>
      </c>
      <c r="F5" s="1398" t="s">
        <v>2444</v>
      </c>
      <c r="G5" s="1398" t="s">
        <v>97</v>
      </c>
      <c r="H5" s="1398" t="s">
        <v>52</v>
      </c>
      <c r="I5" s="1399" t="s">
        <v>2445</v>
      </c>
    </row>
    <row r="6" spans="1:12">
      <c r="A6" s="1395"/>
      <c r="B6" s="1396"/>
      <c r="C6" s="1400"/>
      <c r="D6" s="1401" t="s">
        <v>1376</v>
      </c>
      <c r="E6" s="1401" t="s">
        <v>1376</v>
      </c>
      <c r="F6" s="1401" t="s">
        <v>1034</v>
      </c>
      <c r="G6" s="1401" t="s">
        <v>107</v>
      </c>
      <c r="H6" s="1401" t="s">
        <v>107</v>
      </c>
      <c r="I6" s="1402" t="s">
        <v>2446</v>
      </c>
    </row>
    <row r="7" spans="1:12">
      <c r="A7" s="1403">
        <v>1</v>
      </c>
      <c r="B7" s="1404">
        <v>2</v>
      </c>
      <c r="C7" s="1405">
        <v>3</v>
      </c>
      <c r="D7" s="1405">
        <v>4</v>
      </c>
      <c r="E7" s="1405" t="s">
        <v>2447</v>
      </c>
      <c r="F7" s="1405">
        <v>6</v>
      </c>
      <c r="G7" s="1405">
        <v>7</v>
      </c>
      <c r="H7" s="1405" t="s">
        <v>2448</v>
      </c>
      <c r="I7" s="1406" t="s">
        <v>2449</v>
      </c>
    </row>
    <row r="8" spans="1:12">
      <c r="A8" s="1407">
        <v>1</v>
      </c>
      <c r="B8" s="1400" t="s">
        <v>170</v>
      </c>
      <c r="C8" s="1401" t="s">
        <v>171</v>
      </c>
      <c r="D8" s="1408">
        <f>'Entry for Rates'!F62</f>
        <v>640</v>
      </c>
      <c r="E8" s="1409">
        <f>D8*1.13</f>
        <v>723.19999999999993</v>
      </c>
      <c r="F8" s="1401">
        <v>50</v>
      </c>
      <c r="G8" s="1409">
        <f>'Rate-1'!$D$84</f>
        <v>0</v>
      </c>
      <c r="H8" s="1409">
        <f>ROUND(F8*G8,2)</f>
        <v>0</v>
      </c>
      <c r="I8" s="1410">
        <f>D8+H8</f>
        <v>640</v>
      </c>
      <c r="K8" s="1297"/>
      <c r="L8" s="1411"/>
    </row>
    <row r="9" spans="1:12">
      <c r="A9" s="1412"/>
      <c r="B9" s="1413" t="s">
        <v>2450</v>
      </c>
      <c r="C9" s="1414"/>
      <c r="D9" s="1415"/>
      <c r="E9" s="1416"/>
      <c r="F9" s="1414"/>
      <c r="G9" s="1416"/>
      <c r="H9" s="1416"/>
      <c r="I9" s="1417">
        <f>ROUND(I8/50,2)</f>
        <v>12.8</v>
      </c>
      <c r="K9" s="1297"/>
      <c r="L9" s="1411"/>
    </row>
    <row r="10" spans="1:12">
      <c r="A10" s="1412">
        <f>A8+1</f>
        <v>2</v>
      </c>
      <c r="B10" s="1418" t="s">
        <v>415</v>
      </c>
      <c r="C10" s="1414" t="s">
        <v>1034</v>
      </c>
      <c r="D10" s="1408">
        <f>+'Entry for Rates'!F63</f>
        <v>100</v>
      </c>
      <c r="E10" s="1409">
        <f t="shared" ref="E10:E17" si="0">D10*1.13</f>
        <v>112.99999999999999</v>
      </c>
      <c r="F10" s="1414">
        <v>1</v>
      </c>
      <c r="G10" s="1416">
        <f>'Rate-1'!$E$84</f>
        <v>0</v>
      </c>
      <c r="H10" s="1416">
        <f>ROUND(F10*G10,2)</f>
        <v>0</v>
      </c>
      <c r="I10" s="1410">
        <f t="shared" ref="I10:I17" si="1">D10+H10</f>
        <v>100</v>
      </c>
      <c r="K10" s="1297"/>
      <c r="L10" s="1411"/>
    </row>
    <row r="11" spans="1:12">
      <c r="A11" s="1412">
        <f t="shared" ref="A11:A17" si="2">A10+1</f>
        <v>3</v>
      </c>
      <c r="B11" s="1418" t="s">
        <v>418</v>
      </c>
      <c r="C11" s="1414" t="s">
        <v>1034</v>
      </c>
      <c r="D11" s="1408">
        <f>+'Entry for Rates'!F64</f>
        <v>120</v>
      </c>
      <c r="E11" s="1409">
        <f t="shared" si="0"/>
        <v>135.6</v>
      </c>
      <c r="F11" s="1414">
        <v>1</v>
      </c>
      <c r="G11" s="1416">
        <f>'Rate-1'!$D$84</f>
        <v>0</v>
      </c>
      <c r="H11" s="1416">
        <f t="shared" ref="H11:H17" si="3">ROUND(F11*G11,2)</f>
        <v>0</v>
      </c>
      <c r="I11" s="1410">
        <f t="shared" si="1"/>
        <v>120</v>
      </c>
      <c r="K11" s="1297"/>
      <c r="L11" s="1411"/>
    </row>
    <row r="12" spans="1:12">
      <c r="A12" s="1412">
        <f t="shared" si="2"/>
        <v>4</v>
      </c>
      <c r="B12" s="1418" t="s">
        <v>2451</v>
      </c>
      <c r="C12" s="1414" t="s">
        <v>1034</v>
      </c>
      <c r="D12" s="1408">
        <f>+'Entry for Rates'!F65</f>
        <v>117</v>
      </c>
      <c r="E12" s="1409">
        <f t="shared" si="0"/>
        <v>132.20999999999998</v>
      </c>
      <c r="F12" s="1414">
        <v>1</v>
      </c>
      <c r="G12" s="1416">
        <f>'Rate-1'!$D$84</f>
        <v>0</v>
      </c>
      <c r="H12" s="1416">
        <f t="shared" si="3"/>
        <v>0</v>
      </c>
      <c r="I12" s="1410">
        <f t="shared" si="1"/>
        <v>117</v>
      </c>
      <c r="K12" s="1297"/>
      <c r="L12" s="1411"/>
    </row>
    <row r="13" spans="1:12">
      <c r="A13" s="1412">
        <f t="shared" si="2"/>
        <v>5</v>
      </c>
      <c r="B13" s="1418" t="s">
        <v>204</v>
      </c>
      <c r="C13" s="1414" t="s">
        <v>1034</v>
      </c>
      <c r="D13" s="1408">
        <f>+'Entry for Rates'!F66</f>
        <v>132</v>
      </c>
      <c r="E13" s="1409">
        <f t="shared" si="0"/>
        <v>149.16</v>
      </c>
      <c r="F13" s="1414">
        <v>1</v>
      </c>
      <c r="G13" s="1416">
        <f>'Rate-1'!$D$84</f>
        <v>0</v>
      </c>
      <c r="H13" s="1416">
        <f t="shared" si="3"/>
        <v>0</v>
      </c>
      <c r="I13" s="1410">
        <f t="shared" si="1"/>
        <v>132</v>
      </c>
      <c r="K13" s="1297"/>
      <c r="L13" s="1411"/>
    </row>
    <row r="14" spans="1:12">
      <c r="A14" s="1412">
        <f t="shared" si="2"/>
        <v>6</v>
      </c>
      <c r="B14" s="1418" t="s">
        <v>2452</v>
      </c>
      <c r="C14" s="1414" t="s">
        <v>965</v>
      </c>
      <c r="D14" s="1408">
        <f>+'Entry for Rates'!F67</f>
        <v>86</v>
      </c>
      <c r="E14" s="1409">
        <f t="shared" si="0"/>
        <v>97.179999999999993</v>
      </c>
      <c r="F14" s="1419">
        <v>0.4</v>
      </c>
      <c r="G14" s="1416">
        <f>'Rate-1'!$D$84</f>
        <v>0</v>
      </c>
      <c r="H14" s="1416">
        <f t="shared" si="3"/>
        <v>0</v>
      </c>
      <c r="I14" s="1410">
        <f t="shared" si="1"/>
        <v>86</v>
      </c>
      <c r="K14" s="1297"/>
      <c r="L14" s="1411"/>
    </row>
    <row r="15" spans="1:12">
      <c r="A15" s="1412">
        <f t="shared" si="2"/>
        <v>7</v>
      </c>
      <c r="B15" s="1418" t="s">
        <v>2453</v>
      </c>
      <c r="C15" s="1414" t="s">
        <v>47</v>
      </c>
      <c r="D15" s="1408">
        <f>+'Entry for Rates'!F68</f>
        <v>137</v>
      </c>
      <c r="E15" s="1409">
        <f t="shared" si="0"/>
        <v>154.80999999999997</v>
      </c>
      <c r="F15" s="1419">
        <v>0.5</v>
      </c>
      <c r="G15" s="1416">
        <f>'Rate-1'!$D$84</f>
        <v>0</v>
      </c>
      <c r="H15" s="1416">
        <f>ROUND(F15*G15,2)</f>
        <v>0</v>
      </c>
      <c r="I15" s="1410">
        <f>D15+H15</f>
        <v>137</v>
      </c>
      <c r="K15" s="1297"/>
      <c r="L15" s="1411"/>
    </row>
    <row r="16" spans="1:12">
      <c r="A16" s="1412">
        <f t="shared" si="2"/>
        <v>8</v>
      </c>
      <c r="B16" s="1418" t="s">
        <v>2082</v>
      </c>
      <c r="C16" s="1414" t="s">
        <v>1034</v>
      </c>
      <c r="D16" s="1408">
        <f>+'Entry for Rates'!F69</f>
        <v>93</v>
      </c>
      <c r="E16" s="1409">
        <f t="shared" si="0"/>
        <v>105.08999999999999</v>
      </c>
      <c r="F16" s="1419">
        <v>1.4</v>
      </c>
      <c r="G16" s="1416">
        <f>'Rate-1'!$D$84</f>
        <v>0</v>
      </c>
      <c r="H16" s="1416">
        <f t="shared" si="3"/>
        <v>0</v>
      </c>
      <c r="I16" s="1410">
        <f t="shared" si="1"/>
        <v>93</v>
      </c>
      <c r="K16" s="1297"/>
      <c r="L16" s="1411"/>
    </row>
    <row r="17" spans="1:12">
      <c r="A17" s="1412">
        <f t="shared" si="2"/>
        <v>9</v>
      </c>
      <c r="B17" s="1418" t="s">
        <v>2454</v>
      </c>
      <c r="C17" s="1414" t="s">
        <v>1034</v>
      </c>
      <c r="D17" s="1408">
        <f>+'Entry for Rates'!F70</f>
        <v>115</v>
      </c>
      <c r="E17" s="1409">
        <f t="shared" si="0"/>
        <v>129.94999999999999</v>
      </c>
      <c r="F17" s="1419">
        <v>1</v>
      </c>
      <c r="G17" s="1416">
        <f>'Rate-1'!$E$84</f>
        <v>0</v>
      </c>
      <c r="H17" s="1416">
        <f t="shared" si="3"/>
        <v>0</v>
      </c>
      <c r="I17" s="1410">
        <f t="shared" si="1"/>
        <v>115</v>
      </c>
      <c r="K17" s="1297"/>
      <c r="L17" s="1411"/>
    </row>
    <row r="18" spans="1:12">
      <c r="A18" s="1412"/>
      <c r="B18" s="1418" t="s">
        <v>2455</v>
      </c>
      <c r="C18" s="1414"/>
      <c r="D18" s="1415"/>
      <c r="E18" s="1416"/>
      <c r="F18" s="1419"/>
      <c r="G18" s="1416"/>
      <c r="H18" s="1416"/>
      <c r="I18" s="1417">
        <f>I17*0.17</f>
        <v>19.55</v>
      </c>
      <c r="K18" s="1297"/>
      <c r="L18" s="1411"/>
    </row>
    <row r="19" spans="1:12" ht="16.5">
      <c r="A19" s="1412">
        <f>+A17+1</f>
        <v>10</v>
      </c>
      <c r="B19" s="1418" t="s">
        <v>2456</v>
      </c>
      <c r="C19" s="1414" t="s">
        <v>2457</v>
      </c>
      <c r="D19" s="1408">
        <f>+'Entry for Rates'!F71</f>
        <v>462.70571428571429</v>
      </c>
      <c r="E19" s="1409">
        <f t="shared" ref="E19:E51" si="4">D19*1.13</f>
        <v>522.85745714285713</v>
      </c>
      <c r="F19" s="1414">
        <v>4.5</v>
      </c>
      <c r="G19" s="1416">
        <f>'Rate-1'!$D$84</f>
        <v>0</v>
      </c>
      <c r="H19" s="1416">
        <f t="shared" ref="H19:H45" si="5">ROUND(F19*G19,2)</f>
        <v>0</v>
      </c>
      <c r="I19" s="1410">
        <f t="shared" ref="I19:I51" si="6">D19+H19</f>
        <v>462.70571428571429</v>
      </c>
      <c r="K19" s="1297"/>
      <c r="L19" s="1411"/>
    </row>
    <row r="20" spans="1:12" ht="16.5">
      <c r="A20" s="1412">
        <f t="shared" ref="A20:A51" si="7">A19+1</f>
        <v>11</v>
      </c>
      <c r="B20" s="1418" t="s">
        <v>2458</v>
      </c>
      <c r="C20" s="1414" t="s">
        <v>2457</v>
      </c>
      <c r="D20" s="1408">
        <f>+'Entry for Rates'!F72</f>
        <v>470.62857142857143</v>
      </c>
      <c r="E20" s="1409">
        <f t="shared" si="4"/>
        <v>531.81028571428567</v>
      </c>
      <c r="F20" s="1414">
        <v>5.0999999999999996</v>
      </c>
      <c r="G20" s="1416">
        <f>'Rate-1'!$E$84</f>
        <v>0</v>
      </c>
      <c r="H20" s="1416">
        <f t="shared" si="5"/>
        <v>0</v>
      </c>
      <c r="I20" s="1410">
        <f t="shared" si="6"/>
        <v>470.62857142857143</v>
      </c>
      <c r="K20" s="1297"/>
      <c r="L20" s="1411"/>
    </row>
    <row r="21" spans="1:12">
      <c r="A21" s="1412">
        <f t="shared" si="7"/>
        <v>12</v>
      </c>
      <c r="B21" s="1418" t="s">
        <v>294</v>
      </c>
      <c r="C21" s="1414" t="s">
        <v>2459</v>
      </c>
      <c r="D21" s="1408">
        <f>+'Entry for Rates'!F74</f>
        <v>288</v>
      </c>
      <c r="E21" s="1409">
        <f t="shared" si="4"/>
        <v>325.43999999999994</v>
      </c>
      <c r="F21" s="1414">
        <v>1</v>
      </c>
      <c r="G21" s="1416">
        <f>'Rate-1'!$D$84</f>
        <v>0</v>
      </c>
      <c r="H21" s="1416">
        <f t="shared" si="5"/>
        <v>0</v>
      </c>
      <c r="I21" s="1410">
        <f t="shared" si="6"/>
        <v>288</v>
      </c>
      <c r="K21" s="1297"/>
      <c r="L21" s="1411"/>
    </row>
    <row r="22" spans="1:12">
      <c r="A22" s="1412">
        <f t="shared" si="7"/>
        <v>13</v>
      </c>
      <c r="B22" s="1418" t="s">
        <v>298</v>
      </c>
      <c r="C22" s="1414" t="s">
        <v>2459</v>
      </c>
      <c r="D22" s="1408">
        <f>+'Entry for Rates'!F75</f>
        <v>534</v>
      </c>
      <c r="E22" s="1409">
        <f t="shared" si="4"/>
        <v>603.41999999999996</v>
      </c>
      <c r="F22" s="1414">
        <v>1</v>
      </c>
      <c r="G22" s="1416">
        <f>'Rate-1'!$D$84</f>
        <v>0</v>
      </c>
      <c r="H22" s="1416">
        <f t="shared" si="5"/>
        <v>0</v>
      </c>
      <c r="I22" s="1410">
        <f t="shared" si="6"/>
        <v>534</v>
      </c>
      <c r="K22" s="1297"/>
      <c r="L22" s="1411"/>
    </row>
    <row r="23" spans="1:12">
      <c r="A23" s="1412">
        <f t="shared" si="7"/>
        <v>14</v>
      </c>
      <c r="B23" s="1418" t="s">
        <v>301</v>
      </c>
      <c r="C23" s="1414" t="s">
        <v>2459</v>
      </c>
      <c r="D23" s="1408">
        <f>+'Entry for Rates'!F76</f>
        <v>249.73</v>
      </c>
      <c r="E23" s="1409">
        <f t="shared" si="4"/>
        <v>282.19489999999996</v>
      </c>
      <c r="F23" s="1414">
        <v>1</v>
      </c>
      <c r="G23" s="1416">
        <f>'Rate-1'!$D$84</f>
        <v>0</v>
      </c>
      <c r="H23" s="1416">
        <f t="shared" si="5"/>
        <v>0</v>
      </c>
      <c r="I23" s="1410">
        <f t="shared" si="6"/>
        <v>249.73</v>
      </c>
      <c r="K23" s="1297"/>
      <c r="L23" s="1411"/>
    </row>
    <row r="24" spans="1:12">
      <c r="A24" s="1412">
        <f t="shared" si="7"/>
        <v>15</v>
      </c>
      <c r="B24" s="1418" t="s">
        <v>2460</v>
      </c>
      <c r="C24" s="1414" t="s">
        <v>1034</v>
      </c>
      <c r="D24" s="1408">
        <f>+'Entry for Rates'!F77</f>
        <v>69</v>
      </c>
      <c r="E24" s="1409">
        <f t="shared" si="4"/>
        <v>77.97</v>
      </c>
      <c r="F24" s="1414">
        <v>1</v>
      </c>
      <c r="G24" s="1416">
        <f>'Rate-1'!$D$84</f>
        <v>0</v>
      </c>
      <c r="H24" s="1416">
        <f t="shared" si="5"/>
        <v>0</v>
      </c>
      <c r="I24" s="1410">
        <f t="shared" si="6"/>
        <v>69</v>
      </c>
      <c r="K24" s="1297"/>
      <c r="L24" s="1411"/>
    </row>
    <row r="25" spans="1:12" ht="16.5">
      <c r="A25" s="1412">
        <f t="shared" si="7"/>
        <v>16</v>
      </c>
      <c r="B25" s="1418" t="s">
        <v>425</v>
      </c>
      <c r="C25" s="1414" t="s">
        <v>2457</v>
      </c>
      <c r="D25" s="1408">
        <f>+'Entry for Rates'!F78</f>
        <v>33</v>
      </c>
      <c r="E25" s="1409">
        <f t="shared" si="4"/>
        <v>37.29</v>
      </c>
      <c r="F25" s="1414"/>
      <c r="G25" s="1416">
        <f>'Rate-1'!$D$84</f>
        <v>0</v>
      </c>
      <c r="H25" s="1416">
        <f t="shared" si="5"/>
        <v>0</v>
      </c>
      <c r="I25" s="1410">
        <f t="shared" si="6"/>
        <v>33</v>
      </c>
      <c r="K25" s="1297"/>
      <c r="L25" s="1411"/>
    </row>
    <row r="26" spans="1:12">
      <c r="A26" s="1412">
        <f t="shared" si="7"/>
        <v>17</v>
      </c>
      <c r="B26" s="1418" t="s">
        <v>2461</v>
      </c>
      <c r="C26" s="1414" t="s">
        <v>1034</v>
      </c>
      <c r="D26" s="1408">
        <f>+'Entry for Rates'!F79</f>
        <v>117</v>
      </c>
      <c r="E26" s="1409">
        <f t="shared" si="4"/>
        <v>132.20999999999998</v>
      </c>
      <c r="F26" s="1414">
        <v>1</v>
      </c>
      <c r="G26" s="1416">
        <f>'Rate-1'!$D$84</f>
        <v>0</v>
      </c>
      <c r="H26" s="1416">
        <f t="shared" si="5"/>
        <v>0</v>
      </c>
      <c r="I26" s="1410">
        <f>D26+H26</f>
        <v>117</v>
      </c>
      <c r="K26" s="1297"/>
      <c r="L26" s="1411"/>
    </row>
    <row r="27" spans="1:12">
      <c r="A27" s="1412">
        <f t="shared" si="7"/>
        <v>18</v>
      </c>
      <c r="B27" s="1418" t="s">
        <v>2462</v>
      </c>
      <c r="C27" s="1414" t="s">
        <v>2463</v>
      </c>
      <c r="D27" s="1408">
        <f>+'Entry for Rates'!F80</f>
        <v>174.33628318584073</v>
      </c>
      <c r="E27" s="1409">
        <f t="shared" si="4"/>
        <v>197</v>
      </c>
      <c r="F27" s="1414">
        <v>1</v>
      </c>
      <c r="G27" s="1416">
        <f>'Rate-1'!$E$84</f>
        <v>0</v>
      </c>
      <c r="H27" s="1416">
        <f t="shared" si="5"/>
        <v>0</v>
      </c>
      <c r="I27" s="1410">
        <f t="shared" si="6"/>
        <v>174.33628318584073</v>
      </c>
      <c r="K27" s="1297"/>
      <c r="L27" s="1411"/>
    </row>
    <row r="28" spans="1:12">
      <c r="A28" s="1412">
        <f t="shared" si="7"/>
        <v>19</v>
      </c>
      <c r="B28" s="1418" t="s">
        <v>438</v>
      </c>
      <c r="C28" s="1414" t="s">
        <v>963</v>
      </c>
      <c r="D28" s="1408">
        <f>+'Entry for Rates'!F81</f>
        <v>21.14</v>
      </c>
      <c r="E28" s="1409">
        <f t="shared" si="4"/>
        <v>23.888199999999998</v>
      </c>
      <c r="F28" s="1414">
        <v>1</v>
      </c>
      <c r="G28" s="1416">
        <f>'Rate-1'!$D$84</f>
        <v>0</v>
      </c>
      <c r="H28" s="1416">
        <f t="shared" si="5"/>
        <v>0</v>
      </c>
      <c r="I28" s="1410">
        <f t="shared" si="6"/>
        <v>21.14</v>
      </c>
      <c r="K28" s="1297"/>
      <c r="L28" s="1411"/>
    </row>
    <row r="29" spans="1:12">
      <c r="A29" s="1412">
        <f t="shared" si="7"/>
        <v>20</v>
      </c>
      <c r="B29" s="1418" t="s">
        <v>2464</v>
      </c>
      <c r="C29" s="1414" t="s">
        <v>963</v>
      </c>
      <c r="D29" s="1408">
        <f>+'Entry for Rates'!F82</f>
        <v>2</v>
      </c>
      <c r="E29" s="1409">
        <f t="shared" si="4"/>
        <v>2.2599999999999998</v>
      </c>
      <c r="F29" s="1414">
        <v>0.02</v>
      </c>
      <c r="G29" s="1416">
        <f>'Rate-1'!$D$84</f>
        <v>0</v>
      </c>
      <c r="H29" s="1416">
        <f>ROUND(F29*G29,2)</f>
        <v>0</v>
      </c>
      <c r="I29" s="1410">
        <f t="shared" si="6"/>
        <v>2</v>
      </c>
      <c r="K29" s="1297"/>
      <c r="L29" s="1411"/>
    </row>
    <row r="30" spans="1:12">
      <c r="A30" s="1412">
        <f t="shared" si="7"/>
        <v>21</v>
      </c>
      <c r="B30" s="1418" t="s">
        <v>440</v>
      </c>
      <c r="C30" s="1414" t="s">
        <v>963</v>
      </c>
      <c r="D30" s="1408">
        <f>+'Entry for Rates'!F83</f>
        <v>59</v>
      </c>
      <c r="E30" s="1409">
        <f t="shared" si="4"/>
        <v>66.669999999999987</v>
      </c>
      <c r="F30" s="1414">
        <v>0.15</v>
      </c>
      <c r="G30" s="1416">
        <f>'Rate-1'!$D$84</f>
        <v>0</v>
      </c>
      <c r="H30" s="1416">
        <f t="shared" si="5"/>
        <v>0</v>
      </c>
      <c r="I30" s="1410">
        <f t="shared" si="6"/>
        <v>59</v>
      </c>
      <c r="K30" s="1297"/>
      <c r="L30" s="1411"/>
    </row>
    <row r="31" spans="1:12">
      <c r="A31" s="1412">
        <f t="shared" si="7"/>
        <v>22</v>
      </c>
      <c r="B31" s="1418" t="s">
        <v>441</v>
      </c>
      <c r="C31" s="1414" t="s">
        <v>963</v>
      </c>
      <c r="D31" s="1408">
        <f>+'Entry for Rates'!F84</f>
        <v>71</v>
      </c>
      <c r="E31" s="1409">
        <f t="shared" si="4"/>
        <v>80.22999999999999</v>
      </c>
      <c r="F31" s="1414">
        <v>0.15</v>
      </c>
      <c r="G31" s="1416">
        <f>'Rate-1'!$D$84</f>
        <v>0</v>
      </c>
      <c r="H31" s="1416">
        <f t="shared" si="5"/>
        <v>0</v>
      </c>
      <c r="I31" s="1410">
        <f t="shared" si="6"/>
        <v>71</v>
      </c>
      <c r="K31" s="1297"/>
      <c r="L31" s="1411"/>
    </row>
    <row r="32" spans="1:12">
      <c r="A32" s="1412">
        <f t="shared" si="7"/>
        <v>23</v>
      </c>
      <c r="B32" s="1418" t="s">
        <v>442</v>
      </c>
      <c r="C32" s="1414" t="s">
        <v>963</v>
      </c>
      <c r="D32" s="1408">
        <f>+'Entry for Rates'!F85</f>
        <v>114</v>
      </c>
      <c r="E32" s="1409">
        <f t="shared" si="4"/>
        <v>128.82</v>
      </c>
      <c r="F32" s="1414">
        <v>0.2</v>
      </c>
      <c r="G32" s="1416">
        <f>'Rate-1'!$D$84</f>
        <v>0</v>
      </c>
      <c r="H32" s="1416">
        <f t="shared" si="5"/>
        <v>0</v>
      </c>
      <c r="I32" s="1410">
        <f t="shared" si="6"/>
        <v>114</v>
      </c>
      <c r="K32" s="1297"/>
      <c r="L32" s="1411"/>
    </row>
    <row r="33" spans="1:12">
      <c r="A33" s="1412">
        <f t="shared" si="7"/>
        <v>24</v>
      </c>
      <c r="B33" s="1418" t="s">
        <v>448</v>
      </c>
      <c r="C33" s="1414" t="s">
        <v>963</v>
      </c>
      <c r="D33" s="1408">
        <f>+'Entry for Rates'!F86</f>
        <v>277</v>
      </c>
      <c r="E33" s="1409">
        <f t="shared" si="4"/>
        <v>313.01</v>
      </c>
      <c r="F33" s="1414">
        <v>0.3</v>
      </c>
      <c r="G33" s="1416">
        <f>'Rate-1'!$D$84</f>
        <v>0</v>
      </c>
      <c r="H33" s="1416">
        <f t="shared" si="5"/>
        <v>0</v>
      </c>
      <c r="I33" s="1410">
        <f t="shared" si="6"/>
        <v>277</v>
      </c>
      <c r="K33" s="1297"/>
      <c r="L33" s="1411"/>
    </row>
    <row r="34" spans="1:12">
      <c r="A34" s="1412">
        <f t="shared" si="7"/>
        <v>25</v>
      </c>
      <c r="B34" s="1418" t="s">
        <v>243</v>
      </c>
      <c r="C34" s="1414" t="s">
        <v>963</v>
      </c>
      <c r="D34" s="1408">
        <f>+'Entry for Rates'!F87</f>
        <v>159</v>
      </c>
      <c r="E34" s="1409">
        <f t="shared" si="4"/>
        <v>179.67</v>
      </c>
      <c r="F34" s="1414">
        <v>0.2</v>
      </c>
      <c r="G34" s="1416">
        <f>'Rate-1'!$D$84</f>
        <v>0</v>
      </c>
      <c r="H34" s="1416">
        <f t="shared" si="5"/>
        <v>0</v>
      </c>
      <c r="I34" s="1410">
        <f t="shared" si="6"/>
        <v>159</v>
      </c>
      <c r="K34" s="1297"/>
      <c r="L34" s="1411"/>
    </row>
    <row r="35" spans="1:12">
      <c r="A35" s="1412">
        <f t="shared" si="7"/>
        <v>26</v>
      </c>
      <c r="B35" s="1418" t="s">
        <v>443</v>
      </c>
      <c r="C35" s="1414" t="s">
        <v>1034</v>
      </c>
      <c r="D35" s="1408">
        <f>+'Entry for Rates'!F88</f>
        <v>12.18</v>
      </c>
      <c r="E35" s="1409">
        <f t="shared" si="4"/>
        <v>13.763399999999999</v>
      </c>
      <c r="F35" s="1414">
        <v>0.1</v>
      </c>
      <c r="G35" s="1416">
        <f>'Rate-1'!$D$84</f>
        <v>0</v>
      </c>
      <c r="H35" s="1416">
        <f t="shared" si="5"/>
        <v>0</v>
      </c>
      <c r="I35" s="1410">
        <f>D35+H35</f>
        <v>12.18</v>
      </c>
      <c r="K35" s="1297"/>
      <c r="L35" s="1411"/>
    </row>
    <row r="36" spans="1:12">
      <c r="A36" s="1412">
        <f t="shared" si="7"/>
        <v>27</v>
      </c>
      <c r="B36" s="1418" t="s">
        <v>444</v>
      </c>
      <c r="C36" s="1414" t="s">
        <v>963</v>
      </c>
      <c r="D36" s="1408">
        <f>+'Entry for Rates'!F89</f>
        <v>14.6</v>
      </c>
      <c r="E36" s="1409">
        <f t="shared" si="4"/>
        <v>16.497999999999998</v>
      </c>
      <c r="F36" s="1414">
        <v>0.15</v>
      </c>
      <c r="G36" s="1416">
        <f>'Rate-1'!$D$84</f>
        <v>0</v>
      </c>
      <c r="H36" s="1416">
        <f t="shared" si="5"/>
        <v>0</v>
      </c>
      <c r="I36" s="1410">
        <f t="shared" si="6"/>
        <v>14.6</v>
      </c>
      <c r="K36" s="1297"/>
      <c r="L36" s="1411"/>
    </row>
    <row r="37" spans="1:12">
      <c r="A37" s="1412">
        <f t="shared" si="7"/>
        <v>28</v>
      </c>
      <c r="B37" s="1418" t="s">
        <v>445</v>
      </c>
      <c r="C37" s="1414" t="s">
        <v>963</v>
      </c>
      <c r="D37" s="1408">
        <f>+'Entry for Rates'!F90</f>
        <v>14.6</v>
      </c>
      <c r="E37" s="1409">
        <f t="shared" si="4"/>
        <v>16.497999999999998</v>
      </c>
      <c r="F37" s="1414">
        <v>0.1</v>
      </c>
      <c r="G37" s="1416">
        <f>'Rate-1'!$D$84</f>
        <v>0</v>
      </c>
      <c r="H37" s="1416">
        <f t="shared" si="5"/>
        <v>0</v>
      </c>
      <c r="I37" s="1410">
        <f t="shared" si="6"/>
        <v>14.6</v>
      </c>
      <c r="K37" s="1297"/>
      <c r="L37" s="1411"/>
    </row>
    <row r="38" spans="1:12">
      <c r="A38" s="1412">
        <f t="shared" si="7"/>
        <v>29</v>
      </c>
      <c r="B38" s="1418" t="s">
        <v>446</v>
      </c>
      <c r="C38" s="1414" t="s">
        <v>1087</v>
      </c>
      <c r="D38" s="1408">
        <f>+'Entry for Rates'!F91</f>
        <v>3</v>
      </c>
      <c r="E38" s="1409">
        <f t="shared" si="4"/>
        <v>3.3899999999999997</v>
      </c>
      <c r="F38" s="1419">
        <v>0.01</v>
      </c>
      <c r="G38" s="1416">
        <f>'Rate-1'!$D$84</f>
        <v>0</v>
      </c>
      <c r="H38" s="1416">
        <f t="shared" si="5"/>
        <v>0</v>
      </c>
      <c r="I38" s="1410">
        <f t="shared" si="6"/>
        <v>3</v>
      </c>
      <c r="K38" s="1297"/>
      <c r="L38" s="1411"/>
    </row>
    <row r="39" spans="1:12">
      <c r="A39" s="1412">
        <f t="shared" si="7"/>
        <v>30</v>
      </c>
      <c r="B39" s="1418" t="s">
        <v>2465</v>
      </c>
      <c r="C39" s="1414" t="s">
        <v>1038</v>
      </c>
      <c r="D39" s="1408">
        <f>+'Entry for Rates'!F92</f>
        <v>0</v>
      </c>
      <c r="E39" s="1409">
        <f t="shared" si="4"/>
        <v>0</v>
      </c>
      <c r="F39" s="1419">
        <v>3</v>
      </c>
      <c r="G39" s="1416">
        <f>'Rate-1'!$E$84</f>
        <v>0</v>
      </c>
      <c r="H39" s="1416">
        <f>ROUND(F39*G39,2)</f>
        <v>0</v>
      </c>
      <c r="I39" s="1410">
        <f t="shared" si="6"/>
        <v>0</v>
      </c>
      <c r="K39" s="1297"/>
      <c r="L39" s="1411"/>
    </row>
    <row r="40" spans="1:12">
      <c r="A40" s="1412">
        <f t="shared" si="7"/>
        <v>31</v>
      </c>
      <c r="B40" s="1418" t="s">
        <v>2466</v>
      </c>
      <c r="C40" s="1414" t="s">
        <v>963</v>
      </c>
      <c r="D40" s="1420">
        <f>+'Entry for Rates'!F93</f>
        <v>1500</v>
      </c>
      <c r="E40" s="1420">
        <f t="shared" si="4"/>
        <v>1694.9999999999998</v>
      </c>
      <c r="F40" s="1414">
        <v>15</v>
      </c>
      <c r="G40" s="1416">
        <f>'Rate-1'!$E$84</f>
        <v>0</v>
      </c>
      <c r="H40" s="1416">
        <f t="shared" si="5"/>
        <v>0</v>
      </c>
      <c r="I40" s="1410">
        <f t="shared" si="6"/>
        <v>1500</v>
      </c>
      <c r="K40" s="1297"/>
      <c r="L40" s="1411"/>
    </row>
    <row r="41" spans="1:12">
      <c r="A41" s="1412">
        <f t="shared" si="7"/>
        <v>32</v>
      </c>
      <c r="B41" s="1421" t="s">
        <v>2467</v>
      </c>
      <c r="C41" s="1414" t="s">
        <v>1038</v>
      </c>
      <c r="D41" s="1420">
        <f>+'Entry for Rates'!F94</f>
        <v>1836.75</v>
      </c>
      <c r="E41" s="1420">
        <f t="shared" si="4"/>
        <v>2075.5274999999997</v>
      </c>
      <c r="F41" s="1414">
        <v>13</v>
      </c>
      <c r="G41" s="1416">
        <f>'Rate-1'!$E$84</f>
        <v>0</v>
      </c>
      <c r="H41" s="1416">
        <f>ROUND(F41*G41,2)</f>
        <v>0</v>
      </c>
      <c r="I41" s="1410">
        <f t="shared" si="6"/>
        <v>1836.75</v>
      </c>
      <c r="K41" s="1297"/>
      <c r="L41" s="1411"/>
    </row>
    <row r="42" spans="1:12">
      <c r="A42" s="1412">
        <f t="shared" si="7"/>
        <v>33</v>
      </c>
      <c r="B42" s="1421" t="s">
        <v>2468</v>
      </c>
      <c r="C42" s="1414" t="s">
        <v>1038</v>
      </c>
      <c r="D42" s="1420">
        <f>+'Entry for Rates'!F95</f>
        <v>1274.0999999999999</v>
      </c>
      <c r="E42" s="1420">
        <f t="shared" si="4"/>
        <v>1439.7329999999997</v>
      </c>
      <c r="F42" s="1414">
        <v>11</v>
      </c>
      <c r="G42" s="1416">
        <f>'Rate-1'!$E$84</f>
        <v>0</v>
      </c>
      <c r="H42" s="1416">
        <f>ROUND(F42*G42,2)</f>
        <v>0</v>
      </c>
      <c r="I42" s="1410">
        <f t="shared" si="6"/>
        <v>1274.0999999999999</v>
      </c>
      <c r="K42" s="1297"/>
      <c r="L42" s="1411"/>
    </row>
    <row r="43" spans="1:12">
      <c r="A43" s="1412">
        <f t="shared" si="7"/>
        <v>34</v>
      </c>
      <c r="B43" s="1421" t="s">
        <v>2469</v>
      </c>
      <c r="C43" s="1414" t="s">
        <v>1038</v>
      </c>
      <c r="D43" s="1420">
        <f>+'Entry for Rates'!F96</f>
        <v>1399.65</v>
      </c>
      <c r="E43" s="1420">
        <f t="shared" si="4"/>
        <v>1581.6044999999999</v>
      </c>
      <c r="F43" s="1414">
        <v>9</v>
      </c>
      <c r="G43" s="1416">
        <f>'Rate-1'!$E$84</f>
        <v>0</v>
      </c>
      <c r="H43" s="1416">
        <f>ROUND(F43*G43,2)</f>
        <v>0</v>
      </c>
      <c r="I43" s="1410">
        <f t="shared" si="6"/>
        <v>1399.65</v>
      </c>
      <c r="K43" s="1297"/>
      <c r="L43" s="1411"/>
    </row>
    <row r="44" spans="1:12">
      <c r="A44" s="1412">
        <f t="shared" si="7"/>
        <v>35</v>
      </c>
      <c r="B44" s="1418" t="s">
        <v>452</v>
      </c>
      <c r="C44" s="1414" t="s">
        <v>965</v>
      </c>
      <c r="D44" s="1408">
        <f>+'Entry for Rates'!F97</f>
        <v>210.69</v>
      </c>
      <c r="E44" s="1416">
        <f t="shared" si="4"/>
        <v>238.07969999999997</v>
      </c>
      <c r="F44" s="1414">
        <v>0.62</v>
      </c>
      <c r="G44" s="1416">
        <f>'Rate-1'!$E$84</f>
        <v>0</v>
      </c>
      <c r="H44" s="1416">
        <f t="shared" si="5"/>
        <v>0</v>
      </c>
      <c r="I44" s="1410" t="s">
        <v>44</v>
      </c>
      <c r="K44" s="1297"/>
      <c r="L44" s="1411"/>
    </row>
    <row r="45" spans="1:12">
      <c r="A45" s="1412">
        <f t="shared" si="7"/>
        <v>36</v>
      </c>
      <c r="B45" s="1418" t="s">
        <v>453</v>
      </c>
      <c r="C45" s="1414" t="s">
        <v>965</v>
      </c>
      <c r="D45" s="1408">
        <f>+'Entry for Rates'!F98</f>
        <v>268.14999999999998</v>
      </c>
      <c r="E45" s="1416">
        <f t="shared" si="4"/>
        <v>303.00949999999995</v>
      </c>
      <c r="F45" s="1419">
        <v>1.21</v>
      </c>
      <c r="G45" s="1416">
        <f>'Rate-1'!$E$84</f>
        <v>0</v>
      </c>
      <c r="H45" s="1416">
        <f t="shared" si="5"/>
        <v>0</v>
      </c>
      <c r="I45" s="1410" t="s">
        <v>44</v>
      </c>
      <c r="K45" s="1297"/>
      <c r="L45" s="1411"/>
    </row>
    <row r="46" spans="1:12">
      <c r="A46" s="1412">
        <f t="shared" si="7"/>
        <v>37</v>
      </c>
      <c r="B46" s="1418" t="s">
        <v>2470</v>
      </c>
      <c r="C46" s="1414" t="s">
        <v>973</v>
      </c>
      <c r="D46" s="1420">
        <f>+'Entry for Rates'!F106</f>
        <v>3164000</v>
      </c>
      <c r="E46" s="1420">
        <f t="shared" si="4"/>
        <v>3575319.9999999995</v>
      </c>
      <c r="F46" s="1420"/>
      <c r="G46" s="1420"/>
      <c r="H46" s="1420"/>
      <c r="I46" s="1410">
        <f t="shared" si="6"/>
        <v>3164000</v>
      </c>
      <c r="K46" s="1297"/>
      <c r="L46" s="1411"/>
    </row>
    <row r="47" spans="1:12">
      <c r="A47" s="1412">
        <f t="shared" si="7"/>
        <v>38</v>
      </c>
      <c r="B47" s="1418" t="s">
        <v>2471</v>
      </c>
      <c r="C47" s="1414" t="s">
        <v>973</v>
      </c>
      <c r="D47" s="1420">
        <f>+'Entry for Rates'!F107</f>
        <v>22400.25</v>
      </c>
      <c r="E47" s="1420">
        <f t="shared" si="4"/>
        <v>25312.282499999998</v>
      </c>
      <c r="F47" s="1418"/>
      <c r="G47" s="1418"/>
      <c r="H47" s="1418"/>
      <c r="I47" s="1410">
        <f t="shared" si="6"/>
        <v>22400.25</v>
      </c>
      <c r="K47" s="1297"/>
      <c r="L47" s="1411"/>
    </row>
    <row r="48" spans="1:12">
      <c r="A48" s="1412">
        <f t="shared" si="7"/>
        <v>39</v>
      </c>
      <c r="B48" s="1418" t="s">
        <v>2472</v>
      </c>
      <c r="C48" s="1414" t="s">
        <v>2459</v>
      </c>
      <c r="D48" s="1422">
        <f>+'Entry for Rates'!F110</f>
        <v>65</v>
      </c>
      <c r="E48" s="1408">
        <f t="shared" si="4"/>
        <v>73.449999999999989</v>
      </c>
      <c r="F48" s="1418"/>
      <c r="G48" s="1418"/>
      <c r="H48" s="1418"/>
      <c r="I48" s="1417">
        <f t="shared" si="6"/>
        <v>65</v>
      </c>
      <c r="J48" s="1387" t="s">
        <v>2473</v>
      </c>
      <c r="K48" s="1297"/>
      <c r="L48" s="1411"/>
    </row>
    <row r="49" spans="1:12">
      <c r="A49" s="1412">
        <f t="shared" si="7"/>
        <v>40</v>
      </c>
      <c r="B49" s="1418" t="s">
        <v>2474</v>
      </c>
      <c r="C49" s="1414" t="s">
        <v>2459</v>
      </c>
      <c r="D49" s="1422">
        <f>+'Entry for Rates'!F111</f>
        <v>580.26</v>
      </c>
      <c r="E49" s="1409">
        <f t="shared" si="4"/>
        <v>655.6937999999999</v>
      </c>
      <c r="F49" s="1418"/>
      <c r="G49" s="1418"/>
      <c r="H49" s="1418"/>
      <c r="I49" s="1410">
        <f t="shared" si="6"/>
        <v>580.26</v>
      </c>
      <c r="K49" s="1297"/>
      <c r="L49" s="1411"/>
    </row>
    <row r="50" spans="1:12">
      <c r="A50" s="1412">
        <f t="shared" si="7"/>
        <v>41</v>
      </c>
      <c r="B50" s="1418" t="s">
        <v>2475</v>
      </c>
      <c r="C50" s="1414" t="s">
        <v>2459</v>
      </c>
      <c r="D50" s="1422">
        <f>+'Entry for Rates'!F112</f>
        <v>580.26</v>
      </c>
      <c r="E50" s="1409">
        <f t="shared" si="4"/>
        <v>655.6937999999999</v>
      </c>
      <c r="F50" s="1418"/>
      <c r="G50" s="1418"/>
      <c r="H50" s="1418"/>
      <c r="I50" s="1410">
        <f t="shared" si="6"/>
        <v>580.26</v>
      </c>
      <c r="K50" s="1297"/>
      <c r="L50" s="1411"/>
    </row>
    <row r="51" spans="1:12">
      <c r="A51" s="1423">
        <f t="shared" si="7"/>
        <v>42</v>
      </c>
      <c r="B51" s="1424" t="s">
        <v>2476</v>
      </c>
      <c r="C51" s="1425" t="s">
        <v>2459</v>
      </c>
      <c r="D51" s="1426">
        <f>+'Entry for Rates'!F113</f>
        <v>640.15</v>
      </c>
      <c r="E51" s="1427">
        <f t="shared" si="4"/>
        <v>723.3694999999999</v>
      </c>
      <c r="F51" s="1424"/>
      <c r="G51" s="1424"/>
      <c r="H51" s="1424"/>
      <c r="I51" s="1428">
        <f t="shared" si="6"/>
        <v>640.15</v>
      </c>
      <c r="K51" s="1297"/>
      <c r="L51" s="1411"/>
    </row>
    <row r="52" spans="1:12" ht="16.5" customHeight="1">
      <c r="A52" s="1389"/>
      <c r="C52" s="1389"/>
      <c r="D52" s="1389"/>
      <c r="E52" s="1389"/>
      <c r="F52" s="1389"/>
      <c r="G52" s="1389"/>
      <c r="H52" s="1389"/>
      <c r="I52" s="1389"/>
      <c r="J52" s="1389"/>
      <c r="K52" s="1389"/>
      <c r="L52" s="1389"/>
    </row>
    <row r="53" spans="1:12" ht="18.75">
      <c r="A53" s="3084" t="s">
        <v>2477</v>
      </c>
      <c r="B53" s="3084"/>
      <c r="C53" s="3084"/>
      <c r="D53" s="3084"/>
      <c r="E53" s="1386"/>
      <c r="F53" s="1386"/>
      <c r="G53" s="1386"/>
      <c r="H53" s="1386"/>
      <c r="I53" s="1386"/>
      <c r="J53" s="1386"/>
      <c r="K53" s="1386"/>
      <c r="L53" s="1386"/>
    </row>
    <row r="54" spans="1:12" ht="18.75">
      <c r="A54" s="3084" t="s">
        <v>2478</v>
      </c>
      <c r="B54" s="3084"/>
      <c r="C54" s="3084"/>
      <c r="D54" s="3084"/>
      <c r="E54" s="1429"/>
      <c r="F54" s="1429"/>
      <c r="G54" s="1429"/>
      <c r="H54" s="1429"/>
      <c r="I54" s="1429"/>
      <c r="J54" s="1429"/>
      <c r="K54" s="1429"/>
      <c r="L54" s="1429"/>
    </row>
    <row r="55" spans="1:12">
      <c r="A55" s="1430">
        <f>A3</f>
        <v>0</v>
      </c>
      <c r="B55" s="1389"/>
      <c r="C55" s="1389"/>
      <c r="D55" s="1389"/>
      <c r="E55" s="1389"/>
      <c r="F55" s="1389"/>
      <c r="G55" s="1389"/>
      <c r="H55" s="1389"/>
      <c r="I55" s="1389"/>
      <c r="J55" s="1389"/>
      <c r="K55" s="1389"/>
      <c r="L55" s="1389"/>
    </row>
    <row r="56" spans="1:12">
      <c r="A56" s="1431" t="s">
        <v>405</v>
      </c>
      <c r="B56" s="1432" t="s">
        <v>406</v>
      </c>
      <c r="C56" s="1432" t="s">
        <v>1035</v>
      </c>
      <c r="D56" s="1433" t="s">
        <v>97</v>
      </c>
      <c r="E56" s="1434"/>
      <c r="F56" s="1434"/>
      <c r="G56" s="1434"/>
      <c r="H56" s="1434"/>
      <c r="I56" s="1389"/>
      <c r="J56" s="1389"/>
      <c r="K56" s="1435"/>
    </row>
    <row r="57" spans="1:12">
      <c r="A57" s="1436"/>
      <c r="B57" s="1398"/>
      <c r="C57" s="1398"/>
      <c r="D57" s="1399"/>
      <c r="E57" s="1434"/>
      <c r="F57" s="1434"/>
      <c r="G57" s="1434"/>
      <c r="H57" s="1434"/>
      <c r="I57" s="1389"/>
      <c r="J57" s="1389"/>
      <c r="K57" s="1435"/>
    </row>
    <row r="58" spans="1:12">
      <c r="A58" s="1437"/>
      <c r="B58" s="1438" t="s">
        <v>2479</v>
      </c>
      <c r="C58" s="1438"/>
      <c r="D58" s="1439"/>
      <c r="E58" s="1434"/>
      <c r="F58" s="1434"/>
      <c r="G58" s="1434"/>
      <c r="H58" s="1434"/>
      <c r="I58" s="1389"/>
      <c r="J58" s="1389"/>
      <c r="K58" s="1435"/>
    </row>
    <row r="59" spans="1:12" ht="16.5">
      <c r="A59" s="1412">
        <v>1</v>
      </c>
      <c r="B59" s="1418" t="s">
        <v>160</v>
      </c>
      <c r="C59" s="1414" t="s">
        <v>2480</v>
      </c>
      <c r="D59" s="1417">
        <v>2225.1497335829999</v>
      </c>
      <c r="E59" s="1389"/>
      <c r="F59" s="1389"/>
      <c r="G59" s="1389"/>
      <c r="H59" s="1389"/>
      <c r="I59" s="1389"/>
      <c r="J59" s="1389"/>
      <c r="K59" s="1440"/>
    </row>
    <row r="60" spans="1:12" ht="16.5">
      <c r="A60" s="1412">
        <f t="shared" ref="A60:A76" si="8">A59+1</f>
        <v>2</v>
      </c>
      <c r="B60" s="1418" t="s">
        <v>521</v>
      </c>
      <c r="C60" s="1414" t="s">
        <v>2480</v>
      </c>
      <c r="D60" s="1417">
        <f>D59</f>
        <v>2225.1497335829999</v>
      </c>
      <c r="E60" s="1389"/>
      <c r="F60" s="1389"/>
      <c r="G60" s="1389"/>
      <c r="H60" s="1389"/>
      <c r="I60" s="1389"/>
      <c r="J60" s="1389"/>
      <c r="K60" s="1440"/>
    </row>
    <row r="61" spans="1:12" ht="16.5">
      <c r="A61" s="1412">
        <f t="shared" si="8"/>
        <v>3</v>
      </c>
      <c r="B61" s="1418" t="s">
        <v>2481</v>
      </c>
      <c r="C61" s="1414" t="s">
        <v>2480</v>
      </c>
      <c r="D61" s="1417">
        <v>6500</v>
      </c>
      <c r="E61" s="1389"/>
      <c r="F61" s="1389"/>
      <c r="G61" s="1389"/>
      <c r="H61" s="1389"/>
      <c r="I61" s="1389"/>
      <c r="J61" s="1389"/>
      <c r="K61" s="1440"/>
    </row>
    <row r="62" spans="1:12" ht="16.5">
      <c r="A62" s="1412">
        <f t="shared" si="8"/>
        <v>4</v>
      </c>
      <c r="B62" s="1418" t="s">
        <v>2482</v>
      </c>
      <c r="C62" s="1414" t="s">
        <v>2480</v>
      </c>
      <c r="D62" s="1417">
        <v>6500</v>
      </c>
      <c r="E62" s="1389"/>
      <c r="F62" s="1389"/>
      <c r="G62" s="1389"/>
      <c r="H62" s="1389"/>
      <c r="I62" s="1389"/>
      <c r="J62" s="1389"/>
      <c r="K62" s="1440"/>
    </row>
    <row r="63" spans="1:12" ht="16.5">
      <c r="A63" s="1412">
        <f t="shared" si="8"/>
        <v>5</v>
      </c>
      <c r="B63" s="1418" t="s">
        <v>168</v>
      </c>
      <c r="C63" s="1414" t="s">
        <v>2480</v>
      </c>
      <c r="D63" s="1417">
        <v>3766.11</v>
      </c>
      <c r="E63" s="1389"/>
      <c r="F63" s="1389"/>
      <c r="G63" s="1389"/>
      <c r="H63" s="1389"/>
      <c r="I63" s="1389"/>
      <c r="J63" s="1389"/>
      <c r="K63" s="1440"/>
    </row>
    <row r="64" spans="1:12" ht="16.5">
      <c r="A64" s="1412">
        <f t="shared" si="8"/>
        <v>6</v>
      </c>
      <c r="B64" s="1418" t="s">
        <v>2483</v>
      </c>
      <c r="C64" s="1414" t="s">
        <v>2480</v>
      </c>
      <c r="D64" s="1441">
        <f>1.5*D72</f>
        <v>1125</v>
      </c>
      <c r="E64" s="1389"/>
      <c r="F64" s="1389"/>
      <c r="G64" s="1389"/>
      <c r="H64" s="1389"/>
      <c r="I64" s="1389"/>
      <c r="J64" s="1389"/>
      <c r="K64" s="1440"/>
    </row>
    <row r="65" spans="1:12" ht="16.5">
      <c r="A65" s="1412">
        <f t="shared" si="8"/>
        <v>7</v>
      </c>
      <c r="B65" s="1418" t="s">
        <v>255</v>
      </c>
      <c r="C65" s="1414" t="s">
        <v>2480</v>
      </c>
      <c r="D65" s="1441">
        <f>+'Rate-1'!I102</f>
        <v>214901.19167999993</v>
      </c>
      <c r="E65" s="1389"/>
      <c r="F65" s="1389"/>
      <c r="G65" s="1389"/>
      <c r="H65" s="1389"/>
      <c r="I65" s="1389"/>
      <c r="J65" s="1389"/>
      <c r="K65" s="1440"/>
    </row>
    <row r="66" spans="1:12" ht="16.5">
      <c r="A66" s="1412">
        <f t="shared" si="8"/>
        <v>8</v>
      </c>
      <c r="B66" s="1418" t="s">
        <v>529</v>
      </c>
      <c r="C66" s="1414" t="s">
        <v>2480</v>
      </c>
      <c r="D66" s="1441">
        <f>+'Rate-1'!I99</f>
        <v>57400</v>
      </c>
      <c r="E66" s="1389"/>
      <c r="F66" s="1389"/>
      <c r="G66" s="1389"/>
      <c r="H66" s="1389"/>
      <c r="I66" s="1389"/>
      <c r="J66" s="1389"/>
      <c r="K66" s="1440"/>
    </row>
    <row r="67" spans="1:12">
      <c r="A67" s="1412">
        <f t="shared" si="8"/>
        <v>9</v>
      </c>
      <c r="B67" s="1418" t="s">
        <v>207</v>
      </c>
      <c r="C67" s="1414" t="s">
        <v>973</v>
      </c>
      <c r="D67" s="1441">
        <f>+'Entry for Rates'!F99</f>
        <v>240</v>
      </c>
      <c r="E67" s="1389"/>
      <c r="F67" s="1389"/>
      <c r="G67" s="1389"/>
      <c r="H67" s="1389"/>
      <c r="I67" s="1389"/>
      <c r="J67" s="1389"/>
      <c r="K67" s="1440"/>
    </row>
    <row r="68" spans="1:12">
      <c r="A68" s="1442"/>
      <c r="B68" s="1443"/>
      <c r="C68" s="1444"/>
      <c r="D68" s="1445"/>
      <c r="E68" s="1389"/>
      <c r="F68" s="1389"/>
      <c r="G68" s="1389"/>
      <c r="H68" s="1389"/>
      <c r="I68" s="1389"/>
      <c r="J68" s="1389"/>
      <c r="K68" s="1440"/>
    </row>
    <row r="69" spans="1:12">
      <c r="A69" s="1446"/>
      <c r="B69" s="1434" t="s">
        <v>2484</v>
      </c>
      <c r="C69" s="1440"/>
      <c r="D69" s="1447"/>
      <c r="E69" s="1389"/>
      <c r="F69" s="1389"/>
      <c r="G69" s="1389"/>
      <c r="H69" s="1389"/>
      <c r="I69" s="1389"/>
      <c r="J69" s="1389"/>
      <c r="K69" s="1440"/>
    </row>
    <row r="70" spans="1:12">
      <c r="A70" s="1448"/>
      <c r="B70" s="1449"/>
      <c r="C70" s="1450"/>
      <c r="D70" s="1451"/>
      <c r="E70" s="1389"/>
      <c r="F70" s="1389"/>
      <c r="G70" s="1389"/>
      <c r="H70" s="1389"/>
      <c r="I70" s="1389"/>
      <c r="J70" s="1389"/>
      <c r="K70" s="1440"/>
    </row>
    <row r="71" spans="1:12">
      <c r="A71" s="1412">
        <f>A67+1</f>
        <v>10</v>
      </c>
      <c r="B71" s="1418" t="s">
        <v>2485</v>
      </c>
      <c r="C71" s="1414" t="s">
        <v>619</v>
      </c>
      <c r="D71" s="1417">
        <v>1030</v>
      </c>
      <c r="E71" s="1389"/>
      <c r="F71" s="1389"/>
      <c r="G71" s="1389"/>
      <c r="H71" s="1389"/>
      <c r="I71" s="1389"/>
      <c r="J71" s="1389"/>
      <c r="K71" s="1440"/>
    </row>
    <row r="72" spans="1:12">
      <c r="A72" s="1412">
        <f t="shared" si="8"/>
        <v>11</v>
      </c>
      <c r="B72" s="1418" t="s">
        <v>2486</v>
      </c>
      <c r="C72" s="1414" t="s">
        <v>619</v>
      </c>
      <c r="D72" s="1417">
        <v>750</v>
      </c>
      <c r="E72" s="1389"/>
      <c r="F72" s="1389"/>
      <c r="G72" s="1389"/>
      <c r="H72" s="1389"/>
      <c r="I72" s="1389"/>
      <c r="J72" s="1389"/>
      <c r="K72" s="1440"/>
    </row>
    <row r="73" spans="1:12">
      <c r="A73" s="1412">
        <f t="shared" si="8"/>
        <v>12</v>
      </c>
      <c r="B73" s="1418" t="s">
        <v>329</v>
      </c>
      <c r="C73" s="1414" t="s">
        <v>619</v>
      </c>
      <c r="D73" s="1417">
        <f>D71</f>
        <v>1030</v>
      </c>
      <c r="E73" s="1389"/>
      <c r="F73" s="1389"/>
      <c r="G73" s="1389"/>
      <c r="H73" s="1389"/>
      <c r="I73" s="1389"/>
      <c r="J73" s="1389"/>
      <c r="K73" s="1440"/>
    </row>
    <row r="74" spans="1:12">
      <c r="A74" s="1412">
        <f t="shared" si="8"/>
        <v>13</v>
      </c>
      <c r="B74" s="1418" t="s">
        <v>220</v>
      </c>
      <c r="C74" s="1414" t="s">
        <v>619</v>
      </c>
      <c r="D74" s="1417">
        <f>+D72</f>
        <v>750</v>
      </c>
      <c r="E74" s="1389"/>
      <c r="F74" s="1389"/>
      <c r="G74" s="1389"/>
      <c r="H74" s="1389"/>
      <c r="I74" s="1389"/>
      <c r="J74" s="1389"/>
      <c r="K74" s="1440"/>
    </row>
    <row r="75" spans="1:12">
      <c r="A75" s="1412">
        <f t="shared" si="8"/>
        <v>14</v>
      </c>
      <c r="B75" s="1452" t="s">
        <v>2072</v>
      </c>
      <c r="C75" s="1414" t="s">
        <v>619</v>
      </c>
      <c r="D75" s="1417">
        <v>750</v>
      </c>
      <c r="E75" s="1389"/>
      <c r="F75" s="1389"/>
      <c r="G75" s="1389"/>
      <c r="H75" s="1389"/>
      <c r="I75" s="1389"/>
      <c r="J75" s="1389"/>
      <c r="K75" s="1440"/>
    </row>
    <row r="76" spans="1:12">
      <c r="A76" s="1423">
        <f t="shared" si="8"/>
        <v>15</v>
      </c>
      <c r="B76" s="1453" t="s">
        <v>2073</v>
      </c>
      <c r="C76" s="1425" t="s">
        <v>619</v>
      </c>
      <c r="D76" s="1428">
        <v>690</v>
      </c>
      <c r="E76" s="1389"/>
      <c r="F76" s="1389"/>
      <c r="G76" s="1389"/>
      <c r="H76" s="1389"/>
      <c r="I76" s="1389"/>
      <c r="J76" s="1389"/>
      <c r="K76" s="1440"/>
    </row>
    <row r="77" spans="1:12">
      <c r="A77" s="1389"/>
      <c r="B77" s="1389"/>
      <c r="C77" s="1389"/>
      <c r="D77" s="1389"/>
      <c r="E77" s="1389"/>
      <c r="F77" s="1389"/>
      <c r="G77" s="1389"/>
      <c r="H77" s="1389"/>
      <c r="I77" s="1389"/>
      <c r="J77" s="1389"/>
      <c r="K77" s="1389"/>
      <c r="L77" s="1389"/>
    </row>
  </sheetData>
  <mergeCells count="4">
    <mergeCell ref="A1:I1"/>
    <mergeCell ref="D4:E4"/>
    <mergeCell ref="A53:D53"/>
    <mergeCell ref="A54:D54"/>
  </mergeCells>
  <printOptions horizontalCentered="1"/>
  <pageMargins left="1.03" right="0.16" top="0.69" bottom="0.38" header="0.51181102362204722" footer="0.28999999999999998"/>
  <pageSetup paperSize="9" scale="97" orientation="portrait" horizontalDpi="4294967293" r:id="rId1"/>
  <headerFooter alignWithMargins="0">
    <oddFooter>&amp;LEstimated by&amp;CChecked by&amp;RApproved by</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Y188"/>
  <sheetViews>
    <sheetView topLeftCell="G43" workbookViewId="0">
      <selection activeCell="O63" sqref="O63"/>
    </sheetView>
  </sheetViews>
  <sheetFormatPr defaultColWidth="9.140625" defaultRowHeight="12"/>
  <cols>
    <col min="1" max="1" width="17" style="1456" customWidth="1"/>
    <col min="2" max="2" width="5.140625" style="1456" customWidth="1"/>
    <col min="3" max="3" width="10.28515625" style="1456" customWidth="1"/>
    <col min="4" max="4" width="7.7109375" style="1456" bestFit="1" customWidth="1"/>
    <col min="5" max="5" width="10.7109375" style="1456" customWidth="1"/>
    <col min="6" max="6" width="11" style="1456" customWidth="1"/>
    <col min="7" max="9" width="10.28515625" style="1456" customWidth="1"/>
    <col min="10" max="10" width="7.28515625" style="1456" bestFit="1" customWidth="1"/>
    <col min="11" max="11" width="10.7109375" style="1456" customWidth="1"/>
    <col min="12" max="12" width="7.28515625" style="1456" customWidth="1"/>
    <col min="13" max="13" width="9.7109375" style="1456" customWidth="1"/>
    <col min="14" max="14" width="10.28515625" style="1456" customWidth="1"/>
    <col min="15" max="15" width="16.42578125" style="1456" customWidth="1"/>
    <col min="16" max="16" width="10.28515625" style="1456" customWidth="1"/>
    <col min="17" max="17" width="9.7109375" style="1456" customWidth="1"/>
    <col min="18" max="18" width="11.5703125" style="1456" customWidth="1"/>
    <col min="19" max="19" width="9.28515625" style="1456" customWidth="1"/>
    <col min="20" max="16384" width="9.140625" style="1456"/>
  </cols>
  <sheetData>
    <row r="1" spans="1:19" ht="23.25">
      <c r="A1" s="1454" t="s">
        <v>2487</v>
      </c>
      <c r="B1" s="1455"/>
      <c r="C1" s="1455"/>
      <c r="D1" s="1455"/>
      <c r="E1" s="1455"/>
      <c r="F1" s="1455"/>
      <c r="G1" s="1455"/>
      <c r="H1" s="1455"/>
      <c r="I1" s="1455"/>
      <c r="J1" s="1455"/>
      <c r="K1" s="1455"/>
      <c r="L1" s="1455"/>
      <c r="M1" s="1455"/>
    </row>
    <row r="2" spans="1:19" ht="18.75">
      <c r="A2" s="1457" t="s">
        <v>2488</v>
      </c>
    </row>
    <row r="3" spans="1:19" ht="15.75">
      <c r="A3" s="1457" t="s">
        <v>2489</v>
      </c>
      <c r="B3" s="1458">
        <f>+'Entry for Rates'!F4</f>
        <v>0</v>
      </c>
      <c r="C3" s="1459"/>
    </row>
    <row r="5" spans="1:19" ht="15.75">
      <c r="A5" s="1460" t="s">
        <v>2490</v>
      </c>
    </row>
    <row r="6" spans="1:19" ht="14.25">
      <c r="A6" s="1461" t="s">
        <v>2491</v>
      </c>
      <c r="B6" s="1462"/>
      <c r="C6" s="1462"/>
      <c r="D6" s="1462"/>
      <c r="E6" s="1462"/>
      <c r="F6" s="1462"/>
      <c r="O6" s="536"/>
      <c r="P6" s="536"/>
      <c r="Q6" s="536"/>
      <c r="R6" s="536"/>
      <c r="S6" s="536"/>
    </row>
    <row r="7" spans="1:19" ht="33" customHeight="1">
      <c r="A7" s="3090" t="s">
        <v>2492</v>
      </c>
      <c r="B7" s="3092" t="s">
        <v>2493</v>
      </c>
      <c r="C7" s="3094" t="s">
        <v>2494</v>
      </c>
      <c r="D7" s="3087" t="s">
        <v>2495</v>
      </c>
      <c r="E7" s="3088"/>
      <c r="F7" s="3096" t="s">
        <v>2496</v>
      </c>
      <c r="G7" s="3097"/>
      <c r="H7" s="3087" t="s">
        <v>2497</v>
      </c>
      <c r="I7" s="3088"/>
      <c r="J7" s="3087" t="s">
        <v>2498</v>
      </c>
      <c r="K7" s="3088"/>
      <c r="L7" s="3087" t="s">
        <v>2499</v>
      </c>
      <c r="M7" s="3089"/>
      <c r="N7" s="1463"/>
      <c r="O7" s="536"/>
      <c r="P7" s="536"/>
      <c r="Q7" s="536"/>
      <c r="R7" s="536"/>
      <c r="S7" s="536"/>
    </row>
    <row r="8" spans="1:19" ht="12.75">
      <c r="A8" s="3091"/>
      <c r="B8" s="3093"/>
      <c r="C8" s="3095"/>
      <c r="D8" s="1464" t="s">
        <v>964</v>
      </c>
      <c r="E8" s="1464" t="s">
        <v>2500</v>
      </c>
      <c r="F8" s="1464" t="s">
        <v>964</v>
      </c>
      <c r="G8" s="1464" t="s">
        <v>2500</v>
      </c>
      <c r="H8" s="1464" t="s">
        <v>964</v>
      </c>
      <c r="I8" s="1464" t="s">
        <v>2500</v>
      </c>
      <c r="J8" s="1464" t="s">
        <v>964</v>
      </c>
      <c r="K8" s="1464" t="s">
        <v>2500</v>
      </c>
      <c r="L8" s="1464" t="s">
        <v>964</v>
      </c>
      <c r="M8" s="1465" t="s">
        <v>2500</v>
      </c>
      <c r="O8" s="536"/>
      <c r="P8" s="536"/>
      <c r="Q8" s="536"/>
      <c r="R8" s="536"/>
      <c r="S8" s="536"/>
    </row>
    <row r="9" spans="1:19" ht="12.75">
      <c r="A9" s="1466" t="s">
        <v>2501</v>
      </c>
      <c r="B9" s="1464" t="s">
        <v>2502</v>
      </c>
      <c r="C9" s="1467">
        <f>'Rate-1'!$I$39</f>
        <v>920</v>
      </c>
      <c r="D9" s="1464">
        <v>1.25</v>
      </c>
      <c r="E9" s="1468">
        <f>ROUND($C9*D9,2)</f>
        <v>1150</v>
      </c>
      <c r="F9" s="1464">
        <v>1.59</v>
      </c>
      <c r="G9" s="1468">
        <f>ROUND($C9*F9,2)</f>
        <v>1462.8</v>
      </c>
      <c r="H9" s="1467">
        <v>1</v>
      </c>
      <c r="I9" s="1468">
        <f>ROUND($C9*H9,2)</f>
        <v>920</v>
      </c>
      <c r="J9" s="1467">
        <v>3</v>
      </c>
      <c r="K9" s="1468">
        <f>ROUND($C9*J9,2)</f>
        <v>2760</v>
      </c>
      <c r="L9" s="1467">
        <v>4.5</v>
      </c>
      <c r="M9" s="1469">
        <f>ROUND($C9*L9,2)</f>
        <v>4140</v>
      </c>
      <c r="O9" s="536"/>
      <c r="P9" s="536"/>
      <c r="Q9" s="536"/>
      <c r="R9" s="536"/>
      <c r="S9" s="536"/>
    </row>
    <row r="10" spans="1:19" ht="12.75">
      <c r="A10" s="1466" t="s">
        <v>2503</v>
      </c>
      <c r="B10" s="1464" t="s">
        <v>546</v>
      </c>
      <c r="C10" s="1470"/>
      <c r="D10" s="1470">
        <v>0.03</v>
      </c>
      <c r="E10" s="1468">
        <f>ROUND(D10*E9,2)</f>
        <v>34.5</v>
      </c>
      <c r="F10" s="1470">
        <v>0.03</v>
      </c>
      <c r="G10" s="1468">
        <f>ROUND(F10*G9,2)</f>
        <v>43.88</v>
      </c>
      <c r="H10" s="1470">
        <v>0.03</v>
      </c>
      <c r="I10" s="1468">
        <f>ROUND(H10*I9,2)</f>
        <v>27.6</v>
      </c>
      <c r="J10" s="1470">
        <v>0.03</v>
      </c>
      <c r="K10" s="1468">
        <f>ROUND(J10*K9,2)</f>
        <v>82.8</v>
      </c>
      <c r="L10" s="1470">
        <v>0.03</v>
      </c>
      <c r="M10" s="1469">
        <f>ROUND(L10*M9,2)</f>
        <v>124.2</v>
      </c>
      <c r="O10" s="536"/>
      <c r="P10" s="536"/>
      <c r="Q10" s="536"/>
      <c r="R10" s="536"/>
      <c r="S10" s="536"/>
    </row>
    <row r="11" spans="1:19" ht="12.75">
      <c r="A11" s="1471" t="s">
        <v>1403</v>
      </c>
      <c r="B11" s="1472"/>
      <c r="C11" s="1464"/>
      <c r="D11" s="1464"/>
      <c r="E11" s="1468">
        <f>SUM(E9:E10)</f>
        <v>1184.5</v>
      </c>
      <c r="F11" s="1464"/>
      <c r="G11" s="1468">
        <f>SUM(G9:G10)</f>
        <v>1506.68</v>
      </c>
      <c r="H11" s="1464"/>
      <c r="I11" s="1468">
        <f>SUM(I9:I10)</f>
        <v>947.6</v>
      </c>
      <c r="J11" s="1464"/>
      <c r="K11" s="1468">
        <f>SUM(K9:K10)</f>
        <v>2842.8</v>
      </c>
      <c r="L11" s="1464"/>
      <c r="M11" s="1469">
        <f>SUM(M9:M10)</f>
        <v>4264.2</v>
      </c>
      <c r="O11" s="536"/>
      <c r="P11" s="536"/>
      <c r="Q11" s="536"/>
      <c r="R11" s="536"/>
      <c r="S11" s="536"/>
    </row>
    <row r="12" spans="1:19" ht="12.75">
      <c r="A12" s="1466" t="s">
        <v>2504</v>
      </c>
      <c r="B12" s="1464" t="s">
        <v>546</v>
      </c>
      <c r="C12" s="1470">
        <v>0.15</v>
      </c>
      <c r="D12" s="1464"/>
      <c r="E12" s="1468">
        <f>ROUND($C12*E11,2)</f>
        <v>177.68</v>
      </c>
      <c r="F12" s="1464"/>
      <c r="G12" s="1468">
        <f>ROUND($C12*G11,2)</f>
        <v>226</v>
      </c>
      <c r="H12" s="1464"/>
      <c r="I12" s="1468">
        <f>ROUND($C12*I11,2)</f>
        <v>142.13999999999999</v>
      </c>
      <c r="J12" s="1464"/>
      <c r="K12" s="1468">
        <f>ROUND($C12*K11,2)</f>
        <v>426.42</v>
      </c>
      <c r="L12" s="1464"/>
      <c r="M12" s="1469">
        <f>ROUND($C12*M11,2)</f>
        <v>639.63</v>
      </c>
      <c r="O12" s="536"/>
      <c r="P12" s="536"/>
      <c r="Q12" s="536"/>
      <c r="R12" s="536"/>
      <c r="S12" s="536"/>
    </row>
    <row r="13" spans="1:19" ht="12.75">
      <c r="A13" s="1473" t="s">
        <v>2505</v>
      </c>
      <c r="B13" s="1474"/>
      <c r="C13" s="1475"/>
      <c r="D13" s="1476"/>
      <c r="E13" s="1474">
        <f>SUM(E11:E12)</f>
        <v>1362.18</v>
      </c>
      <c r="F13" s="1476"/>
      <c r="G13" s="1477">
        <f>SUM(G11:G12)</f>
        <v>1732.68</v>
      </c>
      <c r="H13" s="1476"/>
      <c r="I13" s="1474">
        <f>SUM(I11:I12)</f>
        <v>1089.74</v>
      </c>
      <c r="J13" s="1476"/>
      <c r="K13" s="1474">
        <f>SUM(K11:K12)</f>
        <v>3269.2200000000003</v>
      </c>
      <c r="L13" s="1476"/>
      <c r="M13" s="1478">
        <f>SUM(M11:M12)</f>
        <v>4903.83</v>
      </c>
      <c r="O13" s="536"/>
      <c r="P13" s="536"/>
      <c r="Q13" s="536"/>
      <c r="R13" s="536"/>
      <c r="S13" s="536"/>
    </row>
    <row r="15" spans="1:19" ht="12.75">
      <c r="A15" s="1461" t="s">
        <v>2491</v>
      </c>
    </row>
    <row r="16" spans="1:19" ht="29.25" customHeight="1">
      <c r="A16" s="3090" t="s">
        <v>2492</v>
      </c>
      <c r="B16" s="3092" t="s">
        <v>2493</v>
      </c>
      <c r="C16" s="3094" t="s">
        <v>2494</v>
      </c>
      <c r="D16" s="3087" t="s">
        <v>2506</v>
      </c>
      <c r="E16" s="3089"/>
    </row>
    <row r="17" spans="1:25">
      <c r="A17" s="3091"/>
      <c r="B17" s="3093"/>
      <c r="C17" s="3095"/>
      <c r="D17" s="1464" t="s">
        <v>964</v>
      </c>
      <c r="E17" s="1465" t="s">
        <v>2500</v>
      </c>
    </row>
    <row r="18" spans="1:25">
      <c r="A18" s="1466" t="s">
        <v>2501</v>
      </c>
      <c r="B18" s="1464" t="s">
        <v>2502</v>
      </c>
      <c r="C18" s="1467">
        <f>'Rate-1'!$I$39</f>
        <v>920</v>
      </c>
      <c r="D18" s="1467">
        <v>25.2</v>
      </c>
      <c r="E18" s="1479">
        <f>ROUND($C9*D18,2)</f>
        <v>23184</v>
      </c>
    </row>
    <row r="19" spans="1:25">
      <c r="A19" s="1466" t="s">
        <v>2503</v>
      </c>
      <c r="B19" s="1464" t="s">
        <v>546</v>
      </c>
      <c r="C19" s="1470"/>
      <c r="D19" s="1470">
        <v>0.03</v>
      </c>
      <c r="E19" s="1479">
        <f>ROUND(D19*E18,2)</f>
        <v>695.52</v>
      </c>
    </row>
    <row r="20" spans="1:25">
      <c r="A20" s="1471" t="s">
        <v>1403</v>
      </c>
      <c r="B20" s="1480"/>
      <c r="C20" s="1481"/>
      <c r="D20" s="1481"/>
      <c r="E20" s="1482">
        <f>SUM(E18:E19)</f>
        <v>23879.52</v>
      </c>
    </row>
    <row r="21" spans="1:25">
      <c r="A21" s="1466" t="s">
        <v>2504</v>
      </c>
      <c r="B21" s="1464" t="s">
        <v>546</v>
      </c>
      <c r="C21" s="1470">
        <v>0.15</v>
      </c>
      <c r="D21" s="1472"/>
      <c r="E21" s="1479">
        <f>ROUND($C21*E20,2)</f>
        <v>3581.93</v>
      </c>
    </row>
    <row r="22" spans="1:25">
      <c r="A22" s="1473" t="s">
        <v>2505</v>
      </c>
      <c r="B22" s="1474"/>
      <c r="C22" s="1475"/>
      <c r="D22" s="1483"/>
      <c r="E22" s="1484">
        <f>SUM(E20:E21)</f>
        <v>27461.45</v>
      </c>
    </row>
    <row r="24" spans="1:25" ht="7.5" customHeight="1"/>
    <row r="25" spans="1:25" ht="12.75">
      <c r="A25" s="1461" t="s">
        <v>2507</v>
      </c>
      <c r="C25" s="1463"/>
    </row>
    <row r="26" spans="1:25" ht="36" customHeight="1">
      <c r="A26" s="3090" t="s">
        <v>2492</v>
      </c>
      <c r="B26" s="3092" t="s">
        <v>2493</v>
      </c>
      <c r="C26" s="3094" t="s">
        <v>2494</v>
      </c>
      <c r="D26" s="3098" t="s">
        <v>2508</v>
      </c>
      <c r="E26" s="3099"/>
      <c r="F26" s="3098" t="s">
        <v>2509</v>
      </c>
      <c r="G26" s="3099"/>
      <c r="H26" s="3098" t="s">
        <v>2510</v>
      </c>
      <c r="I26" s="3099"/>
      <c r="J26" s="3098" t="s">
        <v>2511</v>
      </c>
      <c r="K26" s="3099"/>
      <c r="L26" s="3098" t="s">
        <v>2512</v>
      </c>
      <c r="M26" s="3100"/>
      <c r="U26" s="536"/>
      <c r="V26" s="536"/>
      <c r="W26" s="536"/>
      <c r="X26" s="536"/>
      <c r="Y26" s="536"/>
    </row>
    <row r="27" spans="1:25">
      <c r="A27" s="3091"/>
      <c r="B27" s="3093"/>
      <c r="C27" s="3095"/>
      <c r="D27" s="1464" t="s">
        <v>964</v>
      </c>
      <c r="E27" s="1464" t="s">
        <v>2500</v>
      </c>
      <c r="F27" s="1464" t="s">
        <v>964</v>
      </c>
      <c r="G27" s="1464" t="s">
        <v>2500</v>
      </c>
      <c r="H27" s="1464" t="s">
        <v>964</v>
      </c>
      <c r="I27" s="1464" t="s">
        <v>2500</v>
      </c>
      <c r="J27" s="1464" t="s">
        <v>964</v>
      </c>
      <c r="K27" s="1464" t="s">
        <v>2500</v>
      </c>
      <c r="L27" s="1464" t="s">
        <v>964</v>
      </c>
      <c r="M27" s="1465" t="s">
        <v>2500</v>
      </c>
    </row>
    <row r="28" spans="1:25">
      <c r="A28" s="1466" t="s">
        <v>2501</v>
      </c>
      <c r="B28" s="1464" t="s">
        <v>2502</v>
      </c>
      <c r="C28" s="1467">
        <f>'Rate-1'!$I$39</f>
        <v>920</v>
      </c>
      <c r="D28" s="1464">
        <v>0.63</v>
      </c>
      <c r="E28" s="1468">
        <f>ROUND($C28*D28,2)</f>
        <v>579.6</v>
      </c>
      <c r="F28" s="1464">
        <v>0.6</v>
      </c>
      <c r="G28" s="1468">
        <f>ROUND($C28*F28,2)</f>
        <v>552</v>
      </c>
      <c r="H28" s="1464">
        <v>0.5</v>
      </c>
      <c r="I28" s="1468">
        <f>ROUND($C28*H28,2)</f>
        <v>460</v>
      </c>
      <c r="J28" s="1464">
        <v>1.1000000000000001</v>
      </c>
      <c r="K28" s="1468">
        <f>ROUND($C28*J28,2)</f>
        <v>1012</v>
      </c>
      <c r="L28" s="1464">
        <v>0.16</v>
      </c>
      <c r="M28" s="1469">
        <f>ROUND($C28*L28,2)</f>
        <v>147.19999999999999</v>
      </c>
    </row>
    <row r="29" spans="1:25">
      <c r="A29" s="1466" t="s">
        <v>2503</v>
      </c>
      <c r="B29" s="1464" t="s">
        <v>546</v>
      </c>
      <c r="C29" s="1470"/>
      <c r="D29" s="1470">
        <v>0.03</v>
      </c>
      <c r="E29" s="1468">
        <f>ROUND(D29*E28,2)</f>
        <v>17.39</v>
      </c>
      <c r="F29" s="1470">
        <v>0.03</v>
      </c>
      <c r="G29" s="1468">
        <f>ROUND(F29*G28,2)</f>
        <v>16.559999999999999</v>
      </c>
      <c r="H29" s="1470">
        <v>0.03</v>
      </c>
      <c r="I29" s="1468">
        <f>ROUND(H29*I28,2)</f>
        <v>13.8</v>
      </c>
      <c r="J29" s="1470">
        <v>0.03</v>
      </c>
      <c r="K29" s="1468">
        <f>ROUND(J29*K28,2)</f>
        <v>30.36</v>
      </c>
      <c r="L29" s="1485"/>
      <c r="M29" s="1469">
        <f>ROUND(L29*M28,2)</f>
        <v>0</v>
      </c>
    </row>
    <row r="30" spans="1:25">
      <c r="A30" s="1471" t="s">
        <v>1403</v>
      </c>
      <c r="B30" s="1472"/>
      <c r="C30" s="1464"/>
      <c r="D30" s="1464"/>
      <c r="E30" s="1468">
        <f>SUM(E28:E29)</f>
        <v>596.99</v>
      </c>
      <c r="F30" s="1464"/>
      <c r="G30" s="1468">
        <f>SUM(G28:G29)</f>
        <v>568.55999999999995</v>
      </c>
      <c r="H30" s="1472"/>
      <c r="I30" s="1468">
        <f>SUM(I28:I29)</f>
        <v>473.8</v>
      </c>
      <c r="J30" s="1472"/>
      <c r="K30" s="1468">
        <f>SUM(K28:K29)</f>
        <v>1042.3599999999999</v>
      </c>
      <c r="L30" s="1464"/>
      <c r="M30" s="1469">
        <f>SUM(M28:M29)</f>
        <v>147.19999999999999</v>
      </c>
    </row>
    <row r="31" spans="1:25">
      <c r="A31" s="1466" t="s">
        <v>2504</v>
      </c>
      <c r="B31" s="1464" t="s">
        <v>546</v>
      </c>
      <c r="C31" s="1470">
        <v>0.15</v>
      </c>
      <c r="D31" s="1470"/>
      <c r="E31" s="1468">
        <f>ROUND($C31*E30,2)</f>
        <v>89.55</v>
      </c>
      <c r="F31" s="1472"/>
      <c r="G31" s="1468">
        <f>ROUND($C31*G30,2)</f>
        <v>85.28</v>
      </c>
      <c r="H31" s="1472"/>
      <c r="I31" s="1468">
        <f>ROUND($C31*I30,2)</f>
        <v>71.069999999999993</v>
      </c>
      <c r="J31" s="1472"/>
      <c r="K31" s="1468">
        <f>ROUND($C31*K30,2)</f>
        <v>156.35</v>
      </c>
      <c r="L31" s="1472"/>
      <c r="M31" s="1469">
        <f>ROUND($C31*M30,2)</f>
        <v>22.08</v>
      </c>
    </row>
    <row r="32" spans="1:25">
      <c r="A32" s="1473" t="s">
        <v>2505</v>
      </c>
      <c r="B32" s="1474"/>
      <c r="C32" s="1475"/>
      <c r="D32" s="1474"/>
      <c r="E32" s="1474">
        <f>SUM(E30:E31)</f>
        <v>686.54</v>
      </c>
      <c r="F32" s="1474"/>
      <c r="G32" s="1474">
        <f>SUM(G30:G31)</f>
        <v>653.83999999999992</v>
      </c>
      <c r="H32" s="1474"/>
      <c r="I32" s="1474">
        <f>SUM(I30:I31)</f>
        <v>544.87</v>
      </c>
      <c r="J32" s="1474"/>
      <c r="K32" s="1474">
        <f>SUM(K30:K31)</f>
        <v>1198.7099999999998</v>
      </c>
      <c r="L32" s="1474"/>
      <c r="M32" s="1478">
        <f>SUM(M30:M31)</f>
        <v>169.27999999999997</v>
      </c>
    </row>
    <row r="33" spans="1:21" ht="12.75">
      <c r="C33" s="1463"/>
    </row>
    <row r="35" spans="1:21" ht="17.25">
      <c r="A35" s="1462" t="s">
        <v>2513</v>
      </c>
      <c r="B35" s="1462"/>
      <c r="C35" s="1462"/>
      <c r="D35" s="1462"/>
      <c r="E35" s="1462"/>
      <c r="F35" s="1462"/>
      <c r="O35" s="1462" t="s">
        <v>2514</v>
      </c>
    </row>
    <row r="36" spans="1:21" ht="48" customHeight="1">
      <c r="A36" s="3090" t="s">
        <v>2492</v>
      </c>
      <c r="B36" s="3092" t="s">
        <v>2493</v>
      </c>
      <c r="C36" s="3094" t="s">
        <v>2494</v>
      </c>
      <c r="D36" s="3098" t="s">
        <v>2515</v>
      </c>
      <c r="E36" s="3099"/>
      <c r="F36" s="3098" t="s">
        <v>2516</v>
      </c>
      <c r="G36" s="3099"/>
      <c r="H36" s="3098" t="s">
        <v>2517</v>
      </c>
      <c r="I36" s="3099"/>
      <c r="J36" s="3098" t="s">
        <v>2518</v>
      </c>
      <c r="K36" s="3099"/>
      <c r="L36" s="3098" t="s">
        <v>2519</v>
      </c>
      <c r="M36" s="3100"/>
      <c r="N36" s="1486" t="s">
        <v>2520</v>
      </c>
      <c r="O36" s="3090" t="s">
        <v>2492</v>
      </c>
      <c r="P36" s="3092" t="s">
        <v>2493</v>
      </c>
      <c r="Q36" s="3094" t="s">
        <v>2494</v>
      </c>
      <c r="R36" s="3101" t="s">
        <v>2521</v>
      </c>
      <c r="S36" s="3103"/>
      <c r="T36" s="3101" t="s">
        <v>2522</v>
      </c>
      <c r="U36" s="3102"/>
    </row>
    <row r="37" spans="1:21">
      <c r="A37" s="3091"/>
      <c r="B37" s="3093"/>
      <c r="C37" s="3095"/>
      <c r="D37" s="1464" t="s">
        <v>964</v>
      </c>
      <c r="E37" s="1464" t="s">
        <v>2500</v>
      </c>
      <c r="F37" s="1464" t="s">
        <v>964</v>
      </c>
      <c r="G37" s="1464" t="s">
        <v>2500</v>
      </c>
      <c r="H37" s="1464" t="s">
        <v>964</v>
      </c>
      <c r="I37" s="1464" t="s">
        <v>2500</v>
      </c>
      <c r="J37" s="1464" t="s">
        <v>964</v>
      </c>
      <c r="K37" s="1464" t="s">
        <v>2500</v>
      </c>
      <c r="L37" s="1464" t="s">
        <v>964</v>
      </c>
      <c r="M37" s="1465" t="s">
        <v>2500</v>
      </c>
      <c r="N37" s="1487"/>
      <c r="O37" s="3091"/>
      <c r="P37" s="3093"/>
      <c r="Q37" s="3095"/>
      <c r="R37" s="1464" t="s">
        <v>964</v>
      </c>
      <c r="S37" s="1464" t="s">
        <v>2500</v>
      </c>
      <c r="T37" s="1464" t="s">
        <v>964</v>
      </c>
      <c r="U37" s="1465" t="s">
        <v>2500</v>
      </c>
    </row>
    <row r="38" spans="1:21">
      <c r="A38" s="1466" t="s">
        <v>2523</v>
      </c>
      <c r="B38" s="1464" t="s">
        <v>1034</v>
      </c>
      <c r="C38" s="1467">
        <f>MR!$I$9</f>
        <v>12.8</v>
      </c>
      <c r="D38" s="1488" t="s">
        <v>2524</v>
      </c>
      <c r="E38" s="1468"/>
      <c r="F38" s="1488" t="s">
        <v>2524</v>
      </c>
      <c r="G38" s="1472"/>
      <c r="H38" s="1488" t="s">
        <v>2525</v>
      </c>
      <c r="I38" s="1472"/>
      <c r="J38" s="1488">
        <v>159</v>
      </c>
      <c r="K38" s="1468">
        <f>ROUND($C38*J38,2)</f>
        <v>2035.2</v>
      </c>
      <c r="L38" s="1488">
        <v>106</v>
      </c>
      <c r="M38" s="1469">
        <f>ROUND($C38*L38,2)</f>
        <v>1356.8</v>
      </c>
      <c r="N38" s="1489"/>
      <c r="O38" s="1466" t="s">
        <v>2523</v>
      </c>
      <c r="P38" s="1464" t="s">
        <v>1034</v>
      </c>
      <c r="Q38" s="1467">
        <f>ROUND(MR!$I$8/50,2)</f>
        <v>12.8</v>
      </c>
      <c r="R38" s="1488"/>
      <c r="S38" s="1468">
        <f>ROUND($Q38*R38,2)</f>
        <v>0</v>
      </c>
      <c r="T38" s="1488">
        <v>194</v>
      </c>
      <c r="U38" s="1469">
        <f>ROUND($Q38*T38,2)</f>
        <v>2483.1999999999998</v>
      </c>
    </row>
    <row r="39" spans="1:21" ht="13.5">
      <c r="A39" s="1466" t="s">
        <v>2526</v>
      </c>
      <c r="B39" s="1464" t="s">
        <v>29</v>
      </c>
      <c r="C39" s="1467">
        <f>'Rate-1'!$I$53</f>
        <v>3387.6049919999991</v>
      </c>
      <c r="D39" s="1488" t="s">
        <v>2524</v>
      </c>
      <c r="E39" s="1468"/>
      <c r="F39" s="1488" t="s">
        <v>2524</v>
      </c>
      <c r="G39" s="1472"/>
      <c r="H39" s="1488"/>
      <c r="I39" s="1472"/>
      <c r="J39" s="1488">
        <v>0.45</v>
      </c>
      <c r="K39" s="1468">
        <f>ROUND($C39*J39,2)</f>
        <v>1524.42</v>
      </c>
      <c r="L39" s="1488">
        <v>0.47</v>
      </c>
      <c r="M39" s="1469">
        <f>ROUND($C39*L39,2)</f>
        <v>1592.17</v>
      </c>
      <c r="N39" s="1489"/>
      <c r="O39" s="1466" t="s">
        <v>2526</v>
      </c>
      <c r="P39" s="1464" t="s">
        <v>1426</v>
      </c>
      <c r="Q39" s="1467">
        <f>'Rate-1'!$I$53</f>
        <v>3387.6049919999991</v>
      </c>
      <c r="R39" s="1488">
        <v>0.71</v>
      </c>
      <c r="S39" s="1468">
        <f t="shared" ref="S39:U43" si="0">ROUND($Q39*R39,2)</f>
        <v>2405.1999999999998</v>
      </c>
      <c r="T39" s="1488">
        <v>0.42</v>
      </c>
      <c r="U39" s="1469">
        <f t="shared" si="0"/>
        <v>1422.79</v>
      </c>
    </row>
    <row r="40" spans="1:21" ht="13.5">
      <c r="A40" s="1466" t="s">
        <v>2527</v>
      </c>
      <c r="B40" s="1464" t="s">
        <v>29</v>
      </c>
      <c r="C40" s="1467">
        <f>'Rate-1'!$I$61</f>
        <v>2752.4290559999995</v>
      </c>
      <c r="D40" s="1485">
        <v>1.2</v>
      </c>
      <c r="E40" s="1468">
        <f>ROUND($C40*D40,2)</f>
        <v>3302.91</v>
      </c>
      <c r="F40" s="1485">
        <v>1.1000000000000001</v>
      </c>
      <c r="G40" s="1468">
        <f>ROUND($C40*F40,2)</f>
        <v>3027.67</v>
      </c>
      <c r="H40" s="1485">
        <v>1.1000000000000001</v>
      </c>
      <c r="I40" s="1468">
        <f>ROUND($C40*H40,2)</f>
        <v>3027.67</v>
      </c>
      <c r="J40" s="1485">
        <v>1.1000000000000001</v>
      </c>
      <c r="K40" s="1468">
        <f>ROUND($C40*J40,2)</f>
        <v>3027.67</v>
      </c>
      <c r="L40" s="1485">
        <v>1.1000000000000001</v>
      </c>
      <c r="M40" s="1469">
        <f>ROUND($C40*L40,2)</f>
        <v>3027.67</v>
      </c>
      <c r="N40" s="1489"/>
      <c r="O40" s="1466" t="s">
        <v>2527</v>
      </c>
      <c r="P40" s="1464" t="s">
        <v>1426</v>
      </c>
      <c r="Q40" s="1467">
        <f>'Rate-1'!$I$61</f>
        <v>2752.4290559999995</v>
      </c>
      <c r="R40" s="1485">
        <v>1.1000000000000001</v>
      </c>
      <c r="S40" s="1468">
        <f t="shared" si="0"/>
        <v>3027.67</v>
      </c>
      <c r="T40" s="1485">
        <v>1.1000000000000001</v>
      </c>
      <c r="U40" s="1469">
        <f t="shared" si="0"/>
        <v>3027.67</v>
      </c>
    </row>
    <row r="41" spans="1:21" ht="13.5">
      <c r="A41" s="1466" t="s">
        <v>2528</v>
      </c>
      <c r="B41" s="1464" t="s">
        <v>29</v>
      </c>
      <c r="C41" s="1467">
        <f>MR!D64</f>
        <v>1125</v>
      </c>
      <c r="D41" s="1488" t="s">
        <v>2525</v>
      </c>
      <c r="E41" s="1468"/>
      <c r="F41" s="1488" t="s">
        <v>2525</v>
      </c>
      <c r="G41" s="1468"/>
      <c r="H41" s="1488">
        <v>0.42</v>
      </c>
      <c r="I41" s="1468">
        <f>ROUND($C41*H41,2)</f>
        <v>472.5</v>
      </c>
      <c r="J41" s="1488" t="s">
        <v>2525</v>
      </c>
      <c r="K41" s="1468"/>
      <c r="L41" s="1488" t="s">
        <v>1627</v>
      </c>
      <c r="M41" s="1469"/>
      <c r="N41" s="1489"/>
      <c r="O41" s="1466" t="s">
        <v>2528</v>
      </c>
      <c r="P41" s="1464" t="s">
        <v>1426</v>
      </c>
      <c r="Q41" s="1467">
        <f>MR!Z64</f>
        <v>0</v>
      </c>
      <c r="R41" s="1488"/>
      <c r="S41" s="1468">
        <f t="shared" si="0"/>
        <v>0</v>
      </c>
      <c r="T41" s="1488"/>
      <c r="U41" s="1469">
        <f t="shared" si="0"/>
        <v>0</v>
      </c>
    </row>
    <row r="42" spans="1:21">
      <c r="A42" s="1466" t="s">
        <v>159</v>
      </c>
      <c r="B42" s="1464" t="s">
        <v>973</v>
      </c>
      <c r="C42" s="1467">
        <f>'Rate-1'!$I$38</f>
        <v>1225</v>
      </c>
      <c r="D42" s="1488" t="s">
        <v>2525</v>
      </c>
      <c r="E42" s="1468"/>
      <c r="F42" s="1485">
        <v>1</v>
      </c>
      <c r="G42" s="1468">
        <f>ROUND($C42*F42,2)</f>
        <v>1225</v>
      </c>
      <c r="H42" s="1485">
        <v>1</v>
      </c>
      <c r="I42" s="1468">
        <f>ROUND($C42*H42,2)</f>
        <v>1225</v>
      </c>
      <c r="J42" s="1485">
        <v>1.5</v>
      </c>
      <c r="K42" s="1468">
        <f>ROUND($C42*J42,2)</f>
        <v>1837.5</v>
      </c>
      <c r="L42" s="1485">
        <v>1.5</v>
      </c>
      <c r="M42" s="1469">
        <f>ROUND($C42*L42,2)</f>
        <v>1837.5</v>
      </c>
      <c r="N42" s="1489"/>
      <c r="O42" s="1466" t="s">
        <v>159</v>
      </c>
      <c r="P42" s="1464" t="s">
        <v>963</v>
      </c>
      <c r="Q42" s="1467">
        <f>'Rate-1'!$I$38</f>
        <v>1225</v>
      </c>
      <c r="R42" s="1485">
        <v>1</v>
      </c>
      <c r="S42" s="1468">
        <f t="shared" si="0"/>
        <v>1225</v>
      </c>
      <c r="T42" s="1485">
        <v>1.5</v>
      </c>
      <c r="U42" s="1469">
        <f t="shared" si="0"/>
        <v>1837.5</v>
      </c>
    </row>
    <row r="43" spans="1:21">
      <c r="A43" s="1466" t="s">
        <v>2501</v>
      </c>
      <c r="B43" s="1464" t="s">
        <v>973</v>
      </c>
      <c r="C43" s="1467">
        <f>'Rate-1'!$I$39</f>
        <v>920</v>
      </c>
      <c r="D43" s="1485">
        <v>1.5</v>
      </c>
      <c r="E43" s="1468">
        <f>ROUND($C43*D43,2)</f>
        <v>1380</v>
      </c>
      <c r="F43" s="1485">
        <v>2</v>
      </c>
      <c r="G43" s="1468">
        <f>ROUND($C43*F43,2)</f>
        <v>1840</v>
      </c>
      <c r="H43" s="1485">
        <v>2.25</v>
      </c>
      <c r="I43" s="1468">
        <f>ROUND($C43*H43,2)</f>
        <v>2070</v>
      </c>
      <c r="J43" s="1485">
        <v>5</v>
      </c>
      <c r="K43" s="1468">
        <f>ROUND($C43*J43,2)</f>
        <v>4600</v>
      </c>
      <c r="L43" s="1485">
        <v>5</v>
      </c>
      <c r="M43" s="1469">
        <f>ROUND($C43*L43,2)</f>
        <v>4600</v>
      </c>
      <c r="N43" s="1489"/>
      <c r="O43" s="1466" t="s">
        <v>2501</v>
      </c>
      <c r="P43" s="1464" t="s">
        <v>963</v>
      </c>
      <c r="Q43" s="1467">
        <f>'Rate-1'!$I$39</f>
        <v>920</v>
      </c>
      <c r="R43" s="1485">
        <v>3.5</v>
      </c>
      <c r="S43" s="1468">
        <f t="shared" si="0"/>
        <v>3220</v>
      </c>
      <c r="T43" s="1485">
        <v>5</v>
      </c>
      <c r="U43" s="1469">
        <f t="shared" si="0"/>
        <v>4600</v>
      </c>
    </row>
    <row r="44" spans="1:21">
      <c r="A44" s="1471" t="s">
        <v>1403</v>
      </c>
      <c r="B44" s="1472"/>
      <c r="C44" s="1464"/>
      <c r="D44" s="1464"/>
      <c r="E44" s="1490">
        <f>SUM(E38:E43)</f>
        <v>4682.91</v>
      </c>
      <c r="F44" s="1491"/>
      <c r="G44" s="1490">
        <f>SUM(G38:G43)</f>
        <v>6092.67</v>
      </c>
      <c r="H44" s="1490"/>
      <c r="I44" s="1490">
        <f>SUM(I38:I43)</f>
        <v>6795.17</v>
      </c>
      <c r="J44" s="1490"/>
      <c r="K44" s="1490">
        <f>SUM(K38:K43)</f>
        <v>13024.79</v>
      </c>
      <c r="L44" s="1491"/>
      <c r="M44" s="1479">
        <f>SUM(M38:M43)</f>
        <v>12414.14</v>
      </c>
      <c r="O44" s="1471" t="s">
        <v>1403</v>
      </c>
      <c r="P44" s="1472"/>
      <c r="Q44" s="1464"/>
      <c r="R44" s="1464"/>
      <c r="S44" s="1472">
        <f>SUM(S38:S43)</f>
        <v>9877.869999999999</v>
      </c>
      <c r="T44" s="1464"/>
      <c r="U44" s="1492">
        <f>SUM(U38:U43)</f>
        <v>13371.16</v>
      </c>
    </row>
    <row r="45" spans="1:21">
      <c r="A45" s="1466" t="s">
        <v>2504</v>
      </c>
      <c r="B45" s="1464" t="s">
        <v>546</v>
      </c>
      <c r="C45" s="1470">
        <v>0.15</v>
      </c>
      <c r="D45" s="1470"/>
      <c r="E45" s="1490">
        <f>ROUND($C45*E44,2)</f>
        <v>702.44</v>
      </c>
      <c r="F45" s="1490"/>
      <c r="G45" s="1490">
        <f>ROUND($C45*G44,2)</f>
        <v>913.9</v>
      </c>
      <c r="H45" s="1490"/>
      <c r="I45" s="1490">
        <f>ROUND($C45*I44,2)</f>
        <v>1019.28</v>
      </c>
      <c r="J45" s="1490"/>
      <c r="K45" s="1490">
        <f>ROUND($C45*K44,2)</f>
        <v>1953.72</v>
      </c>
      <c r="L45" s="1490"/>
      <c r="M45" s="1479">
        <f>ROUND($C45*M44,2)</f>
        <v>1862.12</v>
      </c>
      <c r="N45" s="1489"/>
      <c r="O45" s="1466" t="s">
        <v>2504</v>
      </c>
      <c r="P45" s="1464" t="s">
        <v>546</v>
      </c>
      <c r="Q45" s="1470">
        <v>0.15</v>
      </c>
      <c r="R45" s="1472"/>
      <c r="S45" s="1468">
        <f>ROUND($Q45*S44,2)</f>
        <v>1481.68</v>
      </c>
      <c r="T45" s="1472"/>
      <c r="U45" s="1469">
        <f>ROUND($Q45*U44,2)</f>
        <v>2005.67</v>
      </c>
    </row>
    <row r="46" spans="1:21">
      <c r="A46" s="1473" t="s">
        <v>2505</v>
      </c>
      <c r="B46" s="1474"/>
      <c r="C46" s="1475"/>
      <c r="D46" s="1474"/>
      <c r="E46" s="1493">
        <f>SUM(E44:E45)</f>
        <v>5385.35</v>
      </c>
      <c r="F46" s="1493"/>
      <c r="G46" s="1493">
        <f>SUM(G44:G45)</f>
        <v>7006.57</v>
      </c>
      <c r="H46" s="1493"/>
      <c r="I46" s="1493">
        <f>SUM(I44:I45)</f>
        <v>7814.45</v>
      </c>
      <c r="J46" s="1493"/>
      <c r="K46" s="1493">
        <f>SUM(K44:K45)</f>
        <v>14978.51</v>
      </c>
      <c r="L46" s="1493"/>
      <c r="M46" s="1494">
        <f>SUM(M44:M45)</f>
        <v>14276.259999999998</v>
      </c>
      <c r="N46" s="1495"/>
      <c r="O46" s="1473" t="s">
        <v>2529</v>
      </c>
      <c r="P46" s="1474"/>
      <c r="Q46" s="1475"/>
      <c r="R46" s="1474"/>
      <c r="S46" s="1474">
        <f>SUM(S44:S45)</f>
        <v>11359.55</v>
      </c>
      <c r="T46" s="1474"/>
      <c r="U46" s="1478">
        <f>SUM(U44:U45)</f>
        <v>15376.83</v>
      </c>
    </row>
    <row r="47" spans="1:21">
      <c r="A47" s="1495"/>
      <c r="B47" s="1495"/>
      <c r="C47" s="1496"/>
      <c r="D47" s="1495"/>
      <c r="E47" s="1495"/>
      <c r="F47" s="1495"/>
      <c r="G47" s="1495"/>
      <c r="H47" s="1495"/>
      <c r="I47" s="1495"/>
      <c r="J47" s="1495"/>
      <c r="K47" s="1495"/>
      <c r="L47" s="1495"/>
      <c r="M47" s="1495"/>
      <c r="N47" s="1495"/>
      <c r="O47" s="1495"/>
      <c r="P47" s="1495"/>
    </row>
    <row r="48" spans="1:21">
      <c r="A48" s="1495"/>
      <c r="B48" s="1495"/>
      <c r="C48" s="1496"/>
      <c r="D48" s="1495"/>
      <c r="E48" s="1495"/>
      <c r="F48" s="1495"/>
      <c r="G48" s="1495"/>
      <c r="H48" s="1495"/>
      <c r="I48" s="1495"/>
      <c r="J48" s="1495"/>
      <c r="K48" s="1495"/>
      <c r="L48" s="1495"/>
      <c r="M48" s="1495"/>
      <c r="N48" s="1495"/>
      <c r="O48" s="1495"/>
      <c r="P48" s="1495"/>
    </row>
    <row r="49" spans="1:21" ht="16.5">
      <c r="A49" s="1462" t="s">
        <v>2530</v>
      </c>
      <c r="B49" s="1462"/>
      <c r="C49" s="1462"/>
      <c r="D49" s="1462"/>
      <c r="E49" s="1462"/>
      <c r="F49" s="1462"/>
      <c r="H49" s="1497"/>
      <c r="O49" s="1462" t="s">
        <v>2531</v>
      </c>
      <c r="P49" s="1462"/>
      <c r="Q49" s="1462"/>
    </row>
    <row r="50" spans="1:21" ht="15.75" customHeight="1">
      <c r="A50" s="1462" t="s">
        <v>2532</v>
      </c>
      <c r="B50" s="1462"/>
      <c r="C50" s="1462"/>
      <c r="D50" s="1462"/>
      <c r="E50" s="1462"/>
      <c r="F50" s="1462"/>
      <c r="O50" s="1462" t="s">
        <v>2532</v>
      </c>
      <c r="P50" s="1462"/>
      <c r="Q50" s="1462"/>
    </row>
    <row r="51" spans="1:21" ht="41.25" customHeight="1">
      <c r="A51" s="3090" t="s">
        <v>2492</v>
      </c>
      <c r="B51" s="3092" t="s">
        <v>2493</v>
      </c>
      <c r="C51" s="3094" t="s">
        <v>2494</v>
      </c>
      <c r="D51" s="3098" t="s">
        <v>2533</v>
      </c>
      <c r="E51" s="3099"/>
      <c r="F51" s="3098" t="s">
        <v>2534</v>
      </c>
      <c r="G51" s="3099"/>
      <c r="H51" s="3098" t="s">
        <v>2535</v>
      </c>
      <c r="I51" s="3099"/>
      <c r="J51" s="3098" t="s">
        <v>2536</v>
      </c>
      <c r="K51" s="3099"/>
      <c r="L51" s="3098" t="s">
        <v>2537</v>
      </c>
      <c r="M51" s="3100"/>
      <c r="N51" s="1486" t="s">
        <v>2520</v>
      </c>
      <c r="O51" s="3090" t="s">
        <v>2492</v>
      </c>
      <c r="P51" s="3092" t="s">
        <v>2493</v>
      </c>
      <c r="Q51" s="3094" t="s">
        <v>2494</v>
      </c>
      <c r="R51" s="1498" t="s">
        <v>2538</v>
      </c>
      <c r="S51" s="1498"/>
      <c r="T51" s="1499" t="s">
        <v>2539</v>
      </c>
      <c r="U51" s="1500"/>
    </row>
    <row r="52" spans="1:21">
      <c r="A52" s="3091"/>
      <c r="B52" s="3093"/>
      <c r="C52" s="3095"/>
      <c r="D52" s="1464" t="s">
        <v>964</v>
      </c>
      <c r="E52" s="1464" t="s">
        <v>2500</v>
      </c>
      <c r="F52" s="1464" t="s">
        <v>964</v>
      </c>
      <c r="G52" s="1464" t="s">
        <v>2500</v>
      </c>
      <c r="H52" s="1464" t="s">
        <v>964</v>
      </c>
      <c r="I52" s="1464" t="s">
        <v>2500</v>
      </c>
      <c r="J52" s="1464" t="s">
        <v>964</v>
      </c>
      <c r="K52" s="1464" t="s">
        <v>2500</v>
      </c>
      <c r="L52" s="1464" t="s">
        <v>964</v>
      </c>
      <c r="M52" s="1465" t="s">
        <v>2500</v>
      </c>
      <c r="N52" s="1487"/>
      <c r="O52" s="3091"/>
      <c r="P52" s="3093"/>
      <c r="Q52" s="3095"/>
      <c r="R52" s="1464" t="s">
        <v>964</v>
      </c>
      <c r="S52" s="1464" t="s">
        <v>2500</v>
      </c>
      <c r="T52" s="1464" t="s">
        <v>964</v>
      </c>
      <c r="U52" s="1465" t="s">
        <v>2500</v>
      </c>
    </row>
    <row r="53" spans="1:21">
      <c r="A53" s="1466" t="s">
        <v>170</v>
      </c>
      <c r="B53" s="1464" t="s">
        <v>1034</v>
      </c>
      <c r="C53" s="1467">
        <f>MR!$I$9</f>
        <v>12.8</v>
      </c>
      <c r="D53" s="1488">
        <v>220</v>
      </c>
      <c r="E53" s="1468">
        <f>ROUND($C53*D53,2)</f>
        <v>2816</v>
      </c>
      <c r="F53" s="1488">
        <v>320</v>
      </c>
      <c r="G53" s="1472">
        <f t="shared" ref="G53:G59" si="1">ROUND($C53*F53,2)</f>
        <v>4096</v>
      </c>
      <c r="H53" s="1488">
        <v>400</v>
      </c>
      <c r="I53" s="1468">
        <f t="shared" ref="I53:I59" si="2">ROUND($C53*H53,2)</f>
        <v>5120</v>
      </c>
      <c r="J53" s="1488">
        <v>320</v>
      </c>
      <c r="K53" s="1468">
        <f t="shared" ref="K53:K59" si="3">ROUND($C53*J53,2)</f>
        <v>4096</v>
      </c>
      <c r="L53" s="1488">
        <v>400</v>
      </c>
      <c r="M53" s="1492">
        <f t="shared" ref="M53:M59" si="4">ROUND($C53*L53,2)</f>
        <v>5120</v>
      </c>
      <c r="O53" s="1466" t="s">
        <v>170</v>
      </c>
      <c r="P53" s="1464" t="s">
        <v>1034</v>
      </c>
      <c r="Q53" s="1467">
        <f>ROUND(MR!$I$8/50,2)</f>
        <v>12.8</v>
      </c>
      <c r="R53" s="1485">
        <v>320</v>
      </c>
      <c r="S53" s="1468">
        <f>ROUND($Q53*R53,2)</f>
        <v>4096</v>
      </c>
      <c r="T53" s="1485">
        <v>400</v>
      </c>
      <c r="U53" s="1469">
        <f>ROUND($Q53*T53,2)</f>
        <v>5120</v>
      </c>
    </row>
    <row r="54" spans="1:21" ht="13.5">
      <c r="A54" s="1466" t="s">
        <v>168</v>
      </c>
      <c r="B54" s="1464" t="s">
        <v>29</v>
      </c>
      <c r="C54" s="1467">
        <f>'Rate-1'!$I$53</f>
        <v>3387.6049919999991</v>
      </c>
      <c r="D54" s="1488">
        <v>0.47</v>
      </c>
      <c r="E54" s="1468">
        <f>ROUND($C54*D54,2)</f>
        <v>1592.17</v>
      </c>
      <c r="F54" s="1488">
        <v>0.44500000000000001</v>
      </c>
      <c r="G54" s="1472">
        <f t="shared" si="1"/>
        <v>1507.48</v>
      </c>
      <c r="H54" s="1488">
        <v>0.42499999999999999</v>
      </c>
      <c r="I54" s="1468">
        <f t="shared" si="2"/>
        <v>1439.73</v>
      </c>
      <c r="J54" s="1488">
        <v>0.44500000000000001</v>
      </c>
      <c r="K54" s="1468">
        <f t="shared" si="3"/>
        <v>1507.48</v>
      </c>
      <c r="L54" s="1488">
        <v>0.42499999999999999</v>
      </c>
      <c r="M54" s="1492">
        <f t="shared" si="4"/>
        <v>1439.73</v>
      </c>
      <c r="O54" s="1466" t="s">
        <v>168</v>
      </c>
      <c r="P54" s="1464" t="s">
        <v>1426</v>
      </c>
      <c r="Q54" s="1467">
        <f>'Rate-1'!$I$53</f>
        <v>3387.6049919999991</v>
      </c>
      <c r="R54" s="1488">
        <v>0.44500000000000001</v>
      </c>
      <c r="S54" s="1468">
        <f t="shared" ref="S54:S59" si="5">ROUND($Q54*R54,2)</f>
        <v>1507.48</v>
      </c>
      <c r="T54" s="1488">
        <v>0.42499999999999999</v>
      </c>
      <c r="U54" s="1469">
        <f t="shared" ref="U54:U59" si="6">ROUND($Q54*T54,2)</f>
        <v>1439.73</v>
      </c>
    </row>
    <row r="55" spans="1:21" ht="13.5">
      <c r="A55" s="1466" t="s">
        <v>2540</v>
      </c>
      <c r="B55" s="1464" t="s">
        <v>29</v>
      </c>
      <c r="C55" s="1467">
        <f>'Ext. Mat_3'!H63</f>
        <v>3528.76</v>
      </c>
      <c r="D55" s="1485"/>
      <c r="E55" s="1468"/>
      <c r="F55" s="1485">
        <v>0.33</v>
      </c>
      <c r="G55" s="1468">
        <f t="shared" si="1"/>
        <v>1164.49</v>
      </c>
      <c r="H55" s="1485">
        <v>0.86</v>
      </c>
      <c r="I55" s="1468">
        <f t="shared" si="2"/>
        <v>3034.73</v>
      </c>
      <c r="J55" s="1485">
        <v>0.33</v>
      </c>
      <c r="K55" s="1468">
        <f t="shared" si="3"/>
        <v>1164.49</v>
      </c>
      <c r="L55" s="1485">
        <v>0.86</v>
      </c>
      <c r="M55" s="1469">
        <f t="shared" si="4"/>
        <v>3034.73</v>
      </c>
      <c r="N55" s="1489"/>
      <c r="O55" s="1466" t="s">
        <v>2540</v>
      </c>
      <c r="P55" s="1464" t="s">
        <v>1426</v>
      </c>
      <c r="Q55" s="1467">
        <f>C55</f>
        <v>3528.76</v>
      </c>
      <c r="R55" s="1485">
        <v>0.33</v>
      </c>
      <c r="S55" s="1468">
        <f t="shared" si="5"/>
        <v>1164.49</v>
      </c>
      <c r="T55" s="1485">
        <v>0.86</v>
      </c>
      <c r="U55" s="1469">
        <f t="shared" si="6"/>
        <v>3034.73</v>
      </c>
    </row>
    <row r="56" spans="1:21" ht="13.5">
      <c r="A56" s="1466" t="s">
        <v>2541</v>
      </c>
      <c r="B56" s="1464" t="s">
        <v>29</v>
      </c>
      <c r="C56" s="1467">
        <f>C55</f>
        <v>3528.76</v>
      </c>
      <c r="D56" s="1488">
        <v>0.89</v>
      </c>
      <c r="E56" s="1468">
        <f>ROUND($C56*D56,2)</f>
        <v>3140.6</v>
      </c>
      <c r="F56" s="1488">
        <v>0.52</v>
      </c>
      <c r="G56" s="1468">
        <f t="shared" si="1"/>
        <v>1834.96</v>
      </c>
      <c r="H56" s="1488"/>
      <c r="I56" s="1468"/>
      <c r="J56" s="1488">
        <v>0.52</v>
      </c>
      <c r="K56" s="1468">
        <f t="shared" si="3"/>
        <v>1834.96</v>
      </c>
      <c r="L56" s="1488"/>
      <c r="M56" s="1469"/>
      <c r="N56" s="1489"/>
      <c r="O56" s="1466" t="s">
        <v>2541</v>
      </c>
      <c r="P56" s="1464" t="s">
        <v>1426</v>
      </c>
      <c r="Q56" s="1467">
        <f>Q55</f>
        <v>3528.76</v>
      </c>
      <c r="R56" s="1488">
        <v>0.52</v>
      </c>
      <c r="S56" s="1468">
        <f t="shared" si="5"/>
        <v>1834.96</v>
      </c>
      <c r="T56" s="1488"/>
      <c r="U56" s="1469"/>
    </row>
    <row r="57" spans="1:21">
      <c r="A57" s="1466" t="s">
        <v>2542</v>
      </c>
      <c r="B57" s="1464" t="s">
        <v>1034</v>
      </c>
      <c r="C57" s="1467">
        <f>MR!I26</f>
        <v>117</v>
      </c>
      <c r="D57" s="1488"/>
      <c r="E57" s="1468"/>
      <c r="F57" s="1488"/>
      <c r="G57" s="1468"/>
      <c r="H57" s="1488"/>
      <c r="I57" s="1468"/>
      <c r="J57" s="1488"/>
      <c r="K57" s="1468"/>
      <c r="L57" s="1488"/>
      <c r="M57" s="1469"/>
      <c r="N57" s="1489"/>
      <c r="O57" s="1466" t="s">
        <v>2542</v>
      </c>
      <c r="P57" s="1464" t="s">
        <v>192</v>
      </c>
      <c r="Q57" s="1467">
        <f>MR!I26</f>
        <v>117</v>
      </c>
      <c r="R57" s="1485">
        <f>ROUND(0.02*R53,2)</f>
        <v>6.4</v>
      </c>
      <c r="S57" s="1468">
        <f t="shared" si="5"/>
        <v>748.8</v>
      </c>
      <c r="T57" s="1485">
        <f>ROUND(0.02*T53,2)</f>
        <v>8</v>
      </c>
      <c r="U57" s="1469">
        <f t="shared" si="6"/>
        <v>936</v>
      </c>
    </row>
    <row r="58" spans="1:21">
      <c r="A58" s="1466" t="s">
        <v>2543</v>
      </c>
      <c r="B58" s="1464" t="s">
        <v>973</v>
      </c>
      <c r="C58" s="1467">
        <f>'Rate-1'!$I$38</f>
        <v>1225</v>
      </c>
      <c r="D58" s="1488">
        <v>1</v>
      </c>
      <c r="E58" s="1468">
        <f>ROUND($C58*D58,2)</f>
        <v>1225</v>
      </c>
      <c r="F58" s="1485">
        <v>1</v>
      </c>
      <c r="G58" s="1468">
        <f t="shared" si="1"/>
        <v>1225</v>
      </c>
      <c r="H58" s="1485">
        <v>1</v>
      </c>
      <c r="I58" s="1468">
        <f t="shared" si="2"/>
        <v>1225</v>
      </c>
      <c r="J58" s="1485">
        <v>0.8</v>
      </c>
      <c r="K58" s="1468">
        <f t="shared" si="3"/>
        <v>980</v>
      </c>
      <c r="L58" s="1485">
        <v>0.8</v>
      </c>
      <c r="M58" s="1469">
        <f t="shared" si="4"/>
        <v>980</v>
      </c>
      <c r="N58" s="1489"/>
      <c r="O58" s="1466" t="s">
        <v>2543</v>
      </c>
      <c r="P58" s="1464" t="s">
        <v>973</v>
      </c>
      <c r="Q58" s="1467">
        <f>'Rate-1'!$I$38</f>
        <v>1225</v>
      </c>
      <c r="R58" s="1485">
        <v>1</v>
      </c>
      <c r="S58" s="1468">
        <f t="shared" si="5"/>
        <v>1225</v>
      </c>
      <c r="T58" s="1485">
        <v>1</v>
      </c>
      <c r="U58" s="1469">
        <f t="shared" si="6"/>
        <v>1225</v>
      </c>
    </row>
    <row r="59" spans="1:21">
      <c r="A59" s="1466" t="s">
        <v>2501</v>
      </c>
      <c r="B59" s="1464" t="s">
        <v>973</v>
      </c>
      <c r="C59" s="1467">
        <f>'Rate-1'!$I$39</f>
        <v>920</v>
      </c>
      <c r="D59" s="1485">
        <v>4</v>
      </c>
      <c r="E59" s="1468">
        <f>ROUND($C59*D59,2)</f>
        <v>3680</v>
      </c>
      <c r="F59" s="1485">
        <v>4</v>
      </c>
      <c r="G59" s="1468">
        <f t="shared" si="1"/>
        <v>3680</v>
      </c>
      <c r="H59" s="1485">
        <v>4</v>
      </c>
      <c r="I59" s="1468">
        <f t="shared" si="2"/>
        <v>3680</v>
      </c>
      <c r="J59" s="1485">
        <v>7</v>
      </c>
      <c r="K59" s="1468">
        <f t="shared" si="3"/>
        <v>6440</v>
      </c>
      <c r="L59" s="1485">
        <v>7</v>
      </c>
      <c r="M59" s="1469">
        <f t="shared" si="4"/>
        <v>6440</v>
      </c>
      <c r="N59" s="1489"/>
      <c r="O59" s="1466" t="s">
        <v>2501</v>
      </c>
      <c r="P59" s="1464" t="s">
        <v>973</v>
      </c>
      <c r="Q59" s="1467">
        <f>'Rate-1'!$I$39</f>
        <v>920</v>
      </c>
      <c r="R59" s="1485">
        <v>4</v>
      </c>
      <c r="S59" s="1468">
        <f t="shared" si="5"/>
        <v>3680</v>
      </c>
      <c r="T59" s="1485">
        <v>4</v>
      </c>
      <c r="U59" s="1469">
        <f t="shared" si="6"/>
        <v>3680</v>
      </c>
    </row>
    <row r="60" spans="1:21">
      <c r="A60" s="1471" t="s">
        <v>1403</v>
      </c>
      <c r="B60" s="1472"/>
      <c r="C60" s="1464"/>
      <c r="D60" s="1464"/>
      <c r="E60" s="1490">
        <f>SUM(E53:E59)</f>
        <v>12453.77</v>
      </c>
      <c r="F60" s="1491"/>
      <c r="G60" s="1490">
        <f>SUM(G53:G59)</f>
        <v>13507.93</v>
      </c>
      <c r="H60" s="1490"/>
      <c r="I60" s="1490">
        <f>SUM(I53:I59)</f>
        <v>14499.46</v>
      </c>
      <c r="J60" s="1490"/>
      <c r="K60" s="1490">
        <f>SUM(K53:K59)</f>
        <v>16022.93</v>
      </c>
      <c r="L60" s="1491"/>
      <c r="M60" s="1479">
        <f>SUM(M53:M59)</f>
        <v>17014.46</v>
      </c>
      <c r="O60" s="1471" t="s">
        <v>1403</v>
      </c>
      <c r="P60" s="1472"/>
      <c r="Q60" s="1464"/>
      <c r="R60" s="1464"/>
      <c r="S60" s="1472">
        <f>SUM(S53:S59)</f>
        <v>14256.73</v>
      </c>
      <c r="T60" s="1464"/>
      <c r="U60" s="1492">
        <f>SUM(U53:U59)</f>
        <v>15435.46</v>
      </c>
    </row>
    <row r="61" spans="1:21">
      <c r="A61" s="1466" t="s">
        <v>2504</v>
      </c>
      <c r="B61" s="1464" t="s">
        <v>546</v>
      </c>
      <c r="C61" s="1470">
        <v>0.15</v>
      </c>
      <c r="D61" s="1470"/>
      <c r="E61" s="1490">
        <f>ROUND($C61*E60,2)</f>
        <v>1868.07</v>
      </c>
      <c r="F61" s="1490"/>
      <c r="G61" s="1490">
        <f>ROUND($C61*G60,2)</f>
        <v>2026.19</v>
      </c>
      <c r="H61" s="1490"/>
      <c r="I61" s="1490">
        <f>ROUND($C61*I60,2)</f>
        <v>2174.92</v>
      </c>
      <c r="J61" s="1490"/>
      <c r="K61" s="1490">
        <f>ROUND($C61*K60,2)</f>
        <v>2403.44</v>
      </c>
      <c r="L61" s="1490"/>
      <c r="M61" s="1479">
        <f>ROUND($C61*M60,2)</f>
        <v>2552.17</v>
      </c>
      <c r="N61" s="1489"/>
      <c r="O61" s="1466" t="s">
        <v>2504</v>
      </c>
      <c r="P61" s="1464" t="s">
        <v>546</v>
      </c>
      <c r="Q61" s="1470">
        <v>0.15</v>
      </c>
      <c r="R61" s="1472"/>
      <c r="S61" s="1468">
        <f>ROUND($C61*S60,2)</f>
        <v>2138.5100000000002</v>
      </c>
      <c r="T61" s="1472"/>
      <c r="U61" s="1469">
        <f>ROUND($C61*U60,2)</f>
        <v>2315.3200000000002</v>
      </c>
    </row>
    <row r="62" spans="1:21">
      <c r="A62" s="1473" t="s">
        <v>2529</v>
      </c>
      <c r="B62" s="1474"/>
      <c r="C62" s="1475"/>
      <c r="D62" s="1474"/>
      <c r="E62" s="1493">
        <f>SUM(E60:E61)</f>
        <v>14321.84</v>
      </c>
      <c r="F62" s="1493"/>
      <c r="G62" s="1493">
        <f>SUM(G60:G61)</f>
        <v>15534.12</v>
      </c>
      <c r="H62" s="1493"/>
      <c r="I62" s="1493">
        <f>SUM(I60:I61)</f>
        <v>16674.379999999997</v>
      </c>
      <c r="J62" s="1493"/>
      <c r="K62" s="1493">
        <f>SUM(K60:K61)</f>
        <v>18426.37</v>
      </c>
      <c r="L62" s="1493"/>
      <c r="M62" s="1494">
        <f>SUM(M60:M61)</f>
        <v>19566.629999999997</v>
      </c>
      <c r="N62" s="1495"/>
      <c r="O62" s="1473" t="s">
        <v>2529</v>
      </c>
      <c r="P62" s="1474"/>
      <c r="Q62" s="1475"/>
      <c r="R62" s="1474"/>
      <c r="S62" s="1474">
        <f>SUM(S60:S61)</f>
        <v>16395.239999999998</v>
      </c>
      <c r="T62" s="1474"/>
      <c r="U62" s="1478">
        <f>SUM(U60:U61)</f>
        <v>17750.78</v>
      </c>
    </row>
    <row r="63" spans="1:21" ht="16.5">
      <c r="A63" s="1462" t="s">
        <v>2544</v>
      </c>
      <c r="O63" s="1462" t="s">
        <v>2545</v>
      </c>
    </row>
    <row r="65" spans="1:23" ht="84" customHeight="1">
      <c r="A65" s="3090" t="s">
        <v>2492</v>
      </c>
      <c r="B65" s="3092" t="s">
        <v>2493</v>
      </c>
      <c r="C65" s="3094" t="s">
        <v>2494</v>
      </c>
      <c r="D65" s="3098" t="s">
        <v>2546</v>
      </c>
      <c r="E65" s="3099"/>
      <c r="F65" s="3098" t="s">
        <v>2547</v>
      </c>
      <c r="G65" s="3099"/>
      <c r="H65" s="3098" t="s">
        <v>2548</v>
      </c>
      <c r="I65" s="3099"/>
      <c r="J65" s="3098" t="s">
        <v>2549</v>
      </c>
      <c r="K65" s="3099"/>
      <c r="L65" s="3098" t="s">
        <v>2550</v>
      </c>
      <c r="M65" s="3100"/>
      <c r="N65" s="1501" t="s">
        <v>2520</v>
      </c>
      <c r="O65" s="3090" t="s">
        <v>2492</v>
      </c>
      <c r="P65" s="3092" t="s">
        <v>2493</v>
      </c>
      <c r="Q65" s="3094" t="s">
        <v>2494</v>
      </c>
      <c r="R65" s="1498" t="s">
        <v>2551</v>
      </c>
      <c r="S65" s="1502"/>
      <c r="T65" s="1498" t="s">
        <v>2552</v>
      </c>
      <c r="U65" s="1502"/>
      <c r="V65" s="3104" t="s">
        <v>2553</v>
      </c>
      <c r="W65" s="3105"/>
    </row>
    <row r="66" spans="1:23">
      <c r="A66" s="3091"/>
      <c r="B66" s="3093"/>
      <c r="C66" s="3095"/>
      <c r="D66" s="1464" t="s">
        <v>964</v>
      </c>
      <c r="E66" s="1464" t="s">
        <v>2500</v>
      </c>
      <c r="F66" s="1464" t="s">
        <v>964</v>
      </c>
      <c r="G66" s="1464" t="s">
        <v>2500</v>
      </c>
      <c r="H66" s="1464" t="s">
        <v>964</v>
      </c>
      <c r="I66" s="1464" t="s">
        <v>2500</v>
      </c>
      <c r="J66" s="1464" t="s">
        <v>964</v>
      </c>
      <c r="K66" s="1464" t="s">
        <v>2500</v>
      </c>
      <c r="L66" s="1464" t="s">
        <v>964</v>
      </c>
      <c r="M66" s="1465" t="s">
        <v>2500</v>
      </c>
      <c r="N66" s="1487"/>
      <c r="O66" s="3091"/>
      <c r="P66" s="3093"/>
      <c r="Q66" s="3095"/>
      <c r="R66" s="1464" t="s">
        <v>964</v>
      </c>
      <c r="S66" s="1465" t="s">
        <v>2500</v>
      </c>
      <c r="T66" s="1464" t="s">
        <v>964</v>
      </c>
      <c r="U66" s="1465" t="s">
        <v>2500</v>
      </c>
      <c r="V66" s="1464" t="s">
        <v>964</v>
      </c>
      <c r="W66" s="1465" t="s">
        <v>2500</v>
      </c>
    </row>
    <row r="67" spans="1:23">
      <c r="A67" s="1466" t="s">
        <v>2554</v>
      </c>
      <c r="B67" s="1464" t="s">
        <v>1034</v>
      </c>
      <c r="C67" s="1467">
        <f>MR!$I$10</f>
        <v>100</v>
      </c>
      <c r="D67" s="1467">
        <v>1.05</v>
      </c>
      <c r="E67" s="1472">
        <f>ROUND($C67*D67,2)</f>
        <v>105</v>
      </c>
      <c r="F67" s="1472" t="s">
        <v>2555</v>
      </c>
      <c r="G67" s="1472"/>
      <c r="H67" s="1472"/>
      <c r="I67" s="1472"/>
      <c r="J67" s="1472">
        <v>2.593</v>
      </c>
      <c r="K67" s="1472">
        <f>ROUND($C67*J67,2)</f>
        <v>259.3</v>
      </c>
      <c r="L67" s="1472"/>
      <c r="M67" s="1492"/>
      <c r="O67" s="1466" t="s">
        <v>2556</v>
      </c>
      <c r="P67" s="1464" t="s">
        <v>1034</v>
      </c>
      <c r="Q67" s="1467">
        <f>MR!$I$13</f>
        <v>132</v>
      </c>
      <c r="R67" s="1472">
        <v>0.25</v>
      </c>
      <c r="S67" s="1469">
        <f>ROUND($Q67*R67,2)</f>
        <v>33</v>
      </c>
      <c r="T67" s="1472"/>
      <c r="U67" s="1469">
        <f>ROUND($Q67*T67,2)</f>
        <v>0</v>
      </c>
      <c r="V67" s="1472"/>
      <c r="W67" s="1469">
        <f>ROUND($Q67*V67,2)</f>
        <v>0</v>
      </c>
    </row>
    <row r="68" spans="1:23" ht="13.5">
      <c r="A68" s="1466" t="s">
        <v>2557</v>
      </c>
      <c r="B68" s="1464" t="s">
        <v>1034</v>
      </c>
      <c r="C68" s="1467">
        <f>MR!I11</f>
        <v>120</v>
      </c>
      <c r="D68" s="1467">
        <v>0.01</v>
      </c>
      <c r="E68" s="1472">
        <f>ROUND($C68*D68,2)</f>
        <v>1.2</v>
      </c>
      <c r="F68" s="1464" t="s">
        <v>2555</v>
      </c>
      <c r="G68" s="1472"/>
      <c r="H68" s="1472">
        <v>8.3000000000000004E-2</v>
      </c>
      <c r="I68" s="1472">
        <f>ROUND($C68*H68,2)</f>
        <v>9.9600000000000009</v>
      </c>
      <c r="J68" s="1472">
        <v>0.111</v>
      </c>
      <c r="K68" s="1472">
        <f>ROUND($C68*J68,2)</f>
        <v>13.32</v>
      </c>
      <c r="L68" s="1472"/>
      <c r="M68" s="1492"/>
      <c r="O68" s="1466" t="s">
        <v>2558</v>
      </c>
      <c r="P68" s="1464" t="s">
        <v>1426</v>
      </c>
      <c r="Q68" s="1467">
        <f>'Rate-1'!I99</f>
        <v>57400</v>
      </c>
      <c r="R68" s="1503" t="s">
        <v>2559</v>
      </c>
      <c r="S68" s="1469">
        <f>ROUND(0.0526/4*0.75*$Q68,2)</f>
        <v>566.11</v>
      </c>
      <c r="T68" s="1503"/>
      <c r="U68" s="1469"/>
      <c r="V68" s="1503">
        <v>1.05</v>
      </c>
      <c r="W68" s="1469"/>
    </row>
    <row r="69" spans="1:23" ht="13.5">
      <c r="A69" s="1466" t="s">
        <v>2560</v>
      </c>
      <c r="B69" s="1464" t="s">
        <v>1034</v>
      </c>
      <c r="C69" s="1467">
        <f>+MR!I12</f>
        <v>117</v>
      </c>
      <c r="D69" s="1464" t="s">
        <v>2555</v>
      </c>
      <c r="E69" s="1472"/>
      <c r="F69" s="1504" t="s">
        <v>2555</v>
      </c>
      <c r="G69" s="1472"/>
      <c r="H69" s="1472"/>
      <c r="I69" s="1472"/>
      <c r="J69" s="1472">
        <v>2.0830000000000002</v>
      </c>
      <c r="K69" s="1472">
        <f>ROUND($C69*J69,2)</f>
        <v>243.71</v>
      </c>
      <c r="L69" s="1472"/>
      <c r="M69" s="1492"/>
      <c r="O69" s="1466" t="s">
        <v>2561</v>
      </c>
      <c r="P69" s="1464" t="s">
        <v>1426</v>
      </c>
      <c r="Q69" s="1467">
        <f>'Rate-1'!I99</f>
        <v>57400</v>
      </c>
      <c r="R69" s="1505" t="s">
        <v>2562</v>
      </c>
      <c r="S69" s="1469">
        <f>ROUND($Q69*0.075/4*0.75,2)</f>
        <v>807.19</v>
      </c>
      <c r="T69" s="1505"/>
      <c r="U69" s="1469"/>
      <c r="V69" s="1505"/>
      <c r="W69" s="1469"/>
    </row>
    <row r="70" spans="1:23">
      <c r="A70" s="1466" t="s">
        <v>2563</v>
      </c>
      <c r="B70" s="1464" t="s">
        <v>965</v>
      </c>
      <c r="C70" s="1467">
        <f>MR!I14</f>
        <v>86</v>
      </c>
      <c r="D70" s="1464" t="s">
        <v>2555</v>
      </c>
      <c r="E70" s="1472"/>
      <c r="F70" s="1464" t="s">
        <v>2555</v>
      </c>
      <c r="G70" s="1472"/>
      <c r="H70" s="1472"/>
      <c r="I70" s="1472"/>
      <c r="J70" s="1472">
        <v>1.806</v>
      </c>
      <c r="K70" s="1472">
        <f>ROUND($C70*J70,2)</f>
        <v>155.32</v>
      </c>
      <c r="L70" s="1472"/>
      <c r="M70" s="1492"/>
      <c r="O70" s="1466" t="s">
        <v>2564</v>
      </c>
      <c r="P70" s="1464" t="s">
        <v>973</v>
      </c>
      <c r="Q70" s="1467">
        <f>'Rate-1'!$I$38</f>
        <v>1225</v>
      </c>
      <c r="R70" s="1472">
        <v>0.26</v>
      </c>
      <c r="S70" s="1469">
        <f>ROUND($Q70*R70,2)</f>
        <v>318.5</v>
      </c>
      <c r="T70" s="1472">
        <v>0.5</v>
      </c>
      <c r="U70" s="1469">
        <f>ROUND($Q70*T70,2)</f>
        <v>612.5</v>
      </c>
      <c r="V70" s="1472">
        <v>0.5</v>
      </c>
      <c r="W70" s="1469">
        <f>ROUND($Q70*V70,2)</f>
        <v>612.5</v>
      </c>
    </row>
    <row r="71" spans="1:23">
      <c r="A71" s="1466" t="s">
        <v>2556</v>
      </c>
      <c r="B71" s="1464" t="s">
        <v>1034</v>
      </c>
      <c r="C71" s="1467">
        <f>MR!I13</f>
        <v>132</v>
      </c>
      <c r="D71" s="1464" t="s">
        <v>2555</v>
      </c>
      <c r="E71" s="1472"/>
      <c r="F71" s="1472">
        <v>0.25</v>
      </c>
      <c r="G71" s="1472">
        <f>ROUND($C71*F71,2)</f>
        <v>33</v>
      </c>
      <c r="H71" s="1472">
        <v>1.4E-2</v>
      </c>
      <c r="I71" s="1472">
        <f>ROUND($C71*H71,2)</f>
        <v>1.85</v>
      </c>
      <c r="J71" s="1472"/>
      <c r="K71" s="1472"/>
      <c r="L71" s="1472"/>
      <c r="M71" s="1492"/>
      <c r="O71" s="1466" t="s">
        <v>2565</v>
      </c>
      <c r="P71" s="1464" t="s">
        <v>973</v>
      </c>
      <c r="Q71" s="1467">
        <f>'Rate-1'!$I$39</f>
        <v>920</v>
      </c>
      <c r="R71" s="1472">
        <v>0.38900000000000001</v>
      </c>
      <c r="S71" s="1469">
        <f>ROUND($Q71*R71,2)</f>
        <v>357.88</v>
      </c>
      <c r="T71" s="1472">
        <v>0.5</v>
      </c>
      <c r="U71" s="1469">
        <f>ROUND($Q71*T71,2)</f>
        <v>460</v>
      </c>
      <c r="V71" s="1472">
        <v>0.5</v>
      </c>
      <c r="W71" s="1469">
        <f>ROUND($Q71*V71,2)</f>
        <v>460</v>
      </c>
    </row>
    <row r="72" spans="1:23">
      <c r="A72" s="1466" t="s">
        <v>230</v>
      </c>
      <c r="B72" s="1464" t="s">
        <v>973</v>
      </c>
      <c r="C72" s="1467">
        <f>MR!I28</f>
        <v>21.14</v>
      </c>
      <c r="D72" s="1464"/>
      <c r="E72" s="1472"/>
      <c r="F72" s="1472"/>
      <c r="G72" s="1472"/>
      <c r="H72" s="1472"/>
      <c r="I72" s="1472"/>
      <c r="J72" s="1472"/>
      <c r="K72" s="1472"/>
      <c r="L72" s="1472">
        <v>92</v>
      </c>
      <c r="M72" s="1492">
        <f>ROUND($C72*L72,2)</f>
        <v>1944.88</v>
      </c>
      <c r="O72" s="1466"/>
      <c r="P72" s="1464"/>
      <c r="Q72" s="1467"/>
      <c r="R72" s="1472"/>
      <c r="S72" s="1469"/>
      <c r="T72" s="1472"/>
      <c r="U72" s="1469"/>
      <c r="V72" s="1472"/>
      <c r="W72" s="1469"/>
    </row>
    <row r="73" spans="1:23">
      <c r="A73" s="1466" t="s">
        <v>2464</v>
      </c>
      <c r="B73" s="1464" t="s">
        <v>973</v>
      </c>
      <c r="C73" s="1467">
        <v>0.5</v>
      </c>
      <c r="D73" s="1464"/>
      <c r="E73" s="1472"/>
      <c r="F73" s="1472"/>
      <c r="G73" s="1472"/>
      <c r="H73" s="1472"/>
      <c r="I73" s="1472"/>
      <c r="J73" s="1472"/>
      <c r="K73" s="1472"/>
      <c r="L73" s="1472">
        <v>184</v>
      </c>
      <c r="M73" s="1492">
        <f>ROUND($C73*L73,2)</f>
        <v>92</v>
      </c>
      <c r="O73" s="1466"/>
      <c r="P73" s="1464"/>
      <c r="Q73" s="1467"/>
      <c r="R73" s="1472"/>
      <c r="S73" s="1469"/>
      <c r="T73" s="1472"/>
      <c r="U73" s="1469"/>
      <c r="V73" s="1472"/>
      <c r="W73" s="1469"/>
    </row>
    <row r="74" spans="1:23">
      <c r="A74" s="1466" t="s">
        <v>2566</v>
      </c>
      <c r="B74" s="1464" t="s">
        <v>29</v>
      </c>
      <c r="C74" s="1467">
        <f>'Rate-1'!$I99</f>
        <v>57400</v>
      </c>
      <c r="D74" s="1464" t="s">
        <v>2555</v>
      </c>
      <c r="E74" s="1472"/>
      <c r="F74" s="1506" t="s">
        <v>2559</v>
      </c>
      <c r="G74" s="1472">
        <f>ROUND($C74*0.0526/5*0.75,2)</f>
        <v>452.89</v>
      </c>
      <c r="H74" s="1472"/>
      <c r="I74" s="1472"/>
      <c r="J74" s="1472"/>
      <c r="K74" s="1472"/>
      <c r="L74" s="1472">
        <v>1.1000000000000001</v>
      </c>
      <c r="M74" s="1492">
        <f>ROUND($C74*L74,2)</f>
        <v>63140</v>
      </c>
      <c r="O74" s="1471" t="s">
        <v>1403</v>
      </c>
      <c r="P74" s="1472"/>
      <c r="Q74" s="1464"/>
      <c r="R74" s="1464"/>
      <c r="S74" s="1492">
        <f>SUM(S67:S71)</f>
        <v>2082.6800000000003</v>
      </c>
      <c r="T74" s="1464"/>
      <c r="U74" s="1469">
        <f>SUM(U67:U71)</f>
        <v>1072.5</v>
      </c>
      <c r="V74" s="1464"/>
      <c r="W74" s="1469">
        <f>SUM(W67:W71)</f>
        <v>1072.5</v>
      </c>
    </row>
    <row r="75" spans="1:23">
      <c r="A75" s="1466" t="s">
        <v>207</v>
      </c>
      <c r="B75" s="1464" t="s">
        <v>973</v>
      </c>
      <c r="C75" s="1467">
        <f>MR!D67</f>
        <v>240</v>
      </c>
      <c r="D75" s="1464" t="s">
        <v>2555</v>
      </c>
      <c r="E75" s="1472"/>
      <c r="F75" s="1472" t="s">
        <v>2555</v>
      </c>
      <c r="G75" s="1472"/>
      <c r="H75" s="1472">
        <v>0.33300000000000002</v>
      </c>
      <c r="I75" s="1472">
        <f>ROUND($C75*H75,2)</f>
        <v>79.92</v>
      </c>
      <c r="J75" s="1472"/>
      <c r="K75" s="1472"/>
      <c r="L75" s="1472"/>
      <c r="M75" s="1492"/>
      <c r="O75" s="1466" t="s">
        <v>2504</v>
      </c>
      <c r="P75" s="1464" t="s">
        <v>546</v>
      </c>
      <c r="Q75" s="1470">
        <v>0.15</v>
      </c>
      <c r="R75" s="1472"/>
      <c r="S75" s="1469">
        <f>ROUND($Q75*S74,2)</f>
        <v>312.39999999999998</v>
      </c>
      <c r="T75" s="1472"/>
      <c r="U75" s="1469">
        <f>ROUND($Q75*U74,2)</f>
        <v>160.88</v>
      </c>
      <c r="V75" s="1472"/>
      <c r="W75" s="1469">
        <f>ROUND($Q75*W74,2)</f>
        <v>160.88</v>
      </c>
    </row>
    <row r="76" spans="1:23">
      <c r="A76" s="1466" t="s">
        <v>2567</v>
      </c>
      <c r="B76" s="1464" t="s">
        <v>965</v>
      </c>
      <c r="C76" s="1507" t="s">
        <v>44</v>
      </c>
      <c r="D76" s="1464"/>
      <c r="E76" s="1472"/>
      <c r="F76" s="1472"/>
      <c r="G76" s="1472"/>
      <c r="H76" s="1468">
        <v>40</v>
      </c>
      <c r="I76" s="1472"/>
      <c r="J76" s="1472"/>
      <c r="K76" s="1472"/>
      <c r="L76" s="1472"/>
      <c r="M76" s="1492"/>
      <c r="O76" s="1473" t="s">
        <v>2568</v>
      </c>
      <c r="P76" s="1474"/>
      <c r="Q76" s="1475"/>
      <c r="R76" s="1474"/>
      <c r="S76" s="1478">
        <f>SUM(S74:S75)</f>
        <v>2395.0800000000004</v>
      </c>
      <c r="T76" s="1474"/>
      <c r="U76" s="1478">
        <f>SUM(U74:U75)</f>
        <v>1233.3800000000001</v>
      </c>
      <c r="V76" s="1474"/>
      <c r="W76" s="1478">
        <f>SUM(W74:W75)</f>
        <v>1233.3800000000001</v>
      </c>
    </row>
    <row r="77" spans="1:23" ht="12.75">
      <c r="A77" s="1466" t="s">
        <v>2564</v>
      </c>
      <c r="B77" s="1464" t="s">
        <v>973</v>
      </c>
      <c r="C77" s="1467">
        <f>'Rate-1'!$I$38</f>
        <v>1225</v>
      </c>
      <c r="D77" s="1472">
        <v>1.2E-2</v>
      </c>
      <c r="E77" s="1472">
        <f>ROUND($C77*D77,2)</f>
        <v>14.7</v>
      </c>
      <c r="F77" s="1472">
        <v>0.17199999999999999</v>
      </c>
      <c r="G77" s="1472">
        <f>ROUND($C77*F77,2)</f>
        <v>210.7</v>
      </c>
      <c r="H77" s="1472">
        <v>0.16700000000000001</v>
      </c>
      <c r="I77" s="1472">
        <f>ROUND($C77*H77,2)</f>
        <v>204.58</v>
      </c>
      <c r="J77" s="1472">
        <v>0.25</v>
      </c>
      <c r="K77" s="1472">
        <f>ROUND($C77*J77,2)</f>
        <v>306.25</v>
      </c>
      <c r="L77" s="1472">
        <v>34</v>
      </c>
      <c r="M77" s="1492">
        <f>ROUND($C77*L77,2)</f>
        <v>41650</v>
      </c>
      <c r="O77" s="536"/>
      <c r="P77" s="536"/>
      <c r="Q77" s="536"/>
      <c r="R77" s="536"/>
      <c r="S77" s="536"/>
    </row>
    <row r="78" spans="1:23" ht="12.75">
      <c r="A78" s="1466" t="s">
        <v>2565</v>
      </c>
      <c r="B78" s="1464" t="s">
        <v>973</v>
      </c>
      <c r="C78" s="1467">
        <f>'Rate-1'!$I$39</f>
        <v>920</v>
      </c>
      <c r="D78" s="1472">
        <v>1.2E-2</v>
      </c>
      <c r="E78" s="1472">
        <f>ROUND($C78*D78,2)</f>
        <v>11.04</v>
      </c>
      <c r="F78" s="1472">
        <v>0.25700000000000001</v>
      </c>
      <c r="G78" s="1472">
        <f>ROUND($C78*F78,2)</f>
        <v>236.44</v>
      </c>
      <c r="H78" s="1472">
        <v>0.111</v>
      </c>
      <c r="I78" s="1472">
        <f>ROUND($C78*H78,2)</f>
        <v>102.12</v>
      </c>
      <c r="J78" s="1472">
        <v>8.3000000000000004E-2</v>
      </c>
      <c r="K78" s="1472">
        <f>ROUND($C78*J78,2)</f>
        <v>76.36</v>
      </c>
      <c r="L78" s="1472">
        <v>3.4</v>
      </c>
      <c r="M78" s="1492">
        <f>ROUND($C78*L78,2)</f>
        <v>3128</v>
      </c>
      <c r="O78" s="536"/>
      <c r="P78" s="536"/>
      <c r="Q78" s="536"/>
      <c r="R78" s="536"/>
      <c r="S78" s="536"/>
    </row>
    <row r="79" spans="1:23" ht="12.75">
      <c r="A79" s="1471" t="s">
        <v>1403</v>
      </c>
      <c r="B79" s="1472"/>
      <c r="C79" s="1464"/>
      <c r="D79" s="1464"/>
      <c r="E79" s="1472">
        <f>SUM(E67:E78)</f>
        <v>131.94</v>
      </c>
      <c r="F79" s="1464"/>
      <c r="G79" s="1472">
        <f>SUM(G67:G78)</f>
        <v>933.03</v>
      </c>
      <c r="H79" s="1464"/>
      <c r="I79" s="1472">
        <f>SUM(I67:I78)</f>
        <v>398.43</v>
      </c>
      <c r="J79" s="1472"/>
      <c r="K79" s="1472">
        <f>SUM(K67:K78)</f>
        <v>1054.26</v>
      </c>
      <c r="L79" s="1472"/>
      <c r="M79" s="1492">
        <f>SUM(M67:M78)</f>
        <v>109954.88</v>
      </c>
      <c r="O79" s="536"/>
      <c r="P79" s="536"/>
      <c r="Q79" s="536"/>
      <c r="R79" s="536"/>
      <c r="S79" s="536"/>
    </row>
    <row r="80" spans="1:23" ht="12.75">
      <c r="A80" s="1466" t="s">
        <v>2504</v>
      </c>
      <c r="B80" s="1464" t="s">
        <v>546</v>
      </c>
      <c r="C80" s="1470">
        <v>0.15</v>
      </c>
      <c r="D80" s="1470"/>
      <c r="E80" s="1468">
        <f>ROUND($C80*E79,2)</f>
        <v>19.79</v>
      </c>
      <c r="F80" s="1472"/>
      <c r="G80" s="1468">
        <f>ROUND($C80*G79,2)</f>
        <v>139.94999999999999</v>
      </c>
      <c r="H80" s="1472"/>
      <c r="I80" s="1468">
        <f>ROUND($C80*I79,2)</f>
        <v>59.76</v>
      </c>
      <c r="J80" s="1472"/>
      <c r="K80" s="1468">
        <f>ROUND($C80*K79,2)</f>
        <v>158.13999999999999</v>
      </c>
      <c r="L80" s="1472"/>
      <c r="M80" s="1469">
        <f>ROUND($C80*M79,2)</f>
        <v>16493.23</v>
      </c>
      <c r="N80" s="1489"/>
      <c r="O80" s="536"/>
      <c r="P80" s="536"/>
      <c r="Q80" s="536"/>
      <c r="R80" s="536"/>
      <c r="S80" s="536"/>
    </row>
    <row r="81" spans="1:25" ht="12.75">
      <c r="A81" s="1473" t="s">
        <v>2569</v>
      </c>
      <c r="B81" s="1474"/>
      <c r="C81" s="1475"/>
      <c r="D81" s="1474"/>
      <c r="E81" s="1474">
        <f>SUM(E79:E80)</f>
        <v>151.72999999999999</v>
      </c>
      <c r="F81" s="1474"/>
      <c r="G81" s="1474">
        <f>SUM(G79:G80)</f>
        <v>1072.98</v>
      </c>
      <c r="H81" s="1474"/>
      <c r="I81" s="1474">
        <f>SUM(I79:I80)</f>
        <v>458.19</v>
      </c>
      <c r="J81" s="1474"/>
      <c r="K81" s="1474">
        <f>SUM(K79:K80)</f>
        <v>1212.4000000000001</v>
      </c>
      <c r="L81" s="1474"/>
      <c r="M81" s="1478">
        <f>SUM(M79:M80)</f>
        <v>126448.11</v>
      </c>
      <c r="N81" s="1495"/>
      <c r="O81" s="536"/>
      <c r="P81" s="536"/>
      <c r="Q81" s="536"/>
      <c r="R81" s="536"/>
      <c r="S81" s="536"/>
    </row>
    <row r="84" spans="1:25" ht="16.5">
      <c r="A84" s="1462" t="s">
        <v>2570</v>
      </c>
      <c r="O84" s="1462" t="s">
        <v>2571</v>
      </c>
    </row>
    <row r="85" spans="1:25" ht="48" customHeight="1">
      <c r="A85" s="3090" t="s">
        <v>2492</v>
      </c>
      <c r="B85" s="3092" t="s">
        <v>2493</v>
      </c>
      <c r="C85" s="3094" t="s">
        <v>2494</v>
      </c>
      <c r="D85" s="3098" t="s">
        <v>2572</v>
      </c>
      <c r="E85" s="3099"/>
      <c r="F85" s="3098" t="s">
        <v>2573</v>
      </c>
      <c r="G85" s="3099"/>
      <c r="H85" s="3098" t="s">
        <v>2574</v>
      </c>
      <c r="I85" s="3099"/>
      <c r="J85" s="3098" t="s">
        <v>2575</v>
      </c>
      <c r="K85" s="3099"/>
      <c r="L85" s="3098" t="s">
        <v>2576</v>
      </c>
      <c r="M85" s="3100"/>
      <c r="N85" s="1501" t="s">
        <v>2520</v>
      </c>
      <c r="O85" s="3090" t="s">
        <v>2492</v>
      </c>
      <c r="P85" s="3092" t="s">
        <v>2493</v>
      </c>
      <c r="Q85" s="3094" t="s">
        <v>2494</v>
      </c>
      <c r="R85" s="1508" t="s">
        <v>2577</v>
      </c>
      <c r="S85" s="1508"/>
      <c r="T85" s="1508" t="s">
        <v>2578</v>
      </c>
      <c r="U85" s="1508"/>
      <c r="V85" s="1508" t="s">
        <v>2579</v>
      </c>
      <c r="W85" s="1499"/>
      <c r="X85" s="1508" t="s">
        <v>2580</v>
      </c>
      <c r="Y85" s="1502"/>
    </row>
    <row r="86" spans="1:25">
      <c r="A86" s="3091"/>
      <c r="B86" s="3093"/>
      <c r="C86" s="3095"/>
      <c r="D86" s="1464" t="s">
        <v>964</v>
      </c>
      <c r="E86" s="1464" t="s">
        <v>2500</v>
      </c>
      <c r="F86" s="1464" t="s">
        <v>964</v>
      </c>
      <c r="G86" s="1464" t="s">
        <v>2500</v>
      </c>
      <c r="H86" s="1464" t="s">
        <v>964</v>
      </c>
      <c r="I86" s="1464" t="s">
        <v>2500</v>
      </c>
      <c r="J86" s="1464" t="s">
        <v>964</v>
      </c>
      <c r="K86" s="1464" t="s">
        <v>2500</v>
      </c>
      <c r="L86" s="1464" t="s">
        <v>964</v>
      </c>
      <c r="M86" s="1465" t="s">
        <v>2500</v>
      </c>
      <c r="N86" s="1487"/>
      <c r="O86" s="3091"/>
      <c r="P86" s="3093"/>
      <c r="Q86" s="3095"/>
      <c r="R86" s="1464" t="s">
        <v>964</v>
      </c>
      <c r="S86" s="1464" t="s">
        <v>2500</v>
      </c>
      <c r="T86" s="1464" t="s">
        <v>964</v>
      </c>
      <c r="U86" s="1464" t="s">
        <v>2500</v>
      </c>
      <c r="V86" s="1464" t="s">
        <v>964</v>
      </c>
      <c r="W86" s="1464" t="s">
        <v>2500</v>
      </c>
      <c r="X86" s="1464" t="s">
        <v>964</v>
      </c>
      <c r="Y86" s="1465" t="s">
        <v>2500</v>
      </c>
    </row>
    <row r="87" spans="1:25">
      <c r="A87" s="1466" t="s">
        <v>170</v>
      </c>
      <c r="B87" s="1464" t="s">
        <v>1034</v>
      </c>
      <c r="C87" s="1467">
        <f>MR!$I$9</f>
        <v>12.8</v>
      </c>
      <c r="D87" s="1468">
        <v>9</v>
      </c>
      <c r="E87" s="1468">
        <f>ROUND($C87*D87,2)</f>
        <v>115.2</v>
      </c>
      <c r="F87" s="1468">
        <v>6.25</v>
      </c>
      <c r="G87" s="1468">
        <f>ROUND($C87*F87,2)</f>
        <v>80</v>
      </c>
      <c r="H87" s="1468">
        <v>5.38</v>
      </c>
      <c r="I87" s="1468">
        <f>ROUND($C87*H87,2)</f>
        <v>68.86</v>
      </c>
      <c r="J87" s="1468">
        <v>9.6</v>
      </c>
      <c r="K87" s="1468">
        <f>ROUND($C87*J87,2)</f>
        <v>122.88</v>
      </c>
      <c r="L87" s="1468">
        <v>8.1</v>
      </c>
      <c r="M87" s="1469">
        <f>ROUND($C87*L87,2)</f>
        <v>103.68</v>
      </c>
      <c r="N87" s="1489"/>
      <c r="O87" s="1466" t="s">
        <v>170</v>
      </c>
      <c r="P87" s="1464" t="s">
        <v>1034</v>
      </c>
      <c r="Q87" s="1467">
        <f>ROUND(MR!$I$8/50,2)</f>
        <v>12.8</v>
      </c>
      <c r="R87" s="1468">
        <v>9</v>
      </c>
      <c r="S87" s="1468">
        <f>ROUND($Q87*R87,2)</f>
        <v>115.2</v>
      </c>
      <c r="T87" s="1468">
        <v>6.25</v>
      </c>
      <c r="U87" s="1468">
        <f>ROUND($Q87*T87,2)</f>
        <v>80</v>
      </c>
      <c r="V87" s="1468">
        <v>9.6</v>
      </c>
      <c r="W87" s="1468">
        <f>ROUND($Q87*V87,2)</f>
        <v>122.88</v>
      </c>
      <c r="X87" s="1468">
        <v>5.7</v>
      </c>
      <c r="Y87" s="1469">
        <f>ROUND($Q87*X87,2)</f>
        <v>72.959999999999994</v>
      </c>
    </row>
    <row r="88" spans="1:25" ht="13.5">
      <c r="A88" s="1466" t="s">
        <v>168</v>
      </c>
      <c r="B88" s="1464" t="s">
        <v>1426</v>
      </c>
      <c r="C88" s="1467">
        <f>'Rate-1'!$I$53</f>
        <v>3387.6049919999991</v>
      </c>
      <c r="D88" s="1472">
        <v>1.2200000000000001E-2</v>
      </c>
      <c r="E88" s="1468">
        <f>ROUND($C88*D88,2)</f>
        <v>41.33</v>
      </c>
      <c r="F88" s="1472">
        <v>1.2800000000000001E-2</v>
      </c>
      <c r="G88" s="1468">
        <f>ROUND($C88*F88,2)</f>
        <v>43.36</v>
      </c>
      <c r="H88" s="1472">
        <v>1.46E-2</v>
      </c>
      <c r="I88" s="1468">
        <f>ROUND($C88*H88,2)</f>
        <v>49.46</v>
      </c>
      <c r="J88" s="1472">
        <v>1.95E-2</v>
      </c>
      <c r="K88" s="1468">
        <f>ROUND($C88*J88,2)</f>
        <v>66.06</v>
      </c>
      <c r="L88" s="1472">
        <v>2.1999999999999999E-2</v>
      </c>
      <c r="M88" s="1469">
        <f>ROUND($C88*L88,2)</f>
        <v>74.53</v>
      </c>
      <c r="N88" s="1489"/>
      <c r="O88" s="1466" t="s">
        <v>168</v>
      </c>
      <c r="P88" s="1464" t="s">
        <v>1426</v>
      </c>
      <c r="Q88" s="1467">
        <f>'Rate-1'!$I$53</f>
        <v>3387.6049919999991</v>
      </c>
      <c r="R88" s="1472">
        <v>1.2200000000000001E-2</v>
      </c>
      <c r="S88" s="1468">
        <f t="shared" ref="S88:U91" si="7">ROUND($Q88*R88,2)</f>
        <v>41.33</v>
      </c>
      <c r="T88" s="1472">
        <v>1.2800000000000001E-2</v>
      </c>
      <c r="U88" s="1468">
        <f t="shared" si="7"/>
        <v>43.36</v>
      </c>
      <c r="V88" s="1472">
        <v>1.95E-2</v>
      </c>
      <c r="W88" s="1468">
        <f>ROUND($Q88*V88,2)</f>
        <v>66.06</v>
      </c>
      <c r="X88" s="1472">
        <v>2.35E-2</v>
      </c>
      <c r="Y88" s="1469">
        <f>ROUND($Q88*X88,2)</f>
        <v>79.61</v>
      </c>
    </row>
    <row r="89" spans="1:25">
      <c r="A89" s="1466" t="s">
        <v>2581</v>
      </c>
      <c r="B89" s="1464" t="s">
        <v>1034</v>
      </c>
      <c r="C89" s="1467">
        <f>MR!I26</f>
        <v>117</v>
      </c>
      <c r="D89" s="1472"/>
      <c r="E89" s="1468"/>
      <c r="F89" s="1472"/>
      <c r="G89" s="1468"/>
      <c r="H89" s="1472"/>
      <c r="I89" s="1468"/>
      <c r="J89" s="1472"/>
      <c r="K89" s="1468"/>
      <c r="L89" s="1472"/>
      <c r="M89" s="1469"/>
      <c r="N89" s="1489"/>
      <c r="O89" s="1466" t="s">
        <v>2581</v>
      </c>
      <c r="P89" s="1464" t="s">
        <v>1034</v>
      </c>
      <c r="Q89" s="1467">
        <f>MR!I26</f>
        <v>117</v>
      </c>
      <c r="R89" s="1472">
        <f>ROUND(0.02*R87,2)</f>
        <v>0.18</v>
      </c>
      <c r="S89" s="1468">
        <f t="shared" si="7"/>
        <v>21.06</v>
      </c>
      <c r="T89" s="1472">
        <f>ROUND(0.02*T87,2)</f>
        <v>0.13</v>
      </c>
      <c r="U89" s="1468">
        <f t="shared" si="7"/>
        <v>15.21</v>
      </c>
      <c r="V89" s="1472">
        <f>ROUND(0.02*V87,2)</f>
        <v>0.19</v>
      </c>
      <c r="W89" s="1468">
        <f>ROUND($Q89*V89,2)</f>
        <v>22.23</v>
      </c>
      <c r="X89" s="1472"/>
      <c r="Y89" s="1469">
        <f>ROUND($Q89*X89,2)</f>
        <v>0</v>
      </c>
    </row>
    <row r="90" spans="1:25">
      <c r="A90" s="1466" t="s">
        <v>2582</v>
      </c>
      <c r="B90" s="1464" t="s">
        <v>973</v>
      </c>
      <c r="C90" s="1467">
        <f>'Rate-1'!$I$38</f>
        <v>1225</v>
      </c>
      <c r="D90" s="1472">
        <v>0.12</v>
      </c>
      <c r="E90" s="1468">
        <f>ROUND($C90*D90,2)</f>
        <v>147</v>
      </c>
      <c r="F90" s="1472">
        <v>0.12</v>
      </c>
      <c r="G90" s="1468">
        <f>ROUND($C90*F90,2)</f>
        <v>147</v>
      </c>
      <c r="H90" s="1472">
        <v>0.12</v>
      </c>
      <c r="I90" s="1468">
        <f>ROUND($C90*H90,2)</f>
        <v>147</v>
      </c>
      <c r="J90" s="1472">
        <v>0.14000000000000001</v>
      </c>
      <c r="K90" s="1468">
        <f>ROUND($C90*J90,2)</f>
        <v>171.5</v>
      </c>
      <c r="L90" s="1472">
        <v>0.14000000000000001</v>
      </c>
      <c r="M90" s="1469">
        <f>ROUND($C90*L90,2)</f>
        <v>171.5</v>
      </c>
      <c r="N90" s="1489"/>
      <c r="O90" s="1466" t="s">
        <v>2582</v>
      </c>
      <c r="P90" s="1464" t="s">
        <v>973</v>
      </c>
      <c r="Q90" s="1467">
        <f>'Rate-1'!$I$38</f>
        <v>1225</v>
      </c>
      <c r="R90" s="1472">
        <v>0.12</v>
      </c>
      <c r="S90" s="1468">
        <f t="shared" si="7"/>
        <v>147</v>
      </c>
      <c r="T90" s="1472">
        <v>0.12</v>
      </c>
      <c r="U90" s="1468">
        <f t="shared" si="7"/>
        <v>147</v>
      </c>
      <c r="V90" s="1472">
        <v>0.14000000000000001</v>
      </c>
      <c r="W90" s="1468">
        <f>ROUND($Q90*V90,2)</f>
        <v>171.5</v>
      </c>
      <c r="X90" s="1472">
        <v>0.14000000000000001</v>
      </c>
      <c r="Y90" s="1469">
        <f>ROUND($Q90*X90,2)</f>
        <v>171.5</v>
      </c>
    </row>
    <row r="91" spans="1:25">
      <c r="A91" s="1466" t="s">
        <v>2501</v>
      </c>
      <c r="B91" s="1464" t="s">
        <v>973</v>
      </c>
      <c r="C91" s="1467">
        <f>'Rate-1'!$I$39</f>
        <v>920</v>
      </c>
      <c r="D91" s="1472">
        <v>0.16</v>
      </c>
      <c r="E91" s="1468">
        <f>ROUND($C91*D91,2)</f>
        <v>147.19999999999999</v>
      </c>
      <c r="F91" s="1472">
        <v>0.16</v>
      </c>
      <c r="G91" s="1468">
        <f>ROUND($C91*F91,2)</f>
        <v>147.19999999999999</v>
      </c>
      <c r="H91" s="1472">
        <v>0.16</v>
      </c>
      <c r="I91" s="1468">
        <f>ROUND($C91*H91,2)</f>
        <v>147.19999999999999</v>
      </c>
      <c r="J91" s="1472">
        <v>0.19</v>
      </c>
      <c r="K91" s="1468">
        <f>ROUND($C91*J91,2)</f>
        <v>174.8</v>
      </c>
      <c r="L91" s="1472">
        <v>0.19</v>
      </c>
      <c r="M91" s="1469">
        <f>ROUND($C91*L91,2)</f>
        <v>174.8</v>
      </c>
      <c r="N91" s="1489"/>
      <c r="O91" s="1466" t="s">
        <v>2501</v>
      </c>
      <c r="P91" s="1464" t="s">
        <v>973</v>
      </c>
      <c r="Q91" s="1467">
        <f>'Rate-1'!$I$39</f>
        <v>920</v>
      </c>
      <c r="R91" s="1472">
        <v>0.16</v>
      </c>
      <c r="S91" s="1468">
        <f t="shared" si="7"/>
        <v>147.19999999999999</v>
      </c>
      <c r="T91" s="1472">
        <v>0.16</v>
      </c>
      <c r="U91" s="1468">
        <f t="shared" si="7"/>
        <v>147.19999999999999</v>
      </c>
      <c r="V91" s="1472">
        <v>0.19</v>
      </c>
      <c r="W91" s="1468">
        <f>ROUND($Q91*V91,2)</f>
        <v>174.8</v>
      </c>
      <c r="X91" s="1472">
        <v>0.19</v>
      </c>
      <c r="Y91" s="1469">
        <f>ROUND($Q91*X91,2)</f>
        <v>174.8</v>
      </c>
    </row>
    <row r="92" spans="1:25">
      <c r="A92" s="1471" t="s">
        <v>1403</v>
      </c>
      <c r="B92" s="1472"/>
      <c r="C92" s="1467"/>
      <c r="D92" s="1468"/>
      <c r="E92" s="1490">
        <f>SUM(E87:E91)</f>
        <v>450.72999999999996</v>
      </c>
      <c r="F92" s="1491"/>
      <c r="G92" s="1490">
        <f>SUM(G87:G91)</f>
        <v>417.56</v>
      </c>
      <c r="H92" s="1490"/>
      <c r="I92" s="1490">
        <f>SUM(I87:I91)</f>
        <v>412.52</v>
      </c>
      <c r="J92" s="1490"/>
      <c r="K92" s="1490">
        <f>SUM(K87:K91)</f>
        <v>535.24</v>
      </c>
      <c r="L92" s="1491"/>
      <c r="M92" s="1479">
        <f>SUM(M87:M91)</f>
        <v>524.51</v>
      </c>
      <c r="N92" s="1489"/>
      <c r="O92" s="1471" t="s">
        <v>1403</v>
      </c>
      <c r="P92" s="1472"/>
      <c r="Q92" s="1464"/>
      <c r="R92" s="1464"/>
      <c r="S92" s="1468">
        <f>SUM(S87:S91)</f>
        <v>471.79</v>
      </c>
      <c r="T92" s="1472"/>
      <c r="U92" s="1468">
        <f>SUM(U87:U91)</f>
        <v>432.77</v>
      </c>
      <c r="V92" s="1472"/>
      <c r="W92" s="1468">
        <f>SUM(W87:W91)</f>
        <v>557.47</v>
      </c>
      <c r="X92" s="1472"/>
      <c r="Y92" s="1469">
        <f>SUM(Y87:Y91)</f>
        <v>498.87</v>
      </c>
    </row>
    <row r="93" spans="1:25">
      <c r="A93" s="1466" t="s">
        <v>2504</v>
      </c>
      <c r="B93" s="1464" t="s">
        <v>546</v>
      </c>
      <c r="C93" s="1470">
        <v>0.15</v>
      </c>
      <c r="D93" s="1470"/>
      <c r="E93" s="1490">
        <f>ROUND($C93*E92,2)</f>
        <v>67.61</v>
      </c>
      <c r="F93" s="1490"/>
      <c r="G93" s="1490">
        <f>ROUND($C93*G92,2)</f>
        <v>62.63</v>
      </c>
      <c r="H93" s="1490"/>
      <c r="I93" s="1490">
        <f>ROUND($C93*I92,2)</f>
        <v>61.88</v>
      </c>
      <c r="J93" s="1490"/>
      <c r="K93" s="1490">
        <f>ROUND($C93*K92,2)</f>
        <v>80.290000000000006</v>
      </c>
      <c r="L93" s="1490"/>
      <c r="M93" s="1479">
        <f>ROUND($C93*M92,2)</f>
        <v>78.680000000000007</v>
      </c>
      <c r="N93" s="1489"/>
      <c r="O93" s="1466" t="s">
        <v>2504</v>
      </c>
      <c r="P93" s="1464" t="s">
        <v>546</v>
      </c>
      <c r="Q93" s="1470">
        <v>0.15</v>
      </c>
      <c r="R93" s="1472"/>
      <c r="S93" s="1468">
        <f>ROUND($Q93*S92,2)</f>
        <v>70.77</v>
      </c>
      <c r="T93" s="1472"/>
      <c r="U93" s="1468">
        <f>ROUND($Q93*U92,2)</f>
        <v>64.92</v>
      </c>
      <c r="V93" s="1472"/>
      <c r="W93" s="1468">
        <f>ROUND($Q93*W92,2)</f>
        <v>83.62</v>
      </c>
      <c r="X93" s="1472"/>
      <c r="Y93" s="1468">
        <f>ROUND($Q93*Y92,2)</f>
        <v>74.83</v>
      </c>
    </row>
    <row r="94" spans="1:25">
      <c r="A94" s="1473" t="s">
        <v>2568</v>
      </c>
      <c r="B94" s="1474"/>
      <c r="C94" s="1474"/>
      <c r="D94" s="1474"/>
      <c r="E94" s="1493">
        <f>SUM(E92:E93)</f>
        <v>518.33999999999992</v>
      </c>
      <c r="F94" s="1493"/>
      <c r="G94" s="1493">
        <f>SUM(G92:G93)</f>
        <v>480.19</v>
      </c>
      <c r="H94" s="1493"/>
      <c r="I94" s="1493">
        <f>SUM(I92:I93)</f>
        <v>474.4</v>
      </c>
      <c r="J94" s="1493"/>
      <c r="K94" s="1493">
        <f>SUM(K92:K93)</f>
        <v>615.53</v>
      </c>
      <c r="L94" s="1493"/>
      <c r="M94" s="1494">
        <f>SUM(M92:M93)</f>
        <v>603.19000000000005</v>
      </c>
      <c r="N94" s="1495"/>
      <c r="O94" s="1473" t="s">
        <v>2568</v>
      </c>
      <c r="P94" s="1474"/>
      <c r="Q94" s="1475"/>
      <c r="R94" s="1474"/>
      <c r="S94" s="1474">
        <f>SUM(S92:S93)</f>
        <v>542.56000000000006</v>
      </c>
      <c r="T94" s="1474"/>
      <c r="U94" s="1474">
        <f>SUM(U92:U93)</f>
        <v>497.69</v>
      </c>
      <c r="V94" s="1474"/>
      <c r="W94" s="1474">
        <f>SUM(W92:W93)</f>
        <v>641.09</v>
      </c>
      <c r="X94" s="1474"/>
      <c r="Y94" s="1478">
        <f>SUM(Y92:Y93)</f>
        <v>573.70000000000005</v>
      </c>
    </row>
    <row r="95" spans="1:25" ht="14.25">
      <c r="A95" s="1462" t="s">
        <v>2583</v>
      </c>
    </row>
    <row r="96" spans="1:25" ht="70.5" customHeight="1">
      <c r="A96" s="3090" t="s">
        <v>2492</v>
      </c>
      <c r="B96" s="3092" t="s">
        <v>2493</v>
      </c>
      <c r="C96" s="3094" t="s">
        <v>2494</v>
      </c>
      <c r="D96" s="3098" t="s">
        <v>2584</v>
      </c>
      <c r="E96" s="3099"/>
      <c r="F96" s="3098" t="s">
        <v>2585</v>
      </c>
      <c r="G96" s="3099"/>
      <c r="H96" s="3098" t="s">
        <v>2586</v>
      </c>
      <c r="I96" s="3099"/>
      <c r="J96" s="3098" t="s">
        <v>2587</v>
      </c>
      <c r="K96" s="3099"/>
      <c r="L96" s="3098" t="s">
        <v>2588</v>
      </c>
      <c r="M96" s="3100"/>
      <c r="N96" s="1497" t="s">
        <v>2520</v>
      </c>
      <c r="O96" s="1497"/>
      <c r="P96" s="1497"/>
    </row>
    <row r="97" spans="1:16">
      <c r="A97" s="3091"/>
      <c r="B97" s="3093"/>
      <c r="C97" s="3095"/>
      <c r="D97" s="1464" t="s">
        <v>964</v>
      </c>
      <c r="E97" s="1464" t="s">
        <v>2500</v>
      </c>
      <c r="F97" s="1464" t="s">
        <v>964</v>
      </c>
      <c r="G97" s="1464" t="s">
        <v>2500</v>
      </c>
      <c r="H97" s="1464" t="s">
        <v>964</v>
      </c>
      <c r="I97" s="1464" t="s">
        <v>2500</v>
      </c>
      <c r="J97" s="1464" t="s">
        <v>964</v>
      </c>
      <c r="K97" s="1464" t="s">
        <v>2500</v>
      </c>
      <c r="L97" s="1464" t="s">
        <v>964</v>
      </c>
      <c r="M97" s="1465" t="s">
        <v>2500</v>
      </c>
      <c r="N97" s="1487"/>
      <c r="O97" s="1487"/>
      <c r="P97" s="1487"/>
    </row>
    <row r="98" spans="1:16">
      <c r="A98" s="1466" t="s">
        <v>170</v>
      </c>
      <c r="B98" s="1464" t="s">
        <v>1034</v>
      </c>
      <c r="C98" s="1467">
        <f>MR!$I$9</f>
        <v>12.8</v>
      </c>
      <c r="D98" s="1468">
        <v>3.36</v>
      </c>
      <c r="E98" s="1468">
        <f>ROUND($C98*D98,2)</f>
        <v>43.01</v>
      </c>
      <c r="F98" s="1468">
        <v>3.06</v>
      </c>
      <c r="G98" s="1468">
        <f>ROUND($C98*F98,2)</f>
        <v>39.17</v>
      </c>
      <c r="H98" s="1468"/>
      <c r="I98" s="1472"/>
      <c r="J98" s="1468"/>
      <c r="K98" s="1472"/>
      <c r="L98" s="1468"/>
      <c r="M98" s="1492"/>
    </row>
    <row r="99" spans="1:16" ht="13.5">
      <c r="A99" s="1466" t="s">
        <v>168</v>
      </c>
      <c r="B99" s="1464" t="s">
        <v>1426</v>
      </c>
      <c r="C99" s="1467">
        <f>'Rate-1'!$I$53</f>
        <v>3387.6049919999991</v>
      </c>
      <c r="D99" s="1472">
        <v>2.3E-3</v>
      </c>
      <c r="E99" s="1468">
        <f>ROUND($C99*D99,2)</f>
        <v>7.79</v>
      </c>
      <c r="F99" s="1472">
        <v>6.3E-3</v>
      </c>
      <c r="G99" s="1468">
        <f>ROUND($C99*F99,2)</f>
        <v>21.34</v>
      </c>
      <c r="H99" s="1472"/>
      <c r="I99" s="1468"/>
      <c r="J99" s="1472"/>
      <c r="K99" s="1468"/>
      <c r="L99" s="1472"/>
      <c r="M99" s="1469"/>
      <c r="N99" s="1489"/>
      <c r="O99" s="1489"/>
      <c r="P99" s="1489"/>
    </row>
    <row r="100" spans="1:16">
      <c r="A100" s="1466" t="s">
        <v>2589</v>
      </c>
      <c r="B100" s="1464" t="s">
        <v>965</v>
      </c>
      <c r="C100" s="1467">
        <f>MR!I18</f>
        <v>19.55</v>
      </c>
      <c r="D100" s="1472" t="s">
        <v>2555</v>
      </c>
      <c r="E100" s="1468"/>
      <c r="F100" s="1472"/>
      <c r="G100" s="1468"/>
      <c r="H100" s="1472">
        <v>1.1000000000000001</v>
      </c>
      <c r="I100" s="1468">
        <f>ROUND($C100*H100,2)</f>
        <v>21.51</v>
      </c>
      <c r="J100" s="1472">
        <f>ROUND(250/30,3)</f>
        <v>8.3330000000000002</v>
      </c>
      <c r="K100" s="1468">
        <f>ROUND($C100*J100,2)</f>
        <v>162.91</v>
      </c>
      <c r="L100" s="1472"/>
      <c r="M100" s="1469"/>
      <c r="N100" s="1489"/>
      <c r="O100" s="1489"/>
      <c r="P100" s="1489"/>
    </row>
    <row r="101" spans="1:16" ht="13.5">
      <c r="A101" s="1466" t="s">
        <v>2590</v>
      </c>
      <c r="B101" s="1464" t="s">
        <v>1426</v>
      </c>
      <c r="C101" s="1467">
        <f>'Rate-1'!I99</f>
        <v>57400</v>
      </c>
      <c r="D101" s="1472"/>
      <c r="E101" s="1468"/>
      <c r="F101" s="1472"/>
      <c r="G101" s="1468"/>
      <c r="H101" s="1472"/>
      <c r="I101" s="1468"/>
      <c r="J101" s="1472">
        <f>ROUND(0.19/30,3)</f>
        <v>6.0000000000000001E-3</v>
      </c>
      <c r="K101" s="1468">
        <f>ROUND($C101*J101,2)</f>
        <v>344.4</v>
      </c>
      <c r="L101" s="1472"/>
      <c r="M101" s="1469"/>
      <c r="N101" s="1489"/>
      <c r="O101" s="1489"/>
      <c r="P101" s="1489"/>
    </row>
    <row r="102" spans="1:16" ht="13.5">
      <c r="A102" s="1466" t="s">
        <v>2591</v>
      </c>
      <c r="B102" s="1464" t="s">
        <v>1566</v>
      </c>
      <c r="C102" s="1467">
        <f>MR!I20</f>
        <v>470.62857142857143</v>
      </c>
      <c r="D102" s="1464" t="s">
        <v>1627</v>
      </c>
      <c r="E102" s="1468"/>
      <c r="F102" s="1472"/>
      <c r="G102" s="1468"/>
      <c r="H102" s="1472"/>
      <c r="I102" s="1468"/>
      <c r="J102" s="1472"/>
      <c r="K102" s="1468"/>
      <c r="L102" s="1468">
        <v>1.2</v>
      </c>
      <c r="M102" s="1469">
        <f>ROUND($C102*L102,2)</f>
        <v>564.75</v>
      </c>
      <c r="N102" s="1489"/>
      <c r="O102" s="1489"/>
      <c r="P102" s="1489"/>
    </row>
    <row r="103" spans="1:16">
      <c r="A103" s="1466" t="s">
        <v>2592</v>
      </c>
      <c r="B103" s="1464" t="s">
        <v>973</v>
      </c>
      <c r="C103" s="1467">
        <f>MR!I35</f>
        <v>12.18</v>
      </c>
      <c r="D103" s="1472" t="s">
        <v>2555</v>
      </c>
      <c r="E103" s="1468"/>
      <c r="F103" s="1472"/>
      <c r="G103" s="1468"/>
      <c r="H103" s="1472"/>
      <c r="I103" s="1468"/>
      <c r="J103" s="1472"/>
      <c r="K103" s="1468"/>
      <c r="L103" s="1468">
        <v>3</v>
      </c>
      <c r="M103" s="1469">
        <f>ROUND($C103*L103,2)</f>
        <v>36.54</v>
      </c>
      <c r="N103" s="1489"/>
      <c r="O103" s="1489"/>
      <c r="P103" s="1489"/>
    </row>
    <row r="104" spans="1:16">
      <c r="A104" s="1466" t="s">
        <v>2593</v>
      </c>
      <c r="B104" s="1464" t="s">
        <v>973</v>
      </c>
      <c r="C104" s="1467">
        <f>MR!I36</f>
        <v>14.6</v>
      </c>
      <c r="D104" s="1464" t="s">
        <v>1627</v>
      </c>
      <c r="E104" s="1468"/>
      <c r="F104" s="1472"/>
      <c r="G104" s="1468"/>
      <c r="H104" s="1472"/>
      <c r="I104" s="1468"/>
      <c r="J104" s="1472"/>
      <c r="K104" s="1468"/>
      <c r="L104" s="1468">
        <v>2.5</v>
      </c>
      <c r="M104" s="1469">
        <f>ROUND($C104*L104,2)</f>
        <v>36.5</v>
      </c>
      <c r="N104" s="1489"/>
      <c r="O104" s="1489"/>
      <c r="P104" s="1489"/>
    </row>
    <row r="105" spans="1:16">
      <c r="A105" s="1466" t="s">
        <v>2594</v>
      </c>
      <c r="B105" s="1464" t="s">
        <v>973</v>
      </c>
      <c r="C105" s="1467">
        <v>2</v>
      </c>
      <c r="D105" s="1464"/>
      <c r="E105" s="1468"/>
      <c r="F105" s="1472"/>
      <c r="G105" s="1468"/>
      <c r="H105" s="1464" t="s">
        <v>2595</v>
      </c>
      <c r="I105" s="1468">
        <f>I100*0.1</f>
        <v>2.1510000000000002</v>
      </c>
      <c r="J105" s="1472">
        <f>ROUND(77/30,3)</f>
        <v>2.5670000000000002</v>
      </c>
      <c r="K105" s="1468">
        <f>ROUND($C105*J105,2)</f>
        <v>5.13</v>
      </c>
      <c r="L105" s="1468"/>
      <c r="M105" s="1469"/>
      <c r="N105" s="1489"/>
      <c r="O105" s="1489"/>
      <c r="P105" s="1489"/>
    </row>
    <row r="106" spans="1:16">
      <c r="A106" s="1466" t="s">
        <v>2596</v>
      </c>
      <c r="B106" s="1464" t="s">
        <v>973</v>
      </c>
      <c r="C106" s="1467">
        <f>'Rate-1'!$I$38</f>
        <v>1225</v>
      </c>
      <c r="D106" s="1485">
        <v>0.1</v>
      </c>
      <c r="E106" s="1468">
        <f>ROUND($C106*D106,2)</f>
        <v>122.5</v>
      </c>
      <c r="F106" s="1472">
        <v>0.1</v>
      </c>
      <c r="G106" s="1468">
        <f>ROUND($C106*F106,2)</f>
        <v>122.5</v>
      </c>
      <c r="H106" s="1472">
        <v>1.076E-2</v>
      </c>
      <c r="I106" s="1468">
        <f>ROUND($C106*H106,2)</f>
        <v>13.18</v>
      </c>
      <c r="J106" s="1472">
        <f>ROUND(1/30,3)</f>
        <v>3.3000000000000002E-2</v>
      </c>
      <c r="K106" s="1468">
        <f>ROUND($C106*J106,2)</f>
        <v>40.43</v>
      </c>
      <c r="L106" s="1472">
        <v>0.11</v>
      </c>
      <c r="M106" s="1469">
        <f>ROUND($C106*L106,2)</f>
        <v>134.75</v>
      </c>
      <c r="N106" s="1489"/>
      <c r="O106" s="1489"/>
      <c r="P106" s="1489"/>
    </row>
    <row r="107" spans="1:16">
      <c r="A107" s="1466" t="s">
        <v>2597</v>
      </c>
      <c r="B107" s="1464" t="s">
        <v>973</v>
      </c>
      <c r="C107" s="1467">
        <f>'Rate-1'!$I$39</f>
        <v>920</v>
      </c>
      <c r="D107" s="1485">
        <v>0.1</v>
      </c>
      <c r="E107" s="1468">
        <f>ROUND($C107*D107,2)</f>
        <v>92</v>
      </c>
      <c r="F107" s="1472">
        <v>0.14000000000000001</v>
      </c>
      <c r="G107" s="1468">
        <f>ROUND($C107*F107,2)</f>
        <v>128.80000000000001</v>
      </c>
      <c r="H107" s="1472">
        <v>5.3800000000000001E-2</v>
      </c>
      <c r="I107" s="1468">
        <f>ROUND($C107*H107,2)</f>
        <v>49.5</v>
      </c>
      <c r="J107" s="1472">
        <f>ROUND(2/30,3)</f>
        <v>6.7000000000000004E-2</v>
      </c>
      <c r="K107" s="1468">
        <f>ROUND($C107*J107,2)</f>
        <v>61.64</v>
      </c>
      <c r="L107" s="1472">
        <v>0.125</v>
      </c>
      <c r="M107" s="1469">
        <f>ROUND($C107*L107,2)</f>
        <v>115</v>
      </c>
      <c r="N107" s="1489"/>
      <c r="O107" s="1489"/>
      <c r="P107" s="1489"/>
    </row>
    <row r="108" spans="1:16">
      <c r="A108" s="1471" t="s">
        <v>1403</v>
      </c>
      <c r="B108" s="1472"/>
      <c r="C108" s="1464"/>
      <c r="D108" s="1472"/>
      <c r="E108" s="1490">
        <f>SUM(E98:E107)</f>
        <v>265.3</v>
      </c>
      <c r="F108" s="1491"/>
      <c r="G108" s="1490">
        <f>SUM(G98:G107)</f>
        <v>311.81</v>
      </c>
      <c r="H108" s="1490"/>
      <c r="I108" s="1490">
        <f>SUM(I98:I107)</f>
        <v>86.341000000000008</v>
      </c>
      <c r="J108" s="1490"/>
      <c r="K108" s="1490">
        <f>SUM(K98:K107)</f>
        <v>614.50999999999988</v>
      </c>
      <c r="L108" s="1491"/>
      <c r="M108" s="1479">
        <f>SUM(M98:M107)</f>
        <v>887.54</v>
      </c>
    </row>
    <row r="109" spans="1:16">
      <c r="A109" s="1466" t="s">
        <v>2504</v>
      </c>
      <c r="B109" s="1464" t="s">
        <v>546</v>
      </c>
      <c r="C109" s="1470">
        <v>0.15</v>
      </c>
      <c r="D109" s="1470"/>
      <c r="E109" s="1490">
        <f>ROUND($C109*E108,2)</f>
        <v>39.799999999999997</v>
      </c>
      <c r="F109" s="1490"/>
      <c r="G109" s="1490">
        <f>ROUND($C109*G108,2)</f>
        <v>46.77</v>
      </c>
      <c r="H109" s="1490"/>
      <c r="I109" s="1490">
        <f>ROUND($C109*I108,2)</f>
        <v>12.95</v>
      </c>
      <c r="J109" s="1490"/>
      <c r="K109" s="1490">
        <f>ROUND($C109*K108,2)</f>
        <v>92.18</v>
      </c>
      <c r="L109" s="1490"/>
      <c r="M109" s="1479">
        <f>ROUND($C109*M108,2)</f>
        <v>133.13</v>
      </c>
      <c r="N109" s="1489"/>
      <c r="O109" s="1489"/>
      <c r="P109" s="1489"/>
    </row>
    <row r="110" spans="1:16">
      <c r="A110" s="1473" t="s">
        <v>2569</v>
      </c>
      <c r="B110" s="1474"/>
      <c r="C110" s="1474"/>
      <c r="D110" s="1474"/>
      <c r="E110" s="1493">
        <f>SUM(E108:E109)</f>
        <v>305.10000000000002</v>
      </c>
      <c r="F110" s="1493"/>
      <c r="G110" s="1493">
        <f>SUM(G108:G109)</f>
        <v>358.58</v>
      </c>
      <c r="H110" s="1493"/>
      <c r="I110" s="1493">
        <f>SUM(I108:I109)</f>
        <v>99.291000000000011</v>
      </c>
      <c r="J110" s="1493"/>
      <c r="K110" s="1493">
        <f>SUM(K108:K109)</f>
        <v>706.68999999999983</v>
      </c>
      <c r="L110" s="1493"/>
      <c r="M110" s="1494">
        <f>SUM(M108:M109)</f>
        <v>1020.67</v>
      </c>
      <c r="N110" s="1495"/>
      <c r="O110" s="1495"/>
      <c r="P110" s="1495"/>
    </row>
    <row r="111" spans="1:16">
      <c r="A111" s="1495"/>
      <c r="B111" s="1495"/>
      <c r="C111" s="1495"/>
      <c r="D111" s="1495"/>
      <c r="E111" s="1495"/>
      <c r="F111" s="1495"/>
      <c r="G111" s="1495"/>
      <c r="H111" s="1495"/>
      <c r="I111" s="1495"/>
      <c r="J111" s="1495"/>
      <c r="K111" s="1495"/>
      <c r="L111" s="1495"/>
      <c r="M111" s="1495"/>
      <c r="N111" s="1495"/>
      <c r="O111" s="1495"/>
      <c r="P111" s="1495"/>
    </row>
    <row r="112" spans="1:16" ht="14.25">
      <c r="A112" s="1462" t="s">
        <v>2598</v>
      </c>
    </row>
    <row r="113" spans="1:16" ht="115.5" customHeight="1">
      <c r="A113" s="3090" t="s">
        <v>2492</v>
      </c>
      <c r="B113" s="3092" t="s">
        <v>2493</v>
      </c>
      <c r="C113" s="3094" t="s">
        <v>2494</v>
      </c>
      <c r="D113" s="1509" t="s">
        <v>2599</v>
      </c>
      <c r="E113" s="1509"/>
      <c r="F113" s="1509" t="s">
        <v>2600</v>
      </c>
      <c r="G113" s="1509"/>
      <c r="H113" s="1509" t="s">
        <v>2601</v>
      </c>
      <c r="I113" s="1510"/>
      <c r="J113" s="3106" t="s">
        <v>2602</v>
      </c>
      <c r="K113" s="3107"/>
      <c r="L113" s="1509" t="s">
        <v>2603</v>
      </c>
      <c r="M113" s="1511"/>
      <c r="N113" s="1501" t="s">
        <v>2520</v>
      </c>
      <c r="O113" s="1501"/>
      <c r="P113" s="1501"/>
    </row>
    <row r="114" spans="1:16">
      <c r="A114" s="3091"/>
      <c r="B114" s="3093"/>
      <c r="C114" s="3095"/>
      <c r="D114" s="1464" t="s">
        <v>964</v>
      </c>
      <c r="E114" s="1464" t="s">
        <v>2500</v>
      </c>
      <c r="F114" s="1464" t="s">
        <v>964</v>
      </c>
      <c r="G114" s="1464" t="s">
        <v>2500</v>
      </c>
      <c r="H114" s="1464" t="s">
        <v>964</v>
      </c>
      <c r="I114" s="1464" t="s">
        <v>2500</v>
      </c>
      <c r="J114" s="1464" t="s">
        <v>964</v>
      </c>
      <c r="K114" s="1464" t="s">
        <v>2500</v>
      </c>
      <c r="L114" s="1464" t="s">
        <v>964</v>
      </c>
      <c r="M114" s="1465" t="s">
        <v>2500</v>
      </c>
      <c r="N114" s="1487"/>
      <c r="O114" s="1487"/>
      <c r="P114" s="1487"/>
    </row>
    <row r="115" spans="1:16">
      <c r="A115" s="1466" t="s">
        <v>294</v>
      </c>
      <c r="B115" s="1464" t="s">
        <v>2459</v>
      </c>
      <c r="C115" s="1467">
        <f>MR!I21</f>
        <v>288</v>
      </c>
      <c r="D115" s="1512">
        <v>8.1000000000000003E-2</v>
      </c>
      <c r="E115" s="1468">
        <f>ROUND($C115*D115,2)</f>
        <v>23.33</v>
      </c>
      <c r="F115" s="1468"/>
      <c r="G115" s="1468"/>
      <c r="H115" s="1468"/>
      <c r="I115" s="1468"/>
      <c r="J115" s="1468"/>
      <c r="K115" s="1468"/>
      <c r="L115" s="1468"/>
      <c r="M115" s="1492"/>
    </row>
    <row r="116" spans="1:16">
      <c r="A116" s="1466" t="s">
        <v>2604</v>
      </c>
      <c r="B116" s="1464" t="s">
        <v>2459</v>
      </c>
      <c r="C116" s="1467">
        <f>MR!I22</f>
        <v>534</v>
      </c>
      <c r="D116" s="1472">
        <v>0.16</v>
      </c>
      <c r="E116" s="1468">
        <f>ROUND($C116*D116,2)</f>
        <v>85.44</v>
      </c>
      <c r="F116" s="1472"/>
      <c r="G116" s="1468"/>
      <c r="H116" s="1472"/>
      <c r="I116" s="1468"/>
      <c r="J116" s="1472"/>
      <c r="K116" s="1468"/>
      <c r="L116" s="1472"/>
      <c r="M116" s="1469"/>
      <c r="N116" s="1489"/>
      <c r="O116" s="1489"/>
      <c r="P116" s="1489"/>
    </row>
    <row r="117" spans="1:16">
      <c r="A117" s="1466" t="s">
        <v>312</v>
      </c>
      <c r="B117" s="1464" t="s">
        <v>2459</v>
      </c>
      <c r="C117" s="1467">
        <f>MR!I23</f>
        <v>249.73</v>
      </c>
      <c r="D117" s="1472" t="s">
        <v>2555</v>
      </c>
      <c r="E117" s="1468"/>
      <c r="F117" s="1472">
        <v>0.19</v>
      </c>
      <c r="G117" s="1468">
        <f>ROUND($C117*F117,2)</f>
        <v>47.45</v>
      </c>
      <c r="H117" s="1472"/>
      <c r="I117" s="1468"/>
      <c r="J117" s="1472"/>
      <c r="K117" s="1468"/>
      <c r="L117" s="1472"/>
      <c r="M117" s="1469"/>
      <c r="N117" s="1489"/>
      <c r="O117" s="1489"/>
      <c r="P117" s="1489"/>
    </row>
    <row r="118" spans="1:16">
      <c r="A118" s="1466" t="s">
        <v>2605</v>
      </c>
      <c r="B118" s="1464" t="s">
        <v>2459</v>
      </c>
      <c r="C118" s="1467">
        <f>MR!I24</f>
        <v>69</v>
      </c>
      <c r="D118" s="1464" t="s">
        <v>1627</v>
      </c>
      <c r="E118" s="1468"/>
      <c r="F118" s="1472"/>
      <c r="G118" s="1468"/>
      <c r="H118" s="1472">
        <v>0.5</v>
      </c>
      <c r="I118" s="1468">
        <f>ROUND($C118*H118,2)</f>
        <v>34.5</v>
      </c>
      <c r="J118" s="1472"/>
      <c r="K118" s="1468"/>
      <c r="L118" s="1472"/>
      <c r="M118" s="1469"/>
      <c r="N118" s="1489"/>
      <c r="O118" s="1489"/>
      <c r="P118" s="1489"/>
    </row>
    <row r="119" spans="1:16">
      <c r="A119" s="1466" t="s">
        <v>2606</v>
      </c>
      <c r="B119" s="1464" t="s">
        <v>1034</v>
      </c>
      <c r="C119" s="1467">
        <f>MR!I12</f>
        <v>117</v>
      </c>
      <c r="D119" s="1464"/>
      <c r="E119" s="1468"/>
      <c r="F119" s="1472"/>
      <c r="G119" s="1468"/>
      <c r="H119" s="1472"/>
      <c r="I119" s="1468"/>
      <c r="J119" s="1472">
        <v>24.15</v>
      </c>
      <c r="K119" s="1468">
        <f>ROUND($C119*J119,2)</f>
        <v>2825.55</v>
      </c>
      <c r="L119" s="1472"/>
      <c r="M119" s="1469"/>
      <c r="N119" s="1489"/>
      <c r="O119" s="1489"/>
      <c r="P119" s="1489"/>
    </row>
    <row r="120" spans="1:16">
      <c r="A120" s="1466" t="s">
        <v>2607</v>
      </c>
      <c r="B120" s="1464" t="s">
        <v>1034</v>
      </c>
      <c r="C120" s="1467">
        <f>MR!I12</f>
        <v>117</v>
      </c>
      <c r="D120" s="1464"/>
      <c r="E120" s="1468"/>
      <c r="F120" s="1472"/>
      <c r="G120" s="1468"/>
      <c r="H120" s="1472"/>
      <c r="I120" s="1468"/>
      <c r="J120" s="1472">
        <v>3.15</v>
      </c>
      <c r="K120" s="1468">
        <f>ROUND($C120*J120,2)</f>
        <v>368.55</v>
      </c>
      <c r="L120" s="1472"/>
      <c r="M120" s="1469"/>
      <c r="N120" s="1489"/>
      <c r="O120" s="1489"/>
      <c r="P120" s="1489"/>
    </row>
    <row r="121" spans="1:16">
      <c r="A121" s="1466" t="s">
        <v>2608</v>
      </c>
      <c r="B121" s="1464" t="s">
        <v>1034</v>
      </c>
      <c r="C121" s="1467">
        <f>MR!I12</f>
        <v>117</v>
      </c>
      <c r="D121" s="1464"/>
      <c r="E121" s="1468"/>
      <c r="F121" s="1472"/>
      <c r="G121" s="1468"/>
      <c r="H121" s="1472"/>
      <c r="I121" s="1468"/>
      <c r="J121" s="1472">
        <v>0.95</v>
      </c>
      <c r="K121" s="1468">
        <f>ROUND($C121*J121,2)</f>
        <v>111.15</v>
      </c>
      <c r="L121" s="1472"/>
      <c r="M121" s="1469"/>
      <c r="N121" s="1489"/>
      <c r="O121" s="1489"/>
      <c r="P121" s="1489"/>
    </row>
    <row r="122" spans="1:16">
      <c r="A122" s="1466" t="s">
        <v>2527</v>
      </c>
      <c r="B122" s="1464" t="s">
        <v>29</v>
      </c>
      <c r="C122" s="1467">
        <f>'Rate-1'!$I$61</f>
        <v>2752.4290559999995</v>
      </c>
      <c r="D122" s="1464"/>
      <c r="E122" s="1468"/>
      <c r="F122" s="1472"/>
      <c r="G122" s="1468"/>
      <c r="H122" s="1472"/>
      <c r="I122" s="1468"/>
      <c r="J122" s="1472"/>
      <c r="K122" s="1468"/>
      <c r="L122" s="1472">
        <v>1.1000000000000001</v>
      </c>
      <c r="M122" s="1469">
        <f>ROUND($C122*L122,2)</f>
        <v>3027.67</v>
      </c>
      <c r="N122" s="1489"/>
      <c r="O122" s="1489"/>
      <c r="P122" s="1489"/>
    </row>
    <row r="123" spans="1:16">
      <c r="A123" s="1466" t="s">
        <v>2596</v>
      </c>
      <c r="B123" s="1464" t="s">
        <v>973</v>
      </c>
      <c r="C123" s="1467">
        <f>'Rate-1'!$I$38</f>
        <v>1225</v>
      </c>
      <c r="D123" s="1472">
        <v>0.12</v>
      </c>
      <c r="E123" s="1468">
        <f>ROUND($C123*D123,2)</f>
        <v>147</v>
      </c>
      <c r="F123" s="1472">
        <v>0.04</v>
      </c>
      <c r="G123" s="1468">
        <f>ROUND($C123*F123,2)</f>
        <v>49</v>
      </c>
      <c r="H123" s="1472">
        <v>6.5000000000000002E-2</v>
      </c>
      <c r="I123" s="1468">
        <f>ROUND($C123*H123,2)</f>
        <v>79.63</v>
      </c>
      <c r="J123" s="1472">
        <v>0.45</v>
      </c>
      <c r="K123" s="1468">
        <f>ROUND($C123*J123,2)</f>
        <v>551.25</v>
      </c>
      <c r="L123" s="1472"/>
      <c r="M123" s="1469"/>
      <c r="N123" s="1489"/>
      <c r="O123" s="1489"/>
      <c r="P123" s="1489"/>
    </row>
    <row r="124" spans="1:16">
      <c r="A124" s="1466" t="s">
        <v>2597</v>
      </c>
      <c r="B124" s="1464" t="s">
        <v>973</v>
      </c>
      <c r="C124" s="1467">
        <f>'Rate-1'!$I$39</f>
        <v>920</v>
      </c>
      <c r="D124" s="1472">
        <v>0.08</v>
      </c>
      <c r="E124" s="1468">
        <f>ROUND($C124*D124,2)</f>
        <v>73.599999999999994</v>
      </c>
      <c r="F124" s="1472">
        <v>0.03</v>
      </c>
      <c r="G124" s="1468">
        <f>ROUND($C124*F124,2)</f>
        <v>27.6</v>
      </c>
      <c r="H124" s="1472">
        <v>6.5000000000000002E-2</v>
      </c>
      <c r="I124" s="1468">
        <f>ROUND($C124*H124,2)</f>
        <v>59.8</v>
      </c>
      <c r="J124" s="1472">
        <v>0.6</v>
      </c>
      <c r="K124" s="1468">
        <f>ROUND($C124*J124,2)</f>
        <v>552</v>
      </c>
      <c r="L124" s="1472">
        <v>0.5</v>
      </c>
      <c r="M124" s="1469">
        <f>ROUND($C124*L124,2)</f>
        <v>460</v>
      </c>
      <c r="N124" s="1489"/>
      <c r="O124" s="1489"/>
      <c r="P124" s="1489"/>
    </row>
    <row r="125" spans="1:16">
      <c r="A125" s="1471" t="s">
        <v>1403</v>
      </c>
      <c r="B125" s="1472"/>
      <c r="C125" s="1464"/>
      <c r="D125" s="1472"/>
      <c r="E125" s="1468">
        <f>SUM(E115:E124)</f>
        <v>329.37</v>
      </c>
      <c r="F125" s="1472"/>
      <c r="G125" s="1472">
        <f>SUM(G115:G124)</f>
        <v>124.05000000000001</v>
      </c>
      <c r="H125" s="1472"/>
      <c r="I125" s="1472">
        <f>SUM(I115:I124)</f>
        <v>173.93</v>
      </c>
      <c r="J125" s="1472"/>
      <c r="K125" s="1472">
        <f>SUM(K115:K124)</f>
        <v>4408.5</v>
      </c>
      <c r="L125" s="1472"/>
      <c r="M125" s="1492">
        <f>SUM(M115:M124)</f>
        <v>3487.67</v>
      </c>
    </row>
    <row r="126" spans="1:16">
      <c r="A126" s="1466" t="s">
        <v>2504</v>
      </c>
      <c r="B126" s="1464" t="s">
        <v>546</v>
      </c>
      <c r="C126" s="1470">
        <v>0.15</v>
      </c>
      <c r="D126" s="1470"/>
      <c r="E126" s="1468">
        <f>ROUND($C126*E125,2)</f>
        <v>49.41</v>
      </c>
      <c r="F126" s="1472"/>
      <c r="G126" s="1468">
        <f>ROUND($C126*G125,2)</f>
        <v>18.61</v>
      </c>
      <c r="H126" s="1472"/>
      <c r="I126" s="1468">
        <f>ROUND($C126*I125,2)</f>
        <v>26.09</v>
      </c>
      <c r="J126" s="1472"/>
      <c r="K126" s="1468">
        <f>ROUND($C126*K125,2)</f>
        <v>661.28</v>
      </c>
      <c r="L126" s="1472"/>
      <c r="M126" s="1469">
        <f>ROUND($C126*M125,2)</f>
        <v>523.15</v>
      </c>
      <c r="N126" s="1489"/>
      <c r="O126" s="1489"/>
      <c r="P126" s="1489"/>
    </row>
    <row r="127" spans="1:16">
      <c r="A127" s="1473" t="s">
        <v>2568</v>
      </c>
      <c r="B127" s="1474"/>
      <c r="C127" s="1474"/>
      <c r="D127" s="1474"/>
      <c r="E127" s="1477">
        <f>SUM(E125:E126)</f>
        <v>378.78</v>
      </c>
      <c r="F127" s="1474"/>
      <c r="G127" s="1474">
        <f>SUM(G125:G126)</f>
        <v>142.66000000000003</v>
      </c>
      <c r="H127" s="1474"/>
      <c r="I127" s="1474">
        <f>SUM(I125:I126)</f>
        <v>200.02</v>
      </c>
      <c r="J127" s="1474"/>
      <c r="K127" s="1474">
        <f>SUM(K125:K126)</f>
        <v>5069.78</v>
      </c>
      <c r="L127" s="1474"/>
      <c r="M127" s="1478">
        <f>SUM(M125:M126)</f>
        <v>4010.82</v>
      </c>
      <c r="N127" s="1495"/>
      <c r="O127" s="1495"/>
      <c r="P127" s="1495"/>
    </row>
    <row r="128" spans="1:16" ht="14.25">
      <c r="A128" s="1462" t="s">
        <v>2609</v>
      </c>
      <c r="O128" s="1462" t="s">
        <v>2610</v>
      </c>
    </row>
    <row r="129" spans="1:21" ht="24">
      <c r="A129" s="3090" t="s">
        <v>2492</v>
      </c>
      <c r="B129" s="3092" t="s">
        <v>2493</v>
      </c>
      <c r="C129" s="3094" t="s">
        <v>2494</v>
      </c>
      <c r="D129" s="1509" t="s">
        <v>2611</v>
      </c>
      <c r="E129" s="1509"/>
      <c r="F129" s="1509" t="s">
        <v>2612</v>
      </c>
      <c r="G129" s="1509"/>
      <c r="H129" s="1509" t="s">
        <v>2613</v>
      </c>
      <c r="I129" s="1510"/>
      <c r="J129" s="1509" t="s">
        <v>2614</v>
      </c>
      <c r="K129" s="1510"/>
      <c r="L129" s="1509" t="s">
        <v>2615</v>
      </c>
      <c r="M129" s="1511"/>
      <c r="N129" s="1501" t="s">
        <v>2520</v>
      </c>
      <c r="O129" s="1513" t="s">
        <v>2616</v>
      </c>
      <c r="P129" s="1514" t="s">
        <v>2493</v>
      </c>
      <c r="Q129" s="1515" t="s">
        <v>2617</v>
      </c>
      <c r="R129" s="1508" t="s">
        <v>2618</v>
      </c>
      <c r="S129" s="1498"/>
      <c r="T129" s="1508" t="s">
        <v>2619</v>
      </c>
      <c r="U129" s="1502"/>
    </row>
    <row r="130" spans="1:21">
      <c r="A130" s="3091"/>
      <c r="B130" s="3093"/>
      <c r="C130" s="3095"/>
      <c r="D130" s="1464" t="s">
        <v>964</v>
      </c>
      <c r="E130" s="1464" t="s">
        <v>2500</v>
      </c>
      <c r="F130" s="1464" t="s">
        <v>964</v>
      </c>
      <c r="G130" s="1464" t="s">
        <v>2500</v>
      </c>
      <c r="H130" s="1464" t="s">
        <v>964</v>
      </c>
      <c r="I130" s="1464" t="s">
        <v>2500</v>
      </c>
      <c r="J130" s="1464" t="s">
        <v>964</v>
      </c>
      <c r="K130" s="1464" t="s">
        <v>2500</v>
      </c>
      <c r="L130" s="1464" t="s">
        <v>964</v>
      </c>
      <c r="M130" s="1465" t="s">
        <v>2500</v>
      </c>
      <c r="N130" s="1487"/>
      <c r="O130" s="1466"/>
      <c r="P130" s="1464"/>
      <c r="Q130" s="1472"/>
      <c r="R130" s="1464" t="s">
        <v>964</v>
      </c>
      <c r="S130" s="1464" t="s">
        <v>2500</v>
      </c>
      <c r="T130" s="1464" t="s">
        <v>964</v>
      </c>
      <c r="U130" s="1465" t="s">
        <v>2500</v>
      </c>
    </row>
    <row r="131" spans="1:21">
      <c r="A131" s="1466" t="s">
        <v>329</v>
      </c>
      <c r="B131" s="1464" t="s">
        <v>949</v>
      </c>
      <c r="C131" s="1467">
        <f>'Rate-1'!$I$40</f>
        <v>920</v>
      </c>
      <c r="D131" s="1468">
        <v>1</v>
      </c>
      <c r="E131" s="1468">
        <f t="shared" ref="E131:M133" si="8">ROUND($C131*D131,2)</f>
        <v>920</v>
      </c>
      <c r="F131" s="1468">
        <v>1</v>
      </c>
      <c r="G131" s="1468">
        <f t="shared" si="8"/>
        <v>920</v>
      </c>
      <c r="H131" s="1468">
        <v>1.5</v>
      </c>
      <c r="I131" s="1468">
        <f t="shared" si="8"/>
        <v>1380</v>
      </c>
      <c r="J131" s="1468">
        <v>1</v>
      </c>
      <c r="K131" s="1468">
        <f t="shared" si="8"/>
        <v>920</v>
      </c>
      <c r="L131" s="1468">
        <v>1.5</v>
      </c>
      <c r="M131" s="1469">
        <f t="shared" si="8"/>
        <v>1380</v>
      </c>
      <c r="N131" s="1489"/>
      <c r="O131" s="1466" t="s">
        <v>329</v>
      </c>
      <c r="P131" s="1464" t="s">
        <v>949</v>
      </c>
      <c r="Q131" s="1467">
        <f>'Rate-1'!$I$40</f>
        <v>920</v>
      </c>
      <c r="R131" s="1468">
        <v>2</v>
      </c>
      <c r="S131" s="1468">
        <f>ROUND($Q131*R131,2)</f>
        <v>1840</v>
      </c>
      <c r="T131" s="1468">
        <v>3</v>
      </c>
      <c r="U131" s="1469">
        <f>ROUND($C131*T131,2)</f>
        <v>2760</v>
      </c>
    </row>
    <row r="132" spans="1:21">
      <c r="A132" s="1466" t="s">
        <v>220</v>
      </c>
      <c r="B132" s="1464" t="s">
        <v>949</v>
      </c>
      <c r="C132" s="1467">
        <f>'Rate-1'!$I$39</f>
        <v>920</v>
      </c>
      <c r="D132" s="1468">
        <v>1</v>
      </c>
      <c r="E132" s="1468">
        <f t="shared" si="8"/>
        <v>920</v>
      </c>
      <c r="F132" s="1468">
        <v>1</v>
      </c>
      <c r="G132" s="1468">
        <f t="shared" si="8"/>
        <v>920</v>
      </c>
      <c r="H132" s="1468">
        <v>1.5</v>
      </c>
      <c r="I132" s="1468">
        <f t="shared" si="8"/>
        <v>1380</v>
      </c>
      <c r="J132" s="1468">
        <v>1</v>
      </c>
      <c r="K132" s="1468">
        <f t="shared" si="8"/>
        <v>920</v>
      </c>
      <c r="L132" s="1468">
        <v>1.5</v>
      </c>
      <c r="M132" s="1469">
        <f t="shared" si="8"/>
        <v>1380</v>
      </c>
      <c r="N132" s="1489"/>
      <c r="O132" s="1466" t="s">
        <v>220</v>
      </c>
      <c r="P132" s="1464" t="s">
        <v>949</v>
      </c>
      <c r="Q132" s="1467">
        <f>'Rate-1'!$I$39</f>
        <v>920</v>
      </c>
      <c r="R132" s="1468">
        <v>2</v>
      </c>
      <c r="S132" s="1468">
        <f t="shared" ref="S132:S137" si="9">ROUND($Q132*R132,2)</f>
        <v>1840</v>
      </c>
      <c r="T132" s="1468">
        <v>3</v>
      </c>
      <c r="U132" s="1469">
        <f>ROUND($C132*T132,2)</f>
        <v>2760</v>
      </c>
    </row>
    <row r="133" spans="1:21">
      <c r="A133" s="1466" t="s">
        <v>2620</v>
      </c>
      <c r="B133" s="1464" t="s">
        <v>949</v>
      </c>
      <c r="C133" s="1467">
        <f>'Rate-1'!$I$39</f>
        <v>920</v>
      </c>
      <c r="D133" s="1468">
        <v>2</v>
      </c>
      <c r="E133" s="1468">
        <f t="shared" si="8"/>
        <v>1840</v>
      </c>
      <c r="F133" s="1468">
        <v>3</v>
      </c>
      <c r="G133" s="1468">
        <f t="shared" si="8"/>
        <v>2760</v>
      </c>
      <c r="H133" s="1468">
        <v>3</v>
      </c>
      <c r="I133" s="1468">
        <f t="shared" si="8"/>
        <v>2760</v>
      </c>
      <c r="J133" s="1468">
        <v>2</v>
      </c>
      <c r="K133" s="1468">
        <f t="shared" si="8"/>
        <v>1840</v>
      </c>
      <c r="L133" s="1468">
        <v>3</v>
      </c>
      <c r="M133" s="1469">
        <f t="shared" si="8"/>
        <v>2760</v>
      </c>
      <c r="N133" s="1489"/>
      <c r="O133" s="1466" t="s">
        <v>2620</v>
      </c>
      <c r="P133" s="1464" t="s">
        <v>949</v>
      </c>
      <c r="Q133" s="1467">
        <f>'Rate-1'!$I$39</f>
        <v>920</v>
      </c>
      <c r="R133" s="1468">
        <v>4</v>
      </c>
      <c r="S133" s="1468">
        <f t="shared" si="9"/>
        <v>3680</v>
      </c>
      <c r="T133" s="1468">
        <v>6</v>
      </c>
      <c r="U133" s="1469">
        <f>ROUND($C133*T133,2)</f>
        <v>5520</v>
      </c>
    </row>
    <row r="134" spans="1:21">
      <c r="A134" s="1466" t="s">
        <v>2424</v>
      </c>
      <c r="B134" s="1464"/>
      <c r="C134" s="1467"/>
      <c r="D134" s="1464" t="s">
        <v>1627</v>
      </c>
      <c r="E134" s="1468">
        <f>SUM(E131:E133)</f>
        <v>3680</v>
      </c>
      <c r="F134" s="1472"/>
      <c r="G134" s="1468">
        <f>SUM(G131:G133)</f>
        <v>4600</v>
      </c>
      <c r="H134" s="1472"/>
      <c r="I134" s="1468">
        <f>SUM(I131:I133)</f>
        <v>5520</v>
      </c>
      <c r="J134" s="1472"/>
      <c r="K134" s="1468">
        <f>SUM(K131:K133)</f>
        <v>3680</v>
      </c>
      <c r="L134" s="1472"/>
      <c r="M134" s="1469">
        <f>SUM(M131:M133)</f>
        <v>5520</v>
      </c>
      <c r="N134" s="1489"/>
      <c r="O134" s="1466" t="s">
        <v>2424</v>
      </c>
      <c r="P134" s="1464"/>
      <c r="Q134" s="1467"/>
      <c r="R134" s="1468"/>
      <c r="S134" s="1468">
        <f>SUM(S131:S133)</f>
        <v>7360</v>
      </c>
      <c r="T134" s="1468"/>
      <c r="U134" s="1469">
        <f>SUM(U131:U133)</f>
        <v>11040</v>
      </c>
    </row>
    <row r="135" spans="1:21">
      <c r="A135" s="1466" t="s">
        <v>2621</v>
      </c>
      <c r="B135" s="1464"/>
      <c r="C135" s="1470">
        <v>2.5000000000000001E-2</v>
      </c>
      <c r="D135" s="1472"/>
      <c r="E135" s="1468">
        <f>ROUND(0.025*E134,2)</f>
        <v>92</v>
      </c>
      <c r="F135" s="1472"/>
      <c r="G135" s="1468">
        <f>ROUND(0.025*G134,2)</f>
        <v>115</v>
      </c>
      <c r="H135" s="1472"/>
      <c r="I135" s="1468">
        <f>ROUND(0.025*I134,2)</f>
        <v>138</v>
      </c>
      <c r="J135" s="1472"/>
      <c r="K135" s="1468">
        <f>ROUND(0.025*K134,2)</f>
        <v>92</v>
      </c>
      <c r="L135" s="1472"/>
      <c r="M135" s="1469">
        <f>ROUND(0.025*M134,2)</f>
        <v>138</v>
      </c>
      <c r="N135" s="1489"/>
      <c r="O135" s="1466" t="s">
        <v>2621</v>
      </c>
      <c r="P135" s="1464"/>
      <c r="Q135" s="1470">
        <v>2.5000000000000001E-2</v>
      </c>
      <c r="R135" s="1468"/>
      <c r="S135" s="1468">
        <f>S134*Q135</f>
        <v>184</v>
      </c>
      <c r="T135" s="1468"/>
      <c r="U135" s="1469">
        <f>ROUND(0.025*U134,2)</f>
        <v>276</v>
      </c>
    </row>
    <row r="136" spans="1:21">
      <c r="A136" s="1466" t="s">
        <v>2622</v>
      </c>
      <c r="B136" s="1464" t="s">
        <v>2623</v>
      </c>
      <c r="C136" s="1467">
        <v>150</v>
      </c>
      <c r="D136" s="1472">
        <v>1</v>
      </c>
      <c r="E136" s="1468">
        <f t="shared" ref="E136:M137" si="10">ROUND($C136*D136,2)</f>
        <v>150</v>
      </c>
      <c r="F136" s="1472">
        <v>1</v>
      </c>
      <c r="G136" s="1468">
        <f t="shared" si="10"/>
        <v>150</v>
      </c>
      <c r="H136" s="1472">
        <v>1</v>
      </c>
      <c r="I136" s="1468">
        <f t="shared" si="10"/>
        <v>150</v>
      </c>
      <c r="J136" s="1472">
        <v>1</v>
      </c>
      <c r="K136" s="1468">
        <f t="shared" si="10"/>
        <v>150</v>
      </c>
      <c r="L136" s="1472">
        <v>1</v>
      </c>
      <c r="M136" s="1469">
        <f t="shared" si="10"/>
        <v>150</v>
      </c>
      <c r="N136" s="1489"/>
      <c r="O136" s="1466" t="s">
        <v>2622</v>
      </c>
      <c r="P136" s="1464" t="s">
        <v>2623</v>
      </c>
      <c r="Q136" s="1467">
        <v>150</v>
      </c>
      <c r="R136" s="1468">
        <v>2</v>
      </c>
      <c r="S136" s="1468">
        <f t="shared" si="9"/>
        <v>300</v>
      </c>
      <c r="T136" s="1468">
        <v>2</v>
      </c>
      <c r="U136" s="1469">
        <f>ROUND($C136*T136,2)</f>
        <v>300</v>
      </c>
    </row>
    <row r="137" spans="1:21">
      <c r="A137" s="1466" t="s">
        <v>2624</v>
      </c>
      <c r="B137" s="1464" t="s">
        <v>2459</v>
      </c>
      <c r="C137" s="1467">
        <f>MR!I27</f>
        <v>174.33628318584073</v>
      </c>
      <c r="D137" s="1472">
        <v>0.25</v>
      </c>
      <c r="E137" s="1468">
        <f t="shared" si="10"/>
        <v>43.58</v>
      </c>
      <c r="F137" s="1472">
        <v>0.25</v>
      </c>
      <c r="G137" s="1468">
        <f t="shared" si="10"/>
        <v>43.58</v>
      </c>
      <c r="H137" s="1472">
        <v>0.25</v>
      </c>
      <c r="I137" s="1468">
        <f t="shared" si="10"/>
        <v>43.58</v>
      </c>
      <c r="J137" s="1472">
        <v>0.5</v>
      </c>
      <c r="K137" s="1468">
        <f t="shared" si="10"/>
        <v>87.17</v>
      </c>
      <c r="L137" s="1472">
        <v>0.5</v>
      </c>
      <c r="M137" s="1469">
        <f t="shared" si="10"/>
        <v>87.17</v>
      </c>
      <c r="N137" s="1489"/>
      <c r="O137" s="1466" t="s">
        <v>2624</v>
      </c>
      <c r="P137" s="1464" t="s">
        <v>2459</v>
      </c>
      <c r="Q137" s="1467">
        <f>MR!I27</f>
        <v>174.33628318584073</v>
      </c>
      <c r="R137" s="1468">
        <v>1</v>
      </c>
      <c r="S137" s="1468">
        <f t="shared" si="9"/>
        <v>174.34</v>
      </c>
      <c r="T137" s="1468">
        <v>1.5</v>
      </c>
      <c r="U137" s="1469">
        <f>ROUND($C137*T137,2)</f>
        <v>261.5</v>
      </c>
    </row>
    <row r="138" spans="1:21">
      <c r="A138" s="1471" t="s">
        <v>1403</v>
      </c>
      <c r="B138" s="1472"/>
      <c r="C138" s="1467"/>
      <c r="D138" s="1472"/>
      <c r="E138" s="1468">
        <f>SUM(E134:E137)</f>
        <v>3965.58</v>
      </c>
      <c r="F138" s="1472"/>
      <c r="G138" s="1468">
        <f>SUM(G134:G137)</f>
        <v>4908.58</v>
      </c>
      <c r="H138" s="1472"/>
      <c r="I138" s="1468">
        <f>SUM(I134:I137)</f>
        <v>5851.58</v>
      </c>
      <c r="J138" s="1472"/>
      <c r="K138" s="1468">
        <f>SUM(K134:K137)</f>
        <v>4009.17</v>
      </c>
      <c r="L138" s="1472"/>
      <c r="M138" s="1468">
        <f>SUM(M134:M137)</f>
        <v>5895.17</v>
      </c>
      <c r="N138" s="1489"/>
      <c r="O138" s="1466" t="s">
        <v>1108</v>
      </c>
      <c r="P138" s="1464"/>
      <c r="Q138" s="1467"/>
      <c r="R138" s="1472"/>
      <c r="S138" s="1468">
        <f>S137+S136+S134+S135</f>
        <v>8018.34</v>
      </c>
      <c r="T138" s="1472"/>
      <c r="U138" s="1468">
        <f>U137+U136+U134+U135</f>
        <v>11877.5</v>
      </c>
    </row>
    <row r="139" spans="1:21">
      <c r="A139" s="1466" t="s">
        <v>2504</v>
      </c>
      <c r="B139" s="1464" t="s">
        <v>546</v>
      </c>
      <c r="C139" s="1470">
        <v>0.15</v>
      </c>
      <c r="D139" s="1470"/>
      <c r="E139" s="1468">
        <f>ROUND($C139*E138,2)</f>
        <v>594.84</v>
      </c>
      <c r="F139" s="1472"/>
      <c r="G139" s="1468">
        <f>ROUND($C139*G138,2)</f>
        <v>736.29</v>
      </c>
      <c r="H139" s="1472"/>
      <c r="I139" s="1468">
        <f>ROUND($C139*I138,2)</f>
        <v>877.74</v>
      </c>
      <c r="J139" s="1472"/>
      <c r="K139" s="1468">
        <f>ROUND($C139*K138,2)</f>
        <v>601.38</v>
      </c>
      <c r="L139" s="1472"/>
      <c r="M139" s="1469">
        <f>ROUND($C139*M138,2)</f>
        <v>884.28</v>
      </c>
      <c r="N139" s="1489"/>
      <c r="O139" s="1466" t="s">
        <v>2625</v>
      </c>
      <c r="P139" s="1472"/>
      <c r="Q139" s="1470">
        <v>0.15</v>
      </c>
      <c r="R139" s="1472"/>
      <c r="S139" s="1468">
        <f>ROUND($Q139*S138,2)</f>
        <v>1202.75</v>
      </c>
      <c r="T139" s="1472"/>
      <c r="U139" s="1469">
        <f>ROUND($Q139*U138,2)</f>
        <v>1781.63</v>
      </c>
    </row>
    <row r="140" spans="1:21">
      <c r="A140" s="1466" t="s">
        <v>2626</v>
      </c>
      <c r="B140" s="1472"/>
      <c r="C140" s="1464"/>
      <c r="D140" s="1472"/>
      <c r="E140" s="1472">
        <f>SUM(E138:E139)</f>
        <v>4560.42</v>
      </c>
      <c r="F140" s="1472"/>
      <c r="G140" s="1472">
        <f>SUM(G138:G139)</f>
        <v>5644.87</v>
      </c>
      <c r="H140" s="1464"/>
      <c r="I140" s="1472">
        <f>SUM(I138:I139)</f>
        <v>6729.32</v>
      </c>
      <c r="J140" s="1472"/>
      <c r="K140" s="1472">
        <f>SUM(K138:K139)</f>
        <v>4610.55</v>
      </c>
      <c r="L140" s="1472"/>
      <c r="M140" s="1492">
        <f>SUM(M138:M139)</f>
        <v>6779.45</v>
      </c>
      <c r="O140" s="1466" t="s">
        <v>2626</v>
      </c>
      <c r="P140" s="1472"/>
      <c r="Q140" s="1464"/>
      <c r="R140" s="1472"/>
      <c r="S140" s="1472">
        <f>SUM(S138:S139)</f>
        <v>9221.09</v>
      </c>
      <c r="T140" s="1472"/>
      <c r="U140" s="1492">
        <f>SUM(U138:U139)</f>
        <v>13659.130000000001</v>
      </c>
    </row>
    <row r="141" spans="1:21">
      <c r="A141" s="1473" t="s">
        <v>2627</v>
      </c>
      <c r="B141" s="1474"/>
      <c r="C141" s="1474"/>
      <c r="D141" s="1474"/>
      <c r="E141" s="1474">
        <f>ROUND(E140/1000,2)</f>
        <v>4.5599999999999996</v>
      </c>
      <c r="F141" s="1474"/>
      <c r="G141" s="1474">
        <f>ROUND(G140/1000,2)</f>
        <v>5.64</v>
      </c>
      <c r="H141" s="1474"/>
      <c r="I141" s="1474">
        <f>ROUND(I140/1000,2)</f>
        <v>6.73</v>
      </c>
      <c r="J141" s="1474"/>
      <c r="K141" s="1474">
        <f>ROUND(K140/50,2)</f>
        <v>92.21</v>
      </c>
      <c r="L141" s="1474"/>
      <c r="M141" s="1516">
        <f>ROUND(M140/50,2)</f>
        <v>135.59</v>
      </c>
      <c r="N141" s="1517"/>
      <c r="O141" s="1473" t="s">
        <v>2627</v>
      </c>
      <c r="P141" s="1474"/>
      <c r="Q141" s="1474"/>
      <c r="R141" s="1474"/>
      <c r="S141" s="1477">
        <f>ROUND(S140/50,2)</f>
        <v>184.42</v>
      </c>
      <c r="T141" s="1474"/>
      <c r="U141" s="1516">
        <f>ROUND(U140/50,2)</f>
        <v>273.18</v>
      </c>
    </row>
    <row r="142" spans="1:21">
      <c r="A142" s="1495"/>
      <c r="B142" s="1495"/>
      <c r="C142" s="1495"/>
      <c r="D142" s="1495"/>
      <c r="E142" s="1495"/>
      <c r="F142" s="1495"/>
      <c r="G142" s="1495"/>
      <c r="H142" s="1495"/>
      <c r="I142" s="1495"/>
      <c r="J142" s="1495"/>
      <c r="K142" s="1495"/>
      <c r="L142" s="1495"/>
      <c r="M142" s="1517"/>
      <c r="N142" s="1517"/>
      <c r="O142" s="1517"/>
      <c r="P142" s="1517"/>
    </row>
    <row r="143" spans="1:21">
      <c r="A143" s="1495"/>
      <c r="B143" s="1495"/>
      <c r="C143" s="1495"/>
      <c r="D143" s="1495"/>
      <c r="E143" s="1495"/>
      <c r="F143" s="1495"/>
      <c r="G143" s="1495"/>
      <c r="H143" s="1495"/>
      <c r="I143" s="1495"/>
      <c r="J143" s="1495"/>
      <c r="K143" s="1495"/>
      <c r="L143" s="1495"/>
      <c r="M143" s="1517"/>
      <c r="N143" s="1517"/>
      <c r="O143" s="1517"/>
      <c r="P143" s="1517"/>
    </row>
    <row r="144" spans="1:21" ht="14.25">
      <c r="A144" s="1462" t="s">
        <v>2628</v>
      </c>
      <c r="O144" s="1462" t="s">
        <v>2629</v>
      </c>
    </row>
    <row r="145" spans="1:21" ht="24">
      <c r="A145" s="3090" t="s">
        <v>2492</v>
      </c>
      <c r="B145" s="3092" t="s">
        <v>2493</v>
      </c>
      <c r="C145" s="3094" t="s">
        <v>2494</v>
      </c>
      <c r="D145" s="1509" t="s">
        <v>2630</v>
      </c>
      <c r="E145" s="1509"/>
      <c r="F145" s="1509" t="s">
        <v>2631</v>
      </c>
      <c r="G145" s="1509"/>
      <c r="H145" s="1509" t="s">
        <v>2632</v>
      </c>
      <c r="I145" s="1510"/>
      <c r="J145" s="1509" t="s">
        <v>2633</v>
      </c>
      <c r="K145" s="1510"/>
      <c r="L145" s="1509" t="s">
        <v>2634</v>
      </c>
      <c r="M145" s="1518"/>
      <c r="N145" s="1519" t="s">
        <v>2520</v>
      </c>
      <c r="O145" s="1513" t="s">
        <v>2616</v>
      </c>
      <c r="P145" s="1514" t="s">
        <v>2493</v>
      </c>
      <c r="Q145" s="1515" t="s">
        <v>2635</v>
      </c>
      <c r="R145" s="1508" t="s">
        <v>2636</v>
      </c>
      <c r="S145" s="1518"/>
      <c r="T145" s="1520" t="s">
        <v>2520</v>
      </c>
      <c r="U145" s="1519"/>
    </row>
    <row r="146" spans="1:21">
      <c r="A146" s="3091"/>
      <c r="B146" s="3093"/>
      <c r="C146" s="3095"/>
      <c r="D146" s="1464" t="s">
        <v>964</v>
      </c>
      <c r="E146" s="1464" t="s">
        <v>2500</v>
      </c>
      <c r="F146" s="1464" t="s">
        <v>964</v>
      </c>
      <c r="G146" s="1464" t="s">
        <v>2500</v>
      </c>
      <c r="H146" s="1464" t="s">
        <v>964</v>
      </c>
      <c r="I146" s="1464" t="s">
        <v>2500</v>
      </c>
      <c r="J146" s="1464" t="s">
        <v>964</v>
      </c>
      <c r="K146" s="1464" t="s">
        <v>2500</v>
      </c>
      <c r="L146" s="1464" t="s">
        <v>964</v>
      </c>
      <c r="M146" s="1465" t="s">
        <v>2500</v>
      </c>
      <c r="N146" s="1487"/>
      <c r="O146" s="1466"/>
      <c r="P146" s="1464"/>
      <c r="Q146" s="1464"/>
      <c r="R146" s="1464" t="s">
        <v>964</v>
      </c>
      <c r="S146" s="1465" t="s">
        <v>2500</v>
      </c>
      <c r="U146" s="1487"/>
    </row>
    <row r="147" spans="1:21">
      <c r="A147" s="1466" t="s">
        <v>329</v>
      </c>
      <c r="B147" s="1464" t="s">
        <v>949</v>
      </c>
      <c r="C147" s="1467">
        <f>'Rate-1'!$I$40</f>
        <v>920</v>
      </c>
      <c r="D147" s="1468">
        <v>0.5</v>
      </c>
      <c r="E147" s="1468">
        <f t="shared" ref="E147:M149" si="11">ROUND($C147*D147,2)</f>
        <v>460</v>
      </c>
      <c r="F147" s="1468">
        <v>0.5</v>
      </c>
      <c r="G147" s="1468">
        <f t="shared" si="11"/>
        <v>460</v>
      </c>
      <c r="H147" s="1468">
        <v>0.75</v>
      </c>
      <c r="I147" s="1468">
        <f t="shared" si="11"/>
        <v>690</v>
      </c>
      <c r="J147" s="1468">
        <v>1.25</v>
      </c>
      <c r="K147" s="1468">
        <f t="shared" si="11"/>
        <v>1150</v>
      </c>
      <c r="L147" s="1472">
        <v>1.75</v>
      </c>
      <c r="M147" s="1469">
        <f t="shared" si="11"/>
        <v>1610</v>
      </c>
      <c r="N147" s="1489"/>
      <c r="O147" s="1466" t="s">
        <v>329</v>
      </c>
      <c r="P147" s="1464" t="s">
        <v>949</v>
      </c>
      <c r="Q147" s="1467">
        <f>'Rate-1'!$I$40</f>
        <v>920</v>
      </c>
      <c r="R147" s="1472">
        <v>2</v>
      </c>
      <c r="S147" s="1469">
        <f>ROUND($Q147*R147,2)</f>
        <v>1840</v>
      </c>
      <c r="U147" s="1489"/>
    </row>
    <row r="148" spans="1:21">
      <c r="A148" s="1466" t="s">
        <v>220</v>
      </c>
      <c r="B148" s="1464" t="s">
        <v>949</v>
      </c>
      <c r="C148" s="1467">
        <f>+MR!D74</f>
        <v>750</v>
      </c>
      <c r="D148" s="1472">
        <v>1</v>
      </c>
      <c r="E148" s="1468">
        <f t="shared" si="11"/>
        <v>750</v>
      </c>
      <c r="F148" s="1472">
        <v>1.5</v>
      </c>
      <c r="G148" s="1468">
        <f t="shared" si="11"/>
        <v>1125</v>
      </c>
      <c r="H148" s="1472">
        <v>2</v>
      </c>
      <c r="I148" s="1468">
        <f t="shared" si="11"/>
        <v>1500</v>
      </c>
      <c r="J148" s="1472">
        <v>2</v>
      </c>
      <c r="K148" s="1468">
        <f t="shared" si="11"/>
        <v>1500</v>
      </c>
      <c r="L148" s="1472">
        <v>2</v>
      </c>
      <c r="M148" s="1469">
        <f t="shared" si="11"/>
        <v>1500</v>
      </c>
      <c r="N148" s="1489"/>
      <c r="O148" s="1466" t="s">
        <v>220</v>
      </c>
      <c r="P148" s="1464" t="s">
        <v>949</v>
      </c>
      <c r="Q148" s="1467">
        <f>'Rate-1'!$I$39</f>
        <v>920</v>
      </c>
      <c r="R148" s="1472">
        <v>2.5</v>
      </c>
      <c r="S148" s="1469">
        <f>ROUND($Q148*R148,2)</f>
        <v>2300</v>
      </c>
      <c r="U148" s="1489"/>
    </row>
    <row r="149" spans="1:21">
      <c r="A149" s="1466" t="s">
        <v>2620</v>
      </c>
      <c r="B149" s="1464" t="s">
        <v>949</v>
      </c>
      <c r="C149" s="1467">
        <f>'Rate-1'!$I$39</f>
        <v>920</v>
      </c>
      <c r="D149" s="1472">
        <v>1</v>
      </c>
      <c r="E149" s="1468">
        <f t="shared" si="11"/>
        <v>920</v>
      </c>
      <c r="F149" s="1472">
        <v>1.5</v>
      </c>
      <c r="G149" s="1468">
        <f t="shared" si="11"/>
        <v>1380</v>
      </c>
      <c r="H149" s="1472">
        <v>2</v>
      </c>
      <c r="I149" s="1468">
        <f t="shared" si="11"/>
        <v>1840</v>
      </c>
      <c r="J149" s="1472">
        <v>3</v>
      </c>
      <c r="K149" s="1468">
        <f t="shared" si="11"/>
        <v>2760</v>
      </c>
      <c r="L149" s="1472">
        <v>4</v>
      </c>
      <c r="M149" s="1469">
        <f t="shared" si="11"/>
        <v>3680</v>
      </c>
      <c r="N149" s="1489"/>
      <c r="O149" s="1466" t="s">
        <v>2620</v>
      </c>
      <c r="P149" s="1464" t="s">
        <v>949</v>
      </c>
      <c r="Q149" s="1467">
        <f>'Rate-1'!$I$39</f>
        <v>920</v>
      </c>
      <c r="R149" s="1472">
        <v>5</v>
      </c>
      <c r="S149" s="1469">
        <f>ROUND($Q149*R149,2)</f>
        <v>4600</v>
      </c>
      <c r="U149" s="1489"/>
    </row>
    <row r="150" spans="1:21">
      <c r="A150" s="1466" t="s">
        <v>2424</v>
      </c>
      <c r="B150" s="1464"/>
      <c r="C150" s="1464"/>
      <c r="D150" s="1464"/>
      <c r="E150" s="1468">
        <f>SUM(E147:E149)</f>
        <v>2130</v>
      </c>
      <c r="F150" s="1472"/>
      <c r="G150" s="1468">
        <f>SUM(G147:G149)</f>
        <v>2965</v>
      </c>
      <c r="H150" s="1472"/>
      <c r="I150" s="1468">
        <f>SUM(I147:I149)</f>
        <v>4030</v>
      </c>
      <c r="J150" s="1472"/>
      <c r="K150" s="1468">
        <f>SUM(K147:K149)</f>
        <v>5410</v>
      </c>
      <c r="L150" s="1472"/>
      <c r="M150" s="1469">
        <f>SUM(M147:M149)</f>
        <v>6790</v>
      </c>
      <c r="N150" s="1489"/>
      <c r="O150" s="1471" t="s">
        <v>1403</v>
      </c>
      <c r="P150" s="1464"/>
      <c r="Q150" s="1464"/>
      <c r="R150" s="1472"/>
      <c r="S150" s="1469">
        <f>SUM(S147:S149)</f>
        <v>8740</v>
      </c>
      <c r="U150" s="1489"/>
    </row>
    <row r="151" spans="1:21" ht="23.25" customHeight="1">
      <c r="A151" s="1521" t="s">
        <v>2637</v>
      </c>
      <c r="B151" s="1464"/>
      <c r="C151" s="1522">
        <v>0.1</v>
      </c>
      <c r="D151" s="1464"/>
      <c r="E151" s="1468">
        <f>ROUND(E150*0.1,2)</f>
        <v>213</v>
      </c>
      <c r="F151" s="1472"/>
      <c r="G151" s="1468">
        <f>ROUND(G150*0.1,2)</f>
        <v>296.5</v>
      </c>
      <c r="H151" s="1472"/>
      <c r="I151" s="1468">
        <f>ROUND(I150*0.1,2)</f>
        <v>403</v>
      </c>
      <c r="J151" s="1472"/>
      <c r="K151" s="1468">
        <f>ROUND(K150*0.1,2)</f>
        <v>541</v>
      </c>
      <c r="L151" s="1523"/>
      <c r="M151" s="1469">
        <f>ROUND(M150*0.1,2)</f>
        <v>679</v>
      </c>
      <c r="N151" s="1489"/>
      <c r="O151" s="1521" t="s">
        <v>2637</v>
      </c>
      <c r="P151" s="1464"/>
      <c r="Q151" s="1522">
        <v>0.1</v>
      </c>
      <c r="R151" s="1523"/>
      <c r="S151" s="1469">
        <f>ROUND(S150*0.1,2)</f>
        <v>874</v>
      </c>
      <c r="T151" s="1524"/>
      <c r="U151" s="1489"/>
    </row>
    <row r="152" spans="1:21">
      <c r="A152" s="1466" t="s">
        <v>2621</v>
      </c>
      <c r="B152" s="1472"/>
      <c r="C152" s="1470">
        <v>2.5000000000000001E-2</v>
      </c>
      <c r="D152" s="1472"/>
      <c r="E152" s="1468">
        <f>ROUND(E150*0.025,2)</f>
        <v>53.25</v>
      </c>
      <c r="F152" s="1472"/>
      <c r="G152" s="1468">
        <f>ROUND(G150*0.025,2)</f>
        <v>74.13</v>
      </c>
      <c r="H152" s="1472"/>
      <c r="I152" s="1468">
        <f>ROUND(I150*0.025,2)</f>
        <v>100.75</v>
      </c>
      <c r="J152" s="1472"/>
      <c r="K152" s="1468">
        <f>ROUND(K150*0.025,2)</f>
        <v>135.25</v>
      </c>
      <c r="L152" s="1472"/>
      <c r="M152" s="1469">
        <f>ROUND(M150*0.025,2)</f>
        <v>169.75</v>
      </c>
      <c r="N152" s="1489"/>
      <c r="O152" s="1466" t="s">
        <v>2621</v>
      </c>
      <c r="P152" s="1472"/>
      <c r="Q152" s="1470">
        <v>2.5000000000000001E-2</v>
      </c>
      <c r="R152" s="1472"/>
      <c r="S152" s="1469">
        <f>ROUND(S150*0.025,2)</f>
        <v>218.5</v>
      </c>
      <c r="U152" s="1489"/>
    </row>
    <row r="153" spans="1:21">
      <c r="A153" s="1471" t="s">
        <v>1403</v>
      </c>
      <c r="B153" s="1472"/>
      <c r="C153" s="1464"/>
      <c r="D153" s="1472"/>
      <c r="E153" s="1468">
        <f>SUM(E150:E152)</f>
        <v>2396.25</v>
      </c>
      <c r="F153" s="1472"/>
      <c r="G153" s="1468">
        <f>SUM(G150:G152)</f>
        <v>3335.63</v>
      </c>
      <c r="H153" s="1472"/>
      <c r="I153" s="1468">
        <f>SUM(I150:I152)</f>
        <v>4533.75</v>
      </c>
      <c r="J153" s="1472"/>
      <c r="K153" s="1468">
        <f>SUM(K150:K152)</f>
        <v>6086.25</v>
      </c>
      <c r="L153" s="1472"/>
      <c r="M153" s="1468">
        <f>SUM(M150:M152)</f>
        <v>7638.75</v>
      </c>
      <c r="N153" s="1489"/>
      <c r="O153" s="1466" t="s">
        <v>1108</v>
      </c>
      <c r="P153" s="1472"/>
      <c r="Q153" s="1464"/>
      <c r="R153" s="1472"/>
      <c r="S153" s="1469">
        <f>S152+S151+S150</f>
        <v>9832.5</v>
      </c>
      <c r="U153" s="1489"/>
    </row>
    <row r="154" spans="1:21">
      <c r="A154" s="1466" t="s">
        <v>2504</v>
      </c>
      <c r="B154" s="1464" t="s">
        <v>546</v>
      </c>
      <c r="C154" s="1470">
        <v>0.15</v>
      </c>
      <c r="D154" s="1470"/>
      <c r="E154" s="1468">
        <f>ROUND($C154*E153,2)</f>
        <v>359.44</v>
      </c>
      <c r="F154" s="1472"/>
      <c r="G154" s="1468">
        <f>ROUND($C154*G153,2)</f>
        <v>500.34</v>
      </c>
      <c r="H154" s="1472"/>
      <c r="I154" s="1468">
        <f>ROUND($C154*I153,2)</f>
        <v>680.06</v>
      </c>
      <c r="J154" s="1472"/>
      <c r="K154" s="1468">
        <f>ROUND($C154*K153,2)</f>
        <v>912.94</v>
      </c>
      <c r="L154" s="1472"/>
      <c r="M154" s="1469">
        <f>ROUND($C154*M153,2)</f>
        <v>1145.81</v>
      </c>
      <c r="N154" s="1489"/>
      <c r="O154" s="1466" t="s">
        <v>2638</v>
      </c>
      <c r="P154" s="1472"/>
      <c r="Q154" s="1470">
        <v>0.15</v>
      </c>
      <c r="R154" s="1472"/>
      <c r="S154" s="1469">
        <f>ROUND($Q154*S153,2)</f>
        <v>1474.88</v>
      </c>
      <c r="U154" s="1489"/>
    </row>
    <row r="155" spans="1:21">
      <c r="A155" s="1466" t="s">
        <v>2626</v>
      </c>
      <c r="B155" s="1472"/>
      <c r="C155" s="1472"/>
      <c r="D155" s="1472"/>
      <c r="E155" s="1468">
        <f>SUM(E153:E154)</f>
        <v>2755.69</v>
      </c>
      <c r="F155" s="1472"/>
      <c r="G155" s="1468">
        <f>SUM(G153:G154)</f>
        <v>3835.9700000000003</v>
      </c>
      <c r="H155" s="1464"/>
      <c r="I155" s="1468">
        <f>SUM(I153:I154)</f>
        <v>5213.8099999999995</v>
      </c>
      <c r="J155" s="1472"/>
      <c r="K155" s="1468">
        <f>SUM(K153:K154)</f>
        <v>6999.1900000000005</v>
      </c>
      <c r="L155" s="1472"/>
      <c r="M155" s="1469">
        <f>SUM(M153:M154)</f>
        <v>8784.56</v>
      </c>
      <c r="N155" s="1489"/>
      <c r="O155" s="1466" t="s">
        <v>2626</v>
      </c>
      <c r="P155" s="1472"/>
      <c r="Q155" s="1472"/>
      <c r="R155" s="1472"/>
      <c r="S155" s="1469">
        <f>SUM(S153:S154)</f>
        <v>11307.380000000001</v>
      </c>
      <c r="U155" s="1489"/>
    </row>
    <row r="156" spans="1:21">
      <c r="A156" s="1473" t="s">
        <v>2627</v>
      </c>
      <c r="B156" s="1474"/>
      <c r="C156" s="1474"/>
      <c r="D156" s="1474"/>
      <c r="E156" s="1477">
        <f>ROUND(E155/30,2)</f>
        <v>91.86</v>
      </c>
      <c r="F156" s="1474"/>
      <c r="G156" s="1477">
        <f>ROUND(G155/30,2)</f>
        <v>127.87</v>
      </c>
      <c r="H156" s="1474"/>
      <c r="I156" s="1477">
        <f>ROUND(I155/30,2)</f>
        <v>173.79</v>
      </c>
      <c r="J156" s="1474"/>
      <c r="K156" s="1477">
        <f>ROUND(K155/30,2)</f>
        <v>233.31</v>
      </c>
      <c r="L156" s="1474"/>
      <c r="M156" s="1516">
        <f>ROUND(M155/30,2)</f>
        <v>292.82</v>
      </c>
      <c r="N156" s="1517"/>
      <c r="O156" s="1473" t="s">
        <v>2627</v>
      </c>
      <c r="P156" s="1474"/>
      <c r="Q156" s="1474"/>
      <c r="R156" s="1474"/>
      <c r="S156" s="1516">
        <f>ROUND(S155/30,2)</f>
        <v>376.91</v>
      </c>
      <c r="T156" s="1495"/>
      <c r="U156" s="1517"/>
    </row>
    <row r="157" spans="1:21" hidden="1"/>
    <row r="168" spans="1:13" ht="12.75">
      <c r="A168" s="1460" t="s">
        <v>2639</v>
      </c>
      <c r="B168" s="1463"/>
      <c r="C168" s="1463"/>
      <c r="D168" s="1463"/>
      <c r="E168" s="1463"/>
      <c r="F168" s="1463"/>
      <c r="G168" s="1463"/>
    </row>
    <row r="169" spans="1:13" ht="12.75">
      <c r="A169" s="1463"/>
      <c r="B169" s="1463"/>
      <c r="C169" s="1463"/>
      <c r="D169" s="1463"/>
      <c r="E169" s="1463"/>
      <c r="F169" s="1463"/>
      <c r="G169" s="1463"/>
    </row>
    <row r="170" spans="1:13" ht="54">
      <c r="A170" s="3090" t="s">
        <v>2492</v>
      </c>
      <c r="B170" s="3092" t="s">
        <v>2493</v>
      </c>
      <c r="C170" s="3094" t="s">
        <v>2494</v>
      </c>
      <c r="D170" s="1525" t="s">
        <v>2640</v>
      </c>
      <c r="E170" s="1526"/>
      <c r="F170" s="1527" t="s">
        <v>2641</v>
      </c>
      <c r="G170" s="1528"/>
      <c r="H170" s="1527" t="s">
        <v>2642</v>
      </c>
      <c r="I170" s="1528"/>
      <c r="J170" s="3098" t="s">
        <v>2553</v>
      </c>
      <c r="K170" s="3100"/>
      <c r="L170" s="3098" t="s">
        <v>2643</v>
      </c>
      <c r="M170" s="3100"/>
    </row>
    <row r="171" spans="1:13" ht="12.75">
      <c r="A171" s="3091"/>
      <c r="B171" s="3093"/>
      <c r="C171" s="3095"/>
      <c r="D171" s="1529" t="s">
        <v>964</v>
      </c>
      <c r="E171" s="1529" t="s">
        <v>2500</v>
      </c>
      <c r="F171" s="1529" t="s">
        <v>964</v>
      </c>
      <c r="G171" s="1530" t="s">
        <v>2500</v>
      </c>
      <c r="H171" s="1529" t="s">
        <v>964</v>
      </c>
      <c r="I171" s="1530" t="s">
        <v>2500</v>
      </c>
      <c r="J171" s="1529" t="s">
        <v>964</v>
      </c>
      <c r="K171" s="1530" t="s">
        <v>2500</v>
      </c>
      <c r="L171" s="1529" t="s">
        <v>964</v>
      </c>
      <c r="M171" s="1530" t="s">
        <v>2500</v>
      </c>
    </row>
    <row r="172" spans="1:13" ht="15.75">
      <c r="A172" s="1531" t="s">
        <v>2644</v>
      </c>
      <c r="B172" s="1529" t="s">
        <v>2480</v>
      </c>
      <c r="C172" s="1532">
        <f>'Rate-1'!I68</f>
        <v>0</v>
      </c>
      <c r="D172" s="1533">
        <v>1.05</v>
      </c>
      <c r="E172" s="1468">
        <f>ROUND($C172*D172,2)</f>
        <v>0</v>
      </c>
      <c r="F172" s="1534" t="s">
        <v>1627</v>
      </c>
      <c r="G172" s="1469"/>
      <c r="H172" s="1534" t="s">
        <v>1627</v>
      </c>
      <c r="I172" s="1469"/>
      <c r="J172" s="1534" t="s">
        <v>1627</v>
      </c>
      <c r="K172" s="1469"/>
      <c r="L172" s="1534" t="s">
        <v>1627</v>
      </c>
      <c r="M172" s="1469"/>
    </row>
    <row r="173" spans="1:13" ht="15.75">
      <c r="A173" s="1531" t="s">
        <v>203</v>
      </c>
      <c r="B173" s="1529" t="s">
        <v>2480</v>
      </c>
      <c r="C173" s="1535">
        <f>MR!D66</f>
        <v>57400</v>
      </c>
      <c r="D173" s="1529"/>
      <c r="E173" s="1468"/>
      <c r="F173" s="1536">
        <f>0.0376/2.245</f>
        <v>1.6748329621380845E-2</v>
      </c>
      <c r="G173" s="1469">
        <f t="shared" ref="G173:I181" si="12">ROUND($C173*F173,2)</f>
        <v>961.35</v>
      </c>
      <c r="H173" s="1536">
        <f>0.084/2.114</f>
        <v>3.9735099337748346E-2</v>
      </c>
      <c r="I173" s="1469">
        <f t="shared" si="12"/>
        <v>2280.79</v>
      </c>
      <c r="J173" s="1536">
        <v>1.05</v>
      </c>
      <c r="K173" s="1469">
        <f>ROUND($C173*J173,2)</f>
        <v>60270</v>
      </c>
      <c r="L173" s="1537">
        <v>2.75E-2</v>
      </c>
      <c r="M173" s="1469">
        <f>ROUND($C173*L173,2)</f>
        <v>1578.5</v>
      </c>
    </row>
    <row r="174" spans="1:13" ht="12.75">
      <c r="A174" s="1531" t="s">
        <v>2645</v>
      </c>
      <c r="B174" s="1529" t="s">
        <v>1034</v>
      </c>
      <c r="C174" s="1533">
        <f>MR!I13</f>
        <v>132</v>
      </c>
      <c r="D174" s="1529" t="s">
        <v>2555</v>
      </c>
      <c r="E174" s="1468"/>
      <c r="F174" s="1536" t="s">
        <v>2595</v>
      </c>
      <c r="G174" s="1469">
        <v>5</v>
      </c>
      <c r="H174" s="1534" t="s">
        <v>2595</v>
      </c>
      <c r="I174" s="1469">
        <v>5</v>
      </c>
      <c r="J174" s="1534" t="s">
        <v>2595</v>
      </c>
      <c r="K174" s="1469">
        <v>50</v>
      </c>
      <c r="L174" s="1534" t="s">
        <v>2595</v>
      </c>
      <c r="M174" s="1469">
        <v>25</v>
      </c>
    </row>
    <row r="175" spans="1:13" ht="12.75">
      <c r="A175" s="1531" t="s">
        <v>2646</v>
      </c>
      <c r="B175" s="1529" t="s">
        <v>973</v>
      </c>
      <c r="C175" s="1533">
        <f>MR!I30</f>
        <v>59</v>
      </c>
      <c r="D175" s="1529" t="s">
        <v>2555</v>
      </c>
      <c r="E175" s="1468"/>
      <c r="F175" s="1469">
        <f>3/2.245</f>
        <v>1.3363028953229399</v>
      </c>
      <c r="G175" s="1469">
        <f t="shared" si="12"/>
        <v>78.84</v>
      </c>
      <c r="H175" s="1538">
        <f>6/2.114</f>
        <v>2.838221381267739</v>
      </c>
      <c r="I175" s="1469">
        <f t="shared" si="12"/>
        <v>167.46</v>
      </c>
      <c r="J175" s="1538"/>
      <c r="K175" s="1469">
        <f t="shared" ref="K175:K181" si="13">ROUND($C175*J175,2)</f>
        <v>0</v>
      </c>
      <c r="L175" s="1538"/>
      <c r="M175" s="1469">
        <f t="shared" ref="M175:M181" si="14">ROUND($C175*L175,2)</f>
        <v>0</v>
      </c>
    </row>
    <row r="176" spans="1:13" ht="12.75">
      <c r="A176" s="1531" t="s">
        <v>241</v>
      </c>
      <c r="B176" s="1529" t="s">
        <v>973</v>
      </c>
      <c r="C176" s="1533">
        <f>MR!I33</f>
        <v>277</v>
      </c>
      <c r="D176" s="1529" t="s">
        <v>2555</v>
      </c>
      <c r="E176" s="1468"/>
      <c r="F176" s="1469">
        <f>1/2.245</f>
        <v>0.44543429844097993</v>
      </c>
      <c r="G176" s="1469">
        <f t="shared" si="12"/>
        <v>123.39</v>
      </c>
      <c r="H176" s="1538">
        <f>1/2.114</f>
        <v>0.47303689687795653</v>
      </c>
      <c r="I176" s="1469">
        <f t="shared" si="12"/>
        <v>131.03</v>
      </c>
      <c r="J176" s="1538"/>
      <c r="K176" s="1469">
        <f t="shared" si="13"/>
        <v>0</v>
      </c>
      <c r="L176" s="1538"/>
      <c r="M176" s="1469">
        <f t="shared" si="14"/>
        <v>0</v>
      </c>
    </row>
    <row r="177" spans="1:13" ht="12.75">
      <c r="A177" s="1531" t="s">
        <v>2647</v>
      </c>
      <c r="B177" s="1529" t="s">
        <v>973</v>
      </c>
      <c r="C177" s="1533">
        <f>MR!I31</f>
        <v>71</v>
      </c>
      <c r="D177" s="1529" t="s">
        <v>2555</v>
      </c>
      <c r="E177" s="1468"/>
      <c r="F177" s="1469">
        <f>2/2.245</f>
        <v>0.89086859688195985</v>
      </c>
      <c r="G177" s="1469">
        <f t="shared" si="12"/>
        <v>63.25</v>
      </c>
      <c r="H177" s="1538">
        <f>2/2.114</f>
        <v>0.94607379375591305</v>
      </c>
      <c r="I177" s="1469">
        <f t="shared" si="12"/>
        <v>67.17</v>
      </c>
      <c r="J177" s="1538"/>
      <c r="K177" s="1469">
        <f t="shared" si="13"/>
        <v>0</v>
      </c>
      <c r="L177" s="1538"/>
      <c r="M177" s="1469">
        <f t="shared" si="14"/>
        <v>0</v>
      </c>
    </row>
    <row r="178" spans="1:13" ht="12.75">
      <c r="A178" s="1531" t="s">
        <v>243</v>
      </c>
      <c r="B178" s="1529" t="s">
        <v>973</v>
      </c>
      <c r="C178" s="1533">
        <f>MR!I34</f>
        <v>159</v>
      </c>
      <c r="D178" s="1529" t="s">
        <v>2555</v>
      </c>
      <c r="E178" s="1468"/>
      <c r="F178" s="1469">
        <f>1/2.245</f>
        <v>0.44543429844097993</v>
      </c>
      <c r="G178" s="1469">
        <f t="shared" si="12"/>
        <v>70.819999999999993</v>
      </c>
      <c r="H178" s="1538">
        <f>2/2.114</f>
        <v>0.94607379375591305</v>
      </c>
      <c r="I178" s="1469">
        <f t="shared" si="12"/>
        <v>150.43</v>
      </c>
      <c r="J178" s="1538"/>
      <c r="K178" s="1469">
        <f t="shared" si="13"/>
        <v>0</v>
      </c>
      <c r="L178" s="1538"/>
      <c r="M178" s="1469">
        <f t="shared" si="14"/>
        <v>0</v>
      </c>
    </row>
    <row r="179" spans="1:13" ht="12.75">
      <c r="A179" s="1531" t="s">
        <v>260</v>
      </c>
      <c r="B179" s="1529" t="s">
        <v>973</v>
      </c>
      <c r="C179" s="1532">
        <f>MR!I19</f>
        <v>462.70571428571429</v>
      </c>
      <c r="D179" s="1529"/>
      <c r="E179" s="1468"/>
      <c r="F179" s="1469">
        <f>4.65/2.245</f>
        <v>2.0712694877505569</v>
      </c>
      <c r="G179" s="1469">
        <f t="shared" si="12"/>
        <v>958.39</v>
      </c>
      <c r="H179" s="1538"/>
      <c r="I179" s="1469">
        <f t="shared" si="12"/>
        <v>0</v>
      </c>
      <c r="J179" s="1538"/>
      <c r="K179" s="1469">
        <f t="shared" si="13"/>
        <v>0</v>
      </c>
      <c r="L179" s="1538"/>
      <c r="M179" s="1469">
        <f t="shared" si="14"/>
        <v>0</v>
      </c>
    </row>
    <row r="180" spans="1:13" ht="12.75">
      <c r="A180" s="1531" t="s">
        <v>2582</v>
      </c>
      <c r="B180" s="1529" t="s">
        <v>973</v>
      </c>
      <c r="C180" s="1532">
        <f>'Rate-1'!$I$38</f>
        <v>1225</v>
      </c>
      <c r="D180" s="1534">
        <v>1</v>
      </c>
      <c r="E180" s="1468">
        <f>ROUND($C180*D180,2)</f>
        <v>1225</v>
      </c>
      <c r="F180" s="1469">
        <f>7/2.245</f>
        <v>3.1180400890868594</v>
      </c>
      <c r="G180" s="1469">
        <f t="shared" si="12"/>
        <v>3819.6</v>
      </c>
      <c r="H180" s="1538">
        <f>10/2.114</f>
        <v>4.7303689687795654</v>
      </c>
      <c r="I180" s="1469">
        <f t="shared" si="12"/>
        <v>5794.7</v>
      </c>
      <c r="J180" s="1538">
        <v>17.600000000000001</v>
      </c>
      <c r="K180" s="1469">
        <f t="shared" si="13"/>
        <v>21560</v>
      </c>
      <c r="L180" s="1538">
        <v>0.14000000000000001</v>
      </c>
      <c r="M180" s="1469">
        <f t="shared" si="14"/>
        <v>171.5</v>
      </c>
    </row>
    <row r="181" spans="1:13" ht="12.75">
      <c r="A181" s="1531" t="s">
        <v>2597</v>
      </c>
      <c r="B181" s="1529" t="s">
        <v>973</v>
      </c>
      <c r="C181" s="1532">
        <f>'Rate-1'!$I$39</f>
        <v>920</v>
      </c>
      <c r="D181" s="1534">
        <v>3.5</v>
      </c>
      <c r="E181" s="1468">
        <f>ROUND($C181*D181,2)</f>
        <v>3220</v>
      </c>
      <c r="F181" s="1469">
        <f>0.7/2.245</f>
        <v>0.31180400890868593</v>
      </c>
      <c r="G181" s="1469">
        <f t="shared" si="12"/>
        <v>286.86</v>
      </c>
      <c r="H181" s="1538">
        <f>1/2.114</f>
        <v>0.47303689687795653</v>
      </c>
      <c r="I181" s="1469">
        <f t="shared" si="12"/>
        <v>435.19</v>
      </c>
      <c r="J181" s="1538">
        <v>1.76</v>
      </c>
      <c r="K181" s="1469">
        <f t="shared" si="13"/>
        <v>1619.2</v>
      </c>
      <c r="L181" s="1537">
        <v>1.43E-2</v>
      </c>
      <c r="M181" s="1469">
        <f t="shared" si="14"/>
        <v>13.16</v>
      </c>
    </row>
    <row r="182" spans="1:13" ht="12.75">
      <c r="A182" s="1531" t="s">
        <v>1108</v>
      </c>
      <c r="B182" s="1529"/>
      <c r="C182" s="1532"/>
      <c r="D182" s="1534"/>
      <c r="E182" s="1533">
        <f>SUM(E172:E181)</f>
        <v>4445</v>
      </c>
      <c r="F182" s="1529"/>
      <c r="G182" s="1539">
        <f>SUM(G172:G181)</f>
        <v>6367.4999999999991</v>
      </c>
      <c r="H182" s="1529"/>
      <c r="I182" s="1539">
        <f>SUM(I172:I181)</f>
        <v>9031.77</v>
      </c>
      <c r="J182" s="1529"/>
      <c r="K182" s="1540">
        <f>SUM(K172:K181)</f>
        <v>83499.199999999997</v>
      </c>
      <c r="L182" s="1529"/>
      <c r="M182" s="1539">
        <f>SUM(M172:M181)</f>
        <v>1788.16</v>
      </c>
    </row>
    <row r="183" spans="1:13" ht="12.75">
      <c r="A183" s="1531" t="s">
        <v>2625</v>
      </c>
      <c r="B183" s="1533"/>
      <c r="C183" s="1541">
        <v>0.15</v>
      </c>
      <c r="D183" s="1542"/>
      <c r="E183" s="1468">
        <f>ROUND($C183*E182,2)</f>
        <v>666.75</v>
      </c>
      <c r="F183" s="1533"/>
      <c r="G183" s="1468">
        <f>ROUND($C183*G182,2)</f>
        <v>955.13</v>
      </c>
      <c r="H183" s="1533"/>
      <c r="I183" s="1468">
        <f>ROUND($C183*I182,2)</f>
        <v>1354.77</v>
      </c>
      <c r="J183" s="1533"/>
      <c r="K183" s="1468">
        <f>ROUND($C183*K182,2)</f>
        <v>12524.88</v>
      </c>
      <c r="L183" s="1533"/>
      <c r="M183" s="1469">
        <f>ROUND($C183*M182,2)</f>
        <v>268.22000000000003</v>
      </c>
    </row>
    <row r="184" spans="1:13" ht="12.75">
      <c r="A184" s="1543" t="s">
        <v>2648</v>
      </c>
      <c r="B184" s="1544"/>
      <c r="C184" s="1544"/>
      <c r="D184" s="1544"/>
      <c r="E184" s="1545">
        <f>SUM(E182:E183)</f>
        <v>5111.75</v>
      </c>
      <c r="F184" s="1544"/>
      <c r="G184" s="1545">
        <f>SUM(G182:G183)</f>
        <v>7322.6299999999992</v>
      </c>
      <c r="H184" s="1544"/>
      <c r="I184" s="1545">
        <f>SUM(I182:I183)</f>
        <v>10386.540000000001</v>
      </c>
      <c r="J184" s="1544"/>
      <c r="K184" s="1546">
        <f>SUM(K182:K183)</f>
        <v>96024.08</v>
      </c>
      <c r="L184" s="1544"/>
      <c r="M184" s="1545">
        <f>SUM(M182:M183)</f>
        <v>2056.38</v>
      </c>
    </row>
    <row r="188" spans="1:13" ht="12.75">
      <c r="E188" s="1463"/>
      <c r="F188" s="1463"/>
      <c r="G188" s="1463"/>
    </row>
  </sheetData>
  <mergeCells count="90">
    <mergeCell ref="A170:A171"/>
    <mergeCell ref="B170:B171"/>
    <mergeCell ref="C170:C171"/>
    <mergeCell ref="J170:K170"/>
    <mergeCell ref="L170:M170"/>
    <mergeCell ref="A129:A130"/>
    <mergeCell ref="B129:B130"/>
    <mergeCell ref="C129:C130"/>
    <mergeCell ref="A145:A146"/>
    <mergeCell ref="B145:B146"/>
    <mergeCell ref="C145:C146"/>
    <mergeCell ref="Q85:Q86"/>
    <mergeCell ref="H96:I96"/>
    <mergeCell ref="J96:K96"/>
    <mergeCell ref="L96:M96"/>
    <mergeCell ref="A113:A114"/>
    <mergeCell ref="B113:B114"/>
    <mergeCell ref="C113:C114"/>
    <mergeCell ref="J113:K113"/>
    <mergeCell ref="A96:A97"/>
    <mergeCell ref="B96:B97"/>
    <mergeCell ref="C96:C97"/>
    <mergeCell ref="D96:E96"/>
    <mergeCell ref="F96:G96"/>
    <mergeCell ref="A85:A86"/>
    <mergeCell ref="B85:B86"/>
    <mergeCell ref="C85:C86"/>
    <mergeCell ref="J85:K85"/>
    <mergeCell ref="L85:M85"/>
    <mergeCell ref="O85:O86"/>
    <mergeCell ref="P85:P86"/>
    <mergeCell ref="D85:E85"/>
    <mergeCell ref="F85:G85"/>
    <mergeCell ref="H85:I85"/>
    <mergeCell ref="Q65:Q66"/>
    <mergeCell ref="V65:W65"/>
    <mergeCell ref="A65:A66"/>
    <mergeCell ref="B65:B66"/>
    <mergeCell ref="C65:C66"/>
    <mergeCell ref="D65:E65"/>
    <mergeCell ref="F65:G65"/>
    <mergeCell ref="H65:I65"/>
    <mergeCell ref="O65:O66"/>
    <mergeCell ref="P65:P66"/>
    <mergeCell ref="J65:K65"/>
    <mergeCell ref="L65:M65"/>
    <mergeCell ref="T36:U36"/>
    <mergeCell ref="A51:A52"/>
    <mergeCell ref="B51:B52"/>
    <mergeCell ref="C51:C52"/>
    <mergeCell ref="D51:E51"/>
    <mergeCell ref="F51:G51"/>
    <mergeCell ref="Q51:Q52"/>
    <mergeCell ref="O36:O37"/>
    <mergeCell ref="P36:P37"/>
    <mergeCell ref="Q36:Q37"/>
    <mergeCell ref="R36:S36"/>
    <mergeCell ref="H51:I51"/>
    <mergeCell ref="J51:K51"/>
    <mergeCell ref="L51:M51"/>
    <mergeCell ref="O51:O52"/>
    <mergeCell ref="P51:P52"/>
    <mergeCell ref="J26:K26"/>
    <mergeCell ref="L26:M26"/>
    <mergeCell ref="A36:A37"/>
    <mergeCell ref="B36:B37"/>
    <mergeCell ref="C36:C37"/>
    <mergeCell ref="D36:E36"/>
    <mergeCell ref="F36:G36"/>
    <mergeCell ref="H36:I36"/>
    <mergeCell ref="J36:K36"/>
    <mergeCell ref="L36:M36"/>
    <mergeCell ref="A26:A27"/>
    <mergeCell ref="B26:B27"/>
    <mergeCell ref="C26:C27"/>
    <mergeCell ref="D26:E26"/>
    <mergeCell ref="F26:G26"/>
    <mergeCell ref="H26:I26"/>
    <mergeCell ref="J7:K7"/>
    <mergeCell ref="L7:M7"/>
    <mergeCell ref="A16:A17"/>
    <mergeCell ref="B16:B17"/>
    <mergeCell ref="C16:C17"/>
    <mergeCell ref="D16:E16"/>
    <mergeCell ref="A7:A8"/>
    <mergeCell ref="B7:B8"/>
    <mergeCell ref="C7:C8"/>
    <mergeCell ref="D7:E7"/>
    <mergeCell ref="F7:G7"/>
    <mergeCell ref="H7:I7"/>
  </mergeCells>
  <printOptions horizontalCentered="1"/>
  <pageMargins left="0.75" right="0.75" top="0.64" bottom="0.32" header="0.5" footer="0.16"/>
  <pageSetup paperSize="9" scale="95" orientation="landscape" horizontalDpi="180" verticalDpi="180" r:id="rId1"/>
  <headerFooter alignWithMargins="0">
    <oddFooter>&amp;LEstimated by&amp;CChecked by&amp;RApproved by</oddFooter>
  </headerFooter>
  <rowBreaks count="5" manualBreakCount="5">
    <brk id="32" max="65535" man="1"/>
    <brk id="62" max="65535" man="1"/>
    <brk id="94" max="12" man="1"/>
    <brk id="127" max="12" man="1"/>
    <brk id="157" max="12"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B1:P152"/>
  <sheetViews>
    <sheetView view="pageLayout" topLeftCell="A70" workbookViewId="0">
      <selection activeCell="C22" sqref="C22"/>
    </sheetView>
  </sheetViews>
  <sheetFormatPr defaultColWidth="6.7109375" defaultRowHeight="12"/>
  <cols>
    <col min="1" max="1" width="1.85546875" style="2596" customWidth="1"/>
    <col min="2" max="2" width="4" style="2614" customWidth="1"/>
    <col min="3" max="3" width="35.42578125" style="2596" customWidth="1"/>
    <col min="4" max="4" width="3.7109375" style="2596" customWidth="1"/>
    <col min="5" max="5" width="4.7109375" style="2596" customWidth="1"/>
    <col min="6" max="6" width="6.28515625" style="2596" customWidth="1"/>
    <col min="7" max="7" width="5" style="2596" customWidth="1"/>
    <col min="8" max="8" width="5.28515625" style="2596" customWidth="1"/>
    <col min="9" max="9" width="7.7109375" style="2596" customWidth="1"/>
    <col min="10" max="10" width="4.28515625" style="2596" customWidth="1"/>
    <col min="11" max="11" width="8.5703125" style="2596" hidden="1" customWidth="1"/>
    <col min="12" max="12" width="10.42578125" style="2596" hidden="1" customWidth="1"/>
    <col min="13" max="13" width="6" style="2596" customWidth="1"/>
    <col min="14" max="14" width="5.28515625" style="2596" customWidth="1"/>
    <col min="15" max="15" width="11.140625" style="2596" bestFit="1" customWidth="1"/>
    <col min="16" max="22" width="4.7109375" style="2596" customWidth="1"/>
    <col min="23" max="23" width="10.42578125" style="2596" customWidth="1"/>
    <col min="24" max="16384" width="6.7109375" style="2596"/>
  </cols>
  <sheetData>
    <row r="1" spans="2:16" ht="15">
      <c r="B1" s="3110" t="s">
        <v>3515</v>
      </c>
      <c r="C1" s="3110"/>
      <c r="D1" s="3110"/>
      <c r="E1" s="3110"/>
      <c r="F1" s="3110"/>
      <c r="G1" s="3110"/>
      <c r="H1" s="3110"/>
      <c r="I1" s="3110"/>
      <c r="J1" s="3110"/>
      <c r="K1" s="3110"/>
      <c r="L1" s="3110"/>
      <c r="M1" s="3110"/>
    </row>
    <row r="2" spans="2:16" ht="20.25">
      <c r="B2" s="3111" t="s">
        <v>3516</v>
      </c>
      <c r="C2" s="3111"/>
      <c r="D2" s="3111"/>
      <c r="E2" s="3111"/>
      <c r="F2" s="3111"/>
      <c r="G2" s="3111"/>
      <c r="H2" s="3111"/>
      <c r="I2" s="3111"/>
      <c r="J2" s="3111"/>
      <c r="K2" s="3111"/>
      <c r="L2" s="3111"/>
      <c r="M2" s="3111"/>
    </row>
    <row r="3" spans="2:16" ht="20.25">
      <c r="B3" s="3112" t="s">
        <v>3517</v>
      </c>
      <c r="C3" s="3111"/>
      <c r="D3" s="3111"/>
      <c r="E3" s="3111"/>
      <c r="F3" s="3111"/>
      <c r="G3" s="3111"/>
      <c r="H3" s="3111"/>
      <c r="I3" s="3111"/>
      <c r="J3" s="3111"/>
      <c r="K3" s="3111"/>
      <c r="L3" s="3111"/>
      <c r="M3" s="3111"/>
    </row>
    <row r="4" spans="2:16" ht="20.25">
      <c r="B4" s="513" t="s">
        <v>3529</v>
      </c>
      <c r="C4" s="2743"/>
      <c r="D4" s="2743"/>
      <c r="E4" s="2743"/>
      <c r="F4" s="2743"/>
      <c r="G4" s="2743"/>
      <c r="H4" s="2743"/>
      <c r="I4" s="2743"/>
      <c r="J4" s="2743"/>
      <c r="K4" s="2743"/>
      <c r="L4" s="2743"/>
      <c r="M4" s="2743"/>
    </row>
    <row r="5" spans="2:16" ht="20.25">
      <c r="B5" s="2819" t="s">
        <v>3583</v>
      </c>
      <c r="C5" s="2743"/>
      <c r="D5" s="2743"/>
      <c r="E5" s="2743"/>
      <c r="F5" s="2743"/>
      <c r="G5" s="2743"/>
      <c r="H5" s="2743"/>
      <c r="I5" s="2743"/>
      <c r="J5" s="2743"/>
      <c r="K5" s="2743"/>
      <c r="L5" s="2743"/>
      <c r="M5" s="2743"/>
    </row>
    <row r="6" spans="2:16" ht="20.25">
      <c r="B6" s="2819" t="s">
        <v>3584</v>
      </c>
      <c r="C6" s="2743"/>
      <c r="D6" s="2743"/>
      <c r="E6" s="2743"/>
      <c r="F6" s="2743"/>
      <c r="G6" s="2743"/>
      <c r="H6" s="2743"/>
      <c r="I6" s="2743"/>
      <c r="J6" s="2743"/>
      <c r="K6" s="2743"/>
      <c r="L6" s="2743"/>
      <c r="M6" s="2743"/>
    </row>
    <row r="7" spans="2:16" ht="20.25">
      <c r="B7" s="2744" t="s">
        <v>3518</v>
      </c>
      <c r="C7" s="2743"/>
      <c r="D7" s="2743"/>
      <c r="E7" s="2743"/>
      <c r="F7" s="2743"/>
      <c r="G7" s="2743"/>
      <c r="H7" s="2743"/>
      <c r="I7" s="2743"/>
      <c r="J7" s="2743"/>
      <c r="K7" s="2743"/>
      <c r="L7" s="2743"/>
      <c r="M7" s="2745" t="s">
        <v>3520</v>
      </c>
    </row>
    <row r="8" spans="2:16" ht="20.25">
      <c r="B8" s="2744" t="s">
        <v>3519</v>
      </c>
      <c r="C8" s="2743"/>
      <c r="D8" s="2743"/>
      <c r="E8" s="2743"/>
      <c r="F8" s="2743"/>
      <c r="G8" s="2743"/>
      <c r="H8" s="2743"/>
      <c r="I8" s="2743"/>
      <c r="J8" s="2743"/>
      <c r="K8" s="2743"/>
      <c r="L8" s="2743"/>
      <c r="M8" s="2745" t="s">
        <v>3521</v>
      </c>
    </row>
    <row r="9" spans="2:16" ht="12" customHeight="1">
      <c r="B9" s="2597"/>
      <c r="C9" s="2598"/>
      <c r="D9" s="2598"/>
      <c r="E9" s="2597"/>
      <c r="F9" s="2597"/>
      <c r="G9" s="2598"/>
      <c r="H9" s="2598"/>
      <c r="I9" s="2598"/>
      <c r="J9" s="2598"/>
      <c r="K9" s="2597"/>
      <c r="L9" s="2599"/>
      <c r="N9" s="2600"/>
    </row>
    <row r="10" spans="2:16" ht="18.75" customHeight="1">
      <c r="B10" s="2601" t="s">
        <v>3306</v>
      </c>
      <c r="C10" s="2602" t="s">
        <v>3307</v>
      </c>
      <c r="D10" s="2601" t="s">
        <v>963</v>
      </c>
      <c r="E10" s="2601" t="s">
        <v>3308</v>
      </c>
      <c r="F10" s="2601" t="s">
        <v>2459</v>
      </c>
      <c r="G10" s="2601" t="s">
        <v>712</v>
      </c>
      <c r="H10" s="2601" t="s">
        <v>2920</v>
      </c>
      <c r="I10" s="2601" t="s">
        <v>3309</v>
      </c>
      <c r="J10" s="3108" t="s">
        <v>1035</v>
      </c>
      <c r="K10" s="2603" t="s">
        <v>97</v>
      </c>
      <c r="L10" s="2603" t="s">
        <v>52</v>
      </c>
      <c r="M10" s="2604" t="s">
        <v>3310</v>
      </c>
    </row>
    <row r="11" spans="2:16" ht="15.75" customHeight="1">
      <c r="B11" s="2605" t="s">
        <v>3311</v>
      </c>
      <c r="C11" s="2606"/>
      <c r="D11" s="2607"/>
      <c r="E11" s="2605" t="s">
        <v>3312</v>
      </c>
      <c r="F11" s="2605" t="s">
        <v>3312</v>
      </c>
      <c r="G11" s="2605" t="s">
        <v>3312</v>
      </c>
      <c r="H11" s="2605" t="s">
        <v>3312</v>
      </c>
      <c r="I11" s="2608"/>
      <c r="J11" s="3109"/>
      <c r="K11" s="2609" t="s">
        <v>1451</v>
      </c>
      <c r="L11" s="2609" t="s">
        <v>1451</v>
      </c>
      <c r="M11" s="2610" t="s">
        <v>949</v>
      </c>
      <c r="N11" s="2611"/>
      <c r="O11" s="2612"/>
      <c r="P11" s="2612"/>
    </row>
    <row r="12" spans="2:16" ht="15.75" customHeight="1">
      <c r="B12" s="2613"/>
      <c r="C12" s="2614" t="s">
        <v>3313</v>
      </c>
      <c r="D12" s="2615">
        <f>VLOOKUP(G12,SizRCT,3,FALSE)</f>
        <v>3</v>
      </c>
      <c r="E12" s="2616"/>
      <c r="G12" s="2617">
        <v>200</v>
      </c>
      <c r="I12" s="2616"/>
      <c r="J12" s="2616"/>
      <c r="K12" s="2618"/>
      <c r="L12" s="2619" t="s">
        <v>3314</v>
      </c>
      <c r="M12" s="2620">
        <v>0.2</v>
      </c>
      <c r="N12" s="2611"/>
      <c r="O12" s="2612"/>
      <c r="P12" s="2612"/>
    </row>
    <row r="13" spans="2:16" ht="15.75" customHeight="1">
      <c r="B13" s="2621"/>
      <c r="C13" s="2622" t="s">
        <v>3315</v>
      </c>
      <c r="D13" s="2623">
        <v>10.5</v>
      </c>
      <c r="E13" s="2624"/>
      <c r="F13" s="2625" t="s">
        <v>3316</v>
      </c>
      <c r="G13" s="2625"/>
      <c r="H13" s="2626">
        <f>VLOOKUP(G12,SizRCT,5,FALSE)</f>
        <v>230.93062198375173</v>
      </c>
      <c r="I13" s="2627" t="s">
        <v>3317</v>
      </c>
      <c r="J13" s="2624"/>
      <c r="K13" s="2628"/>
      <c r="L13" s="2629" t="s">
        <v>3318</v>
      </c>
      <c r="M13" s="2630">
        <f>VLOOKUP(G12,SizRCT,4,FALSE)</f>
        <v>1.71</v>
      </c>
      <c r="N13" s="2611"/>
      <c r="O13" s="2612"/>
      <c r="P13" s="2612"/>
    </row>
    <row r="14" spans="2:16" ht="15.75" customHeight="1">
      <c r="B14" s="2631"/>
      <c r="C14" s="2632"/>
      <c r="D14" s="2633"/>
      <c r="E14" s="2633"/>
      <c r="F14" s="2633"/>
      <c r="G14" s="2633"/>
      <c r="H14" s="2633"/>
      <c r="I14" s="2633"/>
      <c r="J14" s="2633"/>
      <c r="K14" s="2634"/>
      <c r="L14" s="2634"/>
      <c r="M14" s="2635"/>
      <c r="N14" s="2611"/>
      <c r="O14" s="2612"/>
      <c r="P14" s="2612"/>
    </row>
    <row r="15" spans="2:16" ht="15.75" customHeight="1">
      <c r="B15" s="2631">
        <v>1</v>
      </c>
      <c r="C15" s="2632" t="s">
        <v>26</v>
      </c>
      <c r="D15" s="2636">
        <v>1</v>
      </c>
      <c r="E15" s="2637">
        <f>D13</f>
        <v>10.5</v>
      </c>
      <c r="F15" s="2636"/>
      <c r="G15" s="2636"/>
      <c r="H15" s="2636"/>
      <c r="I15" s="2638">
        <f>PI()*E15^2</f>
        <v>346.36059005827468</v>
      </c>
      <c r="J15" s="2636" t="s">
        <v>1154</v>
      </c>
      <c r="K15" s="2639">
        <f>Rates!F7</f>
        <v>149.5</v>
      </c>
      <c r="L15" s="2640">
        <f>I15*K15</f>
        <v>51780.908213712064</v>
      </c>
      <c r="M15" s="2641" t="s">
        <v>2595</v>
      </c>
      <c r="N15" s="2611"/>
      <c r="O15" s="2612"/>
      <c r="P15" s="2612"/>
    </row>
    <row r="16" spans="2:16" ht="15.75" customHeight="1">
      <c r="B16" s="2631"/>
      <c r="C16" s="2632"/>
      <c r="D16" s="2636"/>
      <c r="E16" s="2636"/>
      <c r="F16" s="2636"/>
      <c r="G16" s="2636"/>
      <c r="H16" s="2636"/>
      <c r="I16" s="2636"/>
      <c r="J16" s="2636"/>
      <c r="K16" s="2636"/>
      <c r="L16" s="2636"/>
      <c r="M16" s="2641"/>
      <c r="N16" s="2611"/>
      <c r="O16" s="2735" t="e">
        <f>L15+'reservoir 150 '!L16+'reservoir 50'!L16+#REF!</f>
        <v>#REF!</v>
      </c>
      <c r="P16" s="2612"/>
    </row>
    <row r="17" spans="2:16" ht="15.75" customHeight="1">
      <c r="B17" s="2631">
        <f>B15+1</f>
        <v>2</v>
      </c>
      <c r="C17" s="2632" t="s">
        <v>3451</v>
      </c>
      <c r="D17" s="2636"/>
      <c r="E17" s="2636"/>
      <c r="F17" s="2636"/>
      <c r="G17" s="2636"/>
      <c r="H17" s="2636"/>
      <c r="I17" s="2636"/>
      <c r="J17" s="2636"/>
      <c r="K17" s="2636"/>
      <c r="L17" s="2636"/>
      <c r="M17" s="2641"/>
      <c r="N17" s="2611"/>
      <c r="O17" s="2612"/>
      <c r="P17" s="2612"/>
    </row>
    <row r="18" spans="2:16" ht="15.75" customHeight="1">
      <c r="B18" s="2631"/>
      <c r="C18" s="2642" t="s">
        <v>3320</v>
      </c>
      <c r="D18" s="2636">
        <v>1</v>
      </c>
      <c r="E18" s="2636"/>
      <c r="F18" s="2640">
        <v>3.2</v>
      </c>
      <c r="G18" s="2640">
        <v>2</v>
      </c>
      <c r="H18" s="2640">
        <v>1.5</v>
      </c>
      <c r="I18" s="2638">
        <f>D18*F18*G18*H18</f>
        <v>9.6000000000000014</v>
      </c>
      <c r="J18" s="2636"/>
      <c r="K18" s="2636"/>
      <c r="L18" s="2638"/>
      <c r="M18" s="2641"/>
      <c r="N18" s="2611"/>
      <c r="O18" s="2612"/>
      <c r="P18" s="2612"/>
    </row>
    <row r="19" spans="2:16" ht="15.75" customHeight="1">
      <c r="B19" s="2631"/>
      <c r="C19" s="2642" t="s">
        <v>3321</v>
      </c>
      <c r="D19" s="2636">
        <v>1</v>
      </c>
      <c r="E19" s="2640">
        <f>D13/2+M12+0.5</f>
        <v>5.95</v>
      </c>
      <c r="F19" s="2640"/>
      <c r="G19" s="2640"/>
      <c r="H19" s="2640">
        <v>1.5</v>
      </c>
      <c r="I19" s="2638">
        <f>PI()*E19^2*H19</f>
        <v>166.830350878069</v>
      </c>
      <c r="J19" s="2636"/>
      <c r="K19" s="2636"/>
      <c r="L19" s="2638"/>
      <c r="M19" s="2641"/>
      <c r="N19" s="2611"/>
      <c r="O19" s="2612"/>
      <c r="P19" s="2612"/>
    </row>
    <row r="20" spans="2:16" ht="15.75" customHeight="1">
      <c r="B20" s="2631"/>
      <c r="C20" s="2632" t="s">
        <v>3322</v>
      </c>
      <c r="D20" s="2636">
        <v>1</v>
      </c>
      <c r="E20" s="2640"/>
      <c r="F20" s="2640">
        <v>10</v>
      </c>
      <c r="G20" s="2640">
        <v>0.6</v>
      </c>
      <c r="H20" s="2640">
        <v>0.9</v>
      </c>
      <c r="I20" s="2643">
        <f>D20*F20*G20*H20</f>
        <v>5.4</v>
      </c>
      <c r="J20" s="2636"/>
      <c r="K20" s="2636"/>
      <c r="L20" s="2638"/>
      <c r="M20" s="2641"/>
      <c r="N20" s="2611"/>
      <c r="O20" s="2612"/>
      <c r="P20" s="2612"/>
    </row>
    <row r="21" spans="2:16" ht="15.75" customHeight="1">
      <c r="B21" s="2631"/>
      <c r="C21" s="2632"/>
      <c r="D21" s="2636"/>
      <c r="E21" s="2640"/>
      <c r="F21" s="2640"/>
      <c r="G21" s="2640"/>
      <c r="H21" s="2640"/>
      <c r="I21" s="2638">
        <f>SUM(I18:I20)</f>
        <v>181.830350878069</v>
      </c>
      <c r="J21" s="2640" t="s">
        <v>1426</v>
      </c>
      <c r="K21" s="2644">
        <f>Rates!F8</f>
        <v>1184.5</v>
      </c>
      <c r="L21" s="2640">
        <f>I21*K21</f>
        <v>215378.05061507272</v>
      </c>
      <c r="M21" s="2645">
        <v>2.14</v>
      </c>
      <c r="N21" s="2611"/>
      <c r="O21" s="2737" t="e">
        <f>L21+'reservoir 150 '!L22+'reservoir 50'!L21+#REF!+#REF!</f>
        <v>#REF!</v>
      </c>
      <c r="P21" s="2612"/>
    </row>
    <row r="22" spans="2:16" ht="15.75" customHeight="1">
      <c r="B22" s="2631">
        <f>B17+1</f>
        <v>3</v>
      </c>
      <c r="C22" s="2646" t="s">
        <v>3323</v>
      </c>
      <c r="D22" s="2636">
        <v>1</v>
      </c>
      <c r="E22" s="2640"/>
      <c r="F22" s="2640"/>
      <c r="G22" s="2640"/>
      <c r="H22" s="2640">
        <v>1.1000000000000001</v>
      </c>
      <c r="I22" s="2638">
        <f>((D13/2+0.8)^2-(D13/2+0.05)^2)*PI()*H22</f>
        <v>29.417088210051425</v>
      </c>
      <c r="J22" s="2640" t="s">
        <v>1426</v>
      </c>
      <c r="K22" s="2644">
        <f>Rates!F14</f>
        <v>592.25</v>
      </c>
      <c r="L22" s="2640">
        <f>I22*K22</f>
        <v>17422.270492402957</v>
      </c>
      <c r="M22" s="2645" t="s">
        <v>3324</v>
      </c>
      <c r="N22" s="2611"/>
      <c r="O22" s="2735" t="e">
        <f>L22+'reservoir 150 '!L23+'reservoir 50'!L22+#REF!</f>
        <v>#REF!</v>
      </c>
      <c r="P22" s="2612"/>
    </row>
    <row r="23" spans="2:16" ht="15.75" customHeight="1">
      <c r="B23" s="2631"/>
      <c r="C23" s="2632"/>
      <c r="D23" s="2636"/>
      <c r="E23" s="2640"/>
      <c r="F23" s="2640"/>
      <c r="G23" s="2640"/>
      <c r="H23" s="2640"/>
      <c r="I23" s="2638"/>
      <c r="J23" s="2636"/>
      <c r="K23" s="2636"/>
      <c r="L23" s="2638"/>
      <c r="M23" s="2641"/>
      <c r="N23" s="2611"/>
      <c r="O23" s="2612"/>
      <c r="P23" s="2612"/>
    </row>
    <row r="24" spans="2:16" ht="15.75" customHeight="1">
      <c r="B24" s="2631">
        <f>B22+1</f>
        <v>4</v>
      </c>
      <c r="C24" s="2632" t="s">
        <v>3325</v>
      </c>
      <c r="D24" s="2636"/>
      <c r="E24" s="2640"/>
      <c r="F24" s="2640"/>
      <c r="G24" s="2640"/>
      <c r="H24" s="2640"/>
      <c r="I24" s="2638"/>
      <c r="J24" s="2636"/>
      <c r="K24" s="2636"/>
      <c r="L24" s="2638"/>
      <c r="M24" s="2641"/>
      <c r="N24" s="2611"/>
      <c r="O24" s="2612"/>
      <c r="P24" s="2612"/>
    </row>
    <row r="25" spans="2:16" ht="15.75" customHeight="1">
      <c r="B25" s="2631"/>
      <c r="C25" s="2642" t="s">
        <v>3320</v>
      </c>
      <c r="D25" s="2636">
        <f>D18</f>
        <v>1</v>
      </c>
      <c r="E25" s="2640"/>
      <c r="F25" s="2640">
        <v>3.2</v>
      </c>
      <c r="G25" s="2640">
        <v>2</v>
      </c>
      <c r="H25" s="2640">
        <v>0.15</v>
      </c>
      <c r="I25" s="2638">
        <f>D25*F25*G25*H25</f>
        <v>0.96</v>
      </c>
      <c r="J25" s="2636"/>
      <c r="K25" s="2636"/>
      <c r="L25" s="2638"/>
      <c r="M25" s="2641"/>
      <c r="N25" s="2611"/>
      <c r="O25" s="2612"/>
      <c r="P25" s="2612"/>
    </row>
    <row r="26" spans="2:16" ht="15.75" customHeight="1">
      <c r="B26" s="2631"/>
      <c r="C26" s="2642" t="s">
        <v>3321</v>
      </c>
      <c r="D26" s="2636">
        <v>1</v>
      </c>
      <c r="E26" s="2640">
        <f>E19</f>
        <v>5.95</v>
      </c>
      <c r="F26" s="2640"/>
      <c r="G26" s="2640"/>
      <c r="H26" s="2640">
        <v>0.2</v>
      </c>
      <c r="I26" s="2638">
        <f>PI()*E26^2*H26</f>
        <v>22.244046783742533</v>
      </c>
      <c r="J26" s="2636"/>
      <c r="K26" s="2636"/>
      <c r="L26" s="2638"/>
      <c r="M26" s="2641"/>
      <c r="N26" s="2611"/>
      <c r="O26" s="2612"/>
      <c r="P26" s="2612"/>
    </row>
    <row r="27" spans="2:16" ht="15.75" customHeight="1">
      <c r="B27" s="2631"/>
      <c r="C27" s="2632"/>
      <c r="D27" s="2636"/>
      <c r="E27" s="2640"/>
      <c r="F27" s="2640"/>
      <c r="G27" s="2640"/>
      <c r="H27" s="2640"/>
      <c r="I27" s="2638">
        <f>SUM(I25:I26)</f>
        <v>23.204046783742534</v>
      </c>
      <c r="J27" s="2640" t="s">
        <v>1426</v>
      </c>
      <c r="K27" s="2644">
        <f>Rates!F19</f>
        <v>5523.35</v>
      </c>
      <c r="L27" s="2640">
        <f>I27*K27</f>
        <v>128164.07180298433</v>
      </c>
      <c r="M27" s="2645" t="s">
        <v>3326</v>
      </c>
      <c r="N27" s="2611"/>
      <c r="O27" s="2737" t="e">
        <f>L27+'reservoir 150 '!L28+'reservoir 50'!L27+#REF!+#REF!</f>
        <v>#REF!</v>
      </c>
      <c r="P27" s="2612"/>
    </row>
    <row r="28" spans="2:16" ht="15.75" customHeight="1">
      <c r="B28" s="2631">
        <f>B22+1</f>
        <v>4</v>
      </c>
      <c r="C28" s="2632" t="s">
        <v>3327</v>
      </c>
      <c r="D28" s="2636"/>
      <c r="E28" s="2640"/>
      <c r="F28" s="2640"/>
      <c r="G28" s="2640"/>
      <c r="H28" s="2640"/>
      <c r="I28" s="2638"/>
      <c r="J28" s="2640"/>
      <c r="K28" s="2640"/>
      <c r="L28" s="2638"/>
      <c r="M28" s="2645"/>
      <c r="N28" s="2611"/>
      <c r="O28" s="2612"/>
      <c r="P28" s="2612"/>
    </row>
    <row r="29" spans="2:16" ht="15.75" customHeight="1">
      <c r="B29" s="2631"/>
      <c r="C29" s="2632"/>
      <c r="D29" s="2636"/>
      <c r="E29" s="2640"/>
      <c r="F29" s="2640"/>
      <c r="G29" s="2640"/>
      <c r="H29" s="2640"/>
      <c r="I29" s="2638"/>
      <c r="J29" s="2640"/>
      <c r="K29" s="2640"/>
      <c r="L29" s="2638"/>
      <c r="M29" s="2645"/>
      <c r="N29" s="2611"/>
      <c r="O29" s="2612"/>
      <c r="P29" s="2612"/>
    </row>
    <row r="30" spans="2:16" ht="15.75" customHeight="1">
      <c r="B30" s="2631"/>
      <c r="C30" s="2632" t="s">
        <v>3400</v>
      </c>
      <c r="D30" s="2636">
        <v>1</v>
      </c>
      <c r="E30" s="2640"/>
      <c r="F30" s="2640">
        <f>7.8</f>
        <v>7.8</v>
      </c>
      <c r="G30" s="2640">
        <v>0.45</v>
      </c>
      <c r="H30" s="2640">
        <v>2</v>
      </c>
      <c r="I30" s="2638">
        <f>PRODUCT(D30:H30)</f>
        <v>7.02</v>
      </c>
      <c r="J30" s="2640"/>
      <c r="K30" s="2640"/>
      <c r="L30" s="2638"/>
      <c r="M30" s="2645"/>
      <c r="N30" s="2611"/>
      <c r="O30" s="2612"/>
      <c r="P30" s="2612"/>
    </row>
    <row r="31" spans="2:16" ht="15.75" customHeight="1">
      <c r="B31" s="2631"/>
      <c r="C31" s="2632"/>
      <c r="D31" s="2636"/>
      <c r="E31" s="2640"/>
      <c r="F31" s="2640"/>
      <c r="G31" s="2640"/>
      <c r="H31" s="2640"/>
      <c r="I31" s="2638">
        <f>SUM(I29:I30)</f>
        <v>7.02</v>
      </c>
      <c r="J31" s="2640" t="s">
        <v>1426</v>
      </c>
      <c r="K31" s="2644">
        <f>Rates!F25</f>
        <v>14917.39</v>
      </c>
      <c r="L31" s="2640">
        <f>I31*K31</f>
        <v>104720.07779999998</v>
      </c>
      <c r="M31" s="2645" t="s">
        <v>3328</v>
      </c>
      <c r="N31" s="2611"/>
      <c r="O31" s="2737" t="e">
        <f>L31+'reservoir 150 '!L32+'reservoir 50'!L30+#REF!</f>
        <v>#REF!</v>
      </c>
      <c r="P31" s="2612"/>
    </row>
    <row r="32" spans="2:16" ht="15.75" customHeight="1">
      <c r="B32" s="2631"/>
      <c r="C32" s="2632"/>
      <c r="D32" s="2636"/>
      <c r="E32" s="2640"/>
      <c r="F32" s="2640"/>
      <c r="G32" s="2640"/>
      <c r="H32" s="2640"/>
      <c r="I32" s="2638"/>
      <c r="J32" s="2640"/>
      <c r="K32" s="2644"/>
      <c r="L32" s="2640"/>
      <c r="M32" s="2645"/>
      <c r="N32" s="2611"/>
      <c r="O32" s="2612"/>
      <c r="P32" s="2612"/>
    </row>
    <row r="33" spans="2:16" ht="15.75" customHeight="1">
      <c r="B33" s="2631">
        <f>B31+1</f>
        <v>1</v>
      </c>
      <c r="C33" s="2632" t="s">
        <v>3329</v>
      </c>
      <c r="D33" s="2636">
        <v>1</v>
      </c>
      <c r="E33" s="2640">
        <f>D13/2+M12+0.3</f>
        <v>5.75</v>
      </c>
      <c r="F33" s="2640"/>
      <c r="G33" s="2640"/>
      <c r="H33" s="2640">
        <v>0.1</v>
      </c>
      <c r="I33" s="2638">
        <f>PI()*E33^2*H33</f>
        <v>10.386890710931254</v>
      </c>
      <c r="J33" s="2640" t="s">
        <v>1426</v>
      </c>
      <c r="K33" s="2644">
        <f>Rates!F31</f>
        <v>14810.58</v>
      </c>
      <c r="L33" s="2640">
        <f>I33*K33</f>
        <v>153835.87582550422</v>
      </c>
      <c r="M33" s="2645" t="s">
        <v>3330</v>
      </c>
      <c r="N33" s="2611"/>
      <c r="O33" s="2735" t="e">
        <f>L33+'reservoir 150 '!L34+'reservoir 50'!L32+#REF!</f>
        <v>#REF!</v>
      </c>
      <c r="P33" s="2612"/>
    </row>
    <row r="34" spans="2:16" ht="15.75" customHeight="1">
      <c r="B34" s="2631"/>
      <c r="C34" s="2632"/>
      <c r="D34" s="2636"/>
      <c r="E34" s="2640"/>
      <c r="F34" s="2640"/>
      <c r="G34" s="2640"/>
      <c r="H34" s="2640"/>
      <c r="I34" s="2638"/>
      <c r="J34" s="2636"/>
      <c r="K34" s="2636"/>
      <c r="L34" s="2638"/>
      <c r="M34" s="2641"/>
      <c r="N34" s="2611"/>
      <c r="O34" s="2612"/>
      <c r="P34" s="2612"/>
    </row>
    <row r="35" spans="2:16" ht="15.75" customHeight="1">
      <c r="B35" s="2631">
        <f>B33+1</f>
        <v>2</v>
      </c>
      <c r="C35" s="2632" t="s">
        <v>3331</v>
      </c>
      <c r="D35" s="2636"/>
      <c r="E35" s="2640"/>
      <c r="F35" s="2640"/>
      <c r="G35" s="2640"/>
      <c r="H35" s="2640"/>
      <c r="I35" s="2638"/>
      <c r="J35" s="2636"/>
      <c r="K35" s="2636"/>
      <c r="L35" s="2638"/>
      <c r="M35" s="2641"/>
      <c r="N35" s="2611"/>
      <c r="O35" s="2612"/>
      <c r="P35" s="2612"/>
    </row>
    <row r="36" spans="2:16" ht="15.75" customHeight="1">
      <c r="B36" s="2631"/>
      <c r="C36" s="2642" t="s">
        <v>3332</v>
      </c>
      <c r="D36" s="2636">
        <v>2</v>
      </c>
      <c r="E36" s="2640"/>
      <c r="F36" s="2640">
        <v>3.2</v>
      </c>
      <c r="G36" s="2640">
        <v>2</v>
      </c>
      <c r="H36" s="2640">
        <v>0.1</v>
      </c>
      <c r="I36" s="2638">
        <f>D36*F36*G36*H36</f>
        <v>1.2800000000000002</v>
      </c>
      <c r="J36" s="2636"/>
      <c r="K36" s="2636"/>
      <c r="L36" s="2638"/>
      <c r="M36" s="2641"/>
      <c r="N36" s="2611"/>
      <c r="O36" s="2612"/>
      <c r="P36" s="2612"/>
    </row>
    <row r="37" spans="2:16" ht="15.75" customHeight="1">
      <c r="B37" s="2631"/>
      <c r="C37" s="2642"/>
      <c r="D37" s="2636"/>
      <c r="E37" s="2640"/>
      <c r="F37" s="2640"/>
      <c r="G37" s="2640"/>
      <c r="H37" s="2640"/>
      <c r="I37" s="2638"/>
      <c r="J37" s="2636"/>
      <c r="K37" s="2636"/>
      <c r="L37" s="2638"/>
      <c r="M37" s="2641"/>
      <c r="N37" s="2611"/>
      <c r="O37" s="2612"/>
      <c r="P37" s="2612"/>
    </row>
    <row r="38" spans="2:16" ht="15.75" customHeight="1">
      <c r="B38" s="2631"/>
      <c r="C38" s="2642"/>
      <c r="D38" s="2636"/>
      <c r="E38" s="2640"/>
      <c r="F38" s="2640"/>
      <c r="G38" s="2640"/>
      <c r="H38" s="2640"/>
      <c r="I38" s="2638"/>
      <c r="J38" s="2636"/>
      <c r="K38" s="2636"/>
      <c r="L38" s="2638"/>
      <c r="M38" s="2641"/>
      <c r="N38" s="2611"/>
      <c r="O38" s="2612"/>
      <c r="P38" s="2612"/>
    </row>
    <row r="39" spans="2:16" ht="15.75" customHeight="1">
      <c r="B39" s="2631"/>
      <c r="C39" s="2642"/>
      <c r="D39" s="2636"/>
      <c r="E39" s="2640"/>
      <c r="F39" s="2640"/>
      <c r="G39" s="2640"/>
      <c r="H39" s="2640"/>
      <c r="I39" s="2643"/>
      <c r="J39" s="2636"/>
      <c r="K39" s="2636"/>
      <c r="L39" s="2638"/>
      <c r="M39" s="2641"/>
      <c r="N39" s="2611"/>
      <c r="O39" s="2612"/>
      <c r="P39" s="2612"/>
    </row>
    <row r="40" spans="2:16" ht="15.75" customHeight="1">
      <c r="B40" s="2631"/>
      <c r="C40" s="2632"/>
      <c r="D40" s="2636"/>
      <c r="E40" s="2640"/>
      <c r="F40" s="2640"/>
      <c r="G40" s="2640"/>
      <c r="H40" s="2640"/>
      <c r="I40" s="2638">
        <f>SUM(I36:I39)</f>
        <v>1.2800000000000002</v>
      </c>
      <c r="J40" s="2640" t="s">
        <v>1426</v>
      </c>
      <c r="K40" s="2644">
        <f>Rates!F32</f>
        <v>16022.87</v>
      </c>
      <c r="L40" s="2640">
        <f>I40*K40</f>
        <v>20509.273600000004</v>
      </c>
      <c r="M40" s="2645" t="s">
        <v>3330</v>
      </c>
      <c r="N40" s="2611"/>
      <c r="O40" s="2735" t="e">
        <f>L40+'reservoir 150 '!L38+'reservoir 50'!L38+#REF!</f>
        <v>#REF!</v>
      </c>
      <c r="P40" s="2612"/>
    </row>
    <row r="41" spans="2:16" ht="15.75" customHeight="1">
      <c r="B41" s="2631">
        <f>B35+1</f>
        <v>3</v>
      </c>
      <c r="C41" s="2632" t="s">
        <v>3444</v>
      </c>
      <c r="D41" s="2636"/>
      <c r="E41" s="2640"/>
      <c r="F41" s="2640"/>
      <c r="G41" s="2640"/>
      <c r="H41" s="2640"/>
      <c r="I41" s="2638"/>
      <c r="J41" s="2640"/>
      <c r="K41" s="2640"/>
      <c r="L41" s="2640"/>
      <c r="M41" s="2645"/>
      <c r="N41" s="2611"/>
      <c r="O41" s="2612"/>
      <c r="P41" s="2612"/>
    </row>
    <row r="42" spans="2:16" ht="15.75" customHeight="1">
      <c r="B42" s="2631"/>
      <c r="C42" s="2642" t="s">
        <v>3335</v>
      </c>
      <c r="D42" s="2636">
        <v>1</v>
      </c>
      <c r="E42" s="2640">
        <f>D13/2+M12+0.3</f>
        <v>5.75</v>
      </c>
      <c r="F42" s="2640"/>
      <c r="G42" s="2640"/>
      <c r="H42" s="2640">
        <v>0.3</v>
      </c>
      <c r="I42" s="2638">
        <f>PI()*E42^2*H42</f>
        <v>31.160672132793756</v>
      </c>
      <c r="J42" s="2640"/>
      <c r="K42" s="2640"/>
      <c r="L42" s="2640"/>
      <c r="M42" s="2645"/>
      <c r="N42" s="2611"/>
      <c r="O42" s="2612"/>
      <c r="P42" s="2612"/>
    </row>
    <row r="43" spans="2:16" ht="15.75" customHeight="1">
      <c r="B43" s="2631"/>
      <c r="C43" s="2642" t="s">
        <v>3336</v>
      </c>
      <c r="D43" s="2636">
        <v>1</v>
      </c>
      <c r="E43" s="2640">
        <f>D13/2+M12</f>
        <v>5.45</v>
      </c>
      <c r="F43" s="2640"/>
      <c r="G43" s="2640"/>
      <c r="H43" s="2640">
        <f>D12</f>
        <v>3</v>
      </c>
      <c r="I43" s="2638">
        <f>2*PI()*E43*H43*M12</f>
        <v>20.546015954477248</v>
      </c>
      <c r="J43" s="2640"/>
      <c r="K43" s="2640"/>
      <c r="L43" s="2640"/>
      <c r="M43" s="2645"/>
      <c r="N43" s="2611"/>
      <c r="O43" s="2612"/>
      <c r="P43" s="2612"/>
    </row>
    <row r="44" spans="2:16" ht="15.75" customHeight="1">
      <c r="B44" s="2631"/>
      <c r="C44" s="2642" t="s">
        <v>3337</v>
      </c>
      <c r="D44" s="2636">
        <v>0.5</v>
      </c>
      <c r="E44" s="2640"/>
      <c r="F44" s="2640">
        <f>2*PI()*(D13/2-0.2)</f>
        <v>31.730085801256909</v>
      </c>
      <c r="G44" s="2640">
        <v>0.2</v>
      </c>
      <c r="H44" s="2640">
        <v>0.2</v>
      </c>
      <c r="I44" s="2638">
        <f>D44*F44*G44*H44</f>
        <v>0.63460171602513826</v>
      </c>
      <c r="J44" s="2640"/>
      <c r="K44" s="2640"/>
      <c r="L44" s="2640"/>
      <c r="M44" s="2645"/>
      <c r="N44" s="2611"/>
      <c r="O44" s="2612"/>
      <c r="P44" s="2612"/>
    </row>
    <row r="45" spans="2:16" ht="15.75" customHeight="1">
      <c r="B45" s="2631"/>
      <c r="C45" s="2642" t="s">
        <v>3338</v>
      </c>
      <c r="D45" s="2636">
        <v>1</v>
      </c>
      <c r="E45" s="2640"/>
      <c r="F45" s="2640">
        <f>2*PI()*(D13/2+M12)</f>
        <v>34.243359924128747</v>
      </c>
      <c r="G45" s="2640">
        <v>0.3</v>
      </c>
      <c r="H45" s="2640">
        <v>0.2</v>
      </c>
      <c r="I45" s="2638">
        <f>D45*F45*G45*H45</f>
        <v>2.0546015954477248</v>
      </c>
      <c r="J45" s="2640"/>
      <c r="K45" s="2640"/>
      <c r="L45" s="2640"/>
      <c r="M45" s="2645"/>
      <c r="N45" s="2611"/>
      <c r="O45" s="2612"/>
      <c r="P45" s="2612"/>
    </row>
    <row r="46" spans="2:16" ht="15.75" customHeight="1">
      <c r="B46" s="2631"/>
      <c r="C46" s="2642" t="s">
        <v>3339</v>
      </c>
      <c r="D46" s="2636">
        <v>1</v>
      </c>
      <c r="E46" s="2640">
        <f>E43</f>
        <v>5.45</v>
      </c>
      <c r="F46" s="2640"/>
      <c r="G46" s="2640"/>
      <c r="H46" s="2640"/>
      <c r="I46" s="2638">
        <f>D46*E46*PI()*SQRT(E46^2+M13^2)*M12</f>
        <v>19.559704074631671</v>
      </c>
      <c r="J46" s="2640"/>
      <c r="K46" s="2640"/>
      <c r="L46" s="2640"/>
      <c r="M46" s="2645"/>
      <c r="N46" s="2611"/>
      <c r="O46" s="2612"/>
      <c r="P46" s="2612"/>
    </row>
    <row r="47" spans="2:16" ht="15.75" customHeight="1">
      <c r="B47" s="2631"/>
      <c r="C47" s="2642" t="s">
        <v>3340</v>
      </c>
      <c r="D47" s="2636">
        <v>1</v>
      </c>
      <c r="E47" s="2640">
        <v>0.3</v>
      </c>
      <c r="F47" s="2640"/>
      <c r="G47" s="2640"/>
      <c r="H47" s="2640"/>
      <c r="I47" s="2643">
        <f>-PI()*D47*E47^2*M12</f>
        <v>-5.6548667764616284E-2</v>
      </c>
      <c r="J47" s="2640"/>
      <c r="K47" s="2640"/>
      <c r="L47" s="2640"/>
      <c r="M47" s="2645"/>
      <c r="N47" s="2611"/>
      <c r="O47" s="2612"/>
      <c r="P47" s="2612"/>
    </row>
    <row r="48" spans="2:16" ht="15.75" customHeight="1">
      <c r="B48" s="2631"/>
      <c r="C48" s="2632"/>
      <c r="D48" s="2636"/>
      <c r="E48" s="2640"/>
      <c r="F48" s="2640"/>
      <c r="G48" s="2640"/>
      <c r="H48" s="2640"/>
      <c r="I48" s="2638">
        <f>SUM(I42:I47)</f>
        <v>73.899046805610922</v>
      </c>
      <c r="J48" s="2640" t="s">
        <v>1426</v>
      </c>
      <c r="K48" s="2644">
        <f>Rates!F37</f>
        <v>17750.78</v>
      </c>
      <c r="L48" s="2640">
        <f>I48*K48</f>
        <v>1311765.7220561022</v>
      </c>
      <c r="M48" s="2645" t="s">
        <v>3341</v>
      </c>
      <c r="N48" s="2611"/>
      <c r="O48" s="2735" t="e">
        <f>L48+'reservoir 150 '!L46+'reservoir 50'!L46+#REF!</f>
        <v>#REF!</v>
      </c>
      <c r="P48" s="2612"/>
    </row>
    <row r="49" spans="2:16" ht="15.75" customHeight="1">
      <c r="B49" s="2631">
        <f>B41+1</f>
        <v>4</v>
      </c>
      <c r="C49" s="2632" t="s">
        <v>3342</v>
      </c>
      <c r="D49" s="2636"/>
      <c r="E49" s="2640"/>
      <c r="F49" s="2640"/>
      <c r="G49" s="2640"/>
      <c r="H49" s="2640"/>
      <c r="I49" s="2638"/>
      <c r="J49" s="2636"/>
      <c r="K49" s="2636"/>
      <c r="L49" s="2638"/>
      <c r="M49" s="2641"/>
      <c r="N49" s="2611"/>
      <c r="O49" s="2612"/>
      <c r="P49" s="2612"/>
    </row>
    <row r="50" spans="2:16" ht="15.75" customHeight="1">
      <c r="B50" s="2631"/>
      <c r="C50" s="2642" t="s">
        <v>3343</v>
      </c>
      <c r="D50" s="2636">
        <v>1</v>
      </c>
      <c r="E50" s="2640"/>
      <c r="F50" s="2640">
        <f>3.2-0.8</f>
        <v>2.4000000000000004</v>
      </c>
      <c r="G50" s="2640">
        <f>2-0.35</f>
        <v>1.65</v>
      </c>
      <c r="H50" s="2640"/>
      <c r="I50" s="2638">
        <f>D50*F50*G50</f>
        <v>3.9600000000000004</v>
      </c>
      <c r="J50" s="2636"/>
      <c r="K50" s="2636"/>
      <c r="L50" s="2638"/>
      <c r="M50" s="2641"/>
      <c r="N50" s="2611"/>
      <c r="O50" s="2612"/>
      <c r="P50" s="2612"/>
    </row>
    <row r="51" spans="2:16" ht="15.75" customHeight="1">
      <c r="B51" s="2631"/>
      <c r="C51" s="2642" t="s">
        <v>3344</v>
      </c>
      <c r="D51" s="2636">
        <v>1</v>
      </c>
      <c r="E51" s="2640"/>
      <c r="F51" s="2640">
        <f>3.2+4</f>
        <v>7.2</v>
      </c>
      <c r="G51" s="2640"/>
      <c r="H51" s="2640">
        <v>0.1</v>
      </c>
      <c r="I51" s="2638">
        <f>D51*F51*H51</f>
        <v>0.72000000000000008</v>
      </c>
      <c r="J51" s="2636"/>
      <c r="K51" s="2636"/>
      <c r="L51" s="2638"/>
      <c r="M51" s="2641"/>
      <c r="N51" s="2611"/>
      <c r="O51" s="2612"/>
      <c r="P51" s="2612"/>
    </row>
    <row r="52" spans="2:16" ht="15.75" customHeight="1">
      <c r="B52" s="2631"/>
      <c r="C52" s="2642" t="s">
        <v>3345</v>
      </c>
      <c r="D52" s="2636">
        <v>1</v>
      </c>
      <c r="E52" s="2640">
        <f>E42</f>
        <v>5.75</v>
      </c>
      <c r="F52" s="2640">
        <f>2*PI()*E52</f>
        <v>36.128315516282619</v>
      </c>
      <c r="G52" s="2640"/>
      <c r="H52" s="2640">
        <f>H42</f>
        <v>0.3</v>
      </c>
      <c r="I52" s="2638">
        <f>D52*F52*H52</f>
        <v>10.838494654884785</v>
      </c>
      <c r="J52" s="2636"/>
      <c r="K52" s="2636"/>
      <c r="L52" s="2638"/>
      <c r="M52" s="2641"/>
      <c r="N52" s="2611"/>
      <c r="O52" s="2612"/>
      <c r="P52" s="2612"/>
    </row>
    <row r="53" spans="2:16" ht="15.75" customHeight="1">
      <c r="B53" s="2631"/>
      <c r="C53" s="2642" t="s">
        <v>3346</v>
      </c>
      <c r="D53" s="2636">
        <v>2</v>
      </c>
      <c r="E53" s="2640">
        <f>E52</f>
        <v>5.75</v>
      </c>
      <c r="F53" s="2640">
        <f>2*PI()*E53</f>
        <v>36.128315516282619</v>
      </c>
      <c r="G53" s="2640"/>
      <c r="H53" s="2640">
        <f>D12</f>
        <v>3</v>
      </c>
      <c r="I53" s="2638">
        <f>D53*F53*H53</f>
        <v>216.76989309769573</v>
      </c>
      <c r="J53" s="2636"/>
      <c r="K53" s="2636"/>
      <c r="L53" s="2638"/>
      <c r="M53" s="2641"/>
      <c r="N53" s="2611"/>
      <c r="O53" s="2612"/>
      <c r="P53" s="2612"/>
    </row>
    <row r="54" spans="2:16" ht="15.75" customHeight="1">
      <c r="B54" s="2631"/>
      <c r="C54" s="2642" t="s">
        <v>3347</v>
      </c>
      <c r="D54" s="2636">
        <v>1</v>
      </c>
      <c r="E54" s="2640">
        <f>D13/2</f>
        <v>5.25</v>
      </c>
      <c r="F54" s="2640"/>
      <c r="G54" s="2640"/>
      <c r="H54" s="2640"/>
      <c r="I54" s="2638">
        <f>D54*E54*PI()*SQRT(E54^2+M13^2)</f>
        <v>91.067554100172188</v>
      </c>
      <c r="J54" s="2636"/>
      <c r="K54" s="2636"/>
      <c r="L54" s="2638"/>
      <c r="M54" s="2641"/>
      <c r="N54" s="2611"/>
      <c r="O54" s="2612"/>
      <c r="P54" s="2612"/>
    </row>
    <row r="55" spans="2:16" ht="15.75" customHeight="1">
      <c r="B55" s="2631"/>
      <c r="C55" s="2642" t="s">
        <v>3348</v>
      </c>
      <c r="D55" s="2636">
        <v>1</v>
      </c>
      <c r="E55" s="2640">
        <v>0.3</v>
      </c>
      <c r="F55" s="2640"/>
      <c r="G55" s="2640"/>
      <c r="H55" s="2640"/>
      <c r="I55" s="2643">
        <f>-D55*E55^2*PI()</f>
        <v>-0.28274333882308139</v>
      </c>
      <c r="J55" s="2636"/>
      <c r="K55" s="2636"/>
      <c r="L55" s="2638"/>
      <c r="M55" s="2641"/>
      <c r="N55" s="2611"/>
      <c r="O55" s="2612"/>
      <c r="P55" s="2612"/>
    </row>
    <row r="56" spans="2:16" ht="15.75" customHeight="1">
      <c r="B56" s="2631"/>
      <c r="C56" s="2632"/>
      <c r="D56" s="2636"/>
      <c r="E56" s="2640"/>
      <c r="F56" s="2640"/>
      <c r="G56" s="2640"/>
      <c r="H56" s="2640"/>
      <c r="I56" s="2638">
        <f>SUM(I50:I55)</f>
        <v>323.07319851392964</v>
      </c>
      <c r="J56" s="2640" t="s">
        <v>1566</v>
      </c>
      <c r="K56" s="2644">
        <f>Rates!F40</f>
        <v>1322.68</v>
      </c>
      <c r="L56" s="2640">
        <f>I56*K56</f>
        <v>427322.4582104045</v>
      </c>
      <c r="M56" s="2645" t="s">
        <v>3349</v>
      </c>
      <c r="N56" s="2611"/>
      <c r="O56" s="2735" t="e">
        <f>L56+'reservoir 150 '!L54+'reservoir 50'!L54+#REF!</f>
        <v>#REF!</v>
      </c>
      <c r="P56" s="2612"/>
    </row>
    <row r="57" spans="2:16" ht="15.75" customHeight="1">
      <c r="B57" s="2631"/>
      <c r="C57" s="2632"/>
      <c r="D57" s="2636"/>
      <c r="E57" s="2640"/>
      <c r="F57" s="2640"/>
      <c r="G57" s="2640"/>
      <c r="H57" s="2640"/>
      <c r="I57" s="2638"/>
      <c r="J57" s="2640"/>
      <c r="K57" s="2644"/>
      <c r="L57" s="2640"/>
      <c r="M57" s="2645"/>
      <c r="N57" s="2611"/>
      <c r="O57" s="2612"/>
      <c r="P57" s="2612"/>
    </row>
    <row r="58" spans="2:16" ht="15.75" customHeight="1">
      <c r="B58" s="2631">
        <f>B49+1</f>
        <v>5</v>
      </c>
      <c r="C58" s="2632" t="s">
        <v>3401</v>
      </c>
      <c r="D58" s="2636"/>
      <c r="E58" s="2640"/>
      <c r="F58" s="2640"/>
      <c r="G58" s="2640"/>
      <c r="H58" s="2640"/>
      <c r="I58" s="2647">
        <v>1</v>
      </c>
      <c r="J58" s="2640" t="s">
        <v>1154</v>
      </c>
      <c r="K58" s="2644">
        <v>25000</v>
      </c>
      <c r="L58" s="2640">
        <f>I58*K58</f>
        <v>25000</v>
      </c>
      <c r="M58" s="2648" t="s">
        <v>2595</v>
      </c>
      <c r="N58" s="2611"/>
      <c r="O58" s="2735">
        <f>L58+'reservoir 150 '!L56+'reservoir 50'!L56</f>
        <v>75000</v>
      </c>
      <c r="P58" s="2612"/>
    </row>
    <row r="59" spans="2:16" ht="15.75" customHeight="1">
      <c r="B59" s="2608"/>
      <c r="C59" s="2606"/>
      <c r="D59" s="2607"/>
      <c r="E59" s="2649"/>
      <c r="F59" s="2649"/>
      <c r="G59" s="2649"/>
      <c r="H59" s="2649"/>
      <c r="I59" s="2643"/>
      <c r="J59" s="2649"/>
      <c r="K59" s="2607"/>
      <c r="L59" s="2649"/>
      <c r="M59" s="2650"/>
      <c r="N59" s="2611"/>
      <c r="O59" s="2612"/>
      <c r="P59" s="2612"/>
    </row>
    <row r="60" spans="2:16" ht="15.75" customHeight="1">
      <c r="B60" s="2651">
        <f>B58+1</f>
        <v>6</v>
      </c>
      <c r="C60" s="2602" t="s">
        <v>3350</v>
      </c>
      <c r="D60" s="2652"/>
      <c r="E60" s="2653"/>
      <c r="F60" s="2653"/>
      <c r="G60" s="2653"/>
      <c r="H60" s="2654" t="s">
        <v>1067</v>
      </c>
      <c r="I60" s="2655"/>
      <c r="J60" s="2652"/>
      <c r="K60" s="2652"/>
      <c r="L60" s="2655"/>
      <c r="M60" s="2656"/>
      <c r="N60" s="2611"/>
      <c r="O60" s="2612"/>
      <c r="P60" s="2612"/>
    </row>
    <row r="61" spans="2:16" ht="15.75" customHeight="1">
      <c r="B61" s="2657" t="s">
        <v>3351</v>
      </c>
      <c r="C61" s="2658" t="s">
        <v>3352</v>
      </c>
      <c r="D61" s="2647">
        <f>4*D13/J61</f>
        <v>247.05882352941174</v>
      </c>
      <c r="E61" s="2640"/>
      <c r="F61" s="2640">
        <f>(((D13/2)^2-J61^2)^0.5+D13)/2</f>
        <v>7.873623448591661</v>
      </c>
      <c r="G61" s="2640"/>
      <c r="H61" s="2638">
        <v>0.89</v>
      </c>
      <c r="I61" s="2638">
        <f t="shared" ref="I61:I72" si="0">D61*F61*H61</f>
        <v>1731.2708500491544</v>
      </c>
      <c r="J61" s="2659">
        <v>0.17</v>
      </c>
      <c r="K61" s="2640"/>
      <c r="L61" s="2640"/>
      <c r="M61" s="2641"/>
      <c r="N61" s="2611"/>
      <c r="O61" s="2612"/>
      <c r="P61" s="2612"/>
    </row>
    <row r="62" spans="2:16" ht="15.75" customHeight="1">
      <c r="B62" s="2657" t="s">
        <v>3353</v>
      </c>
      <c r="C62" s="2658" t="s">
        <v>3354</v>
      </c>
      <c r="D62" s="2647">
        <f>2*(INT(PI()*(D13+M12))/J62)</f>
        <v>412.5</v>
      </c>
      <c r="E62" s="2640"/>
      <c r="F62" s="2640">
        <f>1+0.5</f>
        <v>1.5</v>
      </c>
      <c r="G62" s="2640"/>
      <c r="H62" s="2638">
        <v>0.89</v>
      </c>
      <c r="I62" s="2638">
        <f t="shared" si="0"/>
        <v>550.6875</v>
      </c>
      <c r="J62" s="2659">
        <v>0.16</v>
      </c>
      <c r="K62" s="2636"/>
      <c r="L62" s="2638"/>
      <c r="M62" s="2641"/>
      <c r="N62" s="2611"/>
      <c r="O62" s="2612"/>
      <c r="P62" s="2612"/>
    </row>
    <row r="63" spans="2:16" ht="15.75" customHeight="1">
      <c r="B63" s="2657" t="s">
        <v>3355</v>
      </c>
      <c r="C63" s="2658" t="s">
        <v>3356</v>
      </c>
      <c r="D63" s="2647">
        <f>2*(INT(PI()*(D13+M12))/J63)</f>
        <v>412.5</v>
      </c>
      <c r="E63" s="2640"/>
      <c r="F63" s="2640">
        <f>D12+0.5</f>
        <v>3.5</v>
      </c>
      <c r="G63" s="2640"/>
      <c r="H63" s="2638">
        <v>0.89</v>
      </c>
      <c r="I63" s="2638">
        <f t="shared" si="0"/>
        <v>1284.9375</v>
      </c>
      <c r="J63" s="2659">
        <v>0.16</v>
      </c>
      <c r="K63" s="2636"/>
      <c r="L63" s="2638"/>
      <c r="M63" s="2641"/>
      <c r="N63" s="2611"/>
      <c r="O63" s="2612"/>
      <c r="P63" s="2612"/>
    </row>
    <row r="64" spans="2:16" ht="15.75" customHeight="1">
      <c r="B64" s="2657" t="s">
        <v>3357</v>
      </c>
      <c r="C64" s="2658" t="s">
        <v>3358</v>
      </c>
      <c r="D64" s="2647">
        <f>INT(1/J64)</f>
        <v>6</v>
      </c>
      <c r="E64" s="2640"/>
      <c r="F64" s="2640">
        <f>PI()*(D13+2*M12)</f>
        <v>34.243359924128747</v>
      </c>
      <c r="G64" s="2640"/>
      <c r="H64" s="2638">
        <v>0.89</v>
      </c>
      <c r="I64" s="2638">
        <f t="shared" si="0"/>
        <v>182.85954199484749</v>
      </c>
      <c r="J64" s="2659">
        <v>0.15</v>
      </c>
      <c r="K64" s="2636"/>
      <c r="L64" s="2638"/>
      <c r="M64" s="2641"/>
      <c r="N64" s="2611"/>
      <c r="O64" s="2612"/>
      <c r="P64" s="2612"/>
    </row>
    <row r="65" spans="2:16" ht="15.75" customHeight="1">
      <c r="B65" s="2657" t="s">
        <v>3359</v>
      </c>
      <c r="C65" s="2658" t="s">
        <v>3360</v>
      </c>
      <c r="D65" s="2647">
        <f>INT(PI()*D13/J64)</f>
        <v>219</v>
      </c>
      <c r="E65" s="2640"/>
      <c r="F65" s="2640">
        <v>0.9</v>
      </c>
      <c r="G65" s="2640"/>
      <c r="H65" s="2638">
        <v>0.89</v>
      </c>
      <c r="I65" s="2638">
        <f t="shared" si="0"/>
        <v>175.41900000000001</v>
      </c>
      <c r="J65" s="2659">
        <v>0.16</v>
      </c>
      <c r="K65" s="2636"/>
      <c r="L65" s="2638"/>
      <c r="M65" s="2641"/>
      <c r="N65" s="2611"/>
      <c r="O65" s="2612"/>
      <c r="P65" s="2612"/>
    </row>
    <row r="66" spans="2:16" ht="15.75" customHeight="1">
      <c r="B66" s="2657" t="s">
        <v>3361</v>
      </c>
      <c r="C66" s="2658" t="s">
        <v>3362</v>
      </c>
      <c r="D66" s="2647">
        <f>INT((D12-1)/J66)</f>
        <v>11</v>
      </c>
      <c r="E66" s="2640"/>
      <c r="F66" s="2640">
        <f>PI()*(D13+2*M12)</f>
        <v>34.243359924128747</v>
      </c>
      <c r="G66" s="2640"/>
      <c r="H66" s="2638">
        <v>0.89</v>
      </c>
      <c r="I66" s="2638">
        <f t="shared" si="0"/>
        <v>335.24249365722045</v>
      </c>
      <c r="J66" s="2659">
        <v>0.17</v>
      </c>
      <c r="K66" s="2636"/>
      <c r="L66" s="2638"/>
      <c r="M66" s="2641"/>
      <c r="N66" s="2611"/>
      <c r="O66" s="2612"/>
      <c r="P66" s="2612"/>
    </row>
    <row r="67" spans="2:16" ht="15.75" customHeight="1">
      <c r="B67" s="2657" t="s">
        <v>3363</v>
      </c>
      <c r="C67" s="2658" t="s">
        <v>3364</v>
      </c>
      <c r="D67" s="2647">
        <f>F68/J67</f>
        <v>234.5722514680379</v>
      </c>
      <c r="E67" s="2640"/>
      <c r="F67" s="2640">
        <f>0.25*2*2</f>
        <v>1</v>
      </c>
      <c r="G67" s="2640"/>
      <c r="H67" s="2638">
        <v>0.39500000000000002</v>
      </c>
      <c r="I67" s="2638">
        <f t="shared" si="0"/>
        <v>92.656039329874972</v>
      </c>
      <c r="J67" s="2659">
        <v>0.15</v>
      </c>
      <c r="K67" s="2636"/>
      <c r="L67" s="2638"/>
      <c r="M67" s="2641"/>
      <c r="N67" s="2611"/>
      <c r="O67" s="2612"/>
      <c r="P67" s="2612"/>
    </row>
    <row r="68" spans="2:16" ht="15.75" customHeight="1">
      <c r="B68" s="2657" t="s">
        <v>3365</v>
      </c>
      <c r="C68" s="2658" t="s">
        <v>3366</v>
      </c>
      <c r="D68" s="2647">
        <v>8</v>
      </c>
      <c r="E68" s="2640"/>
      <c r="F68" s="2640">
        <f>PI()*(D13+2*M12+0.3)</f>
        <v>35.185837720205683</v>
      </c>
      <c r="G68" s="2640"/>
      <c r="H68" s="2638">
        <v>0.89</v>
      </c>
      <c r="I68" s="2638">
        <f t="shared" si="0"/>
        <v>250.52316456786446</v>
      </c>
      <c r="J68" s="2659">
        <v>0.18</v>
      </c>
      <c r="K68" s="2636"/>
      <c r="L68" s="2638"/>
      <c r="M68" s="2641"/>
      <c r="N68" s="2611"/>
      <c r="O68" s="2612"/>
      <c r="P68" s="2612"/>
    </row>
    <row r="69" spans="2:16" ht="15.75" customHeight="1">
      <c r="B69" s="2657" t="s">
        <v>3367</v>
      </c>
      <c r="C69" s="2658" t="s">
        <v>3368</v>
      </c>
      <c r="D69" s="2647">
        <f>INT(PI()*D13/J69)</f>
        <v>219</v>
      </c>
      <c r="E69" s="2640"/>
      <c r="F69" s="2640">
        <f>SQRT((D13/2)^2+M13^2)</f>
        <v>5.5214671963165731</v>
      </c>
      <c r="G69" s="2640"/>
      <c r="H69" s="2638">
        <v>0.89</v>
      </c>
      <c r="I69" s="2638">
        <f t="shared" si="0"/>
        <v>1076.1891712340632</v>
      </c>
      <c r="J69" s="2659">
        <v>0.15</v>
      </c>
      <c r="K69" s="2636"/>
      <c r="L69" s="2638"/>
      <c r="M69" s="2641"/>
      <c r="N69" s="2611"/>
      <c r="O69" s="2612"/>
      <c r="P69" s="2612"/>
    </row>
    <row r="70" spans="2:16" ht="15.75" customHeight="1">
      <c r="B70" s="2657" t="s">
        <v>3369</v>
      </c>
      <c r="C70" s="2658" t="s">
        <v>3370</v>
      </c>
      <c r="D70" s="2647">
        <f>INT(F69/J70)</f>
        <v>34</v>
      </c>
      <c r="E70" s="2640"/>
      <c r="F70" s="2640">
        <f>(PI()*0.6+PI()*(D13+2*M12))/2</f>
        <v>18.064157758141313</v>
      </c>
      <c r="G70" s="2640"/>
      <c r="H70" s="2638">
        <v>0.89</v>
      </c>
      <c r="I70" s="2638">
        <f t="shared" si="0"/>
        <v>546.62141376135617</v>
      </c>
      <c r="J70" s="2659">
        <v>0.16</v>
      </c>
      <c r="K70" s="2636"/>
      <c r="L70" s="2638"/>
      <c r="M70" s="2641"/>
      <c r="N70" s="2611"/>
      <c r="O70" s="2612"/>
      <c r="P70" s="2612"/>
    </row>
    <row r="71" spans="2:16" ht="15.75" customHeight="1">
      <c r="B71" s="2657" t="s">
        <v>3371</v>
      </c>
      <c r="C71" s="2658" t="s">
        <v>3372</v>
      </c>
      <c r="D71" s="2636">
        <f>(2*INT(PI()*D13*J71/J71))+INT(PI()*D13/2)*2</f>
        <v>96</v>
      </c>
      <c r="E71" s="2640"/>
      <c r="F71" s="2640">
        <v>0.5</v>
      </c>
      <c r="G71" s="2640"/>
      <c r="H71" s="2638">
        <v>0.22</v>
      </c>
      <c r="I71" s="2638">
        <f t="shared" si="0"/>
        <v>10.56</v>
      </c>
      <c r="J71" s="2659">
        <v>0.5</v>
      </c>
      <c r="K71" s="2636"/>
      <c r="L71" s="2638"/>
      <c r="M71" s="2641"/>
      <c r="N71" s="2611"/>
      <c r="O71" s="2612"/>
      <c r="P71" s="2612"/>
    </row>
    <row r="72" spans="2:16" ht="15.75" customHeight="1">
      <c r="B72" s="2657" t="s">
        <v>3373</v>
      </c>
      <c r="C72" s="2658" t="s">
        <v>3374</v>
      </c>
      <c r="D72" s="2647">
        <f>1.7/J72*2</f>
        <v>22.666666666666668</v>
      </c>
      <c r="E72" s="2640"/>
      <c r="F72" s="2640">
        <v>1.5</v>
      </c>
      <c r="G72" s="2640"/>
      <c r="H72" s="2638">
        <v>0.39500000000000002</v>
      </c>
      <c r="I72" s="2638">
        <f t="shared" si="0"/>
        <v>13.43</v>
      </c>
      <c r="J72" s="2659">
        <v>0.15</v>
      </c>
      <c r="K72" s="2636"/>
      <c r="L72" s="2638"/>
      <c r="M72" s="2641"/>
      <c r="N72" s="2611"/>
      <c r="O72" s="2612"/>
      <c r="P72" s="2612"/>
    </row>
    <row r="73" spans="2:16" ht="15.75" customHeight="1">
      <c r="B73" s="2631"/>
      <c r="C73" s="2658"/>
      <c r="D73" s="2636"/>
      <c r="E73" s="2640"/>
      <c r="F73" s="2640"/>
      <c r="G73" s="2640"/>
      <c r="H73" s="2640"/>
      <c r="I73" s="2660">
        <f>SUM(I61:I72)</f>
        <v>6250.3966745943808</v>
      </c>
      <c r="J73" s="2661" t="s">
        <v>192</v>
      </c>
      <c r="K73" s="2644">
        <f>Rates!F39</f>
        <v>125.35</v>
      </c>
      <c r="L73" s="2640">
        <f>I73*K73</f>
        <v>783487.22316040564</v>
      </c>
      <c r="M73" s="2641">
        <v>7.5</v>
      </c>
      <c r="N73" s="2611"/>
      <c r="O73" s="2735" t="e">
        <f>L73+'reservoir 150 '!L71+'reservoir 50'!L71+#REF!</f>
        <v>#REF!</v>
      </c>
      <c r="P73" s="2612"/>
    </row>
    <row r="74" spans="2:16" ht="24">
      <c r="B74" s="2631">
        <f>B60+1</f>
        <v>7</v>
      </c>
      <c r="C74" s="2722" t="s">
        <v>3445</v>
      </c>
      <c r="D74" s="2636"/>
      <c r="E74" s="2640"/>
      <c r="F74" s="2640"/>
      <c r="G74" s="2640"/>
      <c r="H74" s="2640"/>
      <c r="I74" s="2638"/>
      <c r="J74" s="2636"/>
      <c r="K74" s="2636"/>
      <c r="L74" s="2638"/>
      <c r="M74" s="2641"/>
      <c r="N74" s="2611"/>
      <c r="O74" s="2612"/>
      <c r="P74" s="2612"/>
    </row>
    <row r="75" spans="2:16" ht="15.75" customHeight="1">
      <c r="B75" s="2631"/>
      <c r="C75" s="2642" t="s">
        <v>3375</v>
      </c>
      <c r="D75" s="2636">
        <v>1</v>
      </c>
      <c r="E75" s="2640">
        <f>D13/2</f>
        <v>5.25</v>
      </c>
      <c r="F75" s="2640"/>
      <c r="G75" s="2640"/>
      <c r="H75" s="2640">
        <f>D12</f>
        <v>3</v>
      </c>
      <c r="I75" s="2638">
        <f>2*PI()*D75*E75*H75</f>
        <v>98.960168588078488</v>
      </c>
      <c r="J75" s="2636"/>
      <c r="K75" s="2636"/>
      <c r="L75" s="2638"/>
      <c r="M75" s="2641"/>
      <c r="N75" s="2611"/>
      <c r="O75" s="2612"/>
      <c r="P75" s="2612"/>
    </row>
    <row r="76" spans="2:16" ht="15.75" customHeight="1">
      <c r="B76" s="2631"/>
      <c r="C76" s="2642" t="s">
        <v>3376</v>
      </c>
      <c r="D76" s="2636">
        <v>1</v>
      </c>
      <c r="E76" s="2640">
        <f>D13/2</f>
        <v>5.25</v>
      </c>
      <c r="F76" s="2640"/>
      <c r="G76" s="2640"/>
      <c r="H76" s="2638"/>
      <c r="I76" s="2643">
        <f>PI()*D76*E76*E76</f>
        <v>86.590147514568685</v>
      </c>
      <c r="J76" s="2636"/>
      <c r="K76" s="2636"/>
      <c r="L76" s="2638"/>
      <c r="M76" s="2641"/>
      <c r="N76" s="2611"/>
      <c r="O76" s="2612"/>
      <c r="P76" s="2612"/>
    </row>
    <row r="77" spans="2:16" ht="15.75" customHeight="1">
      <c r="B77" s="2631"/>
      <c r="C77" s="2632"/>
      <c r="D77" s="2636"/>
      <c r="E77" s="2640"/>
      <c r="F77" s="2640"/>
      <c r="G77" s="2640"/>
      <c r="H77" s="2640"/>
      <c r="I77" s="2638">
        <f>SUM(I75:I76)</f>
        <v>185.55031610264717</v>
      </c>
      <c r="J77" s="2640" t="s">
        <v>1566</v>
      </c>
      <c r="K77" s="2644">
        <f>Rates!F65</f>
        <v>497.69</v>
      </c>
      <c r="L77" s="2640">
        <f>I77*K77</f>
        <v>92346.536821126472</v>
      </c>
      <c r="M77" s="2645" t="s">
        <v>3377</v>
      </c>
      <c r="N77" s="2611"/>
      <c r="O77" s="2735" t="e">
        <f>L77+'reservoir 150 '!L75+'reservoir 50'!L75+#REF!+#REF!</f>
        <v>#REF!</v>
      </c>
      <c r="P77" s="2612"/>
    </row>
    <row r="78" spans="2:16" ht="15.75" customHeight="1">
      <c r="B78" s="2631">
        <f>B74+1</f>
        <v>8</v>
      </c>
      <c r="C78" s="2632" t="s">
        <v>3378</v>
      </c>
      <c r="D78" s="2636"/>
      <c r="E78" s="2640"/>
      <c r="F78" s="2640"/>
      <c r="G78" s="2640"/>
      <c r="H78" s="2640"/>
      <c r="I78" s="2638"/>
      <c r="J78" s="2636"/>
      <c r="K78" s="2636"/>
      <c r="L78" s="2638"/>
      <c r="M78" s="2641"/>
      <c r="N78" s="2611"/>
      <c r="O78" s="2612"/>
      <c r="P78" s="2612"/>
    </row>
    <row r="79" spans="2:16" ht="15.75" customHeight="1">
      <c r="B79" s="2631"/>
      <c r="C79" s="2642" t="s">
        <v>3379</v>
      </c>
      <c r="D79" s="2636">
        <v>1</v>
      </c>
      <c r="E79" s="2640">
        <f>D13/2+2*M12</f>
        <v>5.65</v>
      </c>
      <c r="F79" s="2640"/>
      <c r="G79" s="2640"/>
      <c r="H79" s="2640">
        <f>D12</f>
        <v>3</v>
      </c>
      <c r="I79" s="2638">
        <f>2*PI()*D79*E79*H79</f>
        <v>106.49999095669399</v>
      </c>
      <c r="J79" s="2636"/>
      <c r="K79" s="2636"/>
      <c r="L79" s="2638"/>
      <c r="M79" s="2641"/>
      <c r="N79" s="2611"/>
      <c r="O79" s="2612"/>
      <c r="P79" s="2612"/>
    </row>
    <row r="80" spans="2:16" ht="15.75" customHeight="1">
      <c r="B80" s="2631"/>
      <c r="C80" s="2642" t="s">
        <v>3380</v>
      </c>
      <c r="D80" s="2636">
        <v>2</v>
      </c>
      <c r="E80" s="2640">
        <f>D13/2+M12</f>
        <v>5.45</v>
      </c>
      <c r="F80" s="2640"/>
      <c r="G80" s="2640"/>
      <c r="H80" s="2640"/>
      <c r="I80" s="2638">
        <f>D80*E80*PI()*SQRT(E80^2+M13^2)</f>
        <v>195.59704074631671</v>
      </c>
      <c r="J80" s="2636"/>
      <c r="K80" s="2636"/>
      <c r="L80" s="2638"/>
      <c r="M80" s="2641"/>
      <c r="N80" s="2611"/>
      <c r="O80" s="2612"/>
      <c r="P80" s="2612"/>
    </row>
    <row r="81" spans="2:16" ht="15.75" customHeight="1">
      <c r="B81" s="2631"/>
      <c r="C81" s="2642" t="s">
        <v>3334</v>
      </c>
      <c r="D81" s="2636">
        <v>2</v>
      </c>
      <c r="E81" s="2640">
        <v>0.3</v>
      </c>
      <c r="F81" s="2640"/>
      <c r="G81" s="2640"/>
      <c r="H81" s="2640"/>
      <c r="I81" s="2643">
        <f>-D81*E81^2*PI()</f>
        <v>-0.56548667764616278</v>
      </c>
      <c r="J81" s="2636"/>
      <c r="K81" s="2636"/>
      <c r="L81" s="2638"/>
      <c r="M81" s="2641"/>
      <c r="N81" s="2611"/>
      <c r="O81" s="2612"/>
      <c r="P81" s="2612"/>
    </row>
    <row r="82" spans="2:16" ht="15.75" customHeight="1">
      <c r="B82" s="2631"/>
      <c r="C82" s="2632"/>
      <c r="D82" s="2636"/>
      <c r="E82" s="2640"/>
      <c r="F82" s="2640"/>
      <c r="G82" s="2640"/>
      <c r="H82" s="2640"/>
      <c r="I82" s="2638">
        <f>SUM(I79:I81)</f>
        <v>301.53154502536455</v>
      </c>
      <c r="J82" s="2640" t="s">
        <v>1566</v>
      </c>
      <c r="K82" s="2644">
        <f>Rates!F60</f>
        <v>503.61</v>
      </c>
      <c r="L82" s="2640">
        <f>I82*K82</f>
        <v>151854.30139022385</v>
      </c>
      <c r="M82" s="2645" t="s">
        <v>3381</v>
      </c>
      <c r="N82" s="2611"/>
      <c r="O82" s="2735">
        <f>L82+'reservoir 150 '!L80+'reservoir 50'!L80</f>
        <v>315365.59855596483</v>
      </c>
      <c r="P82" s="2612"/>
    </row>
    <row r="83" spans="2:16" ht="15.75" customHeight="1">
      <c r="B83" s="2631">
        <f>B78+1</f>
        <v>9</v>
      </c>
      <c r="C83" s="2632" t="s">
        <v>3382</v>
      </c>
      <c r="D83" s="2636"/>
      <c r="E83" s="2640"/>
      <c r="F83" s="2640"/>
      <c r="G83" s="2640"/>
      <c r="H83" s="2640"/>
      <c r="I83" s="2638"/>
      <c r="J83" s="2636"/>
      <c r="K83" s="2636"/>
      <c r="L83" s="2638"/>
      <c r="M83" s="2641"/>
      <c r="N83" s="2611"/>
      <c r="O83" s="2612"/>
      <c r="P83" s="2612"/>
    </row>
    <row r="84" spans="2:16" ht="15.75" customHeight="1">
      <c r="B84" s="2631"/>
      <c r="C84" s="2642" t="s">
        <v>3383</v>
      </c>
      <c r="D84" s="2636">
        <v>1</v>
      </c>
      <c r="E84" s="2640">
        <f>D13/2</f>
        <v>5.25</v>
      </c>
      <c r="F84" s="2640"/>
      <c r="G84" s="2640"/>
      <c r="H84" s="2640"/>
      <c r="I84" s="2638">
        <f>PI()*D84*E84^2</f>
        <v>86.59014751456867</v>
      </c>
      <c r="J84" s="2636"/>
      <c r="K84" s="2636"/>
      <c r="L84" s="2638"/>
      <c r="M84" s="2641"/>
      <c r="N84" s="2611"/>
      <c r="O84" s="2612"/>
      <c r="P84" s="2612"/>
    </row>
    <row r="85" spans="2:16" ht="15.75" customHeight="1">
      <c r="B85" s="2631"/>
      <c r="C85" s="2642" t="s">
        <v>3384</v>
      </c>
      <c r="D85" s="2636">
        <v>1</v>
      </c>
      <c r="E85" s="2640">
        <f>D13/2</f>
        <v>5.25</v>
      </c>
      <c r="F85" s="2640"/>
      <c r="G85" s="2640"/>
      <c r="H85" s="2640">
        <f>D12</f>
        <v>3</v>
      </c>
      <c r="I85" s="2643">
        <f>2*PI()*D85*E85*H85</f>
        <v>98.960168588078488</v>
      </c>
      <c r="J85" s="2636"/>
      <c r="K85" s="2636"/>
      <c r="L85" s="2638"/>
      <c r="M85" s="2641"/>
      <c r="N85" s="2611"/>
      <c r="O85" s="2612"/>
      <c r="P85" s="2612"/>
    </row>
    <row r="86" spans="2:16" ht="15.75" customHeight="1">
      <c r="B86" s="2631"/>
      <c r="C86" s="2632"/>
      <c r="D86" s="2636"/>
      <c r="E86" s="2640"/>
      <c r="F86" s="2640"/>
      <c r="G86" s="2640"/>
      <c r="H86" s="2640"/>
      <c r="I86" s="2640">
        <f>SUM(I83:I85)</f>
        <v>185.55031610264717</v>
      </c>
      <c r="J86" s="2636" t="s">
        <v>1566</v>
      </c>
      <c r="K86" s="2644">
        <f>Rates!F67</f>
        <v>346.26</v>
      </c>
      <c r="L86" s="2640">
        <f>I86*K86</f>
        <v>64248.652453702605</v>
      </c>
      <c r="M86" s="2641" t="s">
        <v>3385</v>
      </c>
      <c r="N86" s="2611"/>
      <c r="O86" s="2735" t="e">
        <f>L86+'reservoir 150 '!L84+'reservoir 50'!L84+#REF!</f>
        <v>#REF!</v>
      </c>
      <c r="P86" s="2612"/>
    </row>
    <row r="87" spans="2:16" ht="15.75" customHeight="1">
      <c r="B87" s="2631">
        <f>B83+1</f>
        <v>10</v>
      </c>
      <c r="C87" s="2632" t="s">
        <v>3386</v>
      </c>
      <c r="D87" s="2636"/>
      <c r="E87" s="2640"/>
      <c r="F87" s="2640"/>
      <c r="G87" s="2640"/>
      <c r="H87" s="2640"/>
      <c r="I87" s="2638"/>
      <c r="J87" s="2636"/>
      <c r="K87" s="2636"/>
      <c r="L87" s="2638"/>
      <c r="M87" s="2641"/>
      <c r="N87" s="2611"/>
      <c r="O87" s="2612"/>
      <c r="P87" s="2612"/>
    </row>
    <row r="88" spans="2:16" ht="15.75" customHeight="1">
      <c r="B88" s="2631"/>
      <c r="C88" s="2642" t="s">
        <v>3387</v>
      </c>
      <c r="D88" s="2636">
        <v>1</v>
      </c>
      <c r="E88" s="2640">
        <f>D13/2+2*M12</f>
        <v>5.65</v>
      </c>
      <c r="F88" s="2640"/>
      <c r="G88" s="2640"/>
      <c r="H88" s="2640">
        <f>D12-H19</f>
        <v>1.5</v>
      </c>
      <c r="I88" s="2638">
        <f>2*D88*PI()*E88*H88</f>
        <v>53.249995478346996</v>
      </c>
      <c r="J88" s="2636"/>
      <c r="K88" s="2636"/>
      <c r="L88" s="2638"/>
      <c r="M88" s="2641"/>
      <c r="N88" s="2611"/>
      <c r="O88" s="2612"/>
      <c r="P88" s="2612"/>
    </row>
    <row r="89" spans="2:16" ht="15.75" customHeight="1">
      <c r="B89" s="2631"/>
      <c r="C89" s="2642" t="s">
        <v>3388</v>
      </c>
      <c r="D89" s="2636">
        <v>1</v>
      </c>
      <c r="E89" s="2640">
        <f>D13/2+2*M12</f>
        <v>5.65</v>
      </c>
      <c r="F89" s="2640"/>
      <c r="G89" s="2640"/>
      <c r="H89" s="2640">
        <f>D13/5</f>
        <v>2.1</v>
      </c>
      <c r="I89" s="2643">
        <f>D89*E89*PI()*SQRT(E89^2+M13^2)</f>
        <v>104.78003172355878</v>
      </c>
      <c r="J89" s="2636"/>
      <c r="K89" s="2636"/>
      <c r="L89" s="2638"/>
      <c r="M89" s="2641"/>
      <c r="N89" s="2611"/>
      <c r="O89" s="2612"/>
      <c r="P89" s="2612"/>
    </row>
    <row r="90" spans="2:16" ht="15.75" customHeight="1">
      <c r="B90" s="2631"/>
      <c r="C90" s="2632"/>
      <c r="D90" s="2636"/>
      <c r="E90" s="2640"/>
      <c r="F90" s="2640"/>
      <c r="G90" s="2640"/>
      <c r="H90" s="2640"/>
      <c r="I90" s="2638">
        <f>SUM(I87:I89)</f>
        <v>158.03002720190577</v>
      </c>
      <c r="J90" s="2640" t="s">
        <v>1566</v>
      </c>
      <c r="K90" s="2644">
        <f>Rates!F71</f>
        <v>213.84</v>
      </c>
      <c r="L90" s="2640">
        <f>I90*K90</f>
        <v>33793.14101685553</v>
      </c>
      <c r="M90" s="2645" t="s">
        <v>3389</v>
      </c>
      <c r="N90" s="2611"/>
      <c r="O90" s="2736">
        <f>I90+'reservoir 150 '!I88+'reservoir 50'!I88</f>
        <v>330.24629995930513</v>
      </c>
      <c r="P90" s="2612"/>
    </row>
    <row r="91" spans="2:16" ht="15.75" customHeight="1">
      <c r="B91" s="2631">
        <f>B87+1</f>
        <v>11</v>
      </c>
      <c r="C91" s="2632" t="s">
        <v>3390</v>
      </c>
      <c r="D91" s="2636"/>
      <c r="E91" s="2640"/>
      <c r="F91" s="2640"/>
      <c r="G91" s="2640"/>
      <c r="H91" s="2640"/>
      <c r="I91" s="2638"/>
      <c r="J91" s="2640"/>
      <c r="K91" s="2640"/>
      <c r="L91" s="2638"/>
      <c r="M91" s="2645"/>
      <c r="N91" s="2611"/>
      <c r="O91" s="2612"/>
      <c r="P91" s="2612"/>
    </row>
    <row r="92" spans="2:16" ht="15.75" customHeight="1">
      <c r="B92" s="2631"/>
      <c r="C92" s="2642" t="s">
        <v>3383</v>
      </c>
      <c r="D92" s="2636">
        <v>1</v>
      </c>
      <c r="E92" s="2640">
        <f>D13/2</f>
        <v>5.25</v>
      </c>
      <c r="F92" s="2640"/>
      <c r="G92" s="2640"/>
      <c r="H92" s="2640"/>
      <c r="I92" s="2638">
        <f>PI()*D92*E92^2</f>
        <v>86.59014751456867</v>
      </c>
      <c r="J92" s="2636"/>
      <c r="K92" s="2636"/>
      <c r="L92" s="2638"/>
      <c r="M92" s="2645"/>
      <c r="N92" s="2611"/>
      <c r="O92" s="2612"/>
      <c r="P92" s="2612"/>
    </row>
    <row r="93" spans="2:16" ht="15.75" customHeight="1">
      <c r="B93" s="2631"/>
      <c r="C93" s="2642" t="s">
        <v>3384</v>
      </c>
      <c r="D93" s="2636">
        <v>1</v>
      </c>
      <c r="E93" s="2640">
        <f>D13/2</f>
        <v>5.25</v>
      </c>
      <c r="F93" s="2640"/>
      <c r="G93" s="2640"/>
      <c r="H93" s="2640">
        <f>D12</f>
        <v>3</v>
      </c>
      <c r="I93" s="2643">
        <f>2*PI()*D93*E93*H93</f>
        <v>98.960168588078488</v>
      </c>
      <c r="J93" s="2636"/>
      <c r="K93" s="2636"/>
      <c r="L93" s="2638"/>
      <c r="M93" s="2645"/>
      <c r="N93" s="2611"/>
      <c r="O93" s="2612"/>
      <c r="P93" s="2612"/>
    </row>
    <row r="94" spans="2:16" ht="15.75" customHeight="1">
      <c r="B94" s="2631"/>
      <c r="C94" s="2632"/>
      <c r="D94" s="2636"/>
      <c r="E94" s="2640"/>
      <c r="F94" s="2640"/>
      <c r="G94" s="2640"/>
      <c r="H94" s="2640"/>
      <c r="I94" s="2640">
        <f>SUM(I92:I93)</f>
        <v>185.55031610264717</v>
      </c>
      <c r="J94" s="2636" t="s">
        <v>1566</v>
      </c>
      <c r="K94" s="2644">
        <f>Rates!F72</f>
        <v>103.35</v>
      </c>
      <c r="L94" s="2640">
        <f>I94*K94</f>
        <v>19176.625169208583</v>
      </c>
      <c r="M94" s="2645" t="s">
        <v>3391</v>
      </c>
      <c r="N94" s="2611"/>
      <c r="O94" s="2612"/>
      <c r="P94" s="2612"/>
    </row>
    <row r="95" spans="2:16" ht="15.75" customHeight="1">
      <c r="B95" s="2631"/>
      <c r="C95" s="2632"/>
      <c r="D95" s="2636"/>
      <c r="E95" s="2640"/>
      <c r="F95" s="2640"/>
      <c r="G95" s="2640"/>
      <c r="H95" s="2640"/>
      <c r="I95" s="2638"/>
      <c r="J95" s="2636"/>
      <c r="K95" s="2636"/>
      <c r="L95" s="2638"/>
      <c r="M95" s="2662"/>
      <c r="N95" s="2611"/>
      <c r="O95" s="2612"/>
      <c r="P95" s="2612"/>
    </row>
    <row r="96" spans="2:16" ht="15.75" customHeight="1">
      <c r="B96" s="2631">
        <f>B91+1</f>
        <v>12</v>
      </c>
      <c r="C96" s="2632" t="s">
        <v>3392</v>
      </c>
      <c r="D96" s="2636">
        <v>2</v>
      </c>
      <c r="E96" s="2640"/>
      <c r="F96" s="2640"/>
      <c r="G96" s="2640"/>
      <c r="H96" s="2640"/>
      <c r="I96" s="2647">
        <v>2</v>
      </c>
      <c r="J96" s="2636" t="s">
        <v>1038</v>
      </c>
      <c r="K96" s="2663">
        <v>15000</v>
      </c>
      <c r="L96" s="2640">
        <f>I96*K96</f>
        <v>30000</v>
      </c>
      <c r="M96" s="2648" t="s">
        <v>2595</v>
      </c>
      <c r="N96" s="2611"/>
      <c r="O96" s="2612"/>
      <c r="P96" s="2612"/>
    </row>
    <row r="97" spans="2:16" ht="15.75" customHeight="1">
      <c r="B97" s="2631"/>
      <c r="C97" s="2632" t="s">
        <v>3393</v>
      </c>
      <c r="D97" s="2636"/>
      <c r="E97" s="2636"/>
      <c r="F97" s="2636"/>
      <c r="G97" s="2636"/>
      <c r="H97" s="2636"/>
      <c r="I97" s="2638"/>
      <c r="J97" s="2636"/>
      <c r="K97" s="2636"/>
      <c r="L97" s="2638"/>
      <c r="M97" s="2641"/>
      <c r="N97" s="2611"/>
      <c r="O97" s="2612"/>
      <c r="P97" s="2612"/>
    </row>
    <row r="98" spans="2:16" ht="15.75" customHeight="1">
      <c r="B98" s="2631" t="e">
        <f>#REF!+1</f>
        <v>#REF!</v>
      </c>
      <c r="C98" s="2632" t="s">
        <v>3402</v>
      </c>
      <c r="D98" s="2636">
        <v>3</v>
      </c>
      <c r="E98" s="2640"/>
      <c r="F98" s="2640"/>
      <c r="G98" s="2640"/>
      <c r="H98" s="2640"/>
      <c r="I98" s="2647">
        <v>3</v>
      </c>
      <c r="J98" s="2636" t="s">
        <v>1038</v>
      </c>
      <c r="K98" s="2640">
        <v>3222</v>
      </c>
      <c r="L98" s="2640">
        <f>I98*K98</f>
        <v>9666</v>
      </c>
      <c r="M98" s="2641" t="s">
        <v>3394</v>
      </c>
      <c r="N98" s="2611"/>
      <c r="O98" s="2612"/>
      <c r="P98" s="2612"/>
    </row>
    <row r="99" spans="2:16" ht="15.75" customHeight="1">
      <c r="B99" s="2631"/>
      <c r="C99" s="2632" t="s">
        <v>3395</v>
      </c>
      <c r="D99" s="2636"/>
      <c r="E99" s="2636"/>
      <c r="F99" s="2636"/>
      <c r="G99" s="2636"/>
      <c r="H99" s="2636"/>
      <c r="I99" s="2638"/>
      <c r="J99" s="2636"/>
      <c r="K99" s="2636"/>
      <c r="L99" s="2638"/>
      <c r="M99" s="2641"/>
      <c r="N99" s="2611"/>
      <c r="O99" s="2612"/>
      <c r="P99" s="2612"/>
    </row>
    <row r="100" spans="2:16" ht="15.75" customHeight="1">
      <c r="B100" s="2631" t="e">
        <f>B98+1</f>
        <v>#REF!</v>
      </c>
      <c r="C100" s="2632" t="s">
        <v>3396</v>
      </c>
      <c r="D100" s="2636">
        <v>1</v>
      </c>
      <c r="E100" s="2640"/>
      <c r="F100" s="2640"/>
      <c r="G100" s="2640"/>
      <c r="H100" s="2640"/>
      <c r="I100" s="2647">
        <v>1</v>
      </c>
      <c r="J100" s="2636" t="s">
        <v>1154</v>
      </c>
      <c r="K100" s="2663">
        <v>15000</v>
      </c>
      <c r="L100" s="2640">
        <f>I100*K100</f>
        <v>15000</v>
      </c>
      <c r="M100" s="2641" t="s">
        <v>2595</v>
      </c>
      <c r="N100" s="2611"/>
      <c r="O100" s="2612"/>
      <c r="P100" s="2612"/>
    </row>
    <row r="101" spans="2:16" ht="15.75" customHeight="1">
      <c r="B101" s="2631"/>
      <c r="C101" s="2632"/>
      <c r="D101" s="2636"/>
      <c r="E101" s="2636"/>
      <c r="F101" s="2636"/>
      <c r="G101" s="2636"/>
      <c r="H101" s="2636"/>
      <c r="I101" s="2638"/>
      <c r="J101" s="2636"/>
      <c r="K101" s="2636"/>
      <c r="L101" s="2638"/>
      <c r="M101" s="2641"/>
      <c r="N101" s="2611"/>
      <c r="O101" s="2612"/>
      <c r="P101" s="2612"/>
    </row>
    <row r="102" spans="2:16" ht="15.75" customHeight="1">
      <c r="B102" s="2631" t="e">
        <f>B100+1</f>
        <v>#REF!</v>
      </c>
      <c r="C102" s="2632" t="s">
        <v>3397</v>
      </c>
      <c r="D102" s="2636">
        <v>1</v>
      </c>
      <c r="E102" s="2640"/>
      <c r="F102" s="2640"/>
      <c r="G102" s="2640"/>
      <c r="H102" s="2640"/>
      <c r="I102" s="2647">
        <f>D102</f>
        <v>1</v>
      </c>
      <c r="J102" s="2636" t="s">
        <v>1154</v>
      </c>
      <c r="K102" s="2640">
        <v>15000</v>
      </c>
      <c r="L102" s="2640">
        <f>I102*K102</f>
        <v>15000</v>
      </c>
      <c r="M102" s="2648" t="s">
        <v>2595</v>
      </c>
      <c r="N102" s="2611"/>
      <c r="O102" s="2612"/>
      <c r="P102" s="2612"/>
    </row>
    <row r="103" spans="2:16" ht="15.75" customHeight="1">
      <c r="B103" s="2608"/>
      <c r="C103" s="2664" t="s">
        <v>3398</v>
      </c>
      <c r="D103" s="2607"/>
      <c r="E103" s="2607"/>
      <c r="F103" s="2607"/>
      <c r="G103" s="2607"/>
      <c r="H103" s="2607"/>
      <c r="I103" s="2643"/>
      <c r="J103" s="2607"/>
      <c r="K103" s="2607"/>
      <c r="L103" s="2643"/>
      <c r="M103" s="2665"/>
      <c r="N103" s="2611"/>
      <c r="O103" s="2612"/>
      <c r="P103" s="2612"/>
    </row>
    <row r="104" spans="2:16" ht="15.75" customHeight="1">
      <c r="B104" s="2666"/>
      <c r="C104" s="2667"/>
      <c r="D104" s="2668"/>
      <c r="E104" s="2668"/>
      <c r="F104" s="2668"/>
      <c r="G104" s="2668"/>
      <c r="H104" s="2668"/>
      <c r="I104" s="2668"/>
      <c r="J104" s="2668"/>
      <c r="K104" s="2668"/>
      <c r="L104" s="2669">
        <f>SUM(L15:L103)</f>
        <v>3670471.1886277054</v>
      </c>
      <c r="M104" s="2670"/>
      <c r="N104" s="2611"/>
      <c r="O104" s="2612"/>
      <c r="P104" s="2612"/>
    </row>
    <row r="106" spans="2:16">
      <c r="L106" s="2612"/>
    </row>
    <row r="107" spans="2:16" ht="57">
      <c r="B107" s="2711" t="s">
        <v>712</v>
      </c>
      <c r="C107" s="2712" t="s">
        <v>3403</v>
      </c>
      <c r="D107" s="2485"/>
      <c r="E107" s="2485"/>
      <c r="F107" s="2485"/>
      <c r="G107" s="2485"/>
      <c r="H107" s="2485"/>
      <c r="I107" s="2713"/>
      <c r="J107" s="2485"/>
      <c r="K107" s="2485"/>
      <c r="L107" s="2723"/>
      <c r="M107" s="2723"/>
    </row>
    <row r="108" spans="2:16" ht="15">
      <c r="B108" s="2711"/>
      <c r="C108" s="2714" t="s">
        <v>3404</v>
      </c>
      <c r="D108" s="2715"/>
      <c r="E108" s="2715"/>
      <c r="F108" s="2715"/>
      <c r="G108" s="2715"/>
      <c r="H108" s="2715"/>
      <c r="I108" s="2716"/>
      <c r="J108" s="2715"/>
      <c r="K108" s="2485"/>
      <c r="L108" s="2723"/>
      <c r="M108" s="2723"/>
    </row>
    <row r="109" spans="2:16" ht="15">
      <c r="B109" s="2711"/>
      <c r="C109" s="2717" t="s">
        <v>3405</v>
      </c>
      <c r="D109" s="2715"/>
      <c r="E109" s="2715"/>
      <c r="F109" s="2715"/>
      <c r="G109" s="2715"/>
      <c r="H109" s="2715"/>
      <c r="I109" s="2715">
        <v>2</v>
      </c>
      <c r="J109" s="2715" t="s">
        <v>3406</v>
      </c>
      <c r="K109" s="2485">
        <f>+(1032*2*1.5+800)</f>
        <v>3896</v>
      </c>
      <c r="L109" s="2723">
        <f>I109*K109</f>
        <v>7792</v>
      </c>
      <c r="M109" s="2723"/>
    </row>
    <row r="110" spans="2:16" ht="15">
      <c r="B110" s="2711"/>
      <c r="C110" s="2717" t="s">
        <v>3407</v>
      </c>
      <c r="D110" s="2715"/>
      <c r="E110" s="2715"/>
      <c r="F110" s="2715"/>
      <c r="G110" s="2715"/>
      <c r="H110" s="2715"/>
      <c r="I110" s="2715">
        <v>2</v>
      </c>
      <c r="J110" s="2715" t="s">
        <v>3406</v>
      </c>
      <c r="K110" s="2485">
        <v>1022</v>
      </c>
      <c r="L110" s="2723">
        <f t="shared" ref="L110:L148" si="1">I110*K110</f>
        <v>2044</v>
      </c>
      <c r="M110" s="2723"/>
      <c r="N110" s="2596" t="s">
        <v>2826</v>
      </c>
    </row>
    <row r="111" spans="2:16" ht="15">
      <c r="B111" s="2711"/>
      <c r="C111" s="2717" t="s">
        <v>3408</v>
      </c>
      <c r="D111" s="2715"/>
      <c r="E111" s="2715"/>
      <c r="F111" s="2715"/>
      <c r="G111" s="2715"/>
      <c r="H111" s="2715"/>
      <c r="I111" s="2715">
        <v>1</v>
      </c>
      <c r="J111" s="2715" t="s">
        <v>3406</v>
      </c>
      <c r="K111" s="2485">
        <v>554</v>
      </c>
      <c r="L111" s="2723">
        <f t="shared" si="1"/>
        <v>554</v>
      </c>
      <c r="M111" s="2723"/>
    </row>
    <row r="112" spans="2:16" ht="15">
      <c r="B112" s="2711"/>
      <c r="C112" s="2717" t="s">
        <v>3409</v>
      </c>
      <c r="D112" s="2715"/>
      <c r="E112" s="2715"/>
      <c r="F112" s="2715"/>
      <c r="G112" s="2715"/>
      <c r="H112" s="2715"/>
      <c r="I112" s="2715">
        <v>2</v>
      </c>
      <c r="J112" s="2715" t="s">
        <v>3406</v>
      </c>
      <c r="K112" s="2485">
        <v>805</v>
      </c>
      <c r="L112" s="2723">
        <f t="shared" si="1"/>
        <v>1610</v>
      </c>
      <c r="M112" s="2723"/>
    </row>
    <row r="113" spans="2:13" ht="15">
      <c r="B113" s="2711"/>
      <c r="C113" s="2717" t="s">
        <v>3410</v>
      </c>
      <c r="D113" s="2715"/>
      <c r="E113" s="2715"/>
      <c r="F113" s="2715"/>
      <c r="G113" s="2715"/>
      <c r="H113" s="2715"/>
      <c r="I113" s="2715">
        <v>2</v>
      </c>
      <c r="J113" s="2715" t="s">
        <v>3406</v>
      </c>
      <c r="K113" s="2485">
        <f>+(1032*0.5*1.5+1000)</f>
        <v>1774</v>
      </c>
      <c r="L113" s="2723">
        <f t="shared" si="1"/>
        <v>3548</v>
      </c>
      <c r="M113" s="2723"/>
    </row>
    <row r="114" spans="2:13" ht="15">
      <c r="B114" s="2711"/>
      <c r="C114" s="2717" t="s">
        <v>3411</v>
      </c>
      <c r="D114" s="2715"/>
      <c r="E114" s="2715"/>
      <c r="F114" s="2715"/>
      <c r="G114" s="2715"/>
      <c r="H114" s="2715"/>
      <c r="I114" s="2715">
        <v>2</v>
      </c>
      <c r="J114" s="2715" t="s">
        <v>3406</v>
      </c>
      <c r="K114" s="2485">
        <v>11406</v>
      </c>
      <c r="L114" s="2723">
        <f t="shared" si="1"/>
        <v>22812</v>
      </c>
      <c r="M114" s="2723"/>
    </row>
    <row r="115" spans="2:13" ht="15">
      <c r="B115" s="2711"/>
      <c r="C115" s="2717" t="s">
        <v>3412</v>
      </c>
      <c r="D115" s="2715"/>
      <c r="E115" s="2715"/>
      <c r="F115" s="2715"/>
      <c r="G115" s="2715"/>
      <c r="H115" s="2715"/>
      <c r="I115" s="2715">
        <v>2</v>
      </c>
      <c r="J115" s="2715" t="s">
        <v>1038</v>
      </c>
      <c r="K115" s="2485">
        <v>1699</v>
      </c>
      <c r="L115" s="2723">
        <f t="shared" si="1"/>
        <v>3398</v>
      </c>
      <c r="M115" s="2723"/>
    </row>
    <row r="116" spans="2:13" ht="15">
      <c r="B116" s="2711"/>
      <c r="C116" s="2717" t="s">
        <v>3413</v>
      </c>
      <c r="D116" s="2715"/>
      <c r="E116" s="2715"/>
      <c r="F116" s="2715"/>
      <c r="G116" s="2715"/>
      <c r="H116" s="2715"/>
      <c r="I116" s="2715">
        <v>2</v>
      </c>
      <c r="J116" s="2715" t="s">
        <v>1038</v>
      </c>
      <c r="K116" s="2485">
        <v>1824</v>
      </c>
      <c r="L116" s="2723">
        <f t="shared" si="1"/>
        <v>3648</v>
      </c>
      <c r="M116" s="2723"/>
    </row>
    <row r="117" spans="2:13" ht="15">
      <c r="B117" s="2711"/>
      <c r="C117" s="2717" t="s">
        <v>3414</v>
      </c>
      <c r="D117" s="2715"/>
      <c r="E117" s="2715"/>
      <c r="F117" s="2715"/>
      <c r="G117" s="2715"/>
      <c r="H117" s="2715"/>
      <c r="I117" s="2715">
        <v>2</v>
      </c>
      <c r="J117" s="2715" t="s">
        <v>3406</v>
      </c>
      <c r="K117" s="2485">
        <v>214</v>
      </c>
      <c r="L117" s="2723">
        <f t="shared" si="1"/>
        <v>428</v>
      </c>
      <c r="M117" s="2723"/>
    </row>
    <row r="118" spans="2:13" ht="15">
      <c r="B118" s="2711"/>
      <c r="C118" s="2717" t="s">
        <v>3415</v>
      </c>
      <c r="D118" s="2715"/>
      <c r="E118" s="2715"/>
      <c r="F118" s="2715"/>
      <c r="G118" s="2715"/>
      <c r="H118" s="2715"/>
      <c r="I118" s="2715">
        <v>1</v>
      </c>
      <c r="J118" s="2715" t="s">
        <v>3406</v>
      </c>
      <c r="K118" s="2485">
        <v>1160</v>
      </c>
      <c r="L118" s="2723">
        <f t="shared" si="1"/>
        <v>1160</v>
      </c>
      <c r="M118" s="2723"/>
    </row>
    <row r="119" spans="2:13" ht="15">
      <c r="B119" s="2711"/>
      <c r="C119" s="2717" t="s">
        <v>3416</v>
      </c>
      <c r="D119" s="2715"/>
      <c r="E119" s="2715"/>
      <c r="F119" s="2715"/>
      <c r="G119" s="2715"/>
      <c r="H119" s="2715"/>
      <c r="I119" s="2715">
        <v>2</v>
      </c>
      <c r="J119" s="2715" t="s">
        <v>3406</v>
      </c>
      <c r="K119" s="2485">
        <f>+(257*2*1.5+500)</f>
        <v>1271</v>
      </c>
      <c r="L119" s="2723">
        <f t="shared" si="1"/>
        <v>2542</v>
      </c>
      <c r="M119" s="2723"/>
    </row>
    <row r="120" spans="2:13" ht="15">
      <c r="B120" s="2711"/>
      <c r="C120" s="2717" t="s">
        <v>3417</v>
      </c>
      <c r="D120" s="2715"/>
      <c r="E120" s="2715"/>
      <c r="F120" s="2715"/>
      <c r="G120" s="2715"/>
      <c r="H120" s="2715"/>
      <c r="I120" s="2715">
        <v>1</v>
      </c>
      <c r="J120" s="2715" t="s">
        <v>3406</v>
      </c>
      <c r="K120" s="2485">
        <f>+(257*1*1.5+500)</f>
        <v>885.5</v>
      </c>
      <c r="L120" s="2723">
        <f t="shared" si="1"/>
        <v>885.5</v>
      </c>
      <c r="M120" s="2723"/>
    </row>
    <row r="121" spans="2:13" ht="15">
      <c r="B121" s="2711"/>
      <c r="C121" s="2717" t="s">
        <v>3418</v>
      </c>
      <c r="D121" s="2715"/>
      <c r="E121" s="2715"/>
      <c r="F121" s="2715"/>
      <c r="G121" s="2715"/>
      <c r="H121" s="2715"/>
      <c r="I121" s="2715">
        <v>1</v>
      </c>
      <c r="J121" s="2715" t="s">
        <v>3406</v>
      </c>
      <c r="K121" s="2485">
        <f>+(257*0.35*1.5+500)</f>
        <v>634.92499999999995</v>
      </c>
      <c r="L121" s="2723">
        <f t="shared" si="1"/>
        <v>634.92499999999995</v>
      </c>
      <c r="M121" s="2723"/>
    </row>
    <row r="122" spans="2:13" ht="15">
      <c r="B122" s="2711"/>
      <c r="C122" s="2717" t="s">
        <v>3419</v>
      </c>
      <c r="D122" s="2715"/>
      <c r="E122" s="2715"/>
      <c r="F122" s="2715"/>
      <c r="G122" s="2715"/>
      <c r="H122" s="2715"/>
      <c r="I122" s="2715">
        <v>4</v>
      </c>
      <c r="J122" s="2715" t="s">
        <v>3406</v>
      </c>
      <c r="K122" s="2485">
        <v>94</v>
      </c>
      <c r="L122" s="2723">
        <f t="shared" si="1"/>
        <v>376</v>
      </c>
      <c r="M122" s="2723"/>
    </row>
    <row r="123" spans="2:13" ht="15">
      <c r="B123" s="2711"/>
      <c r="C123" s="2717" t="s">
        <v>3420</v>
      </c>
      <c r="D123" s="2715"/>
      <c r="E123" s="2715"/>
      <c r="F123" s="2715"/>
      <c r="G123" s="2715"/>
      <c r="H123" s="2715"/>
      <c r="I123" s="2715">
        <v>2</v>
      </c>
      <c r="J123" s="2715" t="s">
        <v>3406</v>
      </c>
      <c r="K123" s="2485">
        <v>73</v>
      </c>
      <c r="L123" s="2723">
        <f t="shared" si="1"/>
        <v>146</v>
      </c>
      <c r="M123" s="2723"/>
    </row>
    <row r="124" spans="2:13" ht="15">
      <c r="B124" s="2711"/>
      <c r="C124" s="2717" t="s">
        <v>3421</v>
      </c>
      <c r="D124" s="2715"/>
      <c r="E124" s="2715"/>
      <c r="F124" s="2715"/>
      <c r="G124" s="2715"/>
      <c r="H124" s="2715"/>
      <c r="I124" s="2715">
        <v>1</v>
      </c>
      <c r="J124" s="2715" t="s">
        <v>3406</v>
      </c>
      <c r="K124" s="2485">
        <v>238</v>
      </c>
      <c r="L124" s="2723">
        <f t="shared" si="1"/>
        <v>238</v>
      </c>
      <c r="M124" s="2723"/>
    </row>
    <row r="125" spans="2:13" ht="15">
      <c r="B125" s="2718"/>
      <c r="C125" s="2717" t="s">
        <v>3422</v>
      </c>
      <c r="D125" s="2715"/>
      <c r="E125" s="2715"/>
      <c r="F125" s="2715"/>
      <c r="G125" s="2715"/>
      <c r="H125" s="2715"/>
      <c r="I125" s="2715">
        <v>3</v>
      </c>
      <c r="J125" s="2715" t="s">
        <v>3406</v>
      </c>
      <c r="K125" s="2719">
        <v>74</v>
      </c>
      <c r="L125" s="2723">
        <f t="shared" si="1"/>
        <v>222</v>
      </c>
      <c r="M125" s="2723"/>
    </row>
    <row r="126" spans="2:13" ht="15">
      <c r="B126" s="2718"/>
      <c r="C126" s="2714" t="s">
        <v>3423</v>
      </c>
      <c r="D126" s="2485"/>
      <c r="E126" s="2485"/>
      <c r="F126" s="2485"/>
      <c r="G126" s="2485"/>
      <c r="H126" s="2485"/>
      <c r="I126" s="2485"/>
      <c r="J126" s="2485"/>
      <c r="K126" s="2720"/>
      <c r="L126" s="2723"/>
      <c r="M126" s="2723"/>
    </row>
    <row r="127" spans="2:13" ht="15">
      <c r="B127" s="2718"/>
      <c r="C127" s="2717" t="s">
        <v>3424</v>
      </c>
      <c r="D127" s="2485"/>
      <c r="E127" s="2485"/>
      <c r="F127" s="2485"/>
      <c r="G127" s="2485"/>
      <c r="H127" s="2485"/>
      <c r="I127" s="2485">
        <v>2</v>
      </c>
      <c r="J127" s="2485" t="s">
        <v>3406</v>
      </c>
      <c r="K127" s="2485">
        <f>+(1215*2*1.5+1000)</f>
        <v>4645</v>
      </c>
      <c r="L127" s="2723">
        <f t="shared" si="1"/>
        <v>9290</v>
      </c>
      <c r="M127" s="2723"/>
    </row>
    <row r="128" spans="2:13" ht="15">
      <c r="B128" s="2718"/>
      <c r="C128" s="2717" t="s">
        <v>3425</v>
      </c>
      <c r="D128" s="2485"/>
      <c r="E128" s="2485"/>
      <c r="F128" s="2485"/>
      <c r="G128" s="2485"/>
      <c r="H128" s="2485"/>
      <c r="I128" s="2485">
        <v>1</v>
      </c>
      <c r="J128" s="2485" t="s">
        <v>3406</v>
      </c>
      <c r="K128" s="2485">
        <f>+(1215*0.6*1.5+1000)</f>
        <v>2093.5</v>
      </c>
      <c r="L128" s="2723">
        <f t="shared" si="1"/>
        <v>2093.5</v>
      </c>
      <c r="M128" s="2723"/>
    </row>
    <row r="129" spans="2:13" ht="15">
      <c r="B129" s="2718"/>
      <c r="C129" s="2717" t="s">
        <v>3426</v>
      </c>
      <c r="D129" s="2485"/>
      <c r="E129" s="2485"/>
      <c r="F129" s="2485"/>
      <c r="G129" s="2485"/>
      <c r="H129" s="2485"/>
      <c r="I129" s="2485">
        <v>2</v>
      </c>
      <c r="J129" s="2485" t="s">
        <v>3406</v>
      </c>
      <c r="K129" s="2719">
        <v>1253</v>
      </c>
      <c r="L129" s="2723">
        <f t="shared" si="1"/>
        <v>2506</v>
      </c>
      <c r="M129" s="2723"/>
    </row>
    <row r="130" spans="2:13" ht="15">
      <c r="B130" s="2718"/>
      <c r="C130" s="2717" t="s">
        <v>3427</v>
      </c>
      <c r="D130" s="2485"/>
      <c r="E130" s="2485"/>
      <c r="F130" s="2485"/>
      <c r="G130" s="2485"/>
      <c r="H130" s="2485"/>
      <c r="I130" s="2485">
        <v>1</v>
      </c>
      <c r="J130" s="2485" t="s">
        <v>3406</v>
      </c>
      <c r="K130" s="2719">
        <v>817</v>
      </c>
      <c r="L130" s="2723">
        <f t="shared" si="1"/>
        <v>817</v>
      </c>
      <c r="M130" s="2723"/>
    </row>
    <row r="131" spans="2:13" ht="15">
      <c r="B131" s="2718"/>
      <c r="C131" s="2717" t="s">
        <v>3428</v>
      </c>
      <c r="D131" s="2485"/>
      <c r="E131" s="2485"/>
      <c r="F131" s="2485"/>
      <c r="G131" s="2485"/>
      <c r="H131" s="2485"/>
      <c r="I131" s="2485">
        <v>1</v>
      </c>
      <c r="J131" s="2485" t="s">
        <v>3406</v>
      </c>
      <c r="K131" s="2719">
        <v>437</v>
      </c>
      <c r="L131" s="2723">
        <f t="shared" si="1"/>
        <v>437</v>
      </c>
      <c r="M131" s="2723"/>
    </row>
    <row r="132" spans="2:13" ht="15">
      <c r="B132" s="2718"/>
      <c r="C132" s="2717" t="s">
        <v>3429</v>
      </c>
      <c r="D132" s="2485"/>
      <c r="E132" s="2485"/>
      <c r="F132" s="2485"/>
      <c r="G132" s="2485"/>
      <c r="H132" s="2485"/>
      <c r="I132" s="2485">
        <v>1</v>
      </c>
      <c r="J132" s="2485" t="s">
        <v>517</v>
      </c>
      <c r="K132" s="2719">
        <v>1950</v>
      </c>
      <c r="L132" s="2723">
        <f t="shared" si="1"/>
        <v>1950</v>
      </c>
      <c r="M132" s="2723"/>
    </row>
    <row r="133" spans="2:13" ht="15">
      <c r="B133" s="2718"/>
      <c r="C133" s="2714" t="s">
        <v>3430</v>
      </c>
      <c r="D133" s="2485"/>
      <c r="E133" s="2721"/>
      <c r="F133" s="2485"/>
      <c r="G133" s="2485"/>
      <c r="H133" s="2485"/>
      <c r="I133" s="2485"/>
      <c r="J133" s="2485"/>
      <c r="K133" s="2485"/>
      <c r="L133" s="2723"/>
      <c r="M133" s="2723"/>
    </row>
    <row r="134" spans="2:13" ht="15">
      <c r="B134" s="2718"/>
      <c r="C134" s="2717" t="s">
        <v>3431</v>
      </c>
      <c r="D134" s="2485"/>
      <c r="E134" s="2485"/>
      <c r="F134" s="2485"/>
      <c r="G134" s="2485"/>
      <c r="H134" s="2485"/>
      <c r="I134" s="2485">
        <v>1</v>
      </c>
      <c r="J134" s="2485" t="s">
        <v>3406</v>
      </c>
      <c r="K134" s="2485">
        <f>+(565*2*1.5+600)</f>
        <v>2295</v>
      </c>
      <c r="L134" s="2723">
        <f t="shared" si="1"/>
        <v>2295</v>
      </c>
      <c r="M134" s="2723"/>
    </row>
    <row r="135" spans="2:13" ht="15">
      <c r="B135" s="2718"/>
      <c r="C135" s="2717" t="s">
        <v>3432</v>
      </c>
      <c r="D135" s="2485"/>
      <c r="E135" s="2485"/>
      <c r="F135" s="2485"/>
      <c r="G135" s="2485"/>
      <c r="H135" s="2485"/>
      <c r="I135" s="2485">
        <v>1</v>
      </c>
      <c r="J135" s="2485" t="s">
        <v>3406</v>
      </c>
      <c r="K135" s="2485">
        <f>+(565*1*1.5+600)</f>
        <v>1447.5</v>
      </c>
      <c r="L135" s="2723">
        <f t="shared" si="1"/>
        <v>1447.5</v>
      </c>
      <c r="M135" s="2723"/>
    </row>
    <row r="136" spans="2:13" ht="15">
      <c r="B136" s="2718"/>
      <c r="C136" s="2717" t="s">
        <v>3433</v>
      </c>
      <c r="D136" s="2485"/>
      <c r="E136" s="2485"/>
      <c r="F136" s="2485"/>
      <c r="G136" s="2485"/>
      <c r="H136" s="2485"/>
      <c r="I136" s="2485">
        <v>1</v>
      </c>
      <c r="J136" s="2485" t="s">
        <v>3406</v>
      </c>
      <c r="K136" s="2485">
        <v>308</v>
      </c>
      <c r="L136" s="2723">
        <f t="shared" si="1"/>
        <v>308</v>
      </c>
      <c r="M136" s="2723"/>
    </row>
    <row r="137" spans="2:13" ht="15">
      <c r="B137" s="2718"/>
      <c r="C137" s="2717" t="s">
        <v>3434</v>
      </c>
      <c r="D137" s="2485"/>
      <c r="E137" s="2485"/>
      <c r="F137" s="2485"/>
      <c r="G137" s="2485"/>
      <c r="H137" s="2485"/>
      <c r="I137" s="2485">
        <v>1</v>
      </c>
      <c r="J137" s="2485" t="s">
        <v>3406</v>
      </c>
      <c r="K137" s="2485">
        <v>208</v>
      </c>
      <c r="L137" s="2723">
        <f t="shared" si="1"/>
        <v>208</v>
      </c>
      <c r="M137" s="2723"/>
    </row>
    <row r="138" spans="2:13" ht="15">
      <c r="B138" s="2718"/>
      <c r="C138" s="2717" t="s">
        <v>3435</v>
      </c>
      <c r="D138" s="2485"/>
      <c r="E138" s="2485"/>
      <c r="F138" s="2485"/>
      <c r="G138" s="2485"/>
      <c r="H138" s="2485"/>
      <c r="I138" s="2485">
        <v>3</v>
      </c>
      <c r="J138" s="2485" t="s">
        <v>3406</v>
      </c>
      <c r="K138" s="2485">
        <v>116</v>
      </c>
      <c r="L138" s="2723">
        <f t="shared" si="1"/>
        <v>348</v>
      </c>
      <c r="M138" s="2723"/>
    </row>
    <row r="139" spans="2:13" ht="15">
      <c r="B139" s="2718"/>
      <c r="C139" s="2717" t="s">
        <v>3436</v>
      </c>
      <c r="D139" s="2485"/>
      <c r="E139" s="2485"/>
      <c r="F139" s="2485"/>
      <c r="G139" s="2485"/>
      <c r="H139" s="2485"/>
      <c r="I139" s="2485">
        <v>1</v>
      </c>
      <c r="J139" s="2485" t="s">
        <v>3406</v>
      </c>
      <c r="K139" s="2485">
        <v>3467</v>
      </c>
      <c r="L139" s="2723">
        <f t="shared" si="1"/>
        <v>3467</v>
      </c>
      <c r="M139" s="2723"/>
    </row>
    <row r="140" spans="2:13" ht="15">
      <c r="B140" s="2718"/>
      <c r="C140" s="2717" t="s">
        <v>3437</v>
      </c>
      <c r="D140" s="2485"/>
      <c r="E140" s="2485"/>
      <c r="F140" s="2485"/>
      <c r="G140" s="2485"/>
      <c r="H140" s="2485"/>
      <c r="I140" s="2485">
        <v>1</v>
      </c>
      <c r="J140" s="2485" t="s">
        <v>3406</v>
      </c>
      <c r="K140" s="2485">
        <v>124</v>
      </c>
      <c r="L140" s="2723">
        <f t="shared" si="1"/>
        <v>124</v>
      </c>
      <c r="M140" s="2723"/>
    </row>
    <row r="141" spans="2:13" ht="15">
      <c r="B141" s="2718"/>
      <c r="C141" s="2717" t="s">
        <v>3438</v>
      </c>
      <c r="D141" s="2485"/>
      <c r="E141" s="2485"/>
      <c r="F141" s="2485"/>
      <c r="G141" s="2485"/>
      <c r="H141" s="2485"/>
      <c r="I141" s="2485">
        <v>2</v>
      </c>
      <c r="J141" s="2485" t="s">
        <v>3406</v>
      </c>
      <c r="K141" s="2485">
        <v>1332</v>
      </c>
      <c r="L141" s="2723">
        <f t="shared" si="1"/>
        <v>2664</v>
      </c>
      <c r="M141" s="2723"/>
    </row>
    <row r="142" spans="2:13" ht="15">
      <c r="B142" s="2718"/>
      <c r="C142" s="2714" t="s">
        <v>3439</v>
      </c>
      <c r="D142" s="2485"/>
      <c r="E142" s="2721"/>
      <c r="F142" s="2485"/>
      <c r="G142" s="2485"/>
      <c r="H142" s="2485"/>
      <c r="I142" s="2485"/>
      <c r="J142" s="2485"/>
      <c r="K142" s="2485"/>
      <c r="L142" s="2723"/>
      <c r="M142" s="2723"/>
    </row>
    <row r="143" spans="2:13" ht="15">
      <c r="B143" s="2718"/>
      <c r="C143" s="2717" t="s">
        <v>3440</v>
      </c>
      <c r="D143" s="2485"/>
      <c r="E143" s="2721"/>
      <c r="F143" s="2485"/>
      <c r="G143" s="2485"/>
      <c r="H143" s="2485"/>
      <c r="I143" s="2485">
        <v>1</v>
      </c>
      <c r="J143" s="2485" t="s">
        <v>1983</v>
      </c>
      <c r="K143" s="2485">
        <f>+(1215*2.8*1.5+1000)</f>
        <v>6103</v>
      </c>
      <c r="L143" s="2723">
        <f t="shared" si="1"/>
        <v>6103</v>
      </c>
      <c r="M143" s="2723"/>
    </row>
    <row r="144" spans="2:13" ht="15">
      <c r="B144" s="2718"/>
      <c r="C144" s="2717" t="s">
        <v>3441</v>
      </c>
      <c r="D144" s="2485"/>
      <c r="E144" s="2485"/>
      <c r="F144" s="2485"/>
      <c r="G144" s="2485"/>
      <c r="H144" s="2485"/>
      <c r="I144" s="2485">
        <v>0</v>
      </c>
      <c r="J144" s="2485" t="s">
        <v>3406</v>
      </c>
      <c r="K144" s="2485">
        <v>13691</v>
      </c>
      <c r="L144" s="2723">
        <f t="shared" si="1"/>
        <v>0</v>
      </c>
      <c r="M144" s="2723"/>
    </row>
    <row r="145" spans="2:13" ht="15">
      <c r="B145" s="2718"/>
      <c r="C145" s="2717" t="s">
        <v>3426</v>
      </c>
      <c r="D145" s="2485"/>
      <c r="E145" s="2485"/>
      <c r="F145" s="2485"/>
      <c r="G145" s="2485"/>
      <c r="H145" s="2485"/>
      <c r="I145" s="2485">
        <v>1</v>
      </c>
      <c r="J145" s="2485" t="s">
        <v>3406</v>
      </c>
      <c r="K145" s="2485">
        <v>1253</v>
      </c>
      <c r="L145" s="2723">
        <f t="shared" si="1"/>
        <v>1253</v>
      </c>
      <c r="M145" s="2723"/>
    </row>
    <row r="146" spans="2:13" ht="15">
      <c r="B146" s="2718"/>
      <c r="C146" s="2717" t="s">
        <v>3442</v>
      </c>
      <c r="D146" s="2485"/>
      <c r="E146" s="2485"/>
      <c r="F146" s="2485"/>
      <c r="G146" s="2485"/>
      <c r="H146" s="2485"/>
      <c r="I146" s="2485">
        <v>2</v>
      </c>
      <c r="J146" s="2485" t="s">
        <v>1038</v>
      </c>
      <c r="K146" s="2485">
        <v>1950</v>
      </c>
      <c r="L146" s="2723">
        <f t="shared" si="1"/>
        <v>3900</v>
      </c>
      <c r="M146" s="2723"/>
    </row>
    <row r="147" spans="2:13" ht="15">
      <c r="B147" s="2718"/>
      <c r="C147" s="2717" t="s">
        <v>3428</v>
      </c>
      <c r="D147" s="2485"/>
      <c r="E147" s="2485"/>
      <c r="F147" s="2485"/>
      <c r="G147" s="2485"/>
      <c r="H147" s="2485"/>
      <c r="I147" s="2485">
        <v>1</v>
      </c>
      <c r="J147" s="2485" t="s">
        <v>3406</v>
      </c>
      <c r="K147" s="2485">
        <v>437</v>
      </c>
      <c r="L147" s="2723">
        <f t="shared" si="1"/>
        <v>437</v>
      </c>
      <c r="M147" s="2723"/>
    </row>
    <row r="148" spans="2:13" ht="15">
      <c r="B148" s="2718"/>
      <c r="C148" s="2717" t="s">
        <v>3443</v>
      </c>
      <c r="D148" s="2485"/>
      <c r="E148" s="2485"/>
      <c r="F148" s="2485"/>
      <c r="G148" s="2485"/>
      <c r="H148" s="2485"/>
      <c r="I148" s="2485">
        <v>1</v>
      </c>
      <c r="J148" s="2485" t="s">
        <v>1038</v>
      </c>
      <c r="K148" s="2485">
        <v>1950</v>
      </c>
      <c r="L148" s="2723">
        <f t="shared" si="1"/>
        <v>1950</v>
      </c>
      <c r="M148" s="2723"/>
    </row>
    <row r="149" spans="2:13" ht="12.75">
      <c r="B149" s="2724"/>
      <c r="C149" s="2723"/>
      <c r="D149" s="2723"/>
      <c r="E149" s="2723"/>
      <c r="F149" s="2723"/>
      <c r="G149" s="2723"/>
      <c r="H149" s="2723"/>
      <c r="I149" s="2723"/>
      <c r="J149" s="2723"/>
      <c r="K149" s="2725" t="s">
        <v>1715</v>
      </c>
      <c r="L149" s="2725">
        <f>SUM(L109:L148)</f>
        <v>93636.425000000003</v>
      </c>
      <c r="M149" s="2725" t="s">
        <v>1451</v>
      </c>
    </row>
    <row r="152" spans="2:13">
      <c r="L152" s="2726">
        <f>L149+L104</f>
        <v>3764107.6136277053</v>
      </c>
    </row>
  </sheetData>
  <mergeCells count="4">
    <mergeCell ref="J10:J11"/>
    <mergeCell ref="B1:M1"/>
    <mergeCell ref="B2:M2"/>
    <mergeCell ref="B3:M3"/>
  </mergeCells>
  <dataValidations disablePrompts="1" count="1">
    <dataValidation type="list" allowBlank="1" showInputMessage="1" showErrorMessage="1" promptTitle="Size of RCC Tank" prompt="Adopt one of the sizes only" sqref="G12" xr:uid="{00000000-0002-0000-2A00-000000000000}">
      <formula1>"10,15,20,25,50,75,100,150,200"</formula1>
    </dataValidation>
  </dataValidations>
  <pageMargins left="0.7" right="0.7" top="0.75" bottom="0.75" header="0.3" footer="0.3"/>
  <pageSetup scale="86" orientation="portrait" r:id="rId1"/>
  <headerFooter>
    <oddFooter>&amp;LPrepared By:&amp;CChecked By:
 Er. Bal Krishna Manandhar&amp;RApproved By: 
Er. Prakash Singh Saud</oddFooter>
  </headerFooter>
  <rowBreaks count="1" manualBreakCount="1">
    <brk id="91" max="12" man="1"/>
  </rowBreaks>
  <colBreaks count="1" manualBreakCount="1">
    <brk id="13" max="1048575" man="1"/>
  </col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B1:P150"/>
  <sheetViews>
    <sheetView view="pageLayout" topLeftCell="A184" workbookViewId="0">
      <selection activeCell="B5" sqref="B5"/>
    </sheetView>
  </sheetViews>
  <sheetFormatPr defaultColWidth="6.7109375" defaultRowHeight="12"/>
  <cols>
    <col min="1" max="1" width="1.85546875" style="2596" customWidth="1"/>
    <col min="2" max="2" width="4" style="2614" customWidth="1"/>
    <col min="3" max="3" width="35.42578125" style="2596" customWidth="1"/>
    <col min="4" max="4" width="3.7109375" style="2596" customWidth="1"/>
    <col min="5" max="5" width="4.7109375" style="2596" customWidth="1"/>
    <col min="6" max="6" width="6.28515625" style="2596" customWidth="1"/>
    <col min="7" max="7" width="5" style="2596" customWidth="1"/>
    <col min="8" max="8" width="5.28515625" style="2596" customWidth="1"/>
    <col min="9" max="9" width="7.7109375" style="2596" customWidth="1"/>
    <col min="10" max="10" width="4.28515625" style="2596" customWidth="1"/>
    <col min="11" max="11" width="8.5703125" style="2596" hidden="1" customWidth="1"/>
    <col min="12" max="12" width="10.42578125" style="2596" hidden="1" customWidth="1"/>
    <col min="13" max="13" width="6" style="2596" customWidth="1"/>
    <col min="14" max="14" width="5.28515625" style="2596" customWidth="1"/>
    <col min="15" max="22" width="4.7109375" style="2596" customWidth="1"/>
    <col min="23" max="23" width="10.42578125" style="2596" customWidth="1"/>
    <col min="24" max="16384" width="6.7109375" style="2596"/>
  </cols>
  <sheetData>
    <row r="1" spans="2:16" ht="15">
      <c r="B1" s="3110" t="s">
        <v>3515</v>
      </c>
      <c r="C1" s="3110"/>
      <c r="D1" s="3110"/>
      <c r="E1" s="3110"/>
      <c r="F1" s="3110"/>
      <c r="G1" s="3110"/>
      <c r="H1" s="3110"/>
      <c r="I1" s="3110"/>
      <c r="J1" s="3110"/>
      <c r="K1" s="3110"/>
      <c r="L1" s="3110"/>
      <c r="M1" s="3110"/>
    </row>
    <row r="2" spans="2:16" ht="20.25">
      <c r="B2" s="3111" t="s">
        <v>3516</v>
      </c>
      <c r="C2" s="3111"/>
      <c r="D2" s="3111"/>
      <c r="E2" s="3111"/>
      <c r="F2" s="3111"/>
      <c r="G2" s="3111"/>
      <c r="H2" s="3111"/>
      <c r="I2" s="3111"/>
      <c r="J2" s="3111"/>
      <c r="K2" s="3111"/>
      <c r="L2" s="3111"/>
      <c r="M2" s="3111"/>
    </row>
    <row r="3" spans="2:16" ht="20.25">
      <c r="B3" s="3112" t="s">
        <v>3517</v>
      </c>
      <c r="C3" s="3111"/>
      <c r="D3" s="3111"/>
      <c r="E3" s="3111"/>
      <c r="F3" s="3111"/>
      <c r="G3" s="3111"/>
      <c r="H3" s="3111"/>
      <c r="I3" s="3111"/>
      <c r="J3" s="3111"/>
      <c r="K3" s="3111"/>
      <c r="L3" s="3111"/>
      <c r="M3" s="3111"/>
    </row>
    <row r="4" spans="2:16" ht="18.75">
      <c r="B4" s="3113" t="s">
        <v>3304</v>
      </c>
      <c r="C4" s="3113"/>
      <c r="D4" s="3113"/>
      <c r="E4" s="3113"/>
      <c r="F4" s="3113"/>
      <c r="G4" s="3113"/>
      <c r="H4" s="3113"/>
      <c r="I4" s="3113"/>
      <c r="J4" s="3113"/>
      <c r="K4" s="3113"/>
      <c r="L4" s="3113"/>
      <c r="M4" s="3113"/>
    </row>
    <row r="5" spans="2:16" ht="18.75">
      <c r="B5" s="513" t="s">
        <v>3529</v>
      </c>
      <c r="C5" s="2820"/>
      <c r="D5" s="2820"/>
      <c r="E5" s="2820"/>
      <c r="F5" s="2820"/>
      <c r="G5" s="2820"/>
      <c r="H5" s="2820"/>
      <c r="I5" s="2820"/>
      <c r="J5" s="2820"/>
      <c r="K5" s="2820"/>
      <c r="L5" s="2820"/>
      <c r="M5" s="2820"/>
    </row>
    <row r="6" spans="2:16" ht="18.75">
      <c r="B6" s="2819" t="s">
        <v>3583</v>
      </c>
      <c r="C6" s="2820"/>
      <c r="D6" s="2820"/>
      <c r="E6" s="2820"/>
      <c r="F6" s="2820"/>
      <c r="G6" s="2820"/>
      <c r="H6" s="2820"/>
      <c r="I6" s="2820"/>
      <c r="J6" s="2820"/>
      <c r="K6" s="2820"/>
      <c r="L6" s="2820"/>
      <c r="M6" s="2820"/>
    </row>
    <row r="7" spans="2:16" ht="18.75">
      <c r="B7" s="2819" t="s">
        <v>3584</v>
      </c>
      <c r="C7" s="2820"/>
      <c r="D7" s="2820"/>
      <c r="E7" s="2820"/>
      <c r="F7" s="2820"/>
      <c r="G7" s="2820"/>
      <c r="H7" s="2820"/>
      <c r="I7" s="2820"/>
      <c r="J7" s="2820"/>
      <c r="K7" s="2820"/>
      <c r="L7" s="2820"/>
      <c r="M7" s="2820"/>
    </row>
    <row r="8" spans="2:16" ht="20.25">
      <c r="B8" s="2744" t="s">
        <v>3518</v>
      </c>
      <c r="C8" s="2743"/>
      <c r="D8" s="2743"/>
      <c r="E8" s="2743"/>
      <c r="F8" s="2743"/>
      <c r="G8" s="2743"/>
      <c r="H8" s="2743"/>
      <c r="I8" s="2743"/>
      <c r="J8" s="2743"/>
      <c r="K8" s="2743"/>
      <c r="L8" s="2743"/>
      <c r="M8" s="2745" t="s">
        <v>3520</v>
      </c>
    </row>
    <row r="9" spans="2:16" ht="20.25">
      <c r="B9" s="2744" t="s">
        <v>3519</v>
      </c>
      <c r="C9" s="2743"/>
      <c r="D9" s="2743"/>
      <c r="E9" s="2743"/>
      <c r="F9" s="2743"/>
      <c r="G9" s="2743"/>
      <c r="H9" s="2743"/>
      <c r="I9" s="2743"/>
      <c r="J9" s="2743"/>
      <c r="K9" s="2743"/>
      <c r="L9" s="2743"/>
      <c r="M9" s="2745" t="s">
        <v>3521</v>
      </c>
    </row>
    <row r="10" spans="2:16" ht="12" customHeight="1">
      <c r="B10" s="2597"/>
      <c r="C10" s="2598"/>
      <c r="D10" s="2598"/>
      <c r="E10" s="2597"/>
      <c r="F10" s="2597"/>
      <c r="G10" s="2598"/>
      <c r="H10" s="2598"/>
      <c r="I10" s="2598"/>
      <c r="J10" s="2598"/>
      <c r="K10" s="2597"/>
      <c r="L10" s="2599"/>
      <c r="N10" s="2600"/>
    </row>
    <row r="11" spans="2:16" ht="18.75" customHeight="1">
      <c r="B11" s="2601" t="s">
        <v>3306</v>
      </c>
      <c r="C11" s="2602" t="s">
        <v>3307</v>
      </c>
      <c r="D11" s="2601" t="s">
        <v>963</v>
      </c>
      <c r="E11" s="2601" t="s">
        <v>3308</v>
      </c>
      <c r="F11" s="2601" t="s">
        <v>2459</v>
      </c>
      <c r="G11" s="2601" t="s">
        <v>712</v>
      </c>
      <c r="H11" s="2601" t="s">
        <v>2920</v>
      </c>
      <c r="I11" s="2601" t="s">
        <v>3309</v>
      </c>
      <c r="J11" s="3108" t="s">
        <v>1035</v>
      </c>
      <c r="K11" s="2603" t="s">
        <v>97</v>
      </c>
      <c r="L11" s="2603" t="s">
        <v>52</v>
      </c>
      <c r="M11" s="2604" t="s">
        <v>3310</v>
      </c>
    </row>
    <row r="12" spans="2:16" ht="15.75" customHeight="1">
      <c r="B12" s="2605" t="s">
        <v>3311</v>
      </c>
      <c r="C12" s="2606"/>
      <c r="D12" s="2607"/>
      <c r="E12" s="2605" t="s">
        <v>3312</v>
      </c>
      <c r="F12" s="2605" t="s">
        <v>3312</v>
      </c>
      <c r="G12" s="2605" t="s">
        <v>3312</v>
      </c>
      <c r="H12" s="2605" t="s">
        <v>3312</v>
      </c>
      <c r="I12" s="2608"/>
      <c r="J12" s="3109"/>
      <c r="K12" s="2609" t="s">
        <v>1451</v>
      </c>
      <c r="L12" s="2609" t="s">
        <v>1451</v>
      </c>
      <c r="M12" s="2610" t="s">
        <v>949</v>
      </c>
      <c r="N12" s="2611"/>
      <c r="O12" s="2612"/>
      <c r="P12" s="2612"/>
    </row>
    <row r="13" spans="2:16" ht="15.75" customHeight="1">
      <c r="B13" s="2613"/>
      <c r="C13" s="2614" t="s">
        <v>3313</v>
      </c>
      <c r="D13" s="2615">
        <f>VLOOKUP(G13,SizRCT,3,FALSE)</f>
        <v>3</v>
      </c>
      <c r="E13" s="2616"/>
      <c r="G13" s="2617">
        <v>150</v>
      </c>
      <c r="I13" s="2616"/>
      <c r="J13" s="2616"/>
      <c r="K13" s="2618"/>
      <c r="L13" s="2619" t="s">
        <v>3314</v>
      </c>
      <c r="M13" s="2620">
        <v>0.2</v>
      </c>
      <c r="N13" s="2611"/>
      <c r="O13" s="2612"/>
      <c r="P13" s="2612"/>
    </row>
    <row r="14" spans="2:16" ht="15.75" customHeight="1">
      <c r="B14" s="2621"/>
      <c r="C14" s="2622" t="s">
        <v>3315</v>
      </c>
      <c r="D14" s="2623">
        <f>VLOOKUP(G13,SizRCT,2,FALSE)</f>
        <v>8.6</v>
      </c>
      <c r="E14" s="2624"/>
      <c r="F14" s="2625" t="s">
        <v>3316</v>
      </c>
      <c r="G14" s="2625"/>
      <c r="H14" s="2626">
        <f>VLOOKUP(G13,SizRCT,5,FALSE)</f>
        <v>174.26414449462581</v>
      </c>
      <c r="I14" s="2627" t="s">
        <v>3317</v>
      </c>
      <c r="J14" s="2624"/>
      <c r="K14" s="2628"/>
      <c r="L14" s="2629" t="s">
        <v>3318</v>
      </c>
      <c r="M14" s="2630">
        <f>VLOOKUP(G13,SizRCT,4,FALSE)</f>
        <v>1.48</v>
      </c>
      <c r="N14" s="2611"/>
      <c r="O14" s="2612"/>
      <c r="P14" s="2612"/>
    </row>
    <row r="15" spans="2:16" ht="15.75" customHeight="1">
      <c r="B15" s="2631"/>
      <c r="C15" s="2632"/>
      <c r="D15" s="2633"/>
      <c r="E15" s="2633"/>
      <c r="F15" s="2633"/>
      <c r="G15" s="2633"/>
      <c r="H15" s="2633"/>
      <c r="I15" s="2633"/>
      <c r="J15" s="2633"/>
      <c r="K15" s="2634"/>
      <c r="L15" s="2634"/>
      <c r="M15" s="2635"/>
      <c r="N15" s="2611"/>
      <c r="O15" s="2612"/>
      <c r="P15" s="2612"/>
    </row>
    <row r="16" spans="2:16" ht="15.75" customHeight="1">
      <c r="B16" s="2631">
        <v>1</v>
      </c>
      <c r="C16" s="2632" t="s">
        <v>26</v>
      </c>
      <c r="D16" s="2636">
        <v>1</v>
      </c>
      <c r="E16" s="2637">
        <f>D14</f>
        <v>8.6</v>
      </c>
      <c r="F16" s="2636"/>
      <c r="G16" s="2636"/>
      <c r="H16" s="2636"/>
      <c r="I16" s="2638">
        <f>PI()*E16^2</f>
        <v>232.35219265950107</v>
      </c>
      <c r="J16" s="2636" t="s">
        <v>1154</v>
      </c>
      <c r="K16" s="2639">
        <f>Rates!F7</f>
        <v>149.5</v>
      </c>
      <c r="L16" s="2640">
        <f>I16*K16</f>
        <v>34736.65280259541</v>
      </c>
      <c r="M16" s="2641" t="s">
        <v>2595</v>
      </c>
      <c r="N16" s="2611"/>
      <c r="O16" s="2612"/>
      <c r="P16" s="2612"/>
    </row>
    <row r="17" spans="2:16" ht="15.75" customHeight="1">
      <c r="B17" s="2631"/>
      <c r="C17" s="2632"/>
      <c r="D17" s="2636"/>
      <c r="E17" s="2636"/>
      <c r="F17" s="2636"/>
      <c r="G17" s="2636"/>
      <c r="H17" s="2636"/>
      <c r="I17" s="2636"/>
      <c r="J17" s="2636"/>
      <c r="K17" s="2636"/>
      <c r="L17" s="2636"/>
      <c r="M17" s="2641"/>
      <c r="N17" s="2611"/>
      <c r="O17" s="2612"/>
      <c r="P17" s="2612"/>
    </row>
    <row r="18" spans="2:16" ht="15.75" customHeight="1">
      <c r="B18" s="2631">
        <f>B16+1</f>
        <v>2</v>
      </c>
      <c r="C18" s="2632" t="s">
        <v>3319</v>
      </c>
      <c r="D18" s="2636"/>
      <c r="E18" s="2636"/>
      <c r="F18" s="2636"/>
      <c r="G18" s="2636"/>
      <c r="H18" s="2636"/>
      <c r="I18" s="2636"/>
      <c r="J18" s="2636"/>
      <c r="K18" s="2636"/>
      <c r="L18" s="2636"/>
      <c r="M18" s="2641"/>
      <c r="N18" s="2611"/>
      <c r="O18" s="2612"/>
      <c r="P18" s="2612"/>
    </row>
    <row r="19" spans="2:16" ht="15.75" customHeight="1">
      <c r="B19" s="2631"/>
      <c r="C19" s="2642" t="s">
        <v>3320</v>
      </c>
      <c r="D19" s="2636">
        <v>1</v>
      </c>
      <c r="E19" s="2636"/>
      <c r="F19" s="2640">
        <v>3.9</v>
      </c>
      <c r="G19" s="2640">
        <v>3</v>
      </c>
      <c r="H19" s="2640">
        <v>1.5</v>
      </c>
      <c r="I19" s="2638">
        <f>D19*F19*G19*H19</f>
        <v>17.549999999999997</v>
      </c>
      <c r="J19" s="2636"/>
      <c r="K19" s="2636"/>
      <c r="L19" s="2638"/>
      <c r="M19" s="2641"/>
      <c r="N19" s="2611"/>
      <c r="O19" s="2612"/>
      <c r="P19" s="2612"/>
    </row>
    <row r="20" spans="2:16" ht="15.75" customHeight="1">
      <c r="B20" s="2631"/>
      <c r="C20" s="2642" t="s">
        <v>3321</v>
      </c>
      <c r="D20" s="2636">
        <v>1</v>
      </c>
      <c r="E20" s="2640">
        <f>D14/2+M13+0.5</f>
        <v>5</v>
      </c>
      <c r="F20" s="2640"/>
      <c r="G20" s="2640"/>
      <c r="H20" s="2640">
        <v>1.5</v>
      </c>
      <c r="I20" s="2638">
        <f>PI()*E20^2*H20</f>
        <v>117.80972450961724</v>
      </c>
      <c r="J20" s="2636"/>
      <c r="K20" s="2636"/>
      <c r="L20" s="2638"/>
      <c r="M20" s="2641"/>
      <c r="N20" s="2611"/>
      <c r="O20" s="2612"/>
      <c r="P20" s="2612"/>
    </row>
    <row r="21" spans="2:16" ht="15.75" customHeight="1">
      <c r="B21" s="2631"/>
      <c r="C21" s="2632" t="s">
        <v>3322</v>
      </c>
      <c r="D21" s="2636">
        <v>1</v>
      </c>
      <c r="E21" s="2640"/>
      <c r="F21" s="2640">
        <v>4</v>
      </c>
      <c r="G21" s="2640">
        <v>0.6</v>
      </c>
      <c r="H21" s="2640">
        <v>0.9</v>
      </c>
      <c r="I21" s="2643">
        <f>D21*F21*G21*H21</f>
        <v>2.16</v>
      </c>
      <c r="J21" s="2636"/>
      <c r="K21" s="2636"/>
      <c r="L21" s="2638"/>
      <c r="M21" s="2641"/>
      <c r="N21" s="2611"/>
      <c r="O21" s="2612"/>
      <c r="P21" s="2612"/>
    </row>
    <row r="22" spans="2:16" ht="15.75" customHeight="1">
      <c r="B22" s="2631"/>
      <c r="C22" s="2632"/>
      <c r="D22" s="2636"/>
      <c r="E22" s="2640"/>
      <c r="F22" s="2640"/>
      <c r="G22" s="2640"/>
      <c r="H22" s="2640"/>
      <c r="I22" s="2638">
        <f>SUM(I19:I21)</f>
        <v>137.51972450961725</v>
      </c>
      <c r="J22" s="2640" t="s">
        <v>1426</v>
      </c>
      <c r="K22" s="2644">
        <f>Rates!F8</f>
        <v>1184.5</v>
      </c>
      <c r="L22" s="2640">
        <f>I22*K22</f>
        <v>162892.11368164164</v>
      </c>
      <c r="M22" s="2645">
        <v>2.14</v>
      </c>
      <c r="N22" s="2611"/>
      <c r="O22" s="2612"/>
      <c r="P22" s="2612"/>
    </row>
    <row r="23" spans="2:16" ht="15.75" customHeight="1">
      <c r="B23" s="2631">
        <f>B18+1</f>
        <v>3</v>
      </c>
      <c r="C23" s="2646" t="s">
        <v>3323</v>
      </c>
      <c r="D23" s="2636">
        <v>1</v>
      </c>
      <c r="E23" s="2640"/>
      <c r="F23" s="2640"/>
      <c r="G23" s="2640"/>
      <c r="H23" s="2640">
        <v>1.1000000000000001</v>
      </c>
      <c r="I23" s="2638">
        <f>((D14/2+0.8)^2-(D14/2+0.05)^2)*PI()*H23</f>
        <v>24.492641725549433</v>
      </c>
      <c r="J23" s="2640" t="s">
        <v>1426</v>
      </c>
      <c r="K23" s="2644">
        <f>Rates!F14</f>
        <v>592.25</v>
      </c>
      <c r="L23" s="2640">
        <f>I23*K23</f>
        <v>14505.767061956652</v>
      </c>
      <c r="M23" s="2645" t="s">
        <v>3324</v>
      </c>
      <c r="N23" s="2611"/>
      <c r="O23" s="2612"/>
      <c r="P23" s="2612"/>
    </row>
    <row r="24" spans="2:16" ht="15.75" customHeight="1">
      <c r="B24" s="2631"/>
      <c r="C24" s="2632"/>
      <c r="D24" s="2636"/>
      <c r="E24" s="2640"/>
      <c r="F24" s="2640"/>
      <c r="G24" s="2640"/>
      <c r="H24" s="2640"/>
      <c r="I24" s="2638"/>
      <c r="J24" s="2636"/>
      <c r="K24" s="2636"/>
      <c r="L24" s="2638"/>
      <c r="M24" s="2641"/>
      <c r="N24" s="2611"/>
      <c r="O24" s="2612"/>
      <c r="P24" s="2612"/>
    </row>
    <row r="25" spans="2:16" ht="15.75" customHeight="1">
      <c r="B25" s="2631">
        <f>B23+1</f>
        <v>4</v>
      </c>
      <c r="C25" s="2632" t="s">
        <v>3325</v>
      </c>
      <c r="D25" s="2636"/>
      <c r="E25" s="2640"/>
      <c r="F25" s="2640"/>
      <c r="G25" s="2640"/>
      <c r="H25" s="2640"/>
      <c r="I25" s="2638"/>
      <c r="J25" s="2636"/>
      <c r="K25" s="2636"/>
      <c r="L25" s="2638"/>
      <c r="M25" s="2641"/>
      <c r="N25" s="2611"/>
      <c r="O25" s="2612"/>
      <c r="P25" s="2612"/>
    </row>
    <row r="26" spans="2:16" ht="15.75" customHeight="1">
      <c r="B26" s="2631"/>
      <c r="C26" s="2642" t="s">
        <v>3320</v>
      </c>
      <c r="D26" s="2636">
        <f>D19</f>
        <v>1</v>
      </c>
      <c r="E26" s="2640"/>
      <c r="F26" s="2640">
        <v>3.9</v>
      </c>
      <c r="G26" s="2640">
        <v>3</v>
      </c>
      <c r="H26" s="2640">
        <v>0.15</v>
      </c>
      <c r="I26" s="2638">
        <f>D26*F26*G26*H26</f>
        <v>1.7549999999999999</v>
      </c>
      <c r="J26" s="2636"/>
      <c r="K26" s="2636"/>
      <c r="L26" s="2638"/>
      <c r="M26" s="2641"/>
      <c r="N26" s="2611"/>
      <c r="O26" s="2612"/>
      <c r="P26" s="2612"/>
    </row>
    <row r="27" spans="2:16" ht="15.75" customHeight="1">
      <c r="B27" s="2631"/>
      <c r="C27" s="2642" t="s">
        <v>3321</v>
      </c>
      <c r="D27" s="2636">
        <v>1</v>
      </c>
      <c r="E27" s="2640">
        <f>E20</f>
        <v>5</v>
      </c>
      <c r="F27" s="2640"/>
      <c r="G27" s="2640"/>
      <c r="H27" s="2640">
        <v>0.2</v>
      </c>
      <c r="I27" s="2638">
        <f>PI()*E27^2*H27</f>
        <v>15.707963267948967</v>
      </c>
      <c r="J27" s="2636"/>
      <c r="K27" s="2636"/>
      <c r="L27" s="2638"/>
      <c r="M27" s="2641"/>
      <c r="N27" s="2611"/>
      <c r="O27" s="2612"/>
      <c r="P27" s="2612"/>
    </row>
    <row r="28" spans="2:16" ht="15.75" customHeight="1">
      <c r="B28" s="2631"/>
      <c r="C28" s="2632"/>
      <c r="D28" s="2636"/>
      <c r="E28" s="2640"/>
      <c r="F28" s="2640"/>
      <c r="G28" s="2640"/>
      <c r="H28" s="2640"/>
      <c r="I28" s="2638">
        <f>SUM(I26:I27)</f>
        <v>17.462963267948968</v>
      </c>
      <c r="J28" s="2640" t="s">
        <v>1426</v>
      </c>
      <c r="K28" s="2644">
        <f>Rates!F19</f>
        <v>5523.35</v>
      </c>
      <c r="L28" s="2640">
        <f>I28*K28</f>
        <v>96454.058166025934</v>
      </c>
      <c r="M28" s="2645" t="s">
        <v>3326</v>
      </c>
      <c r="N28" s="2611"/>
      <c r="O28" s="2612"/>
      <c r="P28" s="2612"/>
    </row>
    <row r="29" spans="2:16" ht="15.75" customHeight="1">
      <c r="B29" s="2631">
        <f>B23+1</f>
        <v>4</v>
      </c>
      <c r="C29" s="2632" t="s">
        <v>3327</v>
      </c>
      <c r="D29" s="2636"/>
      <c r="E29" s="2640"/>
      <c r="F29" s="2640"/>
      <c r="G29" s="2640"/>
      <c r="H29" s="2640"/>
      <c r="I29" s="2638"/>
      <c r="J29" s="2640"/>
      <c r="K29" s="2640"/>
      <c r="L29" s="2638"/>
      <c r="M29" s="2645"/>
      <c r="N29" s="2611"/>
      <c r="O29" s="2612"/>
      <c r="P29" s="2612"/>
    </row>
    <row r="30" spans="2:16" ht="15.75" customHeight="1">
      <c r="B30" s="2631"/>
      <c r="C30" s="2632"/>
      <c r="D30" s="2636"/>
      <c r="E30" s="2640"/>
      <c r="F30" s="2640"/>
      <c r="G30" s="2640"/>
      <c r="H30" s="2640"/>
      <c r="I30" s="2638"/>
      <c r="J30" s="2640"/>
      <c r="K30" s="2640"/>
      <c r="L30" s="2638"/>
      <c r="M30" s="2645"/>
      <c r="N30" s="2611"/>
      <c r="O30" s="2612"/>
      <c r="P30" s="2612"/>
    </row>
    <row r="31" spans="2:16" ht="15.75" customHeight="1">
      <c r="B31" s="2631"/>
      <c r="C31" s="2632" t="s">
        <v>3400</v>
      </c>
      <c r="D31" s="2636">
        <v>1</v>
      </c>
      <c r="E31" s="2640"/>
      <c r="F31" s="2640">
        <f>2*3+3.9-0.85</f>
        <v>9.0500000000000007</v>
      </c>
      <c r="G31" s="2640">
        <v>0.45</v>
      </c>
      <c r="H31" s="2640">
        <v>1.5</v>
      </c>
      <c r="I31" s="2638">
        <f>PRODUCT(D31:H31)</f>
        <v>6.1087500000000006</v>
      </c>
      <c r="J31" s="2640"/>
      <c r="K31" s="2640"/>
      <c r="L31" s="2638"/>
      <c r="M31" s="2645"/>
      <c r="N31" s="2611"/>
      <c r="O31" s="2612"/>
      <c r="P31" s="2612"/>
    </row>
    <row r="32" spans="2:16" ht="15.75" customHeight="1">
      <c r="B32" s="2631"/>
      <c r="C32" s="2632"/>
      <c r="D32" s="2636"/>
      <c r="E32" s="2640"/>
      <c r="F32" s="2640"/>
      <c r="G32" s="2640"/>
      <c r="H32" s="2640"/>
      <c r="I32" s="2638">
        <f>SUM(I30:I31)</f>
        <v>6.1087500000000006</v>
      </c>
      <c r="J32" s="2640" t="s">
        <v>1426</v>
      </c>
      <c r="K32" s="2644">
        <f>Rates!F25</f>
        <v>14917.39</v>
      </c>
      <c r="L32" s="2640">
        <f>I32*K32</f>
        <v>91126.6061625</v>
      </c>
      <c r="M32" s="2645" t="s">
        <v>3328</v>
      </c>
      <c r="N32" s="2611"/>
      <c r="O32" s="2612"/>
      <c r="P32" s="2612"/>
    </row>
    <row r="33" spans="2:16" ht="15.75" customHeight="1">
      <c r="B33" s="2631"/>
      <c r="C33" s="2632"/>
      <c r="D33" s="2636"/>
      <c r="E33" s="2640"/>
      <c r="F33" s="2640"/>
      <c r="G33" s="2640"/>
      <c r="H33" s="2640"/>
      <c r="I33" s="2638"/>
      <c r="J33" s="2640"/>
      <c r="K33" s="2644"/>
      <c r="L33" s="2640"/>
      <c r="M33" s="2645"/>
      <c r="N33" s="2611"/>
      <c r="O33" s="2612"/>
      <c r="P33" s="2612"/>
    </row>
    <row r="34" spans="2:16" ht="15.75" customHeight="1">
      <c r="B34" s="2631">
        <f>B32+1</f>
        <v>1</v>
      </c>
      <c r="C34" s="2632" t="s">
        <v>3329</v>
      </c>
      <c r="D34" s="2636">
        <v>1</v>
      </c>
      <c r="E34" s="2640">
        <f>D14/2+M13+0.3</f>
        <v>4.8</v>
      </c>
      <c r="F34" s="2640"/>
      <c r="G34" s="2640"/>
      <c r="H34" s="2640">
        <v>0.1</v>
      </c>
      <c r="I34" s="2638">
        <f>PI()*E34^2*H34</f>
        <v>7.2382294738708843</v>
      </c>
      <c r="J34" s="2640" t="s">
        <v>1426</v>
      </c>
      <c r="K34" s="2644">
        <f>Rates!F31</f>
        <v>14810.58</v>
      </c>
      <c r="L34" s="2640">
        <f>I34*K34</f>
        <v>107202.37668112264</v>
      </c>
      <c r="M34" s="2645" t="s">
        <v>3330</v>
      </c>
      <c r="N34" s="2611"/>
      <c r="O34" s="2612"/>
      <c r="P34" s="2612"/>
    </row>
    <row r="35" spans="2:16" ht="15.75" customHeight="1">
      <c r="B35" s="2631"/>
      <c r="C35" s="2632"/>
      <c r="D35" s="2636"/>
      <c r="E35" s="2640"/>
      <c r="F35" s="2640"/>
      <c r="G35" s="2640"/>
      <c r="H35" s="2640"/>
      <c r="I35" s="2638"/>
      <c r="J35" s="2636"/>
      <c r="K35" s="2636"/>
      <c r="L35" s="2638"/>
      <c r="M35" s="2641"/>
      <c r="N35" s="2611"/>
      <c r="O35" s="2612"/>
      <c r="P35" s="2612"/>
    </row>
    <row r="36" spans="2:16" ht="15.75" customHeight="1">
      <c r="B36" s="2631">
        <f>B34+1</f>
        <v>2</v>
      </c>
      <c r="C36" s="2632" t="s">
        <v>3331</v>
      </c>
      <c r="D36" s="2636"/>
      <c r="E36" s="2640"/>
      <c r="F36" s="2640"/>
      <c r="G36" s="2640"/>
      <c r="H36" s="2640"/>
      <c r="I36" s="2638"/>
      <c r="J36" s="2636"/>
      <c r="K36" s="2636"/>
      <c r="L36" s="2638"/>
      <c r="M36" s="2641"/>
      <c r="N36" s="2611"/>
      <c r="O36" s="2612"/>
      <c r="P36" s="2612"/>
    </row>
    <row r="37" spans="2:16" ht="15.75" customHeight="1">
      <c r="B37" s="2631"/>
      <c r="C37" s="2642" t="s">
        <v>3332</v>
      </c>
      <c r="D37" s="2636">
        <v>2</v>
      </c>
      <c r="E37" s="2640"/>
      <c r="F37" s="2640">
        <v>3.9</v>
      </c>
      <c r="G37" s="2640">
        <v>3</v>
      </c>
      <c r="H37" s="2640">
        <v>0.1</v>
      </c>
      <c r="I37" s="2638">
        <f>D37*F37*G37*H37</f>
        <v>2.34</v>
      </c>
      <c r="J37" s="2636"/>
      <c r="K37" s="2636"/>
      <c r="L37" s="2638"/>
      <c r="M37" s="2641"/>
      <c r="N37" s="2611"/>
      <c r="O37" s="2612"/>
      <c r="P37" s="2612"/>
    </row>
    <row r="38" spans="2:16" ht="15.75" customHeight="1">
      <c r="B38" s="2631"/>
      <c r="C38" s="2632"/>
      <c r="D38" s="2636"/>
      <c r="E38" s="2640"/>
      <c r="F38" s="2640"/>
      <c r="G38" s="2640"/>
      <c r="H38" s="2640"/>
      <c r="I38" s="2638">
        <f>SUM(I37:I37)</f>
        <v>2.34</v>
      </c>
      <c r="J38" s="2640" t="s">
        <v>1426</v>
      </c>
      <c r="K38" s="2644">
        <f>Rates!F32</f>
        <v>16022.87</v>
      </c>
      <c r="L38" s="2640">
        <f>I38*K38</f>
        <v>37493.515800000001</v>
      </c>
      <c r="M38" s="2645" t="s">
        <v>3330</v>
      </c>
      <c r="N38" s="2611"/>
      <c r="O38" s="2612"/>
      <c r="P38" s="2612"/>
    </row>
    <row r="39" spans="2:16" ht="15.75" customHeight="1">
      <c r="B39" s="2631">
        <f>B36+1</f>
        <v>3</v>
      </c>
      <c r="C39" s="2632" t="s">
        <v>3444</v>
      </c>
      <c r="D39" s="2636"/>
      <c r="E39" s="2640"/>
      <c r="F39" s="2640"/>
      <c r="G39" s="2640"/>
      <c r="H39" s="2640"/>
      <c r="I39" s="2638"/>
      <c r="J39" s="2640"/>
      <c r="K39" s="2640"/>
      <c r="L39" s="2640"/>
      <c r="M39" s="2645"/>
      <c r="N39" s="2611"/>
      <c r="O39" s="2612"/>
      <c r="P39" s="2612"/>
    </row>
    <row r="40" spans="2:16" ht="15.75" customHeight="1">
      <c r="B40" s="2631"/>
      <c r="C40" s="2642" t="s">
        <v>3335</v>
      </c>
      <c r="D40" s="2636">
        <v>1</v>
      </c>
      <c r="E40" s="2640">
        <f>D14/2+M13+0.3</f>
        <v>4.8</v>
      </c>
      <c r="F40" s="2640"/>
      <c r="G40" s="2640"/>
      <c r="H40" s="2640">
        <v>0.3</v>
      </c>
      <c r="I40" s="2638">
        <f>PI()*E40^2*H40</f>
        <v>21.714688421612649</v>
      </c>
      <c r="J40" s="2640"/>
      <c r="K40" s="2640"/>
      <c r="L40" s="2640"/>
      <c r="M40" s="2645"/>
      <c r="N40" s="2611"/>
      <c r="O40" s="2612"/>
      <c r="P40" s="2612"/>
    </row>
    <row r="41" spans="2:16" ht="15.75" customHeight="1">
      <c r="B41" s="2631"/>
      <c r="C41" s="2642" t="s">
        <v>3336</v>
      </c>
      <c r="D41" s="2636">
        <v>1</v>
      </c>
      <c r="E41" s="2640">
        <f>D14/2+M13</f>
        <v>4.5</v>
      </c>
      <c r="F41" s="2640"/>
      <c r="G41" s="2640"/>
      <c r="H41" s="2640">
        <f>D13</f>
        <v>3</v>
      </c>
      <c r="I41" s="2638">
        <f>2*PI()*E41*H41*M13</f>
        <v>16.964600329384883</v>
      </c>
      <c r="J41" s="2640"/>
      <c r="K41" s="2640"/>
      <c r="L41" s="2640"/>
      <c r="M41" s="2645"/>
      <c r="N41" s="2611"/>
      <c r="O41" s="2612"/>
      <c r="P41" s="2612"/>
    </row>
    <row r="42" spans="2:16" ht="15.75" customHeight="1">
      <c r="B42" s="2631"/>
      <c r="C42" s="2642" t="s">
        <v>3337</v>
      </c>
      <c r="D42" s="2636">
        <v>0.5</v>
      </c>
      <c r="E42" s="2640"/>
      <c r="F42" s="2640">
        <f>2*PI()*(D14/2-0.2)</f>
        <v>25.7610597594363</v>
      </c>
      <c r="G42" s="2640">
        <v>0.2</v>
      </c>
      <c r="H42" s="2640">
        <v>0.2</v>
      </c>
      <c r="I42" s="2638">
        <f>D42*F42*G42*H42</f>
        <v>0.515221195188726</v>
      </c>
      <c r="J42" s="2640"/>
      <c r="K42" s="2640"/>
      <c r="L42" s="2640"/>
      <c r="M42" s="2645"/>
      <c r="N42" s="2611"/>
      <c r="O42" s="2612"/>
      <c r="P42" s="2612"/>
    </row>
    <row r="43" spans="2:16" ht="15.75" customHeight="1">
      <c r="B43" s="2631"/>
      <c r="C43" s="2642" t="s">
        <v>3338</v>
      </c>
      <c r="D43" s="2636">
        <v>1</v>
      </c>
      <c r="E43" s="2640"/>
      <c r="F43" s="2640">
        <f>2*PI()*(D14/2+M13)</f>
        <v>28.274333882308138</v>
      </c>
      <c r="G43" s="2640">
        <v>0.3</v>
      </c>
      <c r="H43" s="2640">
        <v>0.2</v>
      </c>
      <c r="I43" s="2638">
        <f>D43*F43*G43*H43</f>
        <v>1.6964600329384885</v>
      </c>
      <c r="J43" s="2640"/>
      <c r="K43" s="2640"/>
      <c r="L43" s="2640"/>
      <c r="M43" s="2645"/>
      <c r="N43" s="2611"/>
      <c r="O43" s="2612"/>
      <c r="P43" s="2612"/>
    </row>
    <row r="44" spans="2:16" ht="15.75" customHeight="1">
      <c r="B44" s="2631"/>
      <c r="C44" s="2642" t="s">
        <v>3339</v>
      </c>
      <c r="D44" s="2636">
        <v>1</v>
      </c>
      <c r="E44" s="2640">
        <f>E41</f>
        <v>4.5</v>
      </c>
      <c r="F44" s="2640"/>
      <c r="G44" s="2640"/>
      <c r="H44" s="2640"/>
      <c r="I44" s="2638">
        <f>D44*E44*PI()*SQRT(E44^2+M14^2)*M13</f>
        <v>13.393919336317751</v>
      </c>
      <c r="J44" s="2640"/>
      <c r="K44" s="2640"/>
      <c r="L44" s="2640"/>
      <c r="M44" s="2645"/>
      <c r="N44" s="2611"/>
      <c r="O44" s="2612"/>
      <c r="P44" s="2612"/>
    </row>
    <row r="45" spans="2:16" ht="15.75" customHeight="1">
      <c r="B45" s="2631"/>
      <c r="C45" s="2642" t="s">
        <v>3340</v>
      </c>
      <c r="D45" s="2636">
        <v>1</v>
      </c>
      <c r="E45" s="2640">
        <v>0.3</v>
      </c>
      <c r="F45" s="2640"/>
      <c r="G45" s="2640"/>
      <c r="H45" s="2640"/>
      <c r="I45" s="2643">
        <f>-PI()*D45*E45^2*M13</f>
        <v>-5.6548667764616284E-2</v>
      </c>
      <c r="J45" s="2640"/>
      <c r="K45" s="2640"/>
      <c r="L45" s="2640"/>
      <c r="M45" s="2645"/>
      <c r="N45" s="2611"/>
      <c r="O45" s="2612"/>
      <c r="P45" s="2612"/>
    </row>
    <row r="46" spans="2:16" ht="15.75" customHeight="1">
      <c r="B46" s="2631"/>
      <c r="C46" s="2632"/>
      <c r="D46" s="2636"/>
      <c r="E46" s="2640"/>
      <c r="F46" s="2640"/>
      <c r="G46" s="2640"/>
      <c r="H46" s="2640"/>
      <c r="I46" s="2638">
        <f>SUM(I40:I45)</f>
        <v>54.228340647677882</v>
      </c>
      <c r="J46" s="2640" t="s">
        <v>1426</v>
      </c>
      <c r="K46" s="2644">
        <f>Rates!F37</f>
        <v>17750.78</v>
      </c>
      <c r="L46" s="2640">
        <f>I46*K46</f>
        <v>962595.34460198751</v>
      </c>
      <c r="M46" s="2645" t="s">
        <v>3341</v>
      </c>
      <c r="N46" s="2611"/>
      <c r="O46" s="2612"/>
      <c r="P46" s="2612"/>
    </row>
    <row r="47" spans="2:16" ht="15.75" customHeight="1">
      <c r="B47" s="2631">
        <f>B39+1</f>
        <v>4</v>
      </c>
      <c r="C47" s="2632" t="s">
        <v>3342</v>
      </c>
      <c r="D47" s="2636"/>
      <c r="E47" s="2640"/>
      <c r="F47" s="2640"/>
      <c r="G47" s="2640"/>
      <c r="H47" s="2640"/>
      <c r="I47" s="2638"/>
      <c r="J47" s="2636"/>
      <c r="K47" s="2636"/>
      <c r="L47" s="2638"/>
      <c r="M47" s="2641"/>
      <c r="N47" s="2611"/>
      <c r="O47" s="2612"/>
      <c r="P47" s="2612"/>
    </row>
    <row r="48" spans="2:16" ht="15.75" customHeight="1">
      <c r="B48" s="2631"/>
      <c r="C48" s="2642" t="s">
        <v>3343</v>
      </c>
      <c r="D48" s="2636">
        <v>1</v>
      </c>
      <c r="E48" s="2640"/>
      <c r="F48" s="2640">
        <f>3.9-0.35</f>
        <v>3.55</v>
      </c>
      <c r="G48" s="2640">
        <f>3-2*0.35</f>
        <v>2.2999999999999998</v>
      </c>
      <c r="H48" s="2640"/>
      <c r="I48" s="2638">
        <f>D48*F48*G48</f>
        <v>8.1649999999999991</v>
      </c>
      <c r="J48" s="2636"/>
      <c r="K48" s="2636"/>
      <c r="L48" s="2638"/>
      <c r="M48" s="2641"/>
      <c r="N48" s="2611"/>
      <c r="O48" s="2612"/>
      <c r="P48" s="2612"/>
    </row>
    <row r="49" spans="2:16" ht="15.75" customHeight="1">
      <c r="B49" s="2631"/>
      <c r="C49" s="2642" t="s">
        <v>3344</v>
      </c>
      <c r="D49" s="2636">
        <v>1</v>
      </c>
      <c r="E49" s="2640"/>
      <c r="F49" s="2640">
        <f>3.9+6</f>
        <v>9.9</v>
      </c>
      <c r="G49" s="2640"/>
      <c r="H49" s="2640">
        <v>0.1</v>
      </c>
      <c r="I49" s="2638">
        <f>D49*F49*H49</f>
        <v>0.9900000000000001</v>
      </c>
      <c r="J49" s="2636"/>
      <c r="K49" s="2636"/>
      <c r="L49" s="2638"/>
      <c r="M49" s="2641"/>
      <c r="N49" s="2611"/>
      <c r="O49" s="2612"/>
      <c r="P49" s="2612"/>
    </row>
    <row r="50" spans="2:16" ht="15.75" customHeight="1">
      <c r="B50" s="2631"/>
      <c r="C50" s="2642" t="s">
        <v>3345</v>
      </c>
      <c r="D50" s="2636">
        <v>1</v>
      </c>
      <c r="E50" s="2640">
        <f>E40</f>
        <v>4.8</v>
      </c>
      <c r="F50" s="2640">
        <f>2*PI()*E50</f>
        <v>30.159289474462014</v>
      </c>
      <c r="G50" s="2640"/>
      <c r="H50" s="2640">
        <f>H40</f>
        <v>0.3</v>
      </c>
      <c r="I50" s="2638">
        <f>D50*F50*H50</f>
        <v>9.0477868423386045</v>
      </c>
      <c r="J50" s="2636"/>
      <c r="K50" s="2636"/>
      <c r="L50" s="2638"/>
      <c r="M50" s="2641"/>
      <c r="N50" s="2611"/>
      <c r="O50" s="2612"/>
      <c r="P50" s="2612"/>
    </row>
    <row r="51" spans="2:16" ht="15.75" customHeight="1">
      <c r="B51" s="2631"/>
      <c r="C51" s="2642" t="s">
        <v>3346</v>
      </c>
      <c r="D51" s="2636">
        <v>2</v>
      </c>
      <c r="E51" s="2640">
        <f>E50</f>
        <v>4.8</v>
      </c>
      <c r="F51" s="2640">
        <f>2*PI()*E51</f>
        <v>30.159289474462014</v>
      </c>
      <c r="G51" s="2640"/>
      <c r="H51" s="2640">
        <f>D13</f>
        <v>3</v>
      </c>
      <c r="I51" s="2638">
        <f>D51*F51*H51</f>
        <v>180.95573684677208</v>
      </c>
      <c r="J51" s="2636"/>
      <c r="K51" s="2636"/>
      <c r="L51" s="2638"/>
      <c r="M51" s="2641"/>
      <c r="N51" s="2611"/>
      <c r="O51" s="2612"/>
      <c r="P51" s="2612"/>
    </row>
    <row r="52" spans="2:16" ht="15.75" customHeight="1">
      <c r="B52" s="2631"/>
      <c r="C52" s="2642" t="s">
        <v>3347</v>
      </c>
      <c r="D52" s="2636">
        <v>1</v>
      </c>
      <c r="E52" s="2640">
        <f>D14/2</f>
        <v>4.3</v>
      </c>
      <c r="F52" s="2640"/>
      <c r="G52" s="2640"/>
      <c r="H52" s="2640"/>
      <c r="I52" s="2638">
        <f>D52*E52*PI()*SQRT(E52^2+M14^2)</f>
        <v>61.432444304070891</v>
      </c>
      <c r="J52" s="2636"/>
      <c r="K52" s="2636"/>
      <c r="L52" s="2638"/>
      <c r="M52" s="2641"/>
      <c r="N52" s="2611"/>
      <c r="O52" s="2612"/>
      <c r="P52" s="2612"/>
    </row>
    <row r="53" spans="2:16" ht="15.75" customHeight="1">
      <c r="B53" s="2631"/>
      <c r="C53" s="2642" t="s">
        <v>3348</v>
      </c>
      <c r="D53" s="2636">
        <v>1</v>
      </c>
      <c r="E53" s="2640">
        <v>0.3</v>
      </c>
      <c r="F53" s="2640"/>
      <c r="G53" s="2640"/>
      <c r="H53" s="2640"/>
      <c r="I53" s="2643">
        <f>-D53*E53^2*PI()</f>
        <v>-0.28274333882308139</v>
      </c>
      <c r="J53" s="2636"/>
      <c r="K53" s="2636"/>
      <c r="L53" s="2638"/>
      <c r="M53" s="2641"/>
      <c r="N53" s="2611"/>
      <c r="O53" s="2612"/>
      <c r="P53" s="2612"/>
    </row>
    <row r="54" spans="2:16" ht="15.75" customHeight="1">
      <c r="B54" s="2631"/>
      <c r="C54" s="2632"/>
      <c r="D54" s="2636"/>
      <c r="E54" s="2640"/>
      <c r="F54" s="2640"/>
      <c r="G54" s="2640"/>
      <c r="H54" s="2640"/>
      <c r="I54" s="2638">
        <f>SUM(I48:I53)</f>
        <v>260.30822465435853</v>
      </c>
      <c r="J54" s="2640" t="s">
        <v>1566</v>
      </c>
      <c r="K54" s="2644">
        <f>Rates!F40</f>
        <v>1322.68</v>
      </c>
      <c r="L54" s="2640">
        <f>I54*K54</f>
        <v>344304.48258582695</v>
      </c>
      <c r="M54" s="2645" t="s">
        <v>3349</v>
      </c>
      <c r="N54" s="2611"/>
      <c r="O54" s="2612"/>
      <c r="P54" s="2612"/>
    </row>
    <row r="55" spans="2:16" ht="15.75" customHeight="1">
      <c r="B55" s="2631"/>
      <c r="C55" s="2632"/>
      <c r="D55" s="2636"/>
      <c r="E55" s="2640"/>
      <c r="F55" s="2640"/>
      <c r="G55" s="2640"/>
      <c r="H55" s="2640"/>
      <c r="I55" s="2638"/>
      <c r="J55" s="2640"/>
      <c r="K55" s="2644"/>
      <c r="L55" s="2640"/>
      <c r="M55" s="2645"/>
      <c r="N55" s="2611"/>
      <c r="O55" s="2612"/>
      <c r="P55" s="2612"/>
    </row>
    <row r="56" spans="2:16" ht="15.75" customHeight="1">
      <c r="B56" s="2631">
        <f>B47+1</f>
        <v>5</v>
      </c>
      <c r="C56" s="2632" t="s">
        <v>3401</v>
      </c>
      <c r="D56" s="2636"/>
      <c r="E56" s="2640"/>
      <c r="F56" s="2640"/>
      <c r="G56" s="2640"/>
      <c r="H56" s="2640"/>
      <c r="I56" s="2647">
        <v>1</v>
      </c>
      <c r="J56" s="2640" t="s">
        <v>1154</v>
      </c>
      <c r="K56" s="2644">
        <v>25000</v>
      </c>
      <c r="L56" s="2640">
        <f>I56*K56</f>
        <v>25000</v>
      </c>
      <c r="M56" s="2648" t="s">
        <v>2595</v>
      </c>
      <c r="N56" s="2611"/>
      <c r="O56" s="2612"/>
      <c r="P56" s="2612"/>
    </row>
    <row r="57" spans="2:16" ht="15.75" customHeight="1">
      <c r="B57" s="2608"/>
      <c r="C57" s="2606"/>
      <c r="D57" s="2607"/>
      <c r="E57" s="2649"/>
      <c r="F57" s="2649"/>
      <c r="G57" s="2649"/>
      <c r="H57" s="2649"/>
      <c r="I57" s="2643"/>
      <c r="J57" s="2649"/>
      <c r="K57" s="2607"/>
      <c r="L57" s="2649"/>
      <c r="M57" s="2650"/>
      <c r="N57" s="2611"/>
      <c r="O57" s="2612"/>
      <c r="P57" s="2612"/>
    </row>
    <row r="58" spans="2:16" ht="15.75" customHeight="1">
      <c r="B58" s="2651">
        <f>B56+1</f>
        <v>6</v>
      </c>
      <c r="C58" s="2602" t="s">
        <v>3350</v>
      </c>
      <c r="D58" s="2652"/>
      <c r="E58" s="2653"/>
      <c r="F58" s="2653"/>
      <c r="G58" s="2653"/>
      <c r="H58" s="2654" t="s">
        <v>1067</v>
      </c>
      <c r="I58" s="2655"/>
      <c r="J58" s="2652"/>
      <c r="K58" s="2652"/>
      <c r="L58" s="2655"/>
      <c r="M58" s="2656"/>
      <c r="N58" s="2611"/>
      <c r="O58" s="2612"/>
      <c r="P58" s="2612"/>
    </row>
    <row r="59" spans="2:16" ht="15.75" customHeight="1">
      <c r="B59" s="2657" t="s">
        <v>3351</v>
      </c>
      <c r="C59" s="2658" t="s">
        <v>3352</v>
      </c>
      <c r="D59" s="2647">
        <f>4*D14/J59</f>
        <v>202.35294117647055</v>
      </c>
      <c r="E59" s="2640"/>
      <c r="F59" s="2640">
        <f>(((D14/2)^2-J59^2)^0.5+D14)/2</f>
        <v>6.4483191103744337</v>
      </c>
      <c r="G59" s="2640"/>
      <c r="H59" s="2638">
        <v>0.89</v>
      </c>
      <c r="I59" s="2638">
        <f t="shared" ref="I59:I70" si="0">D59*F59*H59</f>
        <v>1161.3043404895507</v>
      </c>
      <c r="J59" s="2659">
        <v>0.17</v>
      </c>
      <c r="K59" s="2640"/>
      <c r="L59" s="2640"/>
      <c r="M59" s="2641"/>
      <c r="N59" s="2611"/>
      <c r="O59" s="2612"/>
      <c r="P59" s="2612"/>
    </row>
    <row r="60" spans="2:16" ht="15.75" customHeight="1">
      <c r="B60" s="2657" t="s">
        <v>3353</v>
      </c>
      <c r="C60" s="2658" t="s">
        <v>3354</v>
      </c>
      <c r="D60" s="2647">
        <f>2*(INT(PI()*(D14+M13))/J60)</f>
        <v>337.5</v>
      </c>
      <c r="E60" s="2640"/>
      <c r="F60" s="2640">
        <f>1+0.5</f>
        <v>1.5</v>
      </c>
      <c r="G60" s="2640"/>
      <c r="H60" s="2638">
        <v>0.89</v>
      </c>
      <c r="I60" s="2638">
        <f t="shared" si="0"/>
        <v>450.5625</v>
      </c>
      <c r="J60" s="2659">
        <v>0.16</v>
      </c>
      <c r="K60" s="2636"/>
      <c r="L60" s="2638"/>
      <c r="M60" s="2641"/>
      <c r="N60" s="2611"/>
      <c r="O60" s="2612"/>
      <c r="P60" s="2612"/>
    </row>
    <row r="61" spans="2:16" ht="15.75" customHeight="1">
      <c r="B61" s="2657" t="s">
        <v>3355</v>
      </c>
      <c r="C61" s="2658" t="s">
        <v>3356</v>
      </c>
      <c r="D61" s="2647">
        <f>2*(INT(PI()*(D14+M13))/J61)</f>
        <v>337.5</v>
      </c>
      <c r="E61" s="2640"/>
      <c r="F61" s="2640">
        <f>D13+0.5</f>
        <v>3.5</v>
      </c>
      <c r="G61" s="2640"/>
      <c r="H61" s="2638">
        <v>0.89</v>
      </c>
      <c r="I61" s="2638">
        <f t="shared" si="0"/>
        <v>1051.3125</v>
      </c>
      <c r="J61" s="2659">
        <v>0.16</v>
      </c>
      <c r="K61" s="2636"/>
      <c r="L61" s="2638"/>
      <c r="M61" s="2641"/>
      <c r="N61" s="2611"/>
      <c r="O61" s="2612"/>
      <c r="P61" s="2612"/>
    </row>
    <row r="62" spans="2:16" ht="15.75" customHeight="1">
      <c r="B62" s="2657" t="s">
        <v>3357</v>
      </c>
      <c r="C62" s="2658" t="s">
        <v>3358</v>
      </c>
      <c r="D62" s="2647">
        <f>INT(1/J62)</f>
        <v>6</v>
      </c>
      <c r="E62" s="2640"/>
      <c r="F62" s="2640">
        <f>PI()*(D14+2*M13)</f>
        <v>28.274333882308138</v>
      </c>
      <c r="G62" s="2640"/>
      <c r="H62" s="2638">
        <v>0.89</v>
      </c>
      <c r="I62" s="2638">
        <f t="shared" si="0"/>
        <v>150.98494293152547</v>
      </c>
      <c r="J62" s="2659">
        <v>0.15</v>
      </c>
      <c r="K62" s="2636"/>
      <c r="L62" s="2638"/>
      <c r="M62" s="2641"/>
      <c r="N62" s="2611"/>
      <c r="O62" s="2612"/>
      <c r="P62" s="2612"/>
    </row>
    <row r="63" spans="2:16" ht="15.75" customHeight="1">
      <c r="B63" s="2657" t="s">
        <v>3359</v>
      </c>
      <c r="C63" s="2658" t="s">
        <v>3360</v>
      </c>
      <c r="D63" s="2647">
        <f>INT(PI()*D14/J62)</f>
        <v>180</v>
      </c>
      <c r="E63" s="2640"/>
      <c r="F63" s="2640">
        <v>0.9</v>
      </c>
      <c r="G63" s="2640"/>
      <c r="H63" s="2638">
        <v>0.89</v>
      </c>
      <c r="I63" s="2638">
        <f t="shared" si="0"/>
        <v>144.18</v>
      </c>
      <c r="J63" s="2659">
        <v>0.16</v>
      </c>
      <c r="K63" s="2636"/>
      <c r="L63" s="2638"/>
      <c r="M63" s="2641"/>
      <c r="N63" s="2611"/>
      <c r="O63" s="2612"/>
      <c r="P63" s="2612"/>
    </row>
    <row r="64" spans="2:16" ht="15.75" customHeight="1">
      <c r="B64" s="2657" t="s">
        <v>3361</v>
      </c>
      <c r="C64" s="2658" t="s">
        <v>3362</v>
      </c>
      <c r="D64" s="2647">
        <f>INT((D13-1)/J64)</f>
        <v>11</v>
      </c>
      <c r="E64" s="2640"/>
      <c r="F64" s="2640">
        <f>PI()*(D14+2*M13)</f>
        <v>28.274333882308138</v>
      </c>
      <c r="G64" s="2640"/>
      <c r="H64" s="2638">
        <v>0.89</v>
      </c>
      <c r="I64" s="2638">
        <f t="shared" si="0"/>
        <v>276.80572870779667</v>
      </c>
      <c r="J64" s="2659">
        <v>0.17</v>
      </c>
      <c r="K64" s="2636"/>
      <c r="L64" s="2638"/>
      <c r="M64" s="2641"/>
      <c r="N64" s="2611"/>
      <c r="O64" s="2612"/>
      <c r="P64" s="2612"/>
    </row>
    <row r="65" spans="2:16" ht="15.75" customHeight="1">
      <c r="B65" s="2657" t="s">
        <v>3363</v>
      </c>
      <c r="C65" s="2658" t="s">
        <v>3364</v>
      </c>
      <c r="D65" s="2647">
        <f>F66/J65</f>
        <v>194.77874452256719</v>
      </c>
      <c r="E65" s="2640"/>
      <c r="F65" s="2640">
        <f>0.25*2*2</f>
        <v>1</v>
      </c>
      <c r="G65" s="2640"/>
      <c r="H65" s="2638">
        <v>0.39500000000000002</v>
      </c>
      <c r="I65" s="2638">
        <f t="shared" si="0"/>
        <v>76.937604086414041</v>
      </c>
      <c r="J65" s="2659">
        <v>0.15</v>
      </c>
      <c r="K65" s="2636"/>
      <c r="L65" s="2638"/>
      <c r="M65" s="2641"/>
      <c r="N65" s="2611"/>
      <c r="O65" s="2612"/>
      <c r="P65" s="2612"/>
    </row>
    <row r="66" spans="2:16" ht="15.75" customHeight="1">
      <c r="B66" s="2657" t="s">
        <v>3365</v>
      </c>
      <c r="C66" s="2658" t="s">
        <v>3366</v>
      </c>
      <c r="D66" s="2647">
        <v>8</v>
      </c>
      <c r="E66" s="2640"/>
      <c r="F66" s="2640">
        <f>PI()*(D14+2*M13+0.3)</f>
        <v>29.216811678385078</v>
      </c>
      <c r="G66" s="2640"/>
      <c r="H66" s="2638">
        <v>0.89</v>
      </c>
      <c r="I66" s="2638">
        <f t="shared" si="0"/>
        <v>208.02369915010175</v>
      </c>
      <c r="J66" s="2659">
        <v>0.18</v>
      </c>
      <c r="K66" s="2636"/>
      <c r="L66" s="2638"/>
      <c r="M66" s="2641"/>
      <c r="N66" s="2611"/>
      <c r="O66" s="2612"/>
      <c r="P66" s="2612"/>
    </row>
    <row r="67" spans="2:16" ht="15.75" customHeight="1">
      <c r="B67" s="2657" t="s">
        <v>3367</v>
      </c>
      <c r="C67" s="2658" t="s">
        <v>3368</v>
      </c>
      <c r="D67" s="2647">
        <f>INT(PI()*D14/J67)</f>
        <v>180</v>
      </c>
      <c r="E67" s="2640"/>
      <c r="F67" s="2640">
        <f>SQRT((D14/2)^2+M14^2)</f>
        <v>4.5475707800978755</v>
      </c>
      <c r="G67" s="2640"/>
      <c r="H67" s="2638">
        <v>0.89</v>
      </c>
      <c r="I67" s="2638">
        <f t="shared" si="0"/>
        <v>728.52083897167972</v>
      </c>
      <c r="J67" s="2659">
        <v>0.15</v>
      </c>
      <c r="K67" s="2636"/>
      <c r="L67" s="2638"/>
      <c r="M67" s="2641"/>
      <c r="N67" s="2611"/>
      <c r="O67" s="2612"/>
      <c r="P67" s="2612"/>
    </row>
    <row r="68" spans="2:16" ht="15.75" customHeight="1">
      <c r="B68" s="2657" t="s">
        <v>3369</v>
      </c>
      <c r="C68" s="2658" t="s">
        <v>3370</v>
      </c>
      <c r="D68" s="2647">
        <f>INT(F67/J68)</f>
        <v>28</v>
      </c>
      <c r="E68" s="2640"/>
      <c r="F68" s="2640">
        <f>(PI()*0.6+PI()*(D14+2*M13))/2</f>
        <v>15.079644737231007</v>
      </c>
      <c r="G68" s="2640"/>
      <c r="H68" s="2638">
        <v>0.89</v>
      </c>
      <c r="I68" s="2638">
        <f t="shared" si="0"/>
        <v>375.78474685179668</v>
      </c>
      <c r="J68" s="2659">
        <v>0.16</v>
      </c>
      <c r="K68" s="2636"/>
      <c r="L68" s="2638"/>
      <c r="M68" s="2641"/>
      <c r="N68" s="2611"/>
      <c r="O68" s="2612"/>
      <c r="P68" s="2612"/>
    </row>
    <row r="69" spans="2:16" ht="15.75" customHeight="1">
      <c r="B69" s="2657" t="s">
        <v>3371</v>
      </c>
      <c r="C69" s="2658" t="s">
        <v>3372</v>
      </c>
      <c r="D69" s="2636">
        <f>(2*INT(PI()*D14*J69/J69))+INT(PI()*D14/2)*2</f>
        <v>80</v>
      </c>
      <c r="E69" s="2640"/>
      <c r="F69" s="2640">
        <v>0.5</v>
      </c>
      <c r="G69" s="2640"/>
      <c r="H69" s="2638">
        <v>0.22</v>
      </c>
      <c r="I69" s="2638">
        <f t="shared" si="0"/>
        <v>8.8000000000000007</v>
      </c>
      <c r="J69" s="2659">
        <v>0.5</v>
      </c>
      <c r="K69" s="2636"/>
      <c r="L69" s="2638"/>
      <c r="M69" s="2641"/>
      <c r="N69" s="2611"/>
      <c r="O69" s="2612"/>
      <c r="P69" s="2612"/>
    </row>
    <row r="70" spans="2:16" ht="15.75" customHeight="1">
      <c r="B70" s="2657" t="s">
        <v>3373</v>
      </c>
      <c r="C70" s="2658" t="s">
        <v>3374</v>
      </c>
      <c r="D70" s="2647">
        <f>1.7/J70*2</f>
        <v>22.666666666666668</v>
      </c>
      <c r="E70" s="2640"/>
      <c r="F70" s="2640">
        <v>1.5</v>
      </c>
      <c r="G70" s="2640"/>
      <c r="H70" s="2638">
        <v>0.39500000000000002</v>
      </c>
      <c r="I70" s="2638">
        <f t="shared" si="0"/>
        <v>13.43</v>
      </c>
      <c r="J70" s="2659">
        <v>0.15</v>
      </c>
      <c r="K70" s="2636"/>
      <c r="L70" s="2638"/>
      <c r="M70" s="2641"/>
      <c r="N70" s="2611"/>
      <c r="O70" s="2612"/>
      <c r="P70" s="2612"/>
    </row>
    <row r="71" spans="2:16" ht="15.75" customHeight="1">
      <c r="B71" s="2631"/>
      <c r="C71" s="2658"/>
      <c r="D71" s="2636"/>
      <c r="E71" s="2640"/>
      <c r="F71" s="2640"/>
      <c r="G71" s="2640"/>
      <c r="H71" s="2640"/>
      <c r="I71" s="2660">
        <f>SUM(I59:I70)</f>
        <v>4646.6469011888657</v>
      </c>
      <c r="J71" s="2661" t="s">
        <v>192</v>
      </c>
      <c r="K71" s="2644">
        <f>Rates!F39</f>
        <v>125.35</v>
      </c>
      <c r="L71" s="2640">
        <f>I71*K71</f>
        <v>582457.18906402425</v>
      </c>
      <c r="M71" s="2641">
        <v>7.5</v>
      </c>
      <c r="N71" s="2611"/>
      <c r="O71" s="2612"/>
      <c r="P71" s="2612"/>
    </row>
    <row r="72" spans="2:16" ht="24">
      <c r="B72" s="2631">
        <f>B58+1</f>
        <v>7</v>
      </c>
      <c r="C72" s="2722" t="s">
        <v>3445</v>
      </c>
      <c r="D72" s="2636"/>
      <c r="E72" s="2640"/>
      <c r="F72" s="2640"/>
      <c r="G72" s="2640"/>
      <c r="H72" s="2640"/>
      <c r="I72" s="2638"/>
      <c r="J72" s="2636"/>
      <c r="K72" s="2636"/>
      <c r="L72" s="2638"/>
      <c r="M72" s="2641"/>
      <c r="N72" s="2611"/>
      <c r="O72" s="2612"/>
      <c r="P72" s="2612"/>
    </row>
    <row r="73" spans="2:16" ht="15.75" customHeight="1">
      <c r="B73" s="2631"/>
      <c r="C73" s="2642" t="s">
        <v>3375</v>
      </c>
      <c r="D73" s="2636">
        <v>1</v>
      </c>
      <c r="E73" s="2640">
        <f>D14/2</f>
        <v>4.3</v>
      </c>
      <c r="F73" s="2640"/>
      <c r="G73" s="2640"/>
      <c r="H73" s="2640">
        <f>D13</f>
        <v>3</v>
      </c>
      <c r="I73" s="2638">
        <f>2*PI()*D73*E73*H73</f>
        <v>81.053090462616666</v>
      </c>
      <c r="J73" s="2636"/>
      <c r="K73" s="2636"/>
      <c r="L73" s="2638"/>
      <c r="M73" s="2641"/>
      <c r="N73" s="2611"/>
      <c r="O73" s="2612"/>
      <c r="P73" s="2612"/>
    </row>
    <row r="74" spans="2:16" ht="15.75" customHeight="1">
      <c r="B74" s="2631"/>
      <c r="C74" s="2642" t="s">
        <v>3376</v>
      </c>
      <c r="D74" s="2636">
        <v>1</v>
      </c>
      <c r="E74" s="2640">
        <f>D14/2</f>
        <v>4.3</v>
      </c>
      <c r="F74" s="2640"/>
      <c r="G74" s="2640"/>
      <c r="H74" s="2638"/>
      <c r="I74" s="2643">
        <f>PI()*D74*E74*E74</f>
        <v>58.088048164875275</v>
      </c>
      <c r="J74" s="2636"/>
      <c r="K74" s="2636"/>
      <c r="L74" s="2638"/>
      <c r="M74" s="2641"/>
      <c r="N74" s="2611"/>
      <c r="O74" s="2612"/>
      <c r="P74" s="2612"/>
    </row>
    <row r="75" spans="2:16" ht="15.75" customHeight="1">
      <c r="B75" s="2631"/>
      <c r="C75" s="2632"/>
      <c r="D75" s="2636"/>
      <c r="E75" s="2640"/>
      <c r="F75" s="2640"/>
      <c r="G75" s="2640"/>
      <c r="H75" s="2640"/>
      <c r="I75" s="2638">
        <f>SUM(I73:I74)</f>
        <v>139.14113862749196</v>
      </c>
      <c r="J75" s="2640" t="s">
        <v>1566</v>
      </c>
      <c r="K75" s="2644">
        <f>Rates!F65</f>
        <v>497.69</v>
      </c>
      <c r="L75" s="2640">
        <f>I75*K75</f>
        <v>69249.153283516469</v>
      </c>
      <c r="M75" s="2645" t="s">
        <v>3377</v>
      </c>
      <c r="N75" s="2611"/>
      <c r="O75" s="2612"/>
      <c r="P75" s="2612"/>
    </row>
    <row r="76" spans="2:16" ht="15.75" customHeight="1">
      <c r="B76" s="2631">
        <f>B72+1</f>
        <v>8</v>
      </c>
      <c r="C76" s="2632" t="s">
        <v>3378</v>
      </c>
      <c r="D76" s="2636"/>
      <c r="E76" s="2640"/>
      <c r="F76" s="2640"/>
      <c r="G76" s="2640"/>
      <c r="H76" s="2640"/>
      <c r="I76" s="2638"/>
      <c r="J76" s="2636"/>
      <c r="K76" s="2636"/>
      <c r="L76" s="2638"/>
      <c r="M76" s="2641"/>
      <c r="N76" s="2611"/>
      <c r="O76" s="2612"/>
      <c r="P76" s="2612"/>
    </row>
    <row r="77" spans="2:16" ht="15.75" customHeight="1">
      <c r="B77" s="2631"/>
      <c r="C77" s="2642" t="s">
        <v>3379</v>
      </c>
      <c r="D77" s="2636">
        <v>1</v>
      </c>
      <c r="E77" s="2640">
        <f>D14/2+2*M13</f>
        <v>4.7</v>
      </c>
      <c r="F77" s="2640"/>
      <c r="G77" s="2640"/>
      <c r="H77" s="2640">
        <f>D13</f>
        <v>3</v>
      </c>
      <c r="I77" s="2638">
        <f>2*PI()*D77*E77*H77</f>
        <v>88.592912831232169</v>
      </c>
      <c r="J77" s="2636"/>
      <c r="K77" s="2636"/>
      <c r="L77" s="2638"/>
      <c r="M77" s="2641"/>
      <c r="N77" s="2611"/>
      <c r="O77" s="2612"/>
      <c r="P77" s="2612"/>
    </row>
    <row r="78" spans="2:16" ht="15.75" customHeight="1">
      <c r="B78" s="2631"/>
      <c r="C78" s="2642" t="s">
        <v>3380</v>
      </c>
      <c r="D78" s="2636">
        <v>2</v>
      </c>
      <c r="E78" s="2640">
        <f>D14/2+M13</f>
        <v>4.5</v>
      </c>
      <c r="F78" s="2640"/>
      <c r="G78" s="2640"/>
      <c r="H78" s="2640"/>
      <c r="I78" s="2638">
        <f>D78*E78*PI()*SQRT(E78^2+M14^2)</f>
        <v>133.93919336317751</v>
      </c>
      <c r="J78" s="2636"/>
      <c r="K78" s="2636"/>
      <c r="L78" s="2638"/>
      <c r="M78" s="2641"/>
      <c r="N78" s="2611"/>
      <c r="O78" s="2612"/>
      <c r="P78" s="2612"/>
    </row>
    <row r="79" spans="2:16" ht="15.75" customHeight="1">
      <c r="B79" s="2631"/>
      <c r="C79" s="2642" t="s">
        <v>3334</v>
      </c>
      <c r="D79" s="2636">
        <v>2</v>
      </c>
      <c r="E79" s="2640">
        <v>0.3</v>
      </c>
      <c r="F79" s="2640"/>
      <c r="G79" s="2640"/>
      <c r="H79" s="2640"/>
      <c r="I79" s="2643">
        <f>-D79*E79^2*PI()</f>
        <v>-0.56548667764616278</v>
      </c>
      <c r="J79" s="2636"/>
      <c r="K79" s="2636"/>
      <c r="L79" s="2638"/>
      <c r="M79" s="2641"/>
      <c r="N79" s="2611"/>
      <c r="O79" s="2612"/>
      <c r="P79" s="2612"/>
    </row>
    <row r="80" spans="2:16" ht="15.75" customHeight="1">
      <c r="B80" s="2631"/>
      <c r="C80" s="2632"/>
      <c r="D80" s="2636"/>
      <c r="E80" s="2640"/>
      <c r="F80" s="2640"/>
      <c r="G80" s="2640"/>
      <c r="H80" s="2640"/>
      <c r="I80" s="2638">
        <f>SUM(I77:I79)</f>
        <v>221.9666195167635</v>
      </c>
      <c r="J80" s="2640" t="s">
        <v>1566</v>
      </c>
      <c r="K80" s="2644">
        <f>Rates!F60</f>
        <v>503.61</v>
      </c>
      <c r="L80" s="2640">
        <f>I80*K80</f>
        <v>111784.60925483727</v>
      </c>
      <c r="M80" s="2645" t="s">
        <v>3381</v>
      </c>
      <c r="N80" s="2611"/>
      <c r="O80" s="2612"/>
      <c r="P80" s="2612"/>
    </row>
    <row r="81" spans="2:16" ht="15.75" customHeight="1">
      <c r="B81" s="2631">
        <f>B76+1</f>
        <v>9</v>
      </c>
      <c r="C81" s="2632" t="s">
        <v>3382</v>
      </c>
      <c r="D81" s="2636"/>
      <c r="E81" s="2640"/>
      <c r="F81" s="2640"/>
      <c r="G81" s="2640"/>
      <c r="H81" s="2640"/>
      <c r="I81" s="2638"/>
      <c r="J81" s="2636"/>
      <c r="K81" s="2636"/>
      <c r="L81" s="2638"/>
      <c r="M81" s="2641"/>
      <c r="N81" s="2611"/>
      <c r="O81" s="2612"/>
      <c r="P81" s="2612"/>
    </row>
    <row r="82" spans="2:16" ht="15.75" customHeight="1">
      <c r="B82" s="2631"/>
      <c r="C82" s="2642" t="s">
        <v>3383</v>
      </c>
      <c r="D82" s="2636">
        <v>1</v>
      </c>
      <c r="E82" s="2640">
        <f>D14/2</f>
        <v>4.3</v>
      </c>
      <c r="F82" s="2640"/>
      <c r="G82" s="2640"/>
      <c r="H82" s="2640"/>
      <c r="I82" s="2638">
        <f>PI()*D82*E82^2</f>
        <v>58.088048164875268</v>
      </c>
      <c r="J82" s="2636"/>
      <c r="K82" s="2636"/>
      <c r="L82" s="2638"/>
      <c r="M82" s="2641"/>
      <c r="N82" s="2611"/>
      <c r="O82" s="2612"/>
      <c r="P82" s="2612"/>
    </row>
    <row r="83" spans="2:16" ht="15.75" customHeight="1">
      <c r="B83" s="2631"/>
      <c r="C83" s="2642" t="s">
        <v>3384</v>
      </c>
      <c r="D83" s="2636">
        <v>1</v>
      </c>
      <c r="E83" s="2640">
        <f>D14/2</f>
        <v>4.3</v>
      </c>
      <c r="F83" s="2640"/>
      <c r="G83" s="2640"/>
      <c r="H83" s="2640">
        <f>D13</f>
        <v>3</v>
      </c>
      <c r="I83" s="2643">
        <f>2*PI()*D83*E83*H83</f>
        <v>81.053090462616666</v>
      </c>
      <c r="J83" s="2636"/>
      <c r="K83" s="2636"/>
      <c r="L83" s="2638"/>
      <c r="M83" s="2641"/>
      <c r="N83" s="2611"/>
      <c r="O83" s="2612"/>
      <c r="P83" s="2612"/>
    </row>
    <row r="84" spans="2:16" ht="15.75" customHeight="1">
      <c r="B84" s="2631"/>
      <c r="C84" s="2632"/>
      <c r="D84" s="2636"/>
      <c r="E84" s="2640"/>
      <c r="F84" s="2640"/>
      <c r="G84" s="2640"/>
      <c r="H84" s="2640"/>
      <c r="I84" s="2640">
        <f>SUM(I81:I83)</f>
        <v>139.14113862749193</v>
      </c>
      <c r="J84" s="2636" t="s">
        <v>1566</v>
      </c>
      <c r="K84" s="2644">
        <f>Rates!F67</f>
        <v>346.26</v>
      </c>
      <c r="L84" s="2640">
        <f>I84*K84</f>
        <v>48179.010661155357</v>
      </c>
      <c r="M84" s="2641" t="s">
        <v>3385</v>
      </c>
      <c r="N84" s="2611"/>
      <c r="O84" s="2612"/>
      <c r="P84" s="2612"/>
    </row>
    <row r="85" spans="2:16" ht="15.75" customHeight="1">
      <c r="B85" s="2631">
        <f>B81+1</f>
        <v>10</v>
      </c>
      <c r="C85" s="2632" t="s">
        <v>3386</v>
      </c>
      <c r="D85" s="2636"/>
      <c r="E85" s="2640"/>
      <c r="F85" s="2640"/>
      <c r="G85" s="2640"/>
      <c r="H85" s="2640"/>
      <c r="I85" s="2638"/>
      <c r="J85" s="2636"/>
      <c r="K85" s="2636"/>
      <c r="L85" s="2638"/>
      <c r="M85" s="2641"/>
      <c r="N85" s="2611"/>
      <c r="O85" s="2612"/>
      <c r="P85" s="2612"/>
    </row>
    <row r="86" spans="2:16" ht="15.75" customHeight="1">
      <c r="B86" s="2631"/>
      <c r="C86" s="2642" t="s">
        <v>3387</v>
      </c>
      <c r="D86" s="2636">
        <v>1</v>
      </c>
      <c r="E86" s="2640">
        <f>D14/2+2*M13</f>
        <v>4.7</v>
      </c>
      <c r="F86" s="2640"/>
      <c r="G86" s="2640"/>
      <c r="H86" s="2640">
        <f>D13-H20</f>
        <v>1.5</v>
      </c>
      <c r="I86" s="2638">
        <f>2*D86*PI()*E86*H86</f>
        <v>44.296456415616085</v>
      </c>
      <c r="J86" s="2636"/>
      <c r="K86" s="2636"/>
      <c r="L86" s="2638"/>
      <c r="M86" s="2641"/>
      <c r="N86" s="2611"/>
      <c r="O86" s="2612"/>
      <c r="P86" s="2612"/>
    </row>
    <row r="87" spans="2:16" ht="15.75" customHeight="1">
      <c r="B87" s="2631"/>
      <c r="C87" s="2642" t="s">
        <v>3388</v>
      </c>
      <c r="D87" s="2636">
        <v>1</v>
      </c>
      <c r="E87" s="2640">
        <f>D14/2+2*M13</f>
        <v>4.7</v>
      </c>
      <c r="F87" s="2640"/>
      <c r="G87" s="2640"/>
      <c r="H87" s="2640">
        <f>D14/5</f>
        <v>1.72</v>
      </c>
      <c r="I87" s="2643">
        <f>D87*E87*PI()*SQRT(E87^2+M14^2)</f>
        <v>72.757145039148156</v>
      </c>
      <c r="J87" s="2636"/>
      <c r="K87" s="2636"/>
      <c r="L87" s="2638"/>
      <c r="M87" s="2641"/>
      <c r="N87" s="2611"/>
      <c r="O87" s="2612"/>
      <c r="P87" s="2612"/>
    </row>
    <row r="88" spans="2:16" ht="15.75" customHeight="1">
      <c r="B88" s="2631"/>
      <c r="C88" s="2632"/>
      <c r="D88" s="2636"/>
      <c r="E88" s="2640"/>
      <c r="F88" s="2640"/>
      <c r="G88" s="2640"/>
      <c r="H88" s="2640"/>
      <c r="I88" s="2638">
        <f>SUM(I85:I87)</f>
        <v>117.05360145476425</v>
      </c>
      <c r="J88" s="2640" t="s">
        <v>1566</v>
      </c>
      <c r="K88" s="2644">
        <f>Rates!F71</f>
        <v>213.84</v>
      </c>
      <c r="L88" s="2640">
        <f>I88*K88</f>
        <v>25030.742135086788</v>
      </c>
      <c r="M88" s="2645" t="s">
        <v>3389</v>
      </c>
      <c r="N88" s="2611"/>
      <c r="O88" s="2612"/>
      <c r="P88" s="2612"/>
    </row>
    <row r="89" spans="2:16" ht="15.75" customHeight="1">
      <c r="B89" s="2631">
        <f>B85+1</f>
        <v>11</v>
      </c>
      <c r="C89" s="2632" t="s">
        <v>3390</v>
      </c>
      <c r="D89" s="2636"/>
      <c r="E89" s="2640"/>
      <c r="F89" s="2640"/>
      <c r="G89" s="2640"/>
      <c r="H89" s="2640"/>
      <c r="I89" s="2638"/>
      <c r="J89" s="2640"/>
      <c r="K89" s="2640"/>
      <c r="L89" s="2638"/>
      <c r="M89" s="2645"/>
      <c r="N89" s="2611"/>
      <c r="O89" s="2612"/>
      <c r="P89" s="2612"/>
    </row>
    <row r="90" spans="2:16" ht="15.75" customHeight="1">
      <c r="B90" s="2631"/>
      <c r="C90" s="2642" t="s">
        <v>3383</v>
      </c>
      <c r="D90" s="2636">
        <v>1</v>
      </c>
      <c r="E90" s="2640">
        <f>D14/2</f>
        <v>4.3</v>
      </c>
      <c r="F90" s="2640"/>
      <c r="G90" s="2640"/>
      <c r="H90" s="2640"/>
      <c r="I90" s="2638">
        <f>PI()*D90*E90^2</f>
        <v>58.088048164875268</v>
      </c>
      <c r="J90" s="2636"/>
      <c r="K90" s="2636"/>
      <c r="L90" s="2638"/>
      <c r="M90" s="2645"/>
      <c r="N90" s="2611"/>
      <c r="O90" s="2612"/>
      <c r="P90" s="2612"/>
    </row>
    <row r="91" spans="2:16" ht="15.75" customHeight="1">
      <c r="B91" s="2631"/>
      <c r="C91" s="2642" t="s">
        <v>3384</v>
      </c>
      <c r="D91" s="2636">
        <v>1</v>
      </c>
      <c r="E91" s="2640">
        <f>D14/2</f>
        <v>4.3</v>
      </c>
      <c r="F91" s="2640"/>
      <c r="G91" s="2640"/>
      <c r="H91" s="2640">
        <f>D13</f>
        <v>3</v>
      </c>
      <c r="I91" s="2643">
        <f>2*PI()*D91*E91*H91</f>
        <v>81.053090462616666</v>
      </c>
      <c r="J91" s="2636"/>
      <c r="K91" s="2636"/>
      <c r="L91" s="2638"/>
      <c r="M91" s="2645"/>
      <c r="N91" s="2611"/>
      <c r="O91" s="2612"/>
      <c r="P91" s="2612"/>
    </row>
    <row r="92" spans="2:16" ht="15.75" customHeight="1">
      <c r="B92" s="2631"/>
      <c r="C92" s="2632"/>
      <c r="D92" s="2636"/>
      <c r="E92" s="2640"/>
      <c r="F92" s="2640"/>
      <c r="G92" s="2640"/>
      <c r="H92" s="2640"/>
      <c r="I92" s="2640">
        <f>SUM(I90:I91)</f>
        <v>139.14113862749193</v>
      </c>
      <c r="J92" s="2636" t="s">
        <v>1566</v>
      </c>
      <c r="K92" s="2644">
        <f>Rates!F72</f>
        <v>103.35</v>
      </c>
      <c r="L92" s="2640">
        <f>I92*K92</f>
        <v>14380.23667715129</v>
      </c>
      <c r="M92" s="2645" t="s">
        <v>3391</v>
      </c>
      <c r="N92" s="2611"/>
      <c r="O92" s="2612"/>
      <c r="P92" s="2612"/>
    </row>
    <row r="93" spans="2:16" ht="15.75" customHeight="1">
      <c r="B93" s="2631"/>
      <c r="C93" s="2632"/>
      <c r="D93" s="2636"/>
      <c r="E93" s="2640"/>
      <c r="F93" s="2640"/>
      <c r="G93" s="2640"/>
      <c r="H93" s="2640"/>
      <c r="I93" s="2638"/>
      <c r="J93" s="2636"/>
      <c r="K93" s="2636"/>
      <c r="L93" s="2638"/>
      <c r="M93" s="2662"/>
      <c r="N93" s="2611"/>
      <c r="O93" s="2612"/>
      <c r="P93" s="2612"/>
    </row>
    <row r="94" spans="2:16" ht="15.75" customHeight="1">
      <c r="B94" s="2631">
        <f>B89+1</f>
        <v>12</v>
      </c>
      <c r="C94" s="2632" t="s">
        <v>3392</v>
      </c>
      <c r="D94" s="2636">
        <v>2</v>
      </c>
      <c r="E94" s="2640"/>
      <c r="F94" s="2640"/>
      <c r="G94" s="2640"/>
      <c r="H94" s="2640"/>
      <c r="I94" s="2647">
        <v>2</v>
      </c>
      <c r="J94" s="2636" t="s">
        <v>1038</v>
      </c>
      <c r="K94" s="2663">
        <v>15000</v>
      </c>
      <c r="L94" s="2640">
        <f>I94*K94</f>
        <v>30000</v>
      </c>
      <c r="M94" s="2648" t="s">
        <v>2595</v>
      </c>
      <c r="N94" s="2611"/>
      <c r="O94" s="2612"/>
      <c r="P94" s="2612"/>
    </row>
    <row r="95" spans="2:16" ht="15.75" customHeight="1">
      <c r="B95" s="2631"/>
      <c r="C95" s="2632" t="s">
        <v>3393</v>
      </c>
      <c r="D95" s="2636"/>
      <c r="E95" s="2636"/>
      <c r="F95" s="2636"/>
      <c r="G95" s="2636"/>
      <c r="H95" s="2636"/>
      <c r="I95" s="2638"/>
      <c r="J95" s="2636"/>
      <c r="K95" s="2636"/>
      <c r="L95" s="2638"/>
      <c r="M95" s="2641"/>
      <c r="N95" s="2611"/>
      <c r="O95" s="2612"/>
      <c r="P95" s="2612"/>
    </row>
    <row r="96" spans="2:16" ht="15.75" customHeight="1">
      <c r="B96" s="2631" t="e">
        <f>#REF!+1</f>
        <v>#REF!</v>
      </c>
      <c r="C96" s="2632" t="s">
        <v>3402</v>
      </c>
      <c r="D96" s="2636">
        <v>2</v>
      </c>
      <c r="E96" s="2640"/>
      <c r="F96" s="2640"/>
      <c r="G96" s="2640"/>
      <c r="H96" s="2640"/>
      <c r="I96" s="2647">
        <v>2</v>
      </c>
      <c r="J96" s="2636" t="s">
        <v>1038</v>
      </c>
      <c r="K96" s="2640">
        <v>3222</v>
      </c>
      <c r="L96" s="2640">
        <f>I96*K96</f>
        <v>6444</v>
      </c>
      <c r="M96" s="2641" t="s">
        <v>3394</v>
      </c>
      <c r="N96" s="2611"/>
      <c r="O96" s="2612"/>
      <c r="P96" s="2612"/>
    </row>
    <row r="97" spans="2:16" ht="15.75" customHeight="1">
      <c r="B97" s="2631"/>
      <c r="C97" s="2632" t="s">
        <v>3395</v>
      </c>
      <c r="D97" s="2636"/>
      <c r="E97" s="2636"/>
      <c r="F97" s="2636"/>
      <c r="G97" s="2636"/>
      <c r="H97" s="2636"/>
      <c r="I97" s="2638"/>
      <c r="J97" s="2636"/>
      <c r="K97" s="2636"/>
      <c r="L97" s="2638"/>
      <c r="M97" s="2641"/>
      <c r="N97" s="2611"/>
      <c r="O97" s="2612"/>
      <c r="P97" s="2612"/>
    </row>
    <row r="98" spans="2:16" ht="15.75" customHeight="1">
      <c r="B98" s="2631" t="e">
        <f>B96+1</f>
        <v>#REF!</v>
      </c>
      <c r="C98" s="2632" t="s">
        <v>3396</v>
      </c>
      <c r="D98" s="2636">
        <v>1</v>
      </c>
      <c r="E98" s="2640"/>
      <c r="F98" s="2640"/>
      <c r="G98" s="2640"/>
      <c r="H98" s="2640"/>
      <c r="I98" s="2647">
        <v>1</v>
      </c>
      <c r="J98" s="2636" t="s">
        <v>1154</v>
      </c>
      <c r="K98" s="2663">
        <v>15000</v>
      </c>
      <c r="L98" s="2640">
        <f>I98*K98</f>
        <v>15000</v>
      </c>
      <c r="M98" s="2641" t="s">
        <v>2595</v>
      </c>
      <c r="N98" s="2611"/>
      <c r="O98" s="2612"/>
      <c r="P98" s="2612"/>
    </row>
    <row r="99" spans="2:16" ht="15.75" customHeight="1">
      <c r="B99" s="2631"/>
      <c r="C99" s="2632"/>
      <c r="D99" s="2636"/>
      <c r="E99" s="2636"/>
      <c r="F99" s="2636"/>
      <c r="G99" s="2636"/>
      <c r="H99" s="2636"/>
      <c r="I99" s="2638"/>
      <c r="J99" s="2636"/>
      <c r="K99" s="2636"/>
      <c r="L99" s="2638"/>
      <c r="M99" s="2641"/>
      <c r="N99" s="2611"/>
      <c r="O99" s="2612"/>
      <c r="P99" s="2612"/>
    </row>
    <row r="100" spans="2:16" ht="15.75" customHeight="1">
      <c r="B100" s="2631" t="e">
        <f>B98+1</f>
        <v>#REF!</v>
      </c>
      <c r="C100" s="2632" t="s">
        <v>3397</v>
      </c>
      <c r="D100" s="2636">
        <v>1</v>
      </c>
      <c r="E100" s="2640"/>
      <c r="F100" s="2640"/>
      <c r="G100" s="2640"/>
      <c r="H100" s="2640"/>
      <c r="I100" s="2647">
        <f>D100</f>
        <v>1</v>
      </c>
      <c r="J100" s="2636" t="s">
        <v>1154</v>
      </c>
      <c r="K100" s="2640">
        <v>15000</v>
      </c>
      <c r="L100" s="2640">
        <f>I100*K100</f>
        <v>15000</v>
      </c>
      <c r="M100" s="2648" t="s">
        <v>2595</v>
      </c>
      <c r="N100" s="2611"/>
      <c r="O100" s="2612"/>
      <c r="P100" s="2612"/>
    </row>
    <row r="101" spans="2:16" ht="15.75" customHeight="1">
      <c r="B101" s="2608"/>
      <c r="C101" s="2664" t="s">
        <v>3398</v>
      </c>
      <c r="D101" s="2607"/>
      <c r="E101" s="2607"/>
      <c r="F101" s="2607"/>
      <c r="G101" s="2607"/>
      <c r="H101" s="2607"/>
      <c r="I101" s="2643"/>
      <c r="J101" s="2607"/>
      <c r="K101" s="2607"/>
      <c r="L101" s="2643"/>
      <c r="M101" s="2665"/>
      <c r="N101" s="2611"/>
      <c r="O101" s="2612"/>
      <c r="P101" s="2612"/>
    </row>
    <row r="102" spans="2:16" ht="15.75" customHeight="1">
      <c r="B102" s="2666"/>
      <c r="C102" s="2667"/>
      <c r="D102" s="2668"/>
      <c r="E102" s="2668"/>
      <c r="F102" s="2668"/>
      <c r="G102" s="2668"/>
      <c r="H102" s="2668"/>
      <c r="I102" s="2668"/>
      <c r="J102" s="2668"/>
      <c r="K102" s="2668"/>
      <c r="L102" s="2669">
        <f>SUM(L16:L101)</f>
        <v>2793835.8586194282</v>
      </c>
      <c r="M102" s="2670"/>
      <c r="N102" s="2611"/>
      <c r="O102" s="2612"/>
      <c r="P102" s="2612"/>
    </row>
    <row r="104" spans="2:16">
      <c r="L104" s="2612"/>
    </row>
    <row r="105" spans="2:16" ht="57">
      <c r="B105" s="2711" t="s">
        <v>712</v>
      </c>
      <c r="C105" s="2712" t="s">
        <v>3403</v>
      </c>
      <c r="D105" s="2485"/>
      <c r="E105" s="2485"/>
      <c r="F105" s="2485"/>
      <c r="G105" s="2485"/>
      <c r="H105" s="2485"/>
      <c r="I105" s="2713"/>
      <c r="J105" s="2485"/>
      <c r="K105" s="2485"/>
      <c r="L105" s="2723"/>
      <c r="M105" s="2723"/>
    </row>
    <row r="106" spans="2:16" ht="15">
      <c r="B106" s="2711"/>
      <c r="C106" s="2714" t="s">
        <v>3404</v>
      </c>
      <c r="D106" s="2715"/>
      <c r="E106" s="2715"/>
      <c r="F106" s="2715"/>
      <c r="G106" s="2715"/>
      <c r="H106" s="2715"/>
      <c r="I106" s="2716"/>
      <c r="J106" s="2715"/>
      <c r="K106" s="2485"/>
      <c r="L106" s="2723"/>
      <c r="M106" s="2723"/>
    </row>
    <row r="107" spans="2:16" ht="15">
      <c r="B107" s="2711"/>
      <c r="C107" s="2717" t="s">
        <v>3405</v>
      </c>
      <c r="D107" s="2715"/>
      <c r="E107" s="2715"/>
      <c r="F107" s="2715"/>
      <c r="G107" s="2715"/>
      <c r="H107" s="2715"/>
      <c r="I107" s="2715">
        <v>2</v>
      </c>
      <c r="J107" s="2715" t="s">
        <v>3406</v>
      </c>
      <c r="K107" s="2485">
        <f>+(1032*2*1.5+800)</f>
        <v>3896</v>
      </c>
      <c r="L107" s="2723">
        <f>I107*K107</f>
        <v>7792</v>
      </c>
      <c r="M107" s="2723"/>
    </row>
    <row r="108" spans="2:16" ht="15">
      <c r="B108" s="2711"/>
      <c r="C108" s="2717" t="s">
        <v>3407</v>
      </c>
      <c r="D108" s="2715"/>
      <c r="E108" s="2715"/>
      <c r="F108" s="2715"/>
      <c r="G108" s="2715"/>
      <c r="H108" s="2715"/>
      <c r="I108" s="2715">
        <v>2</v>
      </c>
      <c r="J108" s="2715" t="s">
        <v>3406</v>
      </c>
      <c r="K108" s="2485">
        <v>1022</v>
      </c>
      <c r="L108" s="2723">
        <f t="shared" ref="L108:L146" si="1">I108*K108</f>
        <v>2044</v>
      </c>
      <c r="M108" s="2723"/>
      <c r="N108" s="2596" t="s">
        <v>2826</v>
      </c>
    </row>
    <row r="109" spans="2:16" ht="15">
      <c r="B109" s="2711"/>
      <c r="C109" s="2717" t="s">
        <v>3408</v>
      </c>
      <c r="D109" s="2715"/>
      <c r="E109" s="2715"/>
      <c r="F109" s="2715"/>
      <c r="G109" s="2715"/>
      <c r="H109" s="2715"/>
      <c r="I109" s="2715">
        <v>1</v>
      </c>
      <c r="J109" s="2715" t="s">
        <v>3406</v>
      </c>
      <c r="K109" s="2485">
        <v>554</v>
      </c>
      <c r="L109" s="2723">
        <f t="shared" si="1"/>
        <v>554</v>
      </c>
      <c r="M109" s="2723"/>
    </row>
    <row r="110" spans="2:16" ht="15">
      <c r="B110" s="2711"/>
      <c r="C110" s="2717" t="s">
        <v>3409</v>
      </c>
      <c r="D110" s="2715"/>
      <c r="E110" s="2715"/>
      <c r="F110" s="2715"/>
      <c r="G110" s="2715"/>
      <c r="H110" s="2715"/>
      <c r="I110" s="2715">
        <v>2</v>
      </c>
      <c r="J110" s="2715" t="s">
        <v>3406</v>
      </c>
      <c r="K110" s="2485">
        <v>805</v>
      </c>
      <c r="L110" s="2723">
        <f t="shared" si="1"/>
        <v>1610</v>
      </c>
      <c r="M110" s="2723"/>
    </row>
    <row r="111" spans="2:16" ht="15">
      <c r="B111" s="2711"/>
      <c r="C111" s="2717" t="s">
        <v>3410</v>
      </c>
      <c r="D111" s="2715"/>
      <c r="E111" s="2715"/>
      <c r="F111" s="2715"/>
      <c r="G111" s="2715"/>
      <c r="H111" s="2715"/>
      <c r="I111" s="2715">
        <v>2</v>
      </c>
      <c r="J111" s="2715" t="s">
        <v>3406</v>
      </c>
      <c r="K111" s="2485">
        <f>+(1032*0.5*1.5+1000)</f>
        <v>1774</v>
      </c>
      <c r="L111" s="2723">
        <f t="shared" si="1"/>
        <v>3548</v>
      </c>
      <c r="M111" s="2723"/>
    </row>
    <row r="112" spans="2:16" ht="15">
      <c r="B112" s="2711"/>
      <c r="C112" s="2717" t="s">
        <v>3411</v>
      </c>
      <c r="D112" s="2715"/>
      <c r="E112" s="2715"/>
      <c r="F112" s="2715"/>
      <c r="G112" s="2715"/>
      <c r="H112" s="2715"/>
      <c r="I112" s="2715">
        <v>2</v>
      </c>
      <c r="J112" s="2715" t="s">
        <v>3406</v>
      </c>
      <c r="K112" s="2485">
        <v>11406</v>
      </c>
      <c r="L112" s="2723">
        <f t="shared" si="1"/>
        <v>22812</v>
      </c>
      <c r="M112" s="2723"/>
    </row>
    <row r="113" spans="2:13" ht="15">
      <c r="B113" s="2711"/>
      <c r="C113" s="2717" t="s">
        <v>3412</v>
      </c>
      <c r="D113" s="2715"/>
      <c r="E113" s="2715"/>
      <c r="F113" s="2715"/>
      <c r="G113" s="2715"/>
      <c r="H113" s="2715"/>
      <c r="I113" s="2715">
        <v>2</v>
      </c>
      <c r="J113" s="2715" t="s">
        <v>1038</v>
      </c>
      <c r="K113" s="2485">
        <v>1699</v>
      </c>
      <c r="L113" s="2723">
        <f t="shared" si="1"/>
        <v>3398</v>
      </c>
      <c r="M113" s="2723"/>
    </row>
    <row r="114" spans="2:13" ht="15">
      <c r="B114" s="2711"/>
      <c r="C114" s="2717" t="s">
        <v>3413</v>
      </c>
      <c r="D114" s="2715"/>
      <c r="E114" s="2715"/>
      <c r="F114" s="2715"/>
      <c r="G114" s="2715"/>
      <c r="H114" s="2715"/>
      <c r="I114" s="2715">
        <v>2</v>
      </c>
      <c r="J114" s="2715" t="s">
        <v>1038</v>
      </c>
      <c r="K114" s="2485">
        <v>1824</v>
      </c>
      <c r="L114" s="2723">
        <f t="shared" si="1"/>
        <v>3648</v>
      </c>
      <c r="M114" s="2723"/>
    </row>
    <row r="115" spans="2:13" ht="15">
      <c r="B115" s="2711"/>
      <c r="C115" s="2717" t="s">
        <v>3414</v>
      </c>
      <c r="D115" s="2715"/>
      <c r="E115" s="2715"/>
      <c r="F115" s="2715"/>
      <c r="G115" s="2715"/>
      <c r="H115" s="2715"/>
      <c r="I115" s="2715">
        <v>2</v>
      </c>
      <c r="J115" s="2715" t="s">
        <v>3406</v>
      </c>
      <c r="K115" s="2485">
        <v>214</v>
      </c>
      <c r="L115" s="2723">
        <f t="shared" si="1"/>
        <v>428</v>
      </c>
      <c r="M115" s="2723"/>
    </row>
    <row r="116" spans="2:13" ht="15">
      <c r="B116" s="2711"/>
      <c r="C116" s="2717" t="s">
        <v>3415</v>
      </c>
      <c r="D116" s="2715"/>
      <c r="E116" s="2715"/>
      <c r="F116" s="2715"/>
      <c r="G116" s="2715"/>
      <c r="H116" s="2715"/>
      <c r="I116" s="2715">
        <v>1</v>
      </c>
      <c r="J116" s="2715" t="s">
        <v>3406</v>
      </c>
      <c r="K116" s="2485">
        <v>1160</v>
      </c>
      <c r="L116" s="2723">
        <f t="shared" si="1"/>
        <v>1160</v>
      </c>
      <c r="M116" s="2723"/>
    </row>
    <row r="117" spans="2:13" ht="15">
      <c r="B117" s="2711"/>
      <c r="C117" s="2717" t="s">
        <v>3416</v>
      </c>
      <c r="D117" s="2715"/>
      <c r="E117" s="2715"/>
      <c r="F117" s="2715"/>
      <c r="G117" s="2715"/>
      <c r="H117" s="2715"/>
      <c r="I117" s="2715">
        <v>2</v>
      </c>
      <c r="J117" s="2715" t="s">
        <v>3406</v>
      </c>
      <c r="K117" s="2485">
        <f>+(257*2*1.5+500)</f>
        <v>1271</v>
      </c>
      <c r="L117" s="2723">
        <f t="shared" si="1"/>
        <v>2542</v>
      </c>
      <c r="M117" s="2723"/>
    </row>
    <row r="118" spans="2:13" ht="15">
      <c r="B118" s="2711"/>
      <c r="C118" s="2717" t="s">
        <v>3417</v>
      </c>
      <c r="D118" s="2715"/>
      <c r="E118" s="2715"/>
      <c r="F118" s="2715"/>
      <c r="G118" s="2715"/>
      <c r="H118" s="2715"/>
      <c r="I118" s="2715">
        <v>1</v>
      </c>
      <c r="J118" s="2715" t="s">
        <v>3406</v>
      </c>
      <c r="K118" s="2485">
        <f>+(257*1*1.5+500)</f>
        <v>885.5</v>
      </c>
      <c r="L118" s="2723">
        <f t="shared" si="1"/>
        <v>885.5</v>
      </c>
      <c r="M118" s="2723"/>
    </row>
    <row r="119" spans="2:13" ht="15">
      <c r="B119" s="2711"/>
      <c r="C119" s="2717" t="s">
        <v>3418</v>
      </c>
      <c r="D119" s="2715"/>
      <c r="E119" s="2715"/>
      <c r="F119" s="2715"/>
      <c r="G119" s="2715"/>
      <c r="H119" s="2715"/>
      <c r="I119" s="2715">
        <v>1</v>
      </c>
      <c r="J119" s="2715" t="s">
        <v>3406</v>
      </c>
      <c r="K119" s="2485">
        <f>+(257*0.35*1.5+500)</f>
        <v>634.92499999999995</v>
      </c>
      <c r="L119" s="2723">
        <f t="shared" si="1"/>
        <v>634.92499999999995</v>
      </c>
      <c r="M119" s="2723"/>
    </row>
    <row r="120" spans="2:13" ht="15">
      <c r="B120" s="2711"/>
      <c r="C120" s="2717" t="s">
        <v>3419</v>
      </c>
      <c r="D120" s="2715"/>
      <c r="E120" s="2715"/>
      <c r="F120" s="2715"/>
      <c r="G120" s="2715"/>
      <c r="H120" s="2715"/>
      <c r="I120" s="2715">
        <v>4</v>
      </c>
      <c r="J120" s="2715" t="s">
        <v>3406</v>
      </c>
      <c r="K120" s="2485">
        <v>94</v>
      </c>
      <c r="L120" s="2723">
        <f t="shared" si="1"/>
        <v>376</v>
      </c>
      <c r="M120" s="2723"/>
    </row>
    <row r="121" spans="2:13" ht="15">
      <c r="B121" s="2711"/>
      <c r="C121" s="2717" t="s">
        <v>3420</v>
      </c>
      <c r="D121" s="2715"/>
      <c r="E121" s="2715"/>
      <c r="F121" s="2715"/>
      <c r="G121" s="2715"/>
      <c r="H121" s="2715"/>
      <c r="I121" s="2715">
        <v>2</v>
      </c>
      <c r="J121" s="2715" t="s">
        <v>3406</v>
      </c>
      <c r="K121" s="2485">
        <v>73</v>
      </c>
      <c r="L121" s="2723">
        <f t="shared" si="1"/>
        <v>146</v>
      </c>
      <c r="M121" s="2723"/>
    </row>
    <row r="122" spans="2:13" ht="15">
      <c r="B122" s="2711"/>
      <c r="C122" s="2717" t="s">
        <v>3421</v>
      </c>
      <c r="D122" s="2715"/>
      <c r="E122" s="2715"/>
      <c r="F122" s="2715"/>
      <c r="G122" s="2715"/>
      <c r="H122" s="2715"/>
      <c r="I122" s="2715">
        <v>1</v>
      </c>
      <c r="J122" s="2715" t="s">
        <v>3406</v>
      </c>
      <c r="K122" s="2485">
        <v>238</v>
      </c>
      <c r="L122" s="2723">
        <f t="shared" si="1"/>
        <v>238</v>
      </c>
      <c r="M122" s="2723"/>
    </row>
    <row r="123" spans="2:13" ht="15">
      <c r="B123" s="2718"/>
      <c r="C123" s="2717" t="s">
        <v>3422</v>
      </c>
      <c r="D123" s="2715"/>
      <c r="E123" s="2715"/>
      <c r="F123" s="2715"/>
      <c r="G123" s="2715"/>
      <c r="H123" s="2715"/>
      <c r="I123" s="2715">
        <v>3</v>
      </c>
      <c r="J123" s="2715" t="s">
        <v>3406</v>
      </c>
      <c r="K123" s="2719">
        <v>74</v>
      </c>
      <c r="L123" s="2723">
        <f t="shared" si="1"/>
        <v>222</v>
      </c>
      <c r="M123" s="2723"/>
    </row>
    <row r="124" spans="2:13" ht="15">
      <c r="B124" s="2718"/>
      <c r="C124" s="2714" t="s">
        <v>3423</v>
      </c>
      <c r="D124" s="2485"/>
      <c r="E124" s="2485"/>
      <c r="F124" s="2485"/>
      <c r="G124" s="2485"/>
      <c r="H124" s="2485"/>
      <c r="I124" s="2485"/>
      <c r="J124" s="2485"/>
      <c r="K124" s="2720"/>
      <c r="L124" s="2723"/>
      <c r="M124" s="2723"/>
    </row>
    <row r="125" spans="2:13" ht="15">
      <c r="B125" s="2718"/>
      <c r="C125" s="2717" t="s">
        <v>3424</v>
      </c>
      <c r="D125" s="2485"/>
      <c r="E125" s="2485"/>
      <c r="F125" s="2485"/>
      <c r="G125" s="2485"/>
      <c r="H125" s="2485"/>
      <c r="I125" s="2485">
        <v>2</v>
      </c>
      <c r="J125" s="2485" t="s">
        <v>3406</v>
      </c>
      <c r="K125" s="2485">
        <f>+(1215*2*1.5+1000)</f>
        <v>4645</v>
      </c>
      <c r="L125" s="2723">
        <f t="shared" si="1"/>
        <v>9290</v>
      </c>
      <c r="M125" s="2723"/>
    </row>
    <row r="126" spans="2:13" ht="15">
      <c r="B126" s="2718"/>
      <c r="C126" s="2717" t="s">
        <v>3425</v>
      </c>
      <c r="D126" s="2485"/>
      <c r="E126" s="2485"/>
      <c r="F126" s="2485"/>
      <c r="G126" s="2485"/>
      <c r="H126" s="2485"/>
      <c r="I126" s="2485">
        <v>1</v>
      </c>
      <c r="J126" s="2485" t="s">
        <v>3406</v>
      </c>
      <c r="K126" s="2485">
        <f>+(1215*0.6*1.5+1000)</f>
        <v>2093.5</v>
      </c>
      <c r="L126" s="2723">
        <f t="shared" si="1"/>
        <v>2093.5</v>
      </c>
      <c r="M126" s="2723"/>
    </row>
    <row r="127" spans="2:13" ht="15">
      <c r="B127" s="2718"/>
      <c r="C127" s="2717" t="s">
        <v>3426</v>
      </c>
      <c r="D127" s="2485"/>
      <c r="E127" s="2485"/>
      <c r="F127" s="2485"/>
      <c r="G127" s="2485"/>
      <c r="H127" s="2485"/>
      <c r="I127" s="2485">
        <v>2</v>
      </c>
      <c r="J127" s="2485" t="s">
        <v>3406</v>
      </c>
      <c r="K127" s="2719">
        <v>1253</v>
      </c>
      <c r="L127" s="2723">
        <f t="shared" si="1"/>
        <v>2506</v>
      </c>
      <c r="M127" s="2723"/>
    </row>
    <row r="128" spans="2:13" ht="15">
      <c r="B128" s="2718"/>
      <c r="C128" s="2717" t="s">
        <v>3427</v>
      </c>
      <c r="D128" s="2485"/>
      <c r="E128" s="2485"/>
      <c r="F128" s="2485"/>
      <c r="G128" s="2485"/>
      <c r="H128" s="2485"/>
      <c r="I128" s="2485">
        <v>1</v>
      </c>
      <c r="J128" s="2485" t="s">
        <v>3406</v>
      </c>
      <c r="K128" s="2719">
        <v>817</v>
      </c>
      <c r="L128" s="2723">
        <f t="shared" si="1"/>
        <v>817</v>
      </c>
      <c r="M128" s="2723"/>
    </row>
    <row r="129" spans="2:13" ht="15">
      <c r="B129" s="2718"/>
      <c r="C129" s="2717" t="s">
        <v>3428</v>
      </c>
      <c r="D129" s="2485"/>
      <c r="E129" s="2485"/>
      <c r="F129" s="2485"/>
      <c r="G129" s="2485"/>
      <c r="H129" s="2485"/>
      <c r="I129" s="2485">
        <v>1</v>
      </c>
      <c r="J129" s="2485" t="s">
        <v>3406</v>
      </c>
      <c r="K129" s="2719">
        <v>437</v>
      </c>
      <c r="L129" s="2723">
        <f t="shared" si="1"/>
        <v>437</v>
      </c>
      <c r="M129" s="2723"/>
    </row>
    <row r="130" spans="2:13" ht="15">
      <c r="B130" s="2718"/>
      <c r="C130" s="2717" t="s">
        <v>3429</v>
      </c>
      <c r="D130" s="2485"/>
      <c r="E130" s="2485"/>
      <c r="F130" s="2485"/>
      <c r="G130" s="2485"/>
      <c r="H130" s="2485"/>
      <c r="I130" s="2485">
        <v>1</v>
      </c>
      <c r="J130" s="2485" t="s">
        <v>517</v>
      </c>
      <c r="K130" s="2719">
        <v>1950</v>
      </c>
      <c r="L130" s="2723">
        <f t="shared" si="1"/>
        <v>1950</v>
      </c>
      <c r="M130" s="2723"/>
    </row>
    <row r="131" spans="2:13" ht="15">
      <c r="B131" s="2718"/>
      <c r="C131" s="2714" t="s">
        <v>3430</v>
      </c>
      <c r="D131" s="2485"/>
      <c r="E131" s="2721"/>
      <c r="F131" s="2485"/>
      <c r="G131" s="2485"/>
      <c r="H131" s="2485"/>
      <c r="I131" s="2485"/>
      <c r="J131" s="2485"/>
      <c r="K131" s="2485"/>
      <c r="L131" s="2723"/>
      <c r="M131" s="2723"/>
    </row>
    <row r="132" spans="2:13" ht="15">
      <c r="B132" s="2718"/>
      <c r="C132" s="2717" t="s">
        <v>3431</v>
      </c>
      <c r="D132" s="2485"/>
      <c r="E132" s="2485"/>
      <c r="F132" s="2485"/>
      <c r="G132" s="2485"/>
      <c r="H132" s="2485"/>
      <c r="I132" s="2485">
        <v>1</v>
      </c>
      <c r="J132" s="2485" t="s">
        <v>3406</v>
      </c>
      <c r="K132" s="2485">
        <f>+(565*2*1.5+600)</f>
        <v>2295</v>
      </c>
      <c r="L132" s="2723">
        <f t="shared" si="1"/>
        <v>2295</v>
      </c>
      <c r="M132" s="2723"/>
    </row>
    <row r="133" spans="2:13" ht="15">
      <c r="B133" s="2718"/>
      <c r="C133" s="2717" t="s">
        <v>3432</v>
      </c>
      <c r="D133" s="2485"/>
      <c r="E133" s="2485"/>
      <c r="F133" s="2485"/>
      <c r="G133" s="2485"/>
      <c r="H133" s="2485"/>
      <c r="I133" s="2485">
        <v>1</v>
      </c>
      <c r="J133" s="2485" t="s">
        <v>3406</v>
      </c>
      <c r="K133" s="2485">
        <f>+(565*1*1.5+600)</f>
        <v>1447.5</v>
      </c>
      <c r="L133" s="2723">
        <f t="shared" si="1"/>
        <v>1447.5</v>
      </c>
      <c r="M133" s="2723"/>
    </row>
    <row r="134" spans="2:13" ht="15">
      <c r="B134" s="2718"/>
      <c r="C134" s="2717" t="s">
        <v>3433</v>
      </c>
      <c r="D134" s="2485"/>
      <c r="E134" s="2485"/>
      <c r="F134" s="2485"/>
      <c r="G134" s="2485"/>
      <c r="H134" s="2485"/>
      <c r="I134" s="2485">
        <v>1</v>
      </c>
      <c r="J134" s="2485" t="s">
        <v>3406</v>
      </c>
      <c r="K134" s="2485">
        <v>308</v>
      </c>
      <c r="L134" s="2723">
        <f t="shared" si="1"/>
        <v>308</v>
      </c>
      <c r="M134" s="2723"/>
    </row>
    <row r="135" spans="2:13" ht="15">
      <c r="B135" s="2718"/>
      <c r="C135" s="2717" t="s">
        <v>3434</v>
      </c>
      <c r="D135" s="2485"/>
      <c r="E135" s="2485"/>
      <c r="F135" s="2485"/>
      <c r="G135" s="2485"/>
      <c r="H135" s="2485"/>
      <c r="I135" s="2485">
        <v>1</v>
      </c>
      <c r="J135" s="2485" t="s">
        <v>3406</v>
      </c>
      <c r="K135" s="2485">
        <v>208</v>
      </c>
      <c r="L135" s="2723">
        <f t="shared" si="1"/>
        <v>208</v>
      </c>
      <c r="M135" s="2723"/>
    </row>
    <row r="136" spans="2:13" ht="15">
      <c r="B136" s="2718"/>
      <c r="C136" s="2717" t="s">
        <v>3435</v>
      </c>
      <c r="D136" s="2485"/>
      <c r="E136" s="2485"/>
      <c r="F136" s="2485"/>
      <c r="G136" s="2485"/>
      <c r="H136" s="2485"/>
      <c r="I136" s="2485">
        <v>3</v>
      </c>
      <c r="J136" s="2485" t="s">
        <v>3406</v>
      </c>
      <c r="K136" s="2485">
        <v>116</v>
      </c>
      <c r="L136" s="2723">
        <f t="shared" si="1"/>
        <v>348</v>
      </c>
      <c r="M136" s="2723"/>
    </row>
    <row r="137" spans="2:13" ht="15">
      <c r="B137" s="2718"/>
      <c r="C137" s="2717" t="s">
        <v>3436</v>
      </c>
      <c r="D137" s="2485"/>
      <c r="E137" s="2485"/>
      <c r="F137" s="2485"/>
      <c r="G137" s="2485"/>
      <c r="H137" s="2485"/>
      <c r="I137" s="2485">
        <v>1</v>
      </c>
      <c r="J137" s="2485" t="s">
        <v>3406</v>
      </c>
      <c r="K137" s="2485">
        <v>3467</v>
      </c>
      <c r="L137" s="2723">
        <f t="shared" si="1"/>
        <v>3467</v>
      </c>
      <c r="M137" s="2723"/>
    </row>
    <row r="138" spans="2:13" ht="15">
      <c r="B138" s="2718"/>
      <c r="C138" s="2717" t="s">
        <v>3437</v>
      </c>
      <c r="D138" s="2485"/>
      <c r="E138" s="2485"/>
      <c r="F138" s="2485"/>
      <c r="G138" s="2485"/>
      <c r="H138" s="2485"/>
      <c r="I138" s="2485">
        <v>1</v>
      </c>
      <c r="J138" s="2485" t="s">
        <v>3406</v>
      </c>
      <c r="K138" s="2485">
        <v>124</v>
      </c>
      <c r="L138" s="2723">
        <f t="shared" si="1"/>
        <v>124</v>
      </c>
      <c r="M138" s="2723"/>
    </row>
    <row r="139" spans="2:13" ht="15">
      <c r="B139" s="2718"/>
      <c r="C139" s="2717" t="s">
        <v>3438</v>
      </c>
      <c r="D139" s="2485"/>
      <c r="E139" s="2485"/>
      <c r="F139" s="2485"/>
      <c r="G139" s="2485"/>
      <c r="H139" s="2485"/>
      <c r="I139" s="2485">
        <v>2</v>
      </c>
      <c r="J139" s="2485" t="s">
        <v>3406</v>
      </c>
      <c r="K139" s="2485">
        <v>1332</v>
      </c>
      <c r="L139" s="2723">
        <f t="shared" si="1"/>
        <v>2664</v>
      </c>
      <c r="M139" s="2723"/>
    </row>
    <row r="140" spans="2:13" ht="15">
      <c r="B140" s="2718"/>
      <c r="C140" s="2714" t="s">
        <v>3439</v>
      </c>
      <c r="D140" s="2485"/>
      <c r="E140" s="2721"/>
      <c r="F140" s="2485"/>
      <c r="G140" s="2485"/>
      <c r="H140" s="2485"/>
      <c r="I140" s="2485"/>
      <c r="J140" s="2485"/>
      <c r="K140" s="2485"/>
      <c r="L140" s="2723"/>
      <c r="M140" s="2723"/>
    </row>
    <row r="141" spans="2:13" ht="15">
      <c r="B141" s="2718"/>
      <c r="C141" s="2717" t="s">
        <v>3440</v>
      </c>
      <c r="D141" s="2485"/>
      <c r="E141" s="2721"/>
      <c r="F141" s="2485"/>
      <c r="G141" s="2485"/>
      <c r="H141" s="2485"/>
      <c r="I141" s="2485">
        <v>1</v>
      </c>
      <c r="J141" s="2485" t="s">
        <v>1983</v>
      </c>
      <c r="K141" s="2485">
        <f>+(1215*2.8*1.5+1000)</f>
        <v>6103</v>
      </c>
      <c r="L141" s="2723">
        <f t="shared" si="1"/>
        <v>6103</v>
      </c>
      <c r="M141" s="2723"/>
    </row>
    <row r="142" spans="2:13" ht="15">
      <c r="B142" s="2718"/>
      <c r="C142" s="2717" t="s">
        <v>3441</v>
      </c>
      <c r="D142" s="2485"/>
      <c r="E142" s="2485"/>
      <c r="F142" s="2485"/>
      <c r="G142" s="2485"/>
      <c r="H142" s="2485"/>
      <c r="I142" s="2485">
        <v>0</v>
      </c>
      <c r="J142" s="2485" t="s">
        <v>3406</v>
      </c>
      <c r="K142" s="2485">
        <v>13691</v>
      </c>
      <c r="L142" s="2723">
        <f t="shared" si="1"/>
        <v>0</v>
      </c>
      <c r="M142" s="2723"/>
    </row>
    <row r="143" spans="2:13" ht="15">
      <c r="B143" s="2718"/>
      <c r="C143" s="2717" t="s">
        <v>3426</v>
      </c>
      <c r="D143" s="2485"/>
      <c r="E143" s="2485"/>
      <c r="F143" s="2485"/>
      <c r="G143" s="2485"/>
      <c r="H143" s="2485"/>
      <c r="I143" s="2485">
        <v>1</v>
      </c>
      <c r="J143" s="2485" t="s">
        <v>3406</v>
      </c>
      <c r="K143" s="2485">
        <v>1253</v>
      </c>
      <c r="L143" s="2723">
        <f t="shared" si="1"/>
        <v>1253</v>
      </c>
      <c r="M143" s="2723"/>
    </row>
    <row r="144" spans="2:13" ht="15">
      <c r="B144" s="2718"/>
      <c r="C144" s="2717" t="s">
        <v>3442</v>
      </c>
      <c r="D144" s="2485"/>
      <c r="E144" s="2485"/>
      <c r="F144" s="2485"/>
      <c r="G144" s="2485"/>
      <c r="H144" s="2485"/>
      <c r="I144" s="2485">
        <v>2</v>
      </c>
      <c r="J144" s="2485" t="s">
        <v>1038</v>
      </c>
      <c r="K144" s="2485">
        <v>1950</v>
      </c>
      <c r="L144" s="2723">
        <f t="shared" si="1"/>
        <v>3900</v>
      </c>
      <c r="M144" s="2723"/>
    </row>
    <row r="145" spans="2:13" ht="15">
      <c r="B145" s="2718"/>
      <c r="C145" s="2717" t="s">
        <v>3428</v>
      </c>
      <c r="D145" s="2485"/>
      <c r="E145" s="2485"/>
      <c r="F145" s="2485"/>
      <c r="G145" s="2485"/>
      <c r="H145" s="2485"/>
      <c r="I145" s="2485">
        <v>1</v>
      </c>
      <c r="J145" s="2485" t="s">
        <v>3406</v>
      </c>
      <c r="K145" s="2485">
        <v>437</v>
      </c>
      <c r="L145" s="2723">
        <f t="shared" si="1"/>
        <v>437</v>
      </c>
      <c r="M145" s="2723"/>
    </row>
    <row r="146" spans="2:13" ht="15">
      <c r="B146" s="2718"/>
      <c r="C146" s="2717" t="s">
        <v>3443</v>
      </c>
      <c r="D146" s="2485"/>
      <c r="E146" s="2485"/>
      <c r="F146" s="2485"/>
      <c r="G146" s="2485"/>
      <c r="H146" s="2485"/>
      <c r="I146" s="2485">
        <v>1</v>
      </c>
      <c r="J146" s="2485" t="s">
        <v>1038</v>
      </c>
      <c r="K146" s="2485">
        <v>1950</v>
      </c>
      <c r="L146" s="2723">
        <f t="shared" si="1"/>
        <v>1950</v>
      </c>
      <c r="M146" s="2723"/>
    </row>
    <row r="147" spans="2:13" ht="12.75">
      <c r="B147" s="2724"/>
      <c r="C147" s="2723"/>
      <c r="D147" s="2723"/>
      <c r="E147" s="2723"/>
      <c r="F147" s="2723"/>
      <c r="G147" s="2723"/>
      <c r="H147" s="2723"/>
      <c r="I147" s="2723"/>
      <c r="J147" s="2723"/>
      <c r="K147" s="2725" t="s">
        <v>1715</v>
      </c>
      <c r="L147" s="2725">
        <f>SUM(L107:L146)</f>
        <v>93636.425000000003</v>
      </c>
      <c r="M147" s="2725" t="s">
        <v>1451</v>
      </c>
    </row>
    <row r="150" spans="2:13">
      <c r="L150" s="2726">
        <f>L147+L102</f>
        <v>2887472.2836194281</v>
      </c>
    </row>
  </sheetData>
  <mergeCells count="5">
    <mergeCell ref="J11:J12"/>
    <mergeCell ref="B1:M1"/>
    <mergeCell ref="B2:M2"/>
    <mergeCell ref="B3:M3"/>
    <mergeCell ref="B4:M4"/>
  </mergeCells>
  <dataValidations disablePrompts="1" count="1">
    <dataValidation type="list" allowBlank="1" showInputMessage="1" showErrorMessage="1" promptTitle="Size of RCC Tank" prompt="Adopt one of the sizes only" sqref="G13" xr:uid="{00000000-0002-0000-2B00-000000000000}">
      <formula1>"10,15,20,25,50,75,100,150,200"</formula1>
    </dataValidation>
  </dataValidations>
  <pageMargins left="0.7" right="0.7" top="0.75" bottom="0.75" header="0.3" footer="0.3"/>
  <pageSetup scale="86" orientation="portrait" r:id="rId1"/>
  <headerFooter>
    <oddFooter>&amp;LPrepared By:&amp;CChecked By: Er. Bal Krishna Manandhar&amp;RApproved By:
Er. Prakash Singh Saud</oddFooter>
  </headerFooter>
  <rowBreaks count="1" manualBreakCount="1">
    <brk id="91" max="12" man="1"/>
  </rowBreaks>
  <colBreaks count="1" manualBreakCount="1">
    <brk id="13" max="1048575" man="1"/>
  </col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B1:P154"/>
  <sheetViews>
    <sheetView view="pageLayout" topLeftCell="A124" workbookViewId="0">
      <selection activeCell="B5" sqref="B5"/>
    </sheetView>
  </sheetViews>
  <sheetFormatPr defaultColWidth="6.7109375" defaultRowHeight="12"/>
  <cols>
    <col min="1" max="1" width="1.85546875" style="2596" customWidth="1"/>
    <col min="2" max="2" width="4" style="2614" customWidth="1"/>
    <col min="3" max="3" width="35.42578125" style="2596" customWidth="1"/>
    <col min="4" max="4" width="3.7109375" style="2596" customWidth="1"/>
    <col min="5" max="5" width="4.7109375" style="2596" customWidth="1"/>
    <col min="6" max="6" width="6.28515625" style="2596" customWidth="1"/>
    <col min="7" max="7" width="5" style="2596" customWidth="1"/>
    <col min="8" max="8" width="5.28515625" style="2596" customWidth="1"/>
    <col min="9" max="9" width="15.5703125" style="2596" customWidth="1"/>
    <col min="10" max="10" width="12.85546875" style="2596" customWidth="1"/>
    <col min="11" max="11" width="8.5703125" style="2596" hidden="1" customWidth="1"/>
    <col min="12" max="12" width="14" style="2596" hidden="1" customWidth="1"/>
    <col min="13" max="13" width="6" style="2596" customWidth="1"/>
    <col min="14" max="14" width="5.28515625" style="2596" customWidth="1"/>
    <col min="15" max="15" width="7.42578125" style="2596" bestFit="1" customWidth="1"/>
    <col min="16" max="22" width="4.7109375" style="2596" customWidth="1"/>
    <col min="23" max="23" width="10.42578125" style="2596" customWidth="1"/>
    <col min="24" max="16384" width="6.7109375" style="2596"/>
  </cols>
  <sheetData>
    <row r="1" spans="2:16" ht="15">
      <c r="B1" s="3110" t="s">
        <v>3515</v>
      </c>
      <c r="C1" s="3110"/>
      <c r="D1" s="3110"/>
      <c r="E1" s="3110"/>
      <c r="F1" s="3110"/>
      <c r="G1" s="3110"/>
      <c r="H1" s="3110"/>
      <c r="I1" s="3110"/>
      <c r="J1" s="3110"/>
      <c r="K1" s="3110"/>
      <c r="L1" s="3110"/>
      <c r="M1" s="3110"/>
    </row>
    <row r="2" spans="2:16" ht="20.25">
      <c r="B2" s="3111" t="s">
        <v>3516</v>
      </c>
      <c r="C2" s="3111"/>
      <c r="D2" s="3111"/>
      <c r="E2" s="3111"/>
      <c r="F2" s="3111"/>
      <c r="G2" s="3111"/>
      <c r="H2" s="3111"/>
      <c r="I2" s="3111"/>
      <c r="J2" s="3111"/>
      <c r="K2" s="3111"/>
      <c r="L2" s="3111"/>
      <c r="M2" s="3111"/>
    </row>
    <row r="3" spans="2:16" ht="20.25">
      <c r="B3" s="3112" t="s">
        <v>3517</v>
      </c>
      <c r="C3" s="3111"/>
      <c r="D3" s="3111"/>
      <c r="E3" s="3111"/>
      <c r="F3" s="3111"/>
      <c r="G3" s="3111"/>
      <c r="H3" s="3111"/>
      <c r="I3" s="3111"/>
      <c r="J3" s="3111"/>
      <c r="K3" s="3111"/>
      <c r="L3" s="3111"/>
      <c r="M3" s="3111"/>
    </row>
    <row r="4" spans="2:16" ht="18.75">
      <c r="B4" s="3113" t="s">
        <v>3304</v>
      </c>
      <c r="C4" s="3113"/>
      <c r="D4" s="3113"/>
      <c r="E4" s="3113"/>
      <c r="F4" s="3113"/>
      <c r="G4" s="3113"/>
      <c r="H4" s="3113"/>
      <c r="I4" s="3113"/>
      <c r="J4" s="3113"/>
      <c r="K4" s="3113"/>
      <c r="L4" s="3113"/>
      <c r="M4" s="3113"/>
    </row>
    <row r="5" spans="2:16" ht="18.75">
      <c r="B5" s="513" t="s">
        <v>3529</v>
      </c>
      <c r="C5" s="2820"/>
      <c r="D5" s="2820"/>
      <c r="E5" s="2820"/>
      <c r="F5" s="2820"/>
      <c r="G5" s="2820"/>
      <c r="H5" s="2820"/>
      <c r="I5" s="2820"/>
      <c r="J5" s="2820"/>
      <c r="K5" s="2820"/>
      <c r="L5" s="2820"/>
      <c r="M5" s="2820"/>
    </row>
    <row r="6" spans="2:16" ht="18.75">
      <c r="B6" s="2819" t="s">
        <v>3583</v>
      </c>
      <c r="C6" s="2820"/>
      <c r="D6" s="2820"/>
      <c r="E6" s="2820"/>
      <c r="F6" s="2820"/>
      <c r="G6" s="2820"/>
      <c r="H6" s="2820"/>
      <c r="I6" s="2820"/>
      <c r="J6" s="2820"/>
      <c r="K6" s="2820"/>
      <c r="L6" s="2820"/>
      <c r="M6" s="2820"/>
    </row>
    <row r="7" spans="2:16" ht="18.75">
      <c r="B7" s="2819" t="s">
        <v>3584</v>
      </c>
      <c r="C7" s="2820"/>
      <c r="D7" s="2820"/>
      <c r="E7" s="2820"/>
      <c r="F7" s="2820"/>
      <c r="G7" s="2820"/>
      <c r="H7" s="2820"/>
      <c r="I7" s="2820"/>
      <c r="J7" s="2820"/>
      <c r="K7" s="2820"/>
      <c r="L7" s="2820"/>
      <c r="M7" s="2820"/>
    </row>
    <row r="8" spans="2:16" ht="20.25">
      <c r="B8" s="2744" t="s">
        <v>3518</v>
      </c>
      <c r="C8" s="2743"/>
      <c r="D8" s="2743"/>
      <c r="E8" s="2743"/>
      <c r="F8" s="2743"/>
      <c r="G8" s="2743"/>
      <c r="H8" s="2743"/>
      <c r="I8" s="2743"/>
      <c r="J8" s="2743"/>
      <c r="K8" s="2743"/>
      <c r="L8" s="2743"/>
      <c r="M8" s="2745" t="s">
        <v>3520</v>
      </c>
    </row>
    <row r="9" spans="2:16" ht="20.25">
      <c r="B9" s="2744" t="s">
        <v>3519</v>
      </c>
      <c r="C9" s="2743"/>
      <c r="D9" s="2743"/>
      <c r="E9" s="2743"/>
      <c r="F9" s="2743"/>
      <c r="G9" s="2743"/>
      <c r="H9" s="2743"/>
      <c r="I9" s="2743"/>
      <c r="J9" s="2743"/>
      <c r="K9" s="2743"/>
      <c r="L9" s="2743"/>
      <c r="M9" s="2745" t="s">
        <v>3585</v>
      </c>
    </row>
    <row r="10" spans="2:16" ht="12" customHeight="1">
      <c r="B10" s="2597"/>
      <c r="C10" s="2598"/>
      <c r="D10" s="2598"/>
      <c r="E10" s="2597"/>
      <c r="F10" s="2597"/>
      <c r="G10" s="2598"/>
      <c r="H10" s="2598"/>
      <c r="I10" s="2598"/>
      <c r="J10" s="2598"/>
      <c r="K10" s="2597"/>
      <c r="L10" s="2599"/>
      <c r="N10" s="2600"/>
    </row>
    <row r="11" spans="2:16" ht="18.75" customHeight="1">
      <c r="B11" s="2601" t="s">
        <v>3306</v>
      </c>
      <c r="C11" s="2602" t="s">
        <v>3307</v>
      </c>
      <c r="D11" s="2601" t="s">
        <v>963</v>
      </c>
      <c r="E11" s="2601" t="s">
        <v>3308</v>
      </c>
      <c r="F11" s="2601" t="s">
        <v>2459</v>
      </c>
      <c r="G11" s="2601" t="s">
        <v>712</v>
      </c>
      <c r="H11" s="2601" t="s">
        <v>2920</v>
      </c>
      <c r="I11" s="2601" t="s">
        <v>3309</v>
      </c>
      <c r="J11" s="3108" t="s">
        <v>1035</v>
      </c>
      <c r="K11" s="2603" t="s">
        <v>97</v>
      </c>
      <c r="L11" s="2603" t="s">
        <v>52</v>
      </c>
      <c r="M11" s="2604" t="s">
        <v>3310</v>
      </c>
    </row>
    <row r="12" spans="2:16" ht="15.75" customHeight="1">
      <c r="B12" s="2605" t="s">
        <v>3311</v>
      </c>
      <c r="C12" s="2606"/>
      <c r="D12" s="2607"/>
      <c r="E12" s="2605" t="s">
        <v>3312</v>
      </c>
      <c r="F12" s="2605" t="s">
        <v>3312</v>
      </c>
      <c r="G12" s="2605" t="s">
        <v>3312</v>
      </c>
      <c r="H12" s="2605" t="s">
        <v>3312</v>
      </c>
      <c r="I12" s="2608"/>
      <c r="J12" s="3109"/>
      <c r="K12" s="2609" t="s">
        <v>1451</v>
      </c>
      <c r="L12" s="2609" t="s">
        <v>1451</v>
      </c>
      <c r="M12" s="2610" t="s">
        <v>949</v>
      </c>
      <c r="N12" s="2611"/>
      <c r="O12" s="2612"/>
      <c r="P12" s="2612"/>
    </row>
    <row r="13" spans="2:16" ht="15.75" customHeight="1">
      <c r="B13" s="2613"/>
      <c r="C13" s="2614" t="s">
        <v>3313</v>
      </c>
      <c r="D13" s="2615">
        <f>VLOOKUP(G13,SizRCT,3,FALSE)</f>
        <v>3</v>
      </c>
      <c r="E13" s="2616"/>
      <c r="G13" s="2617">
        <v>50</v>
      </c>
      <c r="I13" s="2616"/>
      <c r="J13" s="2619" t="s">
        <v>3314</v>
      </c>
      <c r="K13" s="2618"/>
      <c r="L13" s="2619" t="s">
        <v>3314</v>
      </c>
      <c r="M13" s="2620">
        <v>0.2</v>
      </c>
      <c r="N13" s="2611"/>
      <c r="O13" s="2612"/>
      <c r="P13" s="2612"/>
    </row>
    <row r="14" spans="2:16" ht="15.75" customHeight="1">
      <c r="B14" s="2621"/>
      <c r="C14" s="2622" t="s">
        <v>3315</v>
      </c>
      <c r="D14" s="2623">
        <f>VLOOKUP(G13,SizRCT,2,FALSE)</f>
        <v>5</v>
      </c>
      <c r="E14" s="2624"/>
      <c r="F14" s="2625" t="s">
        <v>3316</v>
      </c>
      <c r="G14" s="2625"/>
      <c r="H14" s="2626">
        <f>VLOOKUP(G13,SizRCT,5,FALSE)</f>
        <v>58.90486225480862</v>
      </c>
      <c r="I14" s="2799" t="s">
        <v>3317</v>
      </c>
      <c r="J14" s="2629" t="s">
        <v>3318</v>
      </c>
      <c r="K14" s="2628"/>
      <c r="L14" s="2629" t="s">
        <v>3318</v>
      </c>
      <c r="M14" s="2630">
        <f>VLOOKUP(G13,SizRCT,4,FALSE)</f>
        <v>0.96</v>
      </c>
      <c r="N14" s="2611"/>
      <c r="O14" s="2612"/>
      <c r="P14" s="2612"/>
    </row>
    <row r="15" spans="2:16" ht="15.75" customHeight="1">
      <c r="B15" s="2631"/>
      <c r="C15" s="2632"/>
      <c r="D15" s="2633"/>
      <c r="E15" s="2633"/>
      <c r="F15" s="2633"/>
      <c r="G15" s="2633"/>
      <c r="H15" s="2633"/>
      <c r="I15" s="2633"/>
      <c r="J15" s="2633"/>
      <c r="K15" s="2634"/>
      <c r="L15" s="2634"/>
      <c r="M15" s="2635"/>
      <c r="N15" s="2611"/>
      <c r="O15" s="2612"/>
      <c r="P15" s="2612"/>
    </row>
    <row r="16" spans="2:16" ht="15.75" customHeight="1">
      <c r="B16" s="2631">
        <v>1</v>
      </c>
      <c r="C16" s="2632" t="s">
        <v>26</v>
      </c>
      <c r="D16" s="2636">
        <v>1</v>
      </c>
      <c r="E16" s="2637">
        <f>D14</f>
        <v>5</v>
      </c>
      <c r="F16" s="2636"/>
      <c r="G16" s="2636"/>
      <c r="H16" s="2636"/>
      <c r="I16" s="2638">
        <f>PI()*E16^2</f>
        <v>78.539816339744831</v>
      </c>
      <c r="J16" s="2636" t="s">
        <v>1154</v>
      </c>
      <c r="K16" s="2639">
        <f>Rates!F7</f>
        <v>149.5</v>
      </c>
      <c r="L16" s="2640">
        <f>I16*K16</f>
        <v>11741.702542791852</v>
      </c>
      <c r="M16" s="2641" t="s">
        <v>2595</v>
      </c>
      <c r="N16" s="2611"/>
      <c r="O16" s="2612"/>
      <c r="P16" s="2612"/>
    </row>
    <row r="17" spans="2:16" ht="15.75" customHeight="1">
      <c r="B17" s="2631"/>
      <c r="C17" s="2632"/>
      <c r="D17" s="2636"/>
      <c r="E17" s="2636"/>
      <c r="F17" s="2636"/>
      <c r="G17" s="2636"/>
      <c r="H17" s="2636"/>
      <c r="I17" s="2636"/>
      <c r="J17" s="2636"/>
      <c r="K17" s="2636"/>
      <c r="L17" s="2636"/>
      <c r="M17" s="2641"/>
      <c r="N17" s="2611"/>
      <c r="O17" s="2612"/>
      <c r="P17" s="2612"/>
    </row>
    <row r="18" spans="2:16" ht="15.75" customHeight="1">
      <c r="B18" s="2631">
        <f>B16+1</f>
        <v>2</v>
      </c>
      <c r="C18" s="2632" t="s">
        <v>3319</v>
      </c>
      <c r="D18" s="2636"/>
      <c r="E18" s="2636"/>
      <c r="F18" s="2636"/>
      <c r="G18" s="2636"/>
      <c r="H18" s="2636"/>
      <c r="I18" s="2636"/>
      <c r="J18" s="2636"/>
      <c r="K18" s="2636"/>
      <c r="L18" s="2636"/>
      <c r="M18" s="2641"/>
      <c r="N18" s="2611"/>
      <c r="O18" s="2612"/>
      <c r="P18" s="2612"/>
    </row>
    <row r="19" spans="2:16" ht="15.75" customHeight="1">
      <c r="B19" s="2631"/>
      <c r="C19" s="2642" t="s">
        <v>3320</v>
      </c>
      <c r="D19" s="2636">
        <v>1</v>
      </c>
      <c r="E19" s="2636"/>
      <c r="F19" s="2640">
        <v>2.85</v>
      </c>
      <c r="G19" s="2640">
        <v>2.1</v>
      </c>
      <c r="H19" s="2640">
        <v>1.5</v>
      </c>
      <c r="I19" s="2638">
        <f>D19*F19*G19*H19</f>
        <v>8.9775000000000009</v>
      </c>
      <c r="J19" s="2636"/>
      <c r="K19" s="2636"/>
      <c r="L19" s="2638"/>
      <c r="M19" s="2641"/>
      <c r="N19" s="2611"/>
      <c r="O19" s="2612"/>
      <c r="P19" s="2612"/>
    </row>
    <row r="20" spans="2:16" ht="15.75" customHeight="1">
      <c r="B20" s="2631"/>
      <c r="C20" s="2642" t="s">
        <v>3321</v>
      </c>
      <c r="D20" s="2636">
        <v>1</v>
      </c>
      <c r="E20" s="2640">
        <f>D14/2+M13+0.5</f>
        <v>3.2</v>
      </c>
      <c r="F20" s="2640"/>
      <c r="G20" s="2640"/>
      <c r="H20" s="2640">
        <v>1.5</v>
      </c>
      <c r="I20" s="2638">
        <f>PI()*E20^2*H20</f>
        <v>48.254863159139227</v>
      </c>
      <c r="J20" s="2636"/>
      <c r="K20" s="2636"/>
      <c r="L20" s="2638"/>
      <c r="M20" s="2641"/>
      <c r="N20" s="2611"/>
      <c r="O20" s="2612"/>
      <c r="P20" s="2612"/>
    </row>
    <row r="21" spans="2:16" ht="15.75" customHeight="1">
      <c r="B21" s="2631"/>
      <c r="C21" s="2632"/>
      <c r="D21" s="2636"/>
      <c r="E21" s="2640"/>
      <c r="F21" s="2640"/>
      <c r="G21" s="2640"/>
      <c r="H21" s="2640"/>
      <c r="I21" s="2638">
        <f>SUM(I19:I20)</f>
        <v>57.232363159139226</v>
      </c>
      <c r="J21" s="2640" t="s">
        <v>1426</v>
      </c>
      <c r="K21" s="2644">
        <f>Rates!F8</f>
        <v>1184.5</v>
      </c>
      <c r="L21" s="2640">
        <f>I21*K21</f>
        <v>67791.734162000415</v>
      </c>
      <c r="M21" s="2645">
        <v>2.14</v>
      </c>
      <c r="N21" s="2611"/>
      <c r="O21" s="2612"/>
      <c r="P21" s="2612"/>
    </row>
    <row r="22" spans="2:16" ht="15.75" customHeight="1">
      <c r="B22" s="2631">
        <f>B18+1</f>
        <v>3</v>
      </c>
      <c r="C22" s="2646" t="s">
        <v>3323</v>
      </c>
      <c r="D22" s="2636">
        <v>1</v>
      </c>
      <c r="E22" s="2640"/>
      <c r="F22" s="2640"/>
      <c r="G22" s="2640"/>
      <c r="H22" s="2640">
        <v>1.1000000000000001</v>
      </c>
      <c r="I22" s="2638">
        <f>((D14/2+0.8)^2-(D14/2+0.05)^2)*PI()*H22</f>
        <v>15.162111544387738</v>
      </c>
      <c r="J22" s="2640" t="s">
        <v>1426</v>
      </c>
      <c r="K22" s="2644">
        <f>Rates!F14</f>
        <v>592.25</v>
      </c>
      <c r="L22" s="2640">
        <f>I22*K22</f>
        <v>8979.7605621636376</v>
      </c>
      <c r="M22" s="2645" t="s">
        <v>3324</v>
      </c>
      <c r="N22" s="2611"/>
      <c r="O22" s="2612"/>
      <c r="P22" s="2612"/>
    </row>
    <row r="23" spans="2:16" ht="15.75" customHeight="1">
      <c r="B23" s="2631"/>
      <c r="C23" s="2632"/>
      <c r="D23" s="2636"/>
      <c r="E23" s="2640"/>
      <c r="F23" s="2640"/>
      <c r="G23" s="2640"/>
      <c r="H23" s="2640"/>
      <c r="I23" s="2638"/>
      <c r="J23" s="2636"/>
      <c r="K23" s="2636"/>
      <c r="L23" s="2638"/>
      <c r="M23" s="2641"/>
      <c r="N23" s="2611"/>
      <c r="O23" s="2612"/>
      <c r="P23" s="2612"/>
    </row>
    <row r="24" spans="2:16" ht="15.75" customHeight="1">
      <c r="B24" s="2631">
        <f>B22+1</f>
        <v>4</v>
      </c>
      <c r="C24" s="2632" t="s">
        <v>3325</v>
      </c>
      <c r="D24" s="2636"/>
      <c r="E24" s="2640"/>
      <c r="F24" s="2640"/>
      <c r="G24" s="2640"/>
      <c r="H24" s="2640"/>
      <c r="I24" s="2638"/>
      <c r="J24" s="2636"/>
      <c r="K24" s="2636"/>
      <c r="L24" s="2638"/>
      <c r="M24" s="2641"/>
      <c r="N24" s="2611"/>
      <c r="O24" s="2612"/>
      <c r="P24" s="2612"/>
    </row>
    <row r="25" spans="2:16" ht="15.75" customHeight="1">
      <c r="B25" s="2631"/>
      <c r="C25" s="2642" t="s">
        <v>3320</v>
      </c>
      <c r="D25" s="2636">
        <f>D19</f>
        <v>1</v>
      </c>
      <c r="E25" s="2640"/>
      <c r="F25" s="2640">
        <f>F19</f>
        <v>2.85</v>
      </c>
      <c r="G25" s="2640">
        <f>G19</f>
        <v>2.1</v>
      </c>
      <c r="H25" s="2640">
        <v>0.15</v>
      </c>
      <c r="I25" s="2638">
        <f>D25*F25*G25*H25</f>
        <v>0.89775000000000005</v>
      </c>
      <c r="J25" s="2636"/>
      <c r="K25" s="2636"/>
      <c r="L25" s="2638"/>
      <c r="M25" s="2641"/>
      <c r="N25" s="2611"/>
      <c r="O25" s="2612"/>
      <c r="P25" s="2612"/>
    </row>
    <row r="26" spans="2:16" ht="15.75" customHeight="1">
      <c r="B26" s="2631"/>
      <c r="C26" s="2642" t="s">
        <v>3321</v>
      </c>
      <c r="D26" s="2636">
        <v>1</v>
      </c>
      <c r="E26" s="2640">
        <f>E20</f>
        <v>3.2</v>
      </c>
      <c r="F26" s="2640"/>
      <c r="G26" s="2640"/>
      <c r="H26" s="2640">
        <v>0.2</v>
      </c>
      <c r="I26" s="2638">
        <f>PI()*E26^2*H26</f>
        <v>6.4339817545518976</v>
      </c>
      <c r="J26" s="2636"/>
      <c r="K26" s="2636"/>
      <c r="L26" s="2638"/>
      <c r="M26" s="2641"/>
      <c r="N26" s="2611"/>
      <c r="O26" s="2612"/>
      <c r="P26" s="2612"/>
    </row>
    <row r="27" spans="2:16" ht="15.75" customHeight="1">
      <c r="B27" s="2631"/>
      <c r="C27" s="2632"/>
      <c r="D27" s="2636"/>
      <c r="E27" s="2640"/>
      <c r="F27" s="2640"/>
      <c r="G27" s="2640"/>
      <c r="H27" s="2640"/>
      <c r="I27" s="2638">
        <f>SUM(I25:I26)</f>
        <v>7.3317317545518979</v>
      </c>
      <c r="J27" s="2640" t="s">
        <v>1426</v>
      </c>
      <c r="K27" s="2644">
        <f>Rates!F19</f>
        <v>5523.35</v>
      </c>
      <c r="L27" s="2640">
        <f>I27*K27</f>
        <v>40495.720586504227</v>
      </c>
      <c r="M27" s="2645" t="s">
        <v>3326</v>
      </c>
      <c r="N27" s="2611"/>
      <c r="O27" s="2612"/>
      <c r="P27" s="2612"/>
    </row>
    <row r="28" spans="2:16" ht="15.75" customHeight="1">
      <c r="B28" s="2631">
        <f>B22+1</f>
        <v>4</v>
      </c>
      <c r="C28" s="2632" t="s">
        <v>3327</v>
      </c>
      <c r="D28" s="2636"/>
      <c r="E28" s="2640"/>
      <c r="F28" s="2640"/>
      <c r="G28" s="2640"/>
      <c r="H28" s="2640"/>
      <c r="I28" s="2638"/>
      <c r="J28" s="2640"/>
      <c r="K28" s="2640"/>
      <c r="L28" s="2638"/>
      <c r="M28" s="2645"/>
      <c r="N28" s="2611"/>
      <c r="O28" s="2612"/>
      <c r="P28" s="2612"/>
    </row>
    <row r="29" spans="2:16" ht="15.75" customHeight="1">
      <c r="B29" s="2631"/>
      <c r="C29" s="2632" t="s">
        <v>3400</v>
      </c>
      <c r="D29" s="2636">
        <v>1</v>
      </c>
      <c r="E29" s="2640"/>
      <c r="F29" s="2640">
        <f>2*2.1+2.85</f>
        <v>7.0500000000000007</v>
      </c>
      <c r="G29" s="2640">
        <v>0.45</v>
      </c>
      <c r="H29" s="2640">
        <v>1</v>
      </c>
      <c r="I29" s="2638">
        <f>PRODUCT(D29:H29)</f>
        <v>3.1725000000000003</v>
      </c>
      <c r="J29" s="2640"/>
      <c r="K29" s="2640"/>
      <c r="L29" s="2638"/>
      <c r="M29" s="2645"/>
      <c r="N29" s="2611"/>
      <c r="O29" s="2612"/>
      <c r="P29" s="2612"/>
    </row>
    <row r="30" spans="2:16" ht="15.75" customHeight="1">
      <c r="B30" s="2631"/>
      <c r="C30" s="2632"/>
      <c r="D30" s="2636"/>
      <c r="E30" s="2640"/>
      <c r="F30" s="2640"/>
      <c r="G30" s="2640"/>
      <c r="H30" s="2640"/>
      <c r="I30" s="2638">
        <f>SUM(I29:I29)</f>
        <v>3.1725000000000003</v>
      </c>
      <c r="J30" s="2640" t="s">
        <v>1426</v>
      </c>
      <c r="K30" s="2644">
        <f>Rates!F25</f>
        <v>14917.39</v>
      </c>
      <c r="L30" s="2640">
        <f>I30*K30</f>
        <v>47325.419775000002</v>
      </c>
      <c r="M30" s="2645" t="s">
        <v>3328</v>
      </c>
      <c r="N30" s="2611"/>
      <c r="O30" s="2612"/>
      <c r="P30" s="2612"/>
    </row>
    <row r="31" spans="2:16" ht="15.75" customHeight="1">
      <c r="B31" s="2631"/>
      <c r="C31" s="2632"/>
      <c r="D31" s="2636"/>
      <c r="E31" s="2640"/>
      <c r="F31" s="2640"/>
      <c r="G31" s="2640"/>
      <c r="H31" s="2640"/>
      <c r="I31" s="2638"/>
      <c r="J31" s="2640"/>
      <c r="K31" s="2644"/>
      <c r="L31" s="2640"/>
      <c r="M31" s="2645"/>
      <c r="N31" s="2611"/>
      <c r="O31" s="2612"/>
      <c r="P31" s="2612"/>
    </row>
    <row r="32" spans="2:16" ht="15.75" customHeight="1">
      <c r="B32" s="2631">
        <f>B30+1</f>
        <v>1</v>
      </c>
      <c r="C32" s="2632" t="s">
        <v>3329</v>
      </c>
      <c r="D32" s="2636">
        <v>1</v>
      </c>
      <c r="E32" s="2640">
        <f>D14/2+M13+0.3</f>
        <v>3</v>
      </c>
      <c r="F32" s="2640"/>
      <c r="G32" s="2640"/>
      <c r="H32" s="2640">
        <v>0.1</v>
      </c>
      <c r="I32" s="2638">
        <f>PI()*E32^2*H32</f>
        <v>2.8274333882308138</v>
      </c>
      <c r="J32" s="2640" t="s">
        <v>1426</v>
      </c>
      <c r="K32" s="2644">
        <f>Rates!F31</f>
        <v>14810.58</v>
      </c>
      <c r="L32" s="2640">
        <f>I32*K32</f>
        <v>41875.928391063528</v>
      </c>
      <c r="M32" s="2645" t="s">
        <v>3330</v>
      </c>
      <c r="N32" s="2611"/>
      <c r="O32" s="2612"/>
      <c r="P32" s="2612"/>
    </row>
    <row r="33" spans="2:16" ht="15.75" customHeight="1">
      <c r="B33" s="2631"/>
      <c r="C33" s="2632"/>
      <c r="D33" s="2636"/>
      <c r="E33" s="2640"/>
      <c r="F33" s="2640"/>
      <c r="G33" s="2640"/>
      <c r="H33" s="2640"/>
      <c r="I33" s="2638"/>
      <c r="J33" s="2636"/>
      <c r="K33" s="2636"/>
      <c r="L33" s="2638"/>
      <c r="M33" s="2641"/>
      <c r="N33" s="2611"/>
      <c r="O33" s="2612"/>
      <c r="P33" s="2612"/>
    </row>
    <row r="34" spans="2:16" ht="15.75" customHeight="1">
      <c r="B34" s="2631">
        <f>B32+1</f>
        <v>2</v>
      </c>
      <c r="C34" s="2632" t="s">
        <v>3331</v>
      </c>
      <c r="D34" s="2636"/>
      <c r="E34" s="2640"/>
      <c r="F34" s="2640"/>
      <c r="G34" s="2640"/>
      <c r="H34" s="2640"/>
      <c r="I34" s="2638"/>
      <c r="J34" s="2636"/>
      <c r="K34" s="2636"/>
      <c r="L34" s="2638"/>
      <c r="M34" s="2641"/>
      <c r="N34" s="2611"/>
      <c r="O34" s="2612"/>
      <c r="P34" s="2612"/>
    </row>
    <row r="35" spans="2:16" ht="15.75" customHeight="1">
      <c r="B35" s="2631"/>
      <c r="C35" s="2642" t="s">
        <v>3332</v>
      </c>
      <c r="D35" s="2636">
        <v>2</v>
      </c>
      <c r="E35" s="2640"/>
      <c r="F35" s="2640">
        <v>2.85</v>
      </c>
      <c r="G35" s="2640">
        <v>2.1</v>
      </c>
      <c r="H35" s="2640">
        <v>0.08</v>
      </c>
      <c r="I35" s="2638">
        <f>D35*F35*G35*H35</f>
        <v>0.95760000000000012</v>
      </c>
      <c r="J35" s="2636"/>
      <c r="K35" s="2636"/>
      <c r="L35" s="2638"/>
      <c r="M35" s="2641"/>
      <c r="N35" s="2611"/>
      <c r="O35" s="2612"/>
      <c r="P35" s="2612"/>
    </row>
    <row r="36" spans="2:16" ht="15.75" customHeight="1">
      <c r="B36" s="2631"/>
      <c r="C36" s="2642"/>
      <c r="D36" s="2636"/>
      <c r="E36" s="2640"/>
      <c r="F36" s="2640"/>
      <c r="G36" s="2640"/>
      <c r="H36" s="2640"/>
      <c r="I36" s="2638"/>
      <c r="J36" s="2636"/>
      <c r="K36" s="2636"/>
      <c r="L36" s="2638"/>
      <c r="M36" s="2641"/>
      <c r="N36" s="2611"/>
      <c r="O36" s="2612"/>
      <c r="P36" s="2612"/>
    </row>
    <row r="37" spans="2:16" ht="15.75" customHeight="1">
      <c r="B37" s="2631"/>
      <c r="C37" s="2642" t="s">
        <v>3333</v>
      </c>
      <c r="D37" s="2636">
        <v>-1</v>
      </c>
      <c r="E37" s="2640"/>
      <c r="F37" s="2640">
        <v>0.6</v>
      </c>
      <c r="G37" s="2640">
        <v>0.6</v>
      </c>
      <c r="H37" s="2640">
        <v>0.08</v>
      </c>
      <c r="I37" s="2638">
        <f t="shared" ref="I37" si="0">D37*F37*G37*H37</f>
        <v>-2.8799999999999999E-2</v>
      </c>
      <c r="J37" s="2636"/>
      <c r="K37" s="2636"/>
      <c r="L37" s="2638"/>
      <c r="M37" s="2641"/>
      <c r="N37" s="2611"/>
      <c r="O37" s="2612"/>
      <c r="P37" s="2612"/>
    </row>
    <row r="38" spans="2:16" ht="15.75" customHeight="1">
      <c r="B38" s="2631"/>
      <c r="C38" s="2632"/>
      <c r="D38" s="2636"/>
      <c r="E38" s="2640"/>
      <c r="F38" s="2640"/>
      <c r="G38" s="2640"/>
      <c r="H38" s="2640"/>
      <c r="I38" s="2638">
        <f>SUM(I35:I37)</f>
        <v>0.92880000000000007</v>
      </c>
      <c r="J38" s="2640" t="s">
        <v>1426</v>
      </c>
      <c r="K38" s="2644">
        <f>Rates!F32</f>
        <v>16022.87</v>
      </c>
      <c r="L38" s="2640">
        <f>I38*K38</f>
        <v>14882.041656000001</v>
      </c>
      <c r="M38" s="2645" t="s">
        <v>3330</v>
      </c>
      <c r="N38" s="2611"/>
      <c r="O38" s="2612"/>
      <c r="P38" s="2612"/>
    </row>
    <row r="39" spans="2:16" ht="15.75" customHeight="1">
      <c r="B39" s="2631">
        <f>B34+1</f>
        <v>3</v>
      </c>
      <c r="C39" s="2632" t="s">
        <v>3444</v>
      </c>
      <c r="D39" s="2636"/>
      <c r="E39" s="2640"/>
      <c r="F39" s="2640"/>
      <c r="G39" s="2640"/>
      <c r="H39" s="2640"/>
      <c r="I39" s="2638"/>
      <c r="J39" s="2640"/>
      <c r="K39" s="2640"/>
      <c r="L39" s="2640"/>
      <c r="M39" s="2645"/>
      <c r="N39" s="2611"/>
      <c r="O39" s="2612"/>
      <c r="P39" s="2612"/>
    </row>
    <row r="40" spans="2:16" ht="15.75" customHeight="1">
      <c r="B40" s="2631"/>
      <c r="C40" s="2642" t="s">
        <v>3335</v>
      </c>
      <c r="D40" s="2636">
        <v>1</v>
      </c>
      <c r="E40" s="2640">
        <f>D14/2+M13+0.3</f>
        <v>3</v>
      </c>
      <c r="F40" s="2640"/>
      <c r="G40" s="2640"/>
      <c r="H40" s="2640">
        <v>0.23</v>
      </c>
      <c r="I40" s="2638">
        <f>PI()*E40^2*H40</f>
        <v>6.5030967929308723</v>
      </c>
      <c r="J40" s="2640"/>
      <c r="K40" s="2640"/>
      <c r="L40" s="2640"/>
      <c r="M40" s="2645"/>
      <c r="N40" s="2611"/>
      <c r="O40" s="2612"/>
      <c r="P40" s="2612"/>
    </row>
    <row r="41" spans="2:16" ht="15.75" customHeight="1">
      <c r="B41" s="2631"/>
      <c r="C41" s="2642" t="s">
        <v>3336</v>
      </c>
      <c r="D41" s="2636">
        <v>1</v>
      </c>
      <c r="E41" s="2640">
        <f>D14/2+M13</f>
        <v>2.7</v>
      </c>
      <c r="F41" s="2640"/>
      <c r="G41" s="2640"/>
      <c r="H41" s="2640">
        <f>D13</f>
        <v>3</v>
      </c>
      <c r="I41" s="2638">
        <f>2*PI()*E41*H41*M13</f>
        <v>10.178760197630931</v>
      </c>
      <c r="J41" s="2640"/>
      <c r="K41" s="2640"/>
      <c r="L41" s="2640"/>
      <c r="M41" s="2645"/>
      <c r="N41" s="2611"/>
      <c r="O41" s="2612"/>
      <c r="P41" s="2612"/>
    </row>
    <row r="42" spans="2:16" ht="15.75" customHeight="1">
      <c r="B42" s="2631"/>
      <c r="C42" s="2642" t="s">
        <v>3337</v>
      </c>
      <c r="D42" s="2636">
        <v>0.5</v>
      </c>
      <c r="E42" s="2640"/>
      <c r="F42" s="2640">
        <f>2*PI()*(D14/2-0.2)</f>
        <v>14.451326206513047</v>
      </c>
      <c r="G42" s="2640">
        <v>0.2</v>
      </c>
      <c r="H42" s="2640">
        <v>0.2</v>
      </c>
      <c r="I42" s="2638">
        <f>D42*F42*G42*H42</f>
        <v>0.28902652413026092</v>
      </c>
      <c r="J42" s="2640"/>
      <c r="K42" s="2640"/>
      <c r="L42" s="2640"/>
      <c r="M42" s="2645"/>
      <c r="N42" s="2611"/>
      <c r="O42" s="2612"/>
      <c r="P42" s="2612"/>
    </row>
    <row r="43" spans="2:16" ht="15.75" customHeight="1">
      <c r="B43" s="2631"/>
      <c r="C43" s="2642" t="s">
        <v>3338</v>
      </c>
      <c r="D43" s="2636">
        <v>1</v>
      </c>
      <c r="E43" s="2640"/>
      <c r="F43" s="2640">
        <f>2*PI()*(D14/2+M13)</f>
        <v>16.964600329384883</v>
      </c>
      <c r="G43" s="2640">
        <v>0.3</v>
      </c>
      <c r="H43" s="2640">
        <v>0.2</v>
      </c>
      <c r="I43" s="2638">
        <f>D43*F43*G43*H43</f>
        <v>1.0178760197630929</v>
      </c>
      <c r="J43" s="2640"/>
      <c r="K43" s="2640"/>
      <c r="L43" s="2640"/>
      <c r="M43" s="2645"/>
      <c r="N43" s="2611"/>
      <c r="O43" s="2612"/>
      <c r="P43" s="2612"/>
    </row>
    <row r="44" spans="2:16" ht="15.75" customHeight="1">
      <c r="B44" s="2631"/>
      <c r="C44" s="2642" t="s">
        <v>3339</v>
      </c>
      <c r="D44" s="2636">
        <v>1</v>
      </c>
      <c r="E44" s="2640">
        <f>E41</f>
        <v>2.7</v>
      </c>
      <c r="F44" s="2640"/>
      <c r="G44" s="2640"/>
      <c r="H44" s="2640"/>
      <c r="I44" s="2638">
        <f>D44*E44*PI()*SQRT(E44^2+M14^2)*M13</f>
        <v>4.8613571155178201</v>
      </c>
      <c r="J44" s="2640"/>
      <c r="K44" s="2640"/>
      <c r="L44" s="2640"/>
      <c r="M44" s="2645"/>
      <c r="N44" s="2611"/>
      <c r="O44" s="2612"/>
      <c r="P44" s="2612"/>
    </row>
    <row r="45" spans="2:16" ht="15.75" customHeight="1">
      <c r="B45" s="2631"/>
      <c r="C45" s="2642" t="s">
        <v>3340</v>
      </c>
      <c r="D45" s="2636">
        <v>1</v>
      </c>
      <c r="E45" s="2640">
        <v>0.3</v>
      </c>
      <c r="F45" s="2640"/>
      <c r="G45" s="2640"/>
      <c r="H45" s="2640"/>
      <c r="I45" s="2643">
        <f>-PI()*D45*E45^2*M13</f>
        <v>-5.6548667764616284E-2</v>
      </c>
      <c r="J45" s="2640"/>
      <c r="K45" s="2640"/>
      <c r="L45" s="2640"/>
      <c r="M45" s="2645"/>
      <c r="N45" s="2611"/>
      <c r="O45" s="2612"/>
      <c r="P45" s="2612"/>
    </row>
    <row r="46" spans="2:16" ht="15.75" customHeight="1">
      <c r="B46" s="2631"/>
      <c r="C46" s="2632"/>
      <c r="D46" s="2636"/>
      <c r="E46" s="2640"/>
      <c r="F46" s="2640"/>
      <c r="G46" s="2640"/>
      <c r="H46" s="2640"/>
      <c r="I46" s="2638">
        <f>SUM(I40:I45)</f>
        <v>22.793567982208362</v>
      </c>
      <c r="J46" s="2640" t="s">
        <v>1426</v>
      </c>
      <c r="K46" s="2644">
        <f>Rates!F37</f>
        <v>17750.78</v>
      </c>
      <c r="L46" s="2640">
        <f>I46*K46</f>
        <v>404603.61066722451</v>
      </c>
      <c r="M46" s="2645" t="s">
        <v>3341</v>
      </c>
      <c r="N46" s="2611"/>
      <c r="O46" s="2612"/>
      <c r="P46" s="2612"/>
    </row>
    <row r="47" spans="2:16" ht="15.75" customHeight="1">
      <c r="B47" s="2631">
        <f>B39+1</f>
        <v>4</v>
      </c>
      <c r="C47" s="2632" t="s">
        <v>3342</v>
      </c>
      <c r="D47" s="2636"/>
      <c r="E47" s="2640"/>
      <c r="F47" s="2640"/>
      <c r="G47" s="2640"/>
      <c r="H47" s="2640"/>
      <c r="I47" s="2638"/>
      <c r="J47" s="2636"/>
      <c r="K47" s="2636"/>
      <c r="L47" s="2638"/>
      <c r="M47" s="2641"/>
      <c r="N47" s="2611"/>
      <c r="O47" s="2612"/>
      <c r="P47" s="2612"/>
    </row>
    <row r="48" spans="2:16" ht="15.75" customHeight="1">
      <c r="B48" s="2631"/>
      <c r="C48" s="2642" t="s">
        <v>3343</v>
      </c>
      <c r="D48" s="2636">
        <v>1</v>
      </c>
      <c r="E48" s="2640"/>
      <c r="F48" s="2640">
        <f>2.85-2*0.35</f>
        <v>2.1500000000000004</v>
      </c>
      <c r="G48" s="2640">
        <f>2.1-0.35</f>
        <v>1.75</v>
      </c>
      <c r="H48" s="2640"/>
      <c r="I48" s="2638">
        <f>D48*F48*G48</f>
        <v>3.7625000000000006</v>
      </c>
      <c r="J48" s="2636"/>
      <c r="K48" s="2636"/>
      <c r="L48" s="2638"/>
      <c r="M48" s="2641"/>
      <c r="N48" s="2611"/>
      <c r="O48" s="2612"/>
      <c r="P48" s="2612"/>
    </row>
    <row r="49" spans="2:16" ht="15.75" customHeight="1">
      <c r="B49" s="2631"/>
      <c r="C49" s="2642" t="s">
        <v>3344</v>
      </c>
      <c r="D49" s="2636">
        <v>1</v>
      </c>
      <c r="E49" s="2640"/>
      <c r="F49" s="2640">
        <f>2.85+2*2.1</f>
        <v>7.0500000000000007</v>
      </c>
      <c r="G49" s="2640"/>
      <c r="H49" s="2640">
        <v>0.08</v>
      </c>
      <c r="I49" s="2638">
        <f>D49*F49*H49</f>
        <v>0.56400000000000006</v>
      </c>
      <c r="J49" s="2636"/>
      <c r="K49" s="2636"/>
      <c r="L49" s="2638"/>
      <c r="M49" s="2641"/>
      <c r="N49" s="2611"/>
      <c r="O49" s="2612"/>
      <c r="P49" s="2612"/>
    </row>
    <row r="50" spans="2:16" ht="15.75" customHeight="1">
      <c r="B50" s="2631"/>
      <c r="C50" s="2642" t="s">
        <v>3345</v>
      </c>
      <c r="D50" s="2636">
        <v>1</v>
      </c>
      <c r="E50" s="2640">
        <f>E40</f>
        <v>3</v>
      </c>
      <c r="F50" s="2640">
        <f>2*PI()*E50</f>
        <v>18.849555921538759</v>
      </c>
      <c r="G50" s="2640"/>
      <c r="H50" s="2640">
        <v>0.23</v>
      </c>
      <c r="I50" s="2638">
        <f>D50*F50*H50</f>
        <v>4.3353978619539149</v>
      </c>
      <c r="J50" s="2636"/>
      <c r="K50" s="2636"/>
      <c r="L50" s="2638"/>
      <c r="M50" s="2641"/>
      <c r="N50" s="2611"/>
      <c r="O50" s="2612"/>
      <c r="P50" s="2612"/>
    </row>
    <row r="51" spans="2:16" ht="15.75" customHeight="1">
      <c r="B51" s="2631"/>
      <c r="C51" s="2642" t="s">
        <v>3346</v>
      </c>
      <c r="D51" s="2636">
        <v>2</v>
      </c>
      <c r="E51" s="2640">
        <f>E50</f>
        <v>3</v>
      </c>
      <c r="F51" s="2640">
        <f>2*PI()*E51</f>
        <v>18.849555921538759</v>
      </c>
      <c r="G51" s="2640"/>
      <c r="H51" s="2640">
        <f>D13</f>
        <v>3</v>
      </c>
      <c r="I51" s="2638">
        <f>D51*F51*H51</f>
        <v>113.09733552923255</v>
      </c>
      <c r="J51" s="2636"/>
      <c r="K51" s="2636"/>
      <c r="L51" s="2638"/>
      <c r="M51" s="2641"/>
      <c r="N51" s="2611"/>
      <c r="O51" s="2612"/>
      <c r="P51" s="2612"/>
    </row>
    <row r="52" spans="2:16" ht="15.75" customHeight="1">
      <c r="B52" s="2631"/>
      <c r="C52" s="2642" t="s">
        <v>3347</v>
      </c>
      <c r="D52" s="2636">
        <v>1</v>
      </c>
      <c r="E52" s="2640">
        <f>D14/2</f>
        <v>2.5</v>
      </c>
      <c r="F52" s="2640"/>
      <c r="G52" s="2640"/>
      <c r="H52" s="2640"/>
      <c r="I52" s="2638">
        <f>D52*E52*PI()*SQRT(E52^2+M14^2)</f>
        <v>21.032839638713259</v>
      </c>
      <c r="J52" s="2636"/>
      <c r="K52" s="2636"/>
      <c r="L52" s="2638"/>
      <c r="M52" s="2641"/>
      <c r="N52" s="2611"/>
      <c r="O52" s="2612"/>
      <c r="P52" s="2612"/>
    </row>
    <row r="53" spans="2:16" ht="15.75" customHeight="1">
      <c r="B53" s="2631"/>
      <c r="C53" s="2642" t="s">
        <v>3348</v>
      </c>
      <c r="D53" s="2636">
        <v>1</v>
      </c>
      <c r="E53" s="2640">
        <v>0.3</v>
      </c>
      <c r="F53" s="2640"/>
      <c r="G53" s="2640"/>
      <c r="H53" s="2640"/>
      <c r="I53" s="2643">
        <f>-D53*E53^2*PI()</f>
        <v>-0.28274333882308139</v>
      </c>
      <c r="J53" s="2636"/>
      <c r="K53" s="2636"/>
      <c r="L53" s="2638"/>
      <c r="M53" s="2641"/>
      <c r="N53" s="2611"/>
      <c r="O53" s="2612"/>
      <c r="P53" s="2612"/>
    </row>
    <row r="54" spans="2:16" ht="15.75" customHeight="1">
      <c r="B54" s="2631"/>
      <c r="C54" s="2632"/>
      <c r="D54" s="2636"/>
      <c r="E54" s="2640"/>
      <c r="F54" s="2640"/>
      <c r="G54" s="2640"/>
      <c r="H54" s="2640"/>
      <c r="I54" s="2638">
        <f>SUM(I48:I53)</f>
        <v>142.50932969107666</v>
      </c>
      <c r="J54" s="2640" t="s">
        <v>1566</v>
      </c>
      <c r="K54" s="2644">
        <f>Rates!F40</f>
        <v>1322.68</v>
      </c>
      <c r="L54" s="2640">
        <f>I54*K54</f>
        <v>188494.24019579327</v>
      </c>
      <c r="M54" s="2645" t="s">
        <v>3349</v>
      </c>
      <c r="N54" s="2611"/>
      <c r="O54" s="2612"/>
      <c r="P54" s="2612"/>
    </row>
    <row r="55" spans="2:16" ht="15.75" customHeight="1">
      <c r="B55" s="2631"/>
      <c r="C55" s="2632"/>
      <c r="D55" s="2636"/>
      <c r="E55" s="2640"/>
      <c r="F55" s="2640"/>
      <c r="G55" s="2640"/>
      <c r="H55" s="2640"/>
      <c r="I55" s="2638"/>
      <c r="J55" s="2640"/>
      <c r="K55" s="2644"/>
      <c r="L55" s="2640"/>
      <c r="M55" s="2645"/>
      <c r="N55" s="2611"/>
      <c r="O55" s="2612"/>
      <c r="P55" s="2612"/>
    </row>
    <row r="56" spans="2:16" ht="15.75" customHeight="1">
      <c r="B56" s="2631">
        <f>B47+1</f>
        <v>5</v>
      </c>
      <c r="C56" s="2632" t="s">
        <v>3401</v>
      </c>
      <c r="D56" s="2636"/>
      <c r="E56" s="2640"/>
      <c r="F56" s="2640"/>
      <c r="G56" s="2640"/>
      <c r="H56" s="2640"/>
      <c r="I56" s="2647">
        <v>1</v>
      </c>
      <c r="J56" s="2640" t="s">
        <v>1154</v>
      </c>
      <c r="K56" s="2644">
        <v>25000</v>
      </c>
      <c r="L56" s="2640">
        <f>I56*K56</f>
        <v>25000</v>
      </c>
      <c r="M56" s="2648" t="s">
        <v>2595</v>
      </c>
      <c r="N56" s="2611"/>
      <c r="O56" s="2612"/>
      <c r="P56" s="2612"/>
    </row>
    <row r="57" spans="2:16" ht="15.75" customHeight="1">
      <c r="B57" s="2608"/>
      <c r="C57" s="2606"/>
      <c r="D57" s="2607"/>
      <c r="E57" s="2649"/>
      <c r="F57" s="2649"/>
      <c r="G57" s="2649"/>
      <c r="H57" s="2649"/>
      <c r="I57" s="2643"/>
      <c r="J57" s="2649"/>
      <c r="K57" s="2607"/>
      <c r="L57" s="2649"/>
      <c r="M57" s="2650"/>
      <c r="N57" s="2611"/>
      <c r="O57" s="2612"/>
      <c r="P57" s="2612"/>
    </row>
    <row r="58" spans="2:16" ht="15.75" customHeight="1">
      <c r="B58" s="2651">
        <f>B56+1</f>
        <v>6</v>
      </c>
      <c r="C58" s="2602" t="s">
        <v>3350</v>
      </c>
      <c r="D58" s="2652"/>
      <c r="E58" s="2653"/>
      <c r="F58" s="2653"/>
      <c r="G58" s="2653"/>
      <c r="H58" s="2654" t="s">
        <v>1067</v>
      </c>
      <c r="I58" s="2655"/>
      <c r="J58" s="2652"/>
      <c r="K58" s="2652"/>
      <c r="L58" s="2655"/>
      <c r="M58" s="2656"/>
      <c r="N58" s="2611"/>
      <c r="O58" s="2612"/>
      <c r="P58" s="2612"/>
    </row>
    <row r="59" spans="2:16" ht="15.75" customHeight="1">
      <c r="B59" s="2657" t="s">
        <v>3351</v>
      </c>
      <c r="C59" s="2658" t="s">
        <v>3352</v>
      </c>
      <c r="D59" s="2647">
        <f>4*D14/J59</f>
        <v>117.64705882352941</v>
      </c>
      <c r="E59" s="2640"/>
      <c r="F59" s="2640">
        <f>(((D14/2)^2-J59^2)^0.5+D14)/2</f>
        <v>3.7471066514135831</v>
      </c>
      <c r="G59" s="2640"/>
      <c r="H59" s="2638">
        <v>0.89</v>
      </c>
      <c r="I59" s="2638">
        <f t="shared" ref="I59:I70" si="1">D59*F59*H59</f>
        <v>392.34410820683399</v>
      </c>
      <c r="J59" s="2659">
        <v>0.17</v>
      </c>
      <c r="K59" s="2640"/>
      <c r="L59" s="2640"/>
      <c r="M59" s="2641"/>
      <c r="N59" s="2611"/>
      <c r="O59" s="2612"/>
      <c r="P59" s="2612"/>
    </row>
    <row r="60" spans="2:16" ht="15.75" customHeight="1">
      <c r="B60" s="2657" t="s">
        <v>3353</v>
      </c>
      <c r="C60" s="2658" t="s">
        <v>3354</v>
      </c>
      <c r="D60" s="2647">
        <f>2*(INT(PI()*(D14+M13))/J60)</f>
        <v>200</v>
      </c>
      <c r="E60" s="2640"/>
      <c r="F60" s="2640">
        <f>1+0.5</f>
        <v>1.5</v>
      </c>
      <c r="G60" s="2640"/>
      <c r="H60" s="2638">
        <v>0.89</v>
      </c>
      <c r="I60" s="2638">
        <f t="shared" si="1"/>
        <v>267</v>
      </c>
      <c r="J60" s="2659">
        <v>0.16</v>
      </c>
      <c r="K60" s="2636"/>
      <c r="L60" s="2638"/>
      <c r="M60" s="2641"/>
      <c r="N60" s="2611"/>
      <c r="O60" s="2612"/>
      <c r="P60" s="2612"/>
    </row>
    <row r="61" spans="2:16" ht="15.75" customHeight="1">
      <c r="B61" s="2657" t="s">
        <v>3355</v>
      </c>
      <c r="C61" s="2658" t="s">
        <v>3356</v>
      </c>
      <c r="D61" s="2647">
        <f>2*(INT(PI()*(D14+M13))/J61)</f>
        <v>200</v>
      </c>
      <c r="E61" s="2640"/>
      <c r="F61" s="2640">
        <f>D13+0.5</f>
        <v>3.5</v>
      </c>
      <c r="G61" s="2640"/>
      <c r="H61" s="2638">
        <v>0.89</v>
      </c>
      <c r="I61" s="2638">
        <f t="shared" si="1"/>
        <v>623</v>
      </c>
      <c r="J61" s="2659">
        <v>0.16</v>
      </c>
      <c r="K61" s="2636"/>
      <c r="L61" s="2638"/>
      <c r="M61" s="2641"/>
      <c r="N61" s="2611"/>
      <c r="O61" s="2612"/>
      <c r="P61" s="2612"/>
    </row>
    <row r="62" spans="2:16" ht="15.75" customHeight="1">
      <c r="B62" s="2657" t="s">
        <v>3357</v>
      </c>
      <c r="C62" s="2658" t="s">
        <v>3358</v>
      </c>
      <c r="D62" s="2647">
        <f>INT(1/J62)</f>
        <v>6</v>
      </c>
      <c r="E62" s="2640"/>
      <c r="F62" s="2640">
        <f>PI()*(D14+2*M13)</f>
        <v>16.964600329384883</v>
      </c>
      <c r="G62" s="2640"/>
      <c r="H62" s="2638">
        <v>0.89</v>
      </c>
      <c r="I62" s="2638">
        <f t="shared" si="1"/>
        <v>90.590965758915289</v>
      </c>
      <c r="J62" s="2659">
        <v>0.15</v>
      </c>
      <c r="K62" s="2636"/>
      <c r="L62" s="2638"/>
      <c r="M62" s="2641"/>
      <c r="N62" s="2611"/>
      <c r="O62" s="2612"/>
      <c r="P62" s="2612"/>
    </row>
    <row r="63" spans="2:16" ht="15.75" customHeight="1">
      <c r="B63" s="2657" t="s">
        <v>3359</v>
      </c>
      <c r="C63" s="2658" t="s">
        <v>3360</v>
      </c>
      <c r="D63" s="2647">
        <f>INT(PI()*D14/J62)</f>
        <v>104</v>
      </c>
      <c r="E63" s="2640"/>
      <c r="F63" s="2640">
        <v>0.9</v>
      </c>
      <c r="G63" s="2640"/>
      <c r="H63" s="2638">
        <v>0.89</v>
      </c>
      <c r="I63" s="2638">
        <f t="shared" si="1"/>
        <v>83.304000000000002</v>
      </c>
      <c r="J63" s="2659">
        <v>0.16</v>
      </c>
      <c r="K63" s="2636"/>
      <c r="L63" s="2638"/>
      <c r="M63" s="2641"/>
      <c r="N63" s="2611"/>
      <c r="O63" s="2612"/>
      <c r="P63" s="2612"/>
    </row>
    <row r="64" spans="2:16" ht="15.75" customHeight="1">
      <c r="B64" s="2657" t="s">
        <v>3361</v>
      </c>
      <c r="C64" s="2658" t="s">
        <v>3362</v>
      </c>
      <c r="D64" s="2647">
        <f>INT((D13-1)/J64)</f>
        <v>11</v>
      </c>
      <c r="E64" s="2640"/>
      <c r="F64" s="2640">
        <f>PI()*(D14+2*M13)</f>
        <v>16.964600329384883</v>
      </c>
      <c r="G64" s="2640"/>
      <c r="H64" s="2638">
        <v>0.89</v>
      </c>
      <c r="I64" s="2638">
        <f t="shared" si="1"/>
        <v>166.08343722467802</v>
      </c>
      <c r="J64" s="2659">
        <v>0.17</v>
      </c>
      <c r="K64" s="2636"/>
      <c r="L64" s="2638"/>
      <c r="M64" s="2641"/>
      <c r="N64" s="2611"/>
      <c r="O64" s="2612"/>
      <c r="P64" s="2612"/>
    </row>
    <row r="65" spans="2:16" ht="15.75" customHeight="1">
      <c r="B65" s="2657" t="s">
        <v>3363</v>
      </c>
      <c r="C65" s="2658" t="s">
        <v>3364</v>
      </c>
      <c r="D65" s="2647">
        <f>F66/J65</f>
        <v>119.38052083641216</v>
      </c>
      <c r="E65" s="2640"/>
      <c r="F65" s="2640">
        <f>0.25*2*2</f>
        <v>1</v>
      </c>
      <c r="G65" s="2640"/>
      <c r="H65" s="2638">
        <v>0.39500000000000002</v>
      </c>
      <c r="I65" s="2638">
        <f t="shared" si="1"/>
        <v>47.155305730382807</v>
      </c>
      <c r="J65" s="2659">
        <v>0.15</v>
      </c>
      <c r="K65" s="2636"/>
      <c r="L65" s="2638"/>
      <c r="M65" s="2641"/>
      <c r="N65" s="2611"/>
      <c r="O65" s="2612"/>
      <c r="P65" s="2612"/>
    </row>
    <row r="66" spans="2:16" ht="15.75" customHeight="1">
      <c r="B66" s="2657" t="s">
        <v>3365</v>
      </c>
      <c r="C66" s="2658" t="s">
        <v>3366</v>
      </c>
      <c r="D66" s="2647">
        <v>8</v>
      </c>
      <c r="E66" s="2640"/>
      <c r="F66" s="2640">
        <f>PI()*(D14+2*M13+0.3)</f>
        <v>17.907078125461823</v>
      </c>
      <c r="G66" s="2640"/>
      <c r="H66" s="2638">
        <v>0.89</v>
      </c>
      <c r="I66" s="2638">
        <f t="shared" si="1"/>
        <v>127.49839625328818</v>
      </c>
      <c r="J66" s="2659">
        <v>0.18</v>
      </c>
      <c r="K66" s="2636"/>
      <c r="L66" s="2638"/>
      <c r="M66" s="2641"/>
      <c r="N66" s="2611"/>
      <c r="O66" s="2612"/>
      <c r="P66" s="2612"/>
    </row>
    <row r="67" spans="2:16" ht="15.75" customHeight="1">
      <c r="B67" s="2657" t="s">
        <v>3367</v>
      </c>
      <c r="C67" s="2658" t="s">
        <v>3368</v>
      </c>
      <c r="D67" s="2647">
        <f>INT(PI()*D14/J67)</f>
        <v>104</v>
      </c>
      <c r="E67" s="2640"/>
      <c r="F67" s="2640">
        <f>SQRT((D14/2)^2+M14^2)</f>
        <v>2.6779843166082955</v>
      </c>
      <c r="G67" s="2640"/>
      <c r="H67" s="2638">
        <v>0.89</v>
      </c>
      <c r="I67" s="2638">
        <f t="shared" si="1"/>
        <v>247.87422834526384</v>
      </c>
      <c r="J67" s="2659">
        <v>0.15</v>
      </c>
      <c r="K67" s="2636"/>
      <c r="L67" s="2638"/>
      <c r="M67" s="2641"/>
      <c r="N67" s="2611"/>
      <c r="O67" s="2612"/>
      <c r="P67" s="2612"/>
    </row>
    <row r="68" spans="2:16" ht="15.75" customHeight="1">
      <c r="B68" s="2657" t="s">
        <v>3369</v>
      </c>
      <c r="C68" s="2658" t="s">
        <v>3370</v>
      </c>
      <c r="D68" s="2647">
        <f>INT(F67/J68)</f>
        <v>16</v>
      </c>
      <c r="E68" s="2640"/>
      <c r="F68" s="2640">
        <f>(PI()*0.6+PI()*(D14+2*M13))/2</f>
        <v>9.4247779607693793</v>
      </c>
      <c r="G68" s="2640"/>
      <c r="H68" s="2638">
        <v>0.89</v>
      </c>
      <c r="I68" s="2638">
        <f t="shared" si="1"/>
        <v>134.20883816135597</v>
      </c>
      <c r="J68" s="2659">
        <v>0.16</v>
      </c>
      <c r="K68" s="2636"/>
      <c r="L68" s="2638"/>
      <c r="M68" s="2641"/>
      <c r="N68" s="2611"/>
      <c r="O68" s="2612"/>
      <c r="P68" s="2612"/>
    </row>
    <row r="69" spans="2:16" ht="15.75" customHeight="1">
      <c r="B69" s="2657" t="s">
        <v>3371</v>
      </c>
      <c r="C69" s="2658" t="s">
        <v>3372</v>
      </c>
      <c r="D69" s="2636">
        <f>(2*INT(PI()*D14*J69/J69))+INT(PI()*D14/2)*2</f>
        <v>44</v>
      </c>
      <c r="E69" s="2640"/>
      <c r="F69" s="2640">
        <v>0.5</v>
      </c>
      <c r="G69" s="2640"/>
      <c r="H69" s="2638">
        <v>0.22</v>
      </c>
      <c r="I69" s="2638">
        <f t="shared" si="1"/>
        <v>4.84</v>
      </c>
      <c r="J69" s="2659">
        <v>0.5</v>
      </c>
      <c r="K69" s="2636"/>
      <c r="L69" s="2638"/>
      <c r="M69" s="2641"/>
      <c r="N69" s="2611"/>
      <c r="O69" s="2612"/>
      <c r="P69" s="2612"/>
    </row>
    <row r="70" spans="2:16" ht="15.75" customHeight="1">
      <c r="B70" s="2657" t="s">
        <v>3373</v>
      </c>
      <c r="C70" s="2658" t="s">
        <v>3374</v>
      </c>
      <c r="D70" s="2647">
        <f>1.7/J70*2</f>
        <v>22.666666666666668</v>
      </c>
      <c r="E70" s="2640"/>
      <c r="F70" s="2640">
        <v>1.5</v>
      </c>
      <c r="G70" s="2640"/>
      <c r="H70" s="2638">
        <v>0.39500000000000002</v>
      </c>
      <c r="I70" s="2638">
        <f t="shared" si="1"/>
        <v>13.43</v>
      </c>
      <c r="J70" s="2659">
        <v>0.15</v>
      </c>
      <c r="K70" s="2636"/>
      <c r="L70" s="2638"/>
      <c r="M70" s="2641"/>
      <c r="N70" s="2611"/>
      <c r="O70" s="2612"/>
      <c r="P70" s="2612"/>
    </row>
    <row r="71" spans="2:16" ht="15.75" customHeight="1">
      <c r="B71" s="2631"/>
      <c r="C71" s="2658"/>
      <c r="D71" s="2636"/>
      <c r="E71" s="2640"/>
      <c r="F71" s="2640"/>
      <c r="G71" s="2640"/>
      <c r="H71" s="2640"/>
      <c r="I71" s="2660">
        <f>SUM(I59:I70)</f>
        <v>2197.3292796807177</v>
      </c>
      <c r="J71" s="2661" t="s">
        <v>192</v>
      </c>
      <c r="K71" s="2644">
        <f>Rates!F39</f>
        <v>125.35</v>
      </c>
      <c r="L71" s="2640">
        <f>I71*K71</f>
        <v>275435.22520797793</v>
      </c>
      <c r="M71" s="2641">
        <v>7.5</v>
      </c>
      <c r="N71" s="2611"/>
      <c r="O71" s="2612"/>
      <c r="P71" s="2612"/>
    </row>
    <row r="72" spans="2:16" ht="24">
      <c r="B72" s="2631">
        <f>B58+1</f>
        <v>7</v>
      </c>
      <c r="C72" s="2722" t="s">
        <v>3445</v>
      </c>
      <c r="D72" s="2636"/>
      <c r="E72" s="2640"/>
      <c r="F72" s="2640"/>
      <c r="G72" s="2640"/>
      <c r="H72" s="2640"/>
      <c r="I72" s="2638"/>
      <c r="J72" s="2636"/>
      <c r="K72" s="2636"/>
      <c r="L72" s="2638"/>
      <c r="M72" s="2641"/>
      <c r="N72" s="2611"/>
      <c r="O72" s="2612"/>
      <c r="P72" s="2612"/>
    </row>
    <row r="73" spans="2:16" ht="15.75" customHeight="1">
      <c r="B73" s="2631"/>
      <c r="C73" s="2642" t="s">
        <v>3375</v>
      </c>
      <c r="D73" s="2636">
        <v>1</v>
      </c>
      <c r="E73" s="2640">
        <f>D14/2</f>
        <v>2.5</v>
      </c>
      <c r="F73" s="2640"/>
      <c r="G73" s="2640"/>
      <c r="H73" s="2640">
        <f>D13</f>
        <v>3</v>
      </c>
      <c r="I73" s="2638">
        <f>2*PI()*D73*E73*H73</f>
        <v>47.123889803846893</v>
      </c>
      <c r="J73" s="2636"/>
      <c r="K73" s="2636"/>
      <c r="L73" s="2638"/>
      <c r="M73" s="2641"/>
      <c r="N73" s="2611"/>
      <c r="O73" s="2612"/>
      <c r="P73" s="2612"/>
    </row>
    <row r="74" spans="2:16" ht="15.75" customHeight="1">
      <c r="B74" s="2631"/>
      <c r="C74" s="2642" t="s">
        <v>3376</v>
      </c>
      <c r="D74" s="2636">
        <v>1</v>
      </c>
      <c r="E74" s="2640">
        <f>D14/2</f>
        <v>2.5</v>
      </c>
      <c r="F74" s="2640"/>
      <c r="G74" s="2640"/>
      <c r="H74" s="2638"/>
      <c r="I74" s="2643">
        <f>PI()*D74*E74*E74</f>
        <v>19.634954084936208</v>
      </c>
      <c r="J74" s="2636"/>
      <c r="K74" s="2636"/>
      <c r="L74" s="2638"/>
      <c r="M74" s="2641"/>
      <c r="N74" s="2611"/>
      <c r="O74" s="2612"/>
      <c r="P74" s="2612"/>
    </row>
    <row r="75" spans="2:16" ht="15.75" customHeight="1">
      <c r="B75" s="2631"/>
      <c r="C75" s="2632"/>
      <c r="D75" s="2636"/>
      <c r="E75" s="2640"/>
      <c r="F75" s="2640"/>
      <c r="G75" s="2640"/>
      <c r="H75" s="2640"/>
      <c r="I75" s="2638">
        <f>SUM(I73:I74)</f>
        <v>66.758843888783105</v>
      </c>
      <c r="J75" s="2640" t="s">
        <v>1566</v>
      </c>
      <c r="K75" s="2644">
        <f>Rates!F65</f>
        <v>497.69</v>
      </c>
      <c r="L75" s="2640">
        <f>I75*K75</f>
        <v>33225.209015008462</v>
      </c>
      <c r="M75" s="2645" t="s">
        <v>3377</v>
      </c>
      <c r="N75" s="2611"/>
      <c r="O75" s="2612"/>
      <c r="P75" s="2612"/>
    </row>
    <row r="76" spans="2:16" ht="15.75" customHeight="1">
      <c r="B76" s="2631">
        <f>B72+1</f>
        <v>8</v>
      </c>
      <c r="C76" s="2632" t="s">
        <v>3378</v>
      </c>
      <c r="D76" s="2636"/>
      <c r="E76" s="2640"/>
      <c r="F76" s="2640"/>
      <c r="G76" s="2640"/>
      <c r="H76" s="2640"/>
      <c r="I76" s="2638"/>
      <c r="J76" s="2636"/>
      <c r="K76" s="2636"/>
      <c r="L76" s="2638"/>
      <c r="M76" s="2641"/>
      <c r="N76" s="2611"/>
      <c r="O76" s="2612"/>
      <c r="P76" s="2612"/>
    </row>
    <row r="77" spans="2:16" ht="15.75" customHeight="1">
      <c r="B77" s="2631"/>
      <c r="C77" s="2642" t="s">
        <v>3379</v>
      </c>
      <c r="D77" s="2636">
        <v>1</v>
      </c>
      <c r="E77" s="2640">
        <f>D14/2+2*M13</f>
        <v>2.9</v>
      </c>
      <c r="F77" s="2640"/>
      <c r="G77" s="2640"/>
      <c r="H77" s="2640">
        <f>D13</f>
        <v>3</v>
      </c>
      <c r="I77" s="2638">
        <f>2*PI()*D77*E77*H77</f>
        <v>54.663712172462397</v>
      </c>
      <c r="J77" s="2636"/>
      <c r="K77" s="2636"/>
      <c r="L77" s="2638"/>
      <c r="M77" s="2641"/>
      <c r="N77" s="2611"/>
      <c r="O77" s="2612"/>
      <c r="P77" s="2612"/>
    </row>
    <row r="78" spans="2:16" ht="15.75" customHeight="1">
      <c r="B78" s="2631"/>
      <c r="C78" s="2642" t="s">
        <v>3380</v>
      </c>
      <c r="D78" s="2636">
        <v>2</v>
      </c>
      <c r="E78" s="2640">
        <f>D14/2+M13</f>
        <v>2.7</v>
      </c>
      <c r="F78" s="2640"/>
      <c r="G78" s="2640"/>
      <c r="H78" s="2640"/>
      <c r="I78" s="2638">
        <f>D78*E78*PI()*SQRT(E78^2+M14^2)</f>
        <v>48.613571155178199</v>
      </c>
      <c r="J78" s="2636"/>
      <c r="K78" s="2636"/>
      <c r="L78" s="2638"/>
      <c r="M78" s="2641"/>
      <c r="N78" s="2611"/>
      <c r="O78" s="2612"/>
      <c r="P78" s="2612"/>
    </row>
    <row r="79" spans="2:16" ht="15.75" customHeight="1">
      <c r="B79" s="2631"/>
      <c r="C79" s="2642" t="s">
        <v>3334</v>
      </c>
      <c r="D79" s="2636">
        <v>2</v>
      </c>
      <c r="E79" s="2640">
        <v>0.3</v>
      </c>
      <c r="F79" s="2640"/>
      <c r="G79" s="2640"/>
      <c r="H79" s="2640"/>
      <c r="I79" s="2643">
        <f>-D79*E79^2*PI()</f>
        <v>-0.56548667764616278</v>
      </c>
      <c r="J79" s="2636"/>
      <c r="K79" s="2636"/>
      <c r="L79" s="2638"/>
      <c r="M79" s="2641"/>
      <c r="N79" s="2611"/>
      <c r="O79" s="2612"/>
      <c r="P79" s="2612"/>
    </row>
    <row r="80" spans="2:16" ht="15.75" customHeight="1">
      <c r="B80" s="2631"/>
      <c r="C80" s="2632"/>
      <c r="D80" s="2636"/>
      <c r="E80" s="2640"/>
      <c r="F80" s="2640"/>
      <c r="G80" s="2640"/>
      <c r="H80" s="2640"/>
      <c r="I80" s="2638">
        <f>SUM(I77:I79)</f>
        <v>102.71179664999443</v>
      </c>
      <c r="J80" s="2640" t="s">
        <v>1566</v>
      </c>
      <c r="K80" s="2644">
        <f>Rates!F60</f>
        <v>503.61</v>
      </c>
      <c r="L80" s="2640">
        <f>I80*K80</f>
        <v>51726.687910903696</v>
      </c>
      <c r="M80" s="2645" t="s">
        <v>3381</v>
      </c>
      <c r="N80" s="2611"/>
      <c r="O80" s="2612"/>
      <c r="P80" s="2612"/>
    </row>
    <row r="81" spans="2:16" ht="15.75" customHeight="1">
      <c r="B81" s="2631">
        <f>B76+1</f>
        <v>9</v>
      </c>
      <c r="C81" s="2632" t="s">
        <v>3382</v>
      </c>
      <c r="D81" s="2636"/>
      <c r="E81" s="2640"/>
      <c r="F81" s="2640"/>
      <c r="G81" s="2640"/>
      <c r="H81" s="2640"/>
      <c r="I81" s="2638"/>
      <c r="J81" s="2636"/>
      <c r="K81" s="2636"/>
      <c r="L81" s="2638"/>
      <c r="M81" s="2641"/>
      <c r="N81" s="2611"/>
      <c r="O81" s="2612"/>
      <c r="P81" s="2612"/>
    </row>
    <row r="82" spans="2:16" ht="15.75" customHeight="1">
      <c r="B82" s="2631"/>
      <c r="C82" s="2642" t="s">
        <v>3383</v>
      </c>
      <c r="D82" s="2636">
        <v>1</v>
      </c>
      <c r="E82" s="2640">
        <f>D14/2</f>
        <v>2.5</v>
      </c>
      <c r="F82" s="2640"/>
      <c r="G82" s="2640"/>
      <c r="H82" s="2640"/>
      <c r="I82" s="2638">
        <f>PI()*D82*E82^2</f>
        <v>19.634954084936208</v>
      </c>
      <c r="J82" s="2636"/>
      <c r="K82" s="2636"/>
      <c r="L82" s="2638"/>
      <c r="M82" s="2641"/>
      <c r="N82" s="2611"/>
      <c r="O82" s="2612"/>
      <c r="P82" s="2612"/>
    </row>
    <row r="83" spans="2:16" ht="15.75" customHeight="1">
      <c r="B83" s="2631"/>
      <c r="C83" s="2642" t="s">
        <v>3384</v>
      </c>
      <c r="D83" s="2636">
        <v>1</v>
      </c>
      <c r="E83" s="2640">
        <f>D14/2</f>
        <v>2.5</v>
      </c>
      <c r="F83" s="2640"/>
      <c r="G83" s="2640"/>
      <c r="H83" s="2640">
        <f>D13</f>
        <v>3</v>
      </c>
      <c r="I83" s="2643">
        <f>2*PI()*D83*E83*H83</f>
        <v>47.123889803846893</v>
      </c>
      <c r="J83" s="2636"/>
      <c r="K83" s="2636"/>
      <c r="L83" s="2638"/>
      <c r="M83" s="2641"/>
      <c r="N83" s="2611"/>
      <c r="O83" s="2612"/>
      <c r="P83" s="2612"/>
    </row>
    <row r="84" spans="2:16" ht="15.75" customHeight="1">
      <c r="B84" s="2631"/>
      <c r="C84" s="2632"/>
      <c r="D84" s="2636"/>
      <c r="E84" s="2640"/>
      <c r="F84" s="2640"/>
      <c r="G84" s="2640"/>
      <c r="H84" s="2640"/>
      <c r="I84" s="2640">
        <f>SUM(I81:I83)</f>
        <v>66.758843888783105</v>
      </c>
      <c r="J84" s="2636" t="s">
        <v>1566</v>
      </c>
      <c r="K84" s="2644">
        <f>Rates!F67</f>
        <v>346.26</v>
      </c>
      <c r="L84" s="2640">
        <f>I84*K84</f>
        <v>23115.917284930038</v>
      </c>
      <c r="M84" s="2641" t="s">
        <v>3385</v>
      </c>
      <c r="N84" s="2611"/>
      <c r="O84" s="2612"/>
      <c r="P84" s="2612"/>
    </row>
    <row r="85" spans="2:16" ht="15.75" customHeight="1">
      <c r="B85" s="2631">
        <f>B81+1</f>
        <v>10</v>
      </c>
      <c r="C85" s="2632" t="s">
        <v>3386</v>
      </c>
      <c r="D85" s="2636"/>
      <c r="E85" s="2640"/>
      <c r="F85" s="2640"/>
      <c r="G85" s="2640"/>
      <c r="H85" s="2640"/>
      <c r="I85" s="2638"/>
      <c r="J85" s="2636"/>
      <c r="K85" s="2636"/>
      <c r="L85" s="2638"/>
      <c r="M85" s="2641"/>
      <c r="N85" s="2611"/>
      <c r="O85" s="2612"/>
      <c r="P85" s="2612"/>
    </row>
    <row r="86" spans="2:16" ht="15.75" customHeight="1">
      <c r="B86" s="2631"/>
      <c r="C86" s="2642" t="s">
        <v>3387</v>
      </c>
      <c r="D86" s="2636">
        <v>1</v>
      </c>
      <c r="E86" s="2640">
        <f>D14/2+2*M13</f>
        <v>2.9</v>
      </c>
      <c r="F86" s="2640"/>
      <c r="G86" s="2640"/>
      <c r="H86" s="2640">
        <f>D13-H20</f>
        <v>1.5</v>
      </c>
      <c r="I86" s="2638">
        <f>2*D86*PI()*E86*H86</f>
        <v>27.331856086231198</v>
      </c>
      <c r="J86" s="2636"/>
      <c r="K86" s="2636"/>
      <c r="L86" s="2638"/>
      <c r="M86" s="2641"/>
      <c r="N86" s="2611"/>
      <c r="O86" s="2612"/>
      <c r="P86" s="2612"/>
    </row>
    <row r="87" spans="2:16" ht="15.75" customHeight="1">
      <c r="B87" s="2631"/>
      <c r="C87" s="2642" t="s">
        <v>3388</v>
      </c>
      <c r="D87" s="2636">
        <v>1</v>
      </c>
      <c r="E87" s="2640">
        <f>D14/2+2*M13</f>
        <v>2.9</v>
      </c>
      <c r="F87" s="2640"/>
      <c r="G87" s="2640"/>
      <c r="H87" s="2640">
        <f>D14/5</f>
        <v>1</v>
      </c>
      <c r="I87" s="2643">
        <f>D87*E87*PI()*SQRT(E87^2+M14^2)</f>
        <v>27.830815216403881</v>
      </c>
      <c r="J87" s="2636"/>
      <c r="K87" s="2636"/>
      <c r="L87" s="2638"/>
      <c r="M87" s="2641"/>
      <c r="N87" s="2611"/>
      <c r="O87" s="2612"/>
      <c r="P87" s="2612"/>
    </row>
    <row r="88" spans="2:16" ht="15.75" customHeight="1">
      <c r="B88" s="2631"/>
      <c r="C88" s="2632"/>
      <c r="D88" s="2636"/>
      <c r="E88" s="2640"/>
      <c r="F88" s="2640"/>
      <c r="G88" s="2640"/>
      <c r="H88" s="2640"/>
      <c r="I88" s="2638">
        <f>SUM(I85:I87)</f>
        <v>55.162671302635076</v>
      </c>
      <c r="J88" s="2640" t="s">
        <v>1566</v>
      </c>
      <c r="K88" s="2644">
        <f>Rates!F71</f>
        <v>213.84</v>
      </c>
      <c r="L88" s="2640">
        <f>I88*K88</f>
        <v>11795.985631355485</v>
      </c>
      <c r="M88" s="2645" t="s">
        <v>3389</v>
      </c>
      <c r="N88" s="2611"/>
      <c r="O88" s="2612"/>
      <c r="P88" s="2612"/>
    </row>
    <row r="89" spans="2:16" ht="15.75" customHeight="1">
      <c r="B89" s="2631">
        <f>B85+1</f>
        <v>11</v>
      </c>
      <c r="C89" s="2632" t="s">
        <v>3390</v>
      </c>
      <c r="D89" s="2636"/>
      <c r="E89" s="2640"/>
      <c r="F89" s="2640"/>
      <c r="G89" s="2640"/>
      <c r="H89" s="2640"/>
      <c r="I89" s="2638"/>
      <c r="J89" s="2640"/>
      <c r="K89" s="2640"/>
      <c r="L89" s="2638"/>
      <c r="M89" s="2645"/>
      <c r="N89" s="2611"/>
      <c r="O89" s="2612"/>
      <c r="P89" s="2612"/>
    </row>
    <row r="90" spans="2:16" ht="15.75" customHeight="1">
      <c r="B90" s="2631"/>
      <c r="C90" s="2642" t="s">
        <v>3383</v>
      </c>
      <c r="D90" s="2636">
        <v>1</v>
      </c>
      <c r="E90" s="2640">
        <f>D14/2</f>
        <v>2.5</v>
      </c>
      <c r="F90" s="2640"/>
      <c r="G90" s="2640"/>
      <c r="H90" s="2640"/>
      <c r="I90" s="2638">
        <f>PI()*D90*E90^2</f>
        <v>19.634954084936208</v>
      </c>
      <c r="J90" s="2636"/>
      <c r="K90" s="2636"/>
      <c r="L90" s="2638"/>
      <c r="M90" s="2645"/>
      <c r="N90" s="2611"/>
      <c r="O90" s="2612"/>
      <c r="P90" s="2612"/>
    </row>
    <row r="91" spans="2:16" ht="15.75" customHeight="1">
      <c r="B91" s="2631"/>
      <c r="C91" s="2632"/>
      <c r="D91" s="2636"/>
      <c r="E91" s="2640"/>
      <c r="F91" s="2640"/>
      <c r="G91" s="2640"/>
      <c r="H91" s="2640"/>
      <c r="I91" s="2640">
        <f>SUM(I90:I90)</f>
        <v>19.634954084936208</v>
      </c>
      <c r="J91" s="2636" t="s">
        <v>1566</v>
      </c>
      <c r="K91" s="2644">
        <f>Rates!F72</f>
        <v>103.35</v>
      </c>
      <c r="L91" s="2640">
        <f>I91*K91</f>
        <v>2029.272504678157</v>
      </c>
      <c r="M91" s="2645" t="s">
        <v>3391</v>
      </c>
      <c r="N91" s="2611"/>
      <c r="O91" s="2735">
        <f>L91+'reservoir 150 '!L92+'reservoir 200'!L94</f>
        <v>35586.134351038025</v>
      </c>
      <c r="P91" s="2612"/>
    </row>
    <row r="92" spans="2:16" ht="15.75" customHeight="1">
      <c r="B92" s="2631"/>
      <c r="C92" s="2632"/>
      <c r="D92" s="2636"/>
      <c r="E92" s="2640"/>
      <c r="F92" s="2640"/>
      <c r="G92" s="2640"/>
      <c r="H92" s="2640"/>
      <c r="I92" s="2638"/>
      <c r="J92" s="2636"/>
      <c r="K92" s="2636"/>
      <c r="L92" s="2638"/>
      <c r="M92" s="2662"/>
      <c r="N92" s="2611"/>
      <c r="O92" s="2612"/>
      <c r="P92" s="2612"/>
    </row>
    <row r="93" spans="2:16" ht="15.75" customHeight="1">
      <c r="B93" s="2631">
        <f>B89+1</f>
        <v>12</v>
      </c>
      <c r="C93" s="2632" t="s">
        <v>3392</v>
      </c>
      <c r="D93" s="2636">
        <v>2</v>
      </c>
      <c r="E93" s="2640"/>
      <c r="F93" s="2640"/>
      <c r="G93" s="2640"/>
      <c r="H93" s="2640"/>
      <c r="I93" s="2647">
        <v>2</v>
      </c>
      <c r="J93" s="2636" t="s">
        <v>1038</v>
      </c>
      <c r="K93" s="2663">
        <v>15000</v>
      </c>
      <c r="L93" s="2640">
        <f>I93*K93</f>
        <v>30000</v>
      </c>
      <c r="M93" s="2648" t="s">
        <v>2595</v>
      </c>
      <c r="N93" s="2611"/>
      <c r="O93" s="2612"/>
      <c r="P93" s="2612"/>
    </row>
    <row r="94" spans="2:16" ht="15.75" customHeight="1">
      <c r="B94" s="2631"/>
      <c r="C94" s="2632" t="s">
        <v>3393</v>
      </c>
      <c r="D94" s="2636"/>
      <c r="E94" s="2636"/>
      <c r="F94" s="2636"/>
      <c r="G94" s="2636"/>
      <c r="H94" s="2636"/>
      <c r="I94" s="2638"/>
      <c r="J94" s="2636"/>
      <c r="K94" s="2636"/>
      <c r="L94" s="2638"/>
      <c r="M94" s="2641"/>
      <c r="N94" s="2611"/>
      <c r="O94" s="2612"/>
      <c r="P94" s="2612"/>
    </row>
    <row r="95" spans="2:16" ht="15.75" customHeight="1">
      <c r="B95" s="2631" t="e">
        <f>#REF!+1</f>
        <v>#REF!</v>
      </c>
      <c r="C95" s="2632" t="s">
        <v>3402</v>
      </c>
      <c r="D95" s="2636">
        <v>2</v>
      </c>
      <c r="E95" s="2640"/>
      <c r="F95" s="2640"/>
      <c r="G95" s="2640"/>
      <c r="H95" s="2640"/>
      <c r="I95" s="2647">
        <v>2</v>
      </c>
      <c r="J95" s="2636" t="s">
        <v>1038</v>
      </c>
      <c r="K95" s="2640">
        <v>3222</v>
      </c>
      <c r="L95" s="2640">
        <f>I95*K95</f>
        <v>6444</v>
      </c>
      <c r="M95" s="2641" t="s">
        <v>3394</v>
      </c>
      <c r="N95" s="2611"/>
      <c r="O95" s="2612"/>
      <c r="P95" s="2612"/>
    </row>
    <row r="96" spans="2:16" ht="15.75" customHeight="1">
      <c r="B96" s="2631"/>
      <c r="C96" s="2632" t="s">
        <v>3395</v>
      </c>
      <c r="D96" s="2636"/>
      <c r="E96" s="2636"/>
      <c r="F96" s="2636"/>
      <c r="G96" s="2636"/>
      <c r="H96" s="2636"/>
      <c r="I96" s="2638"/>
      <c r="J96" s="2636"/>
      <c r="K96" s="2636"/>
      <c r="L96" s="2638"/>
      <c r="M96" s="2641"/>
      <c r="N96" s="2611"/>
      <c r="O96" s="2612"/>
      <c r="P96" s="2612"/>
    </row>
    <row r="97" spans="2:16" ht="15.75" customHeight="1">
      <c r="B97" s="2631" t="e">
        <f>B95+1</f>
        <v>#REF!</v>
      </c>
      <c r="C97" s="2632" t="s">
        <v>3396</v>
      </c>
      <c r="D97" s="2636">
        <v>1</v>
      </c>
      <c r="E97" s="2640"/>
      <c r="F97" s="2640"/>
      <c r="G97" s="2640"/>
      <c r="H97" s="2640"/>
      <c r="I97" s="2647">
        <v>1</v>
      </c>
      <c r="J97" s="2636" t="s">
        <v>1154</v>
      </c>
      <c r="K97" s="2663">
        <v>15000</v>
      </c>
      <c r="L97" s="2640">
        <f>I97*K97</f>
        <v>15000</v>
      </c>
      <c r="M97" s="2641" t="s">
        <v>2595</v>
      </c>
      <c r="N97" s="2611"/>
      <c r="O97" s="2612"/>
      <c r="P97" s="2612"/>
    </row>
    <row r="98" spans="2:16" ht="15.75" customHeight="1">
      <c r="B98" s="2631"/>
      <c r="C98" s="2632"/>
      <c r="D98" s="2636"/>
      <c r="E98" s="2636"/>
      <c r="F98" s="2636"/>
      <c r="G98" s="2636"/>
      <c r="H98" s="2636"/>
      <c r="I98" s="2638"/>
      <c r="J98" s="2636"/>
      <c r="K98" s="2636"/>
      <c r="L98" s="2638"/>
      <c r="M98" s="2641"/>
      <c r="N98" s="2611"/>
      <c r="O98" s="2612"/>
      <c r="P98" s="2612"/>
    </row>
    <row r="99" spans="2:16" ht="15.75" customHeight="1">
      <c r="B99" s="2631" t="e">
        <f>B97+1</f>
        <v>#REF!</v>
      </c>
      <c r="C99" s="2632" t="s">
        <v>3397</v>
      </c>
      <c r="D99" s="2636">
        <v>1</v>
      </c>
      <c r="E99" s="2640"/>
      <c r="F99" s="2640"/>
      <c r="G99" s="2640"/>
      <c r="H99" s="2640"/>
      <c r="I99" s="2647">
        <f>D99</f>
        <v>1</v>
      </c>
      <c r="J99" s="2636" t="s">
        <v>1154</v>
      </c>
      <c r="K99" s="2640">
        <v>15000</v>
      </c>
      <c r="L99" s="2640">
        <f>I99*K99</f>
        <v>15000</v>
      </c>
      <c r="M99" s="2648" t="s">
        <v>2595</v>
      </c>
      <c r="N99" s="2611"/>
      <c r="O99" s="2612"/>
      <c r="P99" s="2612"/>
    </row>
    <row r="100" spans="2:16" ht="15.75" customHeight="1">
      <c r="B100" s="2608"/>
      <c r="C100" s="2664" t="s">
        <v>3398</v>
      </c>
      <c r="D100" s="2607"/>
      <c r="E100" s="2607"/>
      <c r="F100" s="2607"/>
      <c r="G100" s="2607"/>
      <c r="H100" s="2607"/>
      <c r="I100" s="2643"/>
      <c r="J100" s="2607"/>
      <c r="K100" s="2607"/>
      <c r="L100" s="2643"/>
      <c r="M100" s="2665"/>
      <c r="N100" s="2611"/>
      <c r="O100" s="2612"/>
      <c r="P100" s="2612"/>
    </row>
    <row r="101" spans="2:16" ht="15.75" customHeight="1">
      <c r="B101" s="2666"/>
      <c r="C101" s="2667"/>
      <c r="D101" s="2668"/>
      <c r="E101" s="2668"/>
      <c r="F101" s="2668"/>
      <c r="G101" s="2668"/>
      <c r="H101" s="2668"/>
      <c r="I101" s="2668"/>
      <c r="J101" s="2668"/>
      <c r="K101" s="2668"/>
      <c r="L101" s="2669">
        <f>SUM(L16:L100)</f>
        <v>1314962.4560933956</v>
      </c>
      <c r="M101" s="2670"/>
      <c r="N101" s="2611"/>
      <c r="O101" s="2612"/>
      <c r="P101" s="2612"/>
    </row>
    <row r="103" spans="2:16">
      <c r="L103" s="2612"/>
    </row>
    <row r="104" spans="2:16" ht="57">
      <c r="B104" s="2711" t="s">
        <v>712</v>
      </c>
      <c r="C104" s="2712" t="s">
        <v>3403</v>
      </c>
      <c r="D104" s="2485"/>
      <c r="E104" s="2485"/>
      <c r="F104" s="2485"/>
      <c r="G104" s="2485"/>
      <c r="H104" s="2485"/>
      <c r="I104" s="2713"/>
      <c r="J104" s="2485"/>
      <c r="K104" s="2485"/>
      <c r="L104" s="2723"/>
      <c r="M104" s="2723"/>
    </row>
    <row r="105" spans="2:16" ht="15">
      <c r="B105" s="2711"/>
      <c r="C105" s="2714" t="s">
        <v>3404</v>
      </c>
      <c r="D105" s="2715"/>
      <c r="E105" s="2715"/>
      <c r="F105" s="2715"/>
      <c r="G105" s="2715"/>
      <c r="H105" s="2715"/>
      <c r="I105" s="2716"/>
      <c r="J105" s="2715"/>
      <c r="K105" s="2485"/>
      <c r="L105" s="2723"/>
      <c r="M105" s="2723"/>
    </row>
    <row r="106" spans="2:16" ht="15">
      <c r="B106" s="2711"/>
      <c r="C106" s="2717" t="s">
        <v>3405</v>
      </c>
      <c r="D106" s="2715"/>
      <c r="E106" s="2715"/>
      <c r="F106" s="2715"/>
      <c r="G106" s="2715"/>
      <c r="H106" s="2715"/>
      <c r="I106" s="2715">
        <v>2</v>
      </c>
      <c r="J106" s="2715" t="s">
        <v>3406</v>
      </c>
      <c r="K106" s="2485">
        <f>+(1032*2*1.5+800)</f>
        <v>3896</v>
      </c>
      <c r="L106" s="2723">
        <f>I106*K106</f>
        <v>7792</v>
      </c>
      <c r="M106" s="2723"/>
    </row>
    <row r="107" spans="2:16" ht="15">
      <c r="B107" s="2711"/>
      <c r="C107" s="2717" t="s">
        <v>3407</v>
      </c>
      <c r="D107" s="2715"/>
      <c r="E107" s="2715"/>
      <c r="F107" s="2715"/>
      <c r="G107" s="2715"/>
      <c r="H107" s="2715"/>
      <c r="I107" s="2715">
        <v>2</v>
      </c>
      <c r="J107" s="2715" t="s">
        <v>3406</v>
      </c>
      <c r="K107" s="2485">
        <v>1022</v>
      </c>
      <c r="L107" s="2723">
        <f t="shared" ref="L107:L145" si="2">I107*K107</f>
        <v>2044</v>
      </c>
      <c r="M107" s="2723"/>
      <c r="N107" s="2596" t="s">
        <v>2826</v>
      </c>
    </row>
    <row r="108" spans="2:16" ht="15">
      <c r="B108" s="2711"/>
      <c r="C108" s="2717" t="s">
        <v>3408</v>
      </c>
      <c r="D108" s="2715"/>
      <c r="E108" s="2715"/>
      <c r="F108" s="2715"/>
      <c r="G108" s="2715"/>
      <c r="H108" s="2715"/>
      <c r="I108" s="2715">
        <v>1</v>
      </c>
      <c r="J108" s="2715" t="s">
        <v>3406</v>
      </c>
      <c r="K108" s="2485">
        <v>554</v>
      </c>
      <c r="L108" s="2723">
        <f t="shared" si="2"/>
        <v>554</v>
      </c>
      <c r="M108" s="2723"/>
    </row>
    <row r="109" spans="2:16" ht="15">
      <c r="B109" s="2711"/>
      <c r="C109" s="2717" t="s">
        <v>3409</v>
      </c>
      <c r="D109" s="2715"/>
      <c r="E109" s="2715"/>
      <c r="F109" s="2715"/>
      <c r="G109" s="2715"/>
      <c r="H109" s="2715"/>
      <c r="I109" s="2715">
        <v>2</v>
      </c>
      <c r="J109" s="2715" t="s">
        <v>3406</v>
      </c>
      <c r="K109" s="2485">
        <v>805</v>
      </c>
      <c r="L109" s="2723">
        <f t="shared" si="2"/>
        <v>1610</v>
      </c>
      <c r="M109" s="2723"/>
    </row>
    <row r="110" spans="2:16" ht="15">
      <c r="B110" s="2711"/>
      <c r="C110" s="2717" t="s">
        <v>3410</v>
      </c>
      <c r="D110" s="2715"/>
      <c r="E110" s="2715"/>
      <c r="F110" s="2715"/>
      <c r="G110" s="2715"/>
      <c r="H110" s="2715"/>
      <c r="I110" s="2715">
        <v>2</v>
      </c>
      <c r="J110" s="2715" t="s">
        <v>3406</v>
      </c>
      <c r="K110" s="2485">
        <f>+(1032*0.5*1.5+1000)</f>
        <v>1774</v>
      </c>
      <c r="L110" s="2723">
        <f t="shared" si="2"/>
        <v>3548</v>
      </c>
      <c r="M110" s="2723"/>
    </row>
    <row r="111" spans="2:16" ht="15">
      <c r="B111" s="2711"/>
      <c r="C111" s="2717" t="s">
        <v>3411</v>
      </c>
      <c r="D111" s="2715"/>
      <c r="E111" s="2715"/>
      <c r="F111" s="2715"/>
      <c r="G111" s="2715"/>
      <c r="H111" s="2715"/>
      <c r="I111" s="2715">
        <v>2</v>
      </c>
      <c r="J111" s="2715" t="s">
        <v>3406</v>
      </c>
      <c r="K111" s="2485">
        <v>11406</v>
      </c>
      <c r="L111" s="2723">
        <f t="shared" si="2"/>
        <v>22812</v>
      </c>
      <c r="M111" s="2723"/>
    </row>
    <row r="112" spans="2:16" ht="15">
      <c r="B112" s="2711"/>
      <c r="C112" s="2717" t="s">
        <v>3412</v>
      </c>
      <c r="D112" s="2715"/>
      <c r="E112" s="2715"/>
      <c r="F112" s="2715"/>
      <c r="G112" s="2715"/>
      <c r="H112" s="2715"/>
      <c r="I112" s="2715">
        <v>2</v>
      </c>
      <c r="J112" s="2715" t="s">
        <v>1038</v>
      </c>
      <c r="K112" s="2485">
        <v>1699</v>
      </c>
      <c r="L112" s="2723">
        <f t="shared" si="2"/>
        <v>3398</v>
      </c>
      <c r="M112" s="2723"/>
    </row>
    <row r="113" spans="2:13" ht="15">
      <c r="B113" s="2711"/>
      <c r="C113" s="2717" t="s">
        <v>3413</v>
      </c>
      <c r="D113" s="2715"/>
      <c r="E113" s="2715"/>
      <c r="F113" s="2715"/>
      <c r="G113" s="2715"/>
      <c r="H113" s="2715"/>
      <c r="I113" s="2715">
        <v>2</v>
      </c>
      <c r="J113" s="2715" t="s">
        <v>1038</v>
      </c>
      <c r="K113" s="2485">
        <v>1824</v>
      </c>
      <c r="L113" s="2723">
        <f t="shared" si="2"/>
        <v>3648</v>
      </c>
      <c r="M113" s="2723"/>
    </row>
    <row r="114" spans="2:13" ht="15">
      <c r="B114" s="2711"/>
      <c r="C114" s="2717" t="s">
        <v>3414</v>
      </c>
      <c r="D114" s="2715"/>
      <c r="E114" s="2715"/>
      <c r="F114" s="2715"/>
      <c r="G114" s="2715"/>
      <c r="H114" s="2715"/>
      <c r="I114" s="2715">
        <v>2</v>
      </c>
      <c r="J114" s="2715" t="s">
        <v>3406</v>
      </c>
      <c r="K114" s="2485">
        <v>214</v>
      </c>
      <c r="L114" s="2723">
        <f t="shared" si="2"/>
        <v>428</v>
      </c>
      <c r="M114" s="2723"/>
    </row>
    <row r="115" spans="2:13" ht="15">
      <c r="B115" s="2711"/>
      <c r="C115" s="2717" t="s">
        <v>3415</v>
      </c>
      <c r="D115" s="2715"/>
      <c r="E115" s="2715"/>
      <c r="F115" s="2715"/>
      <c r="G115" s="2715"/>
      <c r="H115" s="2715"/>
      <c r="I115" s="2715">
        <v>1</v>
      </c>
      <c r="J115" s="2715" t="s">
        <v>3406</v>
      </c>
      <c r="K115" s="2485">
        <v>1160</v>
      </c>
      <c r="L115" s="2723">
        <f t="shared" si="2"/>
        <v>1160</v>
      </c>
      <c r="M115" s="2723"/>
    </row>
    <row r="116" spans="2:13" ht="15">
      <c r="B116" s="2711"/>
      <c r="C116" s="2717" t="s">
        <v>3416</v>
      </c>
      <c r="D116" s="2715"/>
      <c r="E116" s="2715"/>
      <c r="F116" s="2715"/>
      <c r="G116" s="2715"/>
      <c r="H116" s="2715"/>
      <c r="I116" s="2715">
        <v>2</v>
      </c>
      <c r="J116" s="2715" t="s">
        <v>3406</v>
      </c>
      <c r="K116" s="2485">
        <f>+(257*2*1.5+500)</f>
        <v>1271</v>
      </c>
      <c r="L116" s="2723">
        <f t="shared" si="2"/>
        <v>2542</v>
      </c>
      <c r="M116" s="2723"/>
    </row>
    <row r="117" spans="2:13" ht="15">
      <c r="B117" s="2711"/>
      <c r="C117" s="2717" t="s">
        <v>3417</v>
      </c>
      <c r="D117" s="2715"/>
      <c r="E117" s="2715"/>
      <c r="F117" s="2715"/>
      <c r="G117" s="2715"/>
      <c r="H117" s="2715"/>
      <c r="I117" s="2715">
        <v>1</v>
      </c>
      <c r="J117" s="2715" t="s">
        <v>3406</v>
      </c>
      <c r="K117" s="2485">
        <f>+(257*1*1.5+500)</f>
        <v>885.5</v>
      </c>
      <c r="L117" s="2723">
        <f t="shared" si="2"/>
        <v>885.5</v>
      </c>
      <c r="M117" s="2723"/>
    </row>
    <row r="118" spans="2:13" ht="15">
      <c r="B118" s="2711"/>
      <c r="C118" s="2717" t="s">
        <v>3418</v>
      </c>
      <c r="D118" s="2715"/>
      <c r="E118" s="2715"/>
      <c r="F118" s="2715"/>
      <c r="G118" s="2715"/>
      <c r="H118" s="2715"/>
      <c r="I118" s="2715">
        <v>1</v>
      </c>
      <c r="J118" s="2715" t="s">
        <v>3406</v>
      </c>
      <c r="K118" s="2485">
        <f>+(257*0.35*1.5+500)</f>
        <v>634.92499999999995</v>
      </c>
      <c r="L118" s="2723">
        <f t="shared" si="2"/>
        <v>634.92499999999995</v>
      </c>
      <c r="M118" s="2723"/>
    </row>
    <row r="119" spans="2:13" ht="15">
      <c r="B119" s="2711"/>
      <c r="C119" s="2717" t="s">
        <v>3419</v>
      </c>
      <c r="D119" s="2715"/>
      <c r="E119" s="2715"/>
      <c r="F119" s="2715"/>
      <c r="G119" s="2715"/>
      <c r="H119" s="2715"/>
      <c r="I119" s="2715">
        <v>4</v>
      </c>
      <c r="J119" s="2715" t="s">
        <v>3406</v>
      </c>
      <c r="K119" s="2485">
        <v>94</v>
      </c>
      <c r="L119" s="2723">
        <f t="shared" si="2"/>
        <v>376</v>
      </c>
      <c r="M119" s="2723"/>
    </row>
    <row r="120" spans="2:13" ht="15">
      <c r="B120" s="2711"/>
      <c r="C120" s="2717" t="s">
        <v>3420</v>
      </c>
      <c r="D120" s="2715"/>
      <c r="E120" s="2715"/>
      <c r="F120" s="2715"/>
      <c r="G120" s="2715"/>
      <c r="H120" s="2715"/>
      <c r="I120" s="2715">
        <v>2</v>
      </c>
      <c r="J120" s="2715" t="s">
        <v>3406</v>
      </c>
      <c r="K120" s="2485">
        <v>73</v>
      </c>
      <c r="L120" s="2723">
        <f t="shared" si="2"/>
        <v>146</v>
      </c>
      <c r="M120" s="2723"/>
    </row>
    <row r="121" spans="2:13" ht="15">
      <c r="B121" s="2711"/>
      <c r="C121" s="2717" t="s">
        <v>3421</v>
      </c>
      <c r="D121" s="2715"/>
      <c r="E121" s="2715"/>
      <c r="F121" s="2715"/>
      <c r="G121" s="2715"/>
      <c r="H121" s="2715"/>
      <c r="I121" s="2715">
        <v>1</v>
      </c>
      <c r="J121" s="2715" t="s">
        <v>3406</v>
      </c>
      <c r="K121" s="2485">
        <v>238</v>
      </c>
      <c r="L121" s="2723">
        <f t="shared" si="2"/>
        <v>238</v>
      </c>
      <c r="M121" s="2723"/>
    </row>
    <row r="122" spans="2:13" ht="15">
      <c r="B122" s="2718"/>
      <c r="C122" s="2717" t="s">
        <v>3422</v>
      </c>
      <c r="D122" s="2715"/>
      <c r="E122" s="2715"/>
      <c r="F122" s="2715"/>
      <c r="G122" s="2715"/>
      <c r="H122" s="2715"/>
      <c r="I122" s="2715">
        <v>3</v>
      </c>
      <c r="J122" s="2715" t="s">
        <v>3406</v>
      </c>
      <c r="K122" s="2719">
        <v>74</v>
      </c>
      <c r="L122" s="2723">
        <f t="shared" si="2"/>
        <v>222</v>
      </c>
      <c r="M122" s="2723"/>
    </row>
    <row r="123" spans="2:13" ht="15">
      <c r="B123" s="2718"/>
      <c r="C123" s="2714" t="s">
        <v>3423</v>
      </c>
      <c r="D123" s="2485"/>
      <c r="E123" s="2485"/>
      <c r="F123" s="2485"/>
      <c r="G123" s="2485"/>
      <c r="H123" s="2485"/>
      <c r="I123" s="2485"/>
      <c r="J123" s="2485"/>
      <c r="K123" s="2720"/>
      <c r="L123" s="2723"/>
      <c r="M123" s="2723"/>
    </row>
    <row r="124" spans="2:13" ht="15">
      <c r="B124" s="2718"/>
      <c r="C124" s="2717" t="s">
        <v>3424</v>
      </c>
      <c r="D124" s="2485"/>
      <c r="E124" s="2485"/>
      <c r="F124" s="2485"/>
      <c r="G124" s="2485"/>
      <c r="H124" s="2485"/>
      <c r="I124" s="2485">
        <v>2</v>
      </c>
      <c r="J124" s="2485" t="s">
        <v>3406</v>
      </c>
      <c r="K124" s="2485">
        <f>+(1215*2*1.5+1000)</f>
        <v>4645</v>
      </c>
      <c r="L124" s="2723">
        <f t="shared" si="2"/>
        <v>9290</v>
      </c>
      <c r="M124" s="2723"/>
    </row>
    <row r="125" spans="2:13" ht="15">
      <c r="B125" s="2718"/>
      <c r="C125" s="2717" t="s">
        <v>3425</v>
      </c>
      <c r="D125" s="2485"/>
      <c r="E125" s="2485"/>
      <c r="F125" s="2485"/>
      <c r="G125" s="2485"/>
      <c r="H125" s="2485"/>
      <c r="I125" s="2485">
        <v>1</v>
      </c>
      <c r="J125" s="2485" t="s">
        <v>3406</v>
      </c>
      <c r="K125" s="2485">
        <f>+(1215*0.6*1.5+1000)</f>
        <v>2093.5</v>
      </c>
      <c r="L125" s="2723">
        <f t="shared" si="2"/>
        <v>2093.5</v>
      </c>
      <c r="M125" s="2723"/>
    </row>
    <row r="126" spans="2:13" ht="15">
      <c r="B126" s="2718"/>
      <c r="C126" s="2717" t="s">
        <v>3426</v>
      </c>
      <c r="D126" s="2485"/>
      <c r="E126" s="2485"/>
      <c r="F126" s="2485"/>
      <c r="G126" s="2485"/>
      <c r="H126" s="2485"/>
      <c r="I126" s="2485">
        <v>2</v>
      </c>
      <c r="J126" s="2485" t="s">
        <v>3406</v>
      </c>
      <c r="K126" s="2719">
        <v>1253</v>
      </c>
      <c r="L126" s="2723">
        <f t="shared" si="2"/>
        <v>2506</v>
      </c>
      <c r="M126" s="2723"/>
    </row>
    <row r="127" spans="2:13" ht="15">
      <c r="B127" s="2718"/>
      <c r="C127" s="2717" t="s">
        <v>3427</v>
      </c>
      <c r="D127" s="2485"/>
      <c r="E127" s="2485"/>
      <c r="F127" s="2485"/>
      <c r="G127" s="2485"/>
      <c r="H127" s="2485"/>
      <c r="I127" s="2485">
        <v>1</v>
      </c>
      <c r="J127" s="2485" t="s">
        <v>3406</v>
      </c>
      <c r="K127" s="2719">
        <v>817</v>
      </c>
      <c r="L127" s="2723">
        <f t="shared" si="2"/>
        <v>817</v>
      </c>
      <c r="M127" s="2723"/>
    </row>
    <row r="128" spans="2:13" ht="15">
      <c r="B128" s="2718"/>
      <c r="C128" s="2717" t="s">
        <v>3428</v>
      </c>
      <c r="D128" s="2485"/>
      <c r="E128" s="2485"/>
      <c r="F128" s="2485"/>
      <c r="G128" s="2485"/>
      <c r="H128" s="2485"/>
      <c r="I128" s="2485">
        <v>1</v>
      </c>
      <c r="J128" s="2485" t="s">
        <v>3406</v>
      </c>
      <c r="K128" s="2719">
        <v>437</v>
      </c>
      <c r="L128" s="2723">
        <f t="shared" si="2"/>
        <v>437</v>
      </c>
      <c r="M128" s="2723"/>
    </row>
    <row r="129" spans="2:13" ht="15">
      <c r="B129" s="2718"/>
      <c r="C129" s="2717" t="s">
        <v>3429</v>
      </c>
      <c r="D129" s="2485"/>
      <c r="E129" s="2485"/>
      <c r="F129" s="2485"/>
      <c r="G129" s="2485"/>
      <c r="H129" s="2485"/>
      <c r="I129" s="2485">
        <v>1</v>
      </c>
      <c r="J129" s="2485" t="s">
        <v>517</v>
      </c>
      <c r="K129" s="2719">
        <v>1950</v>
      </c>
      <c r="L129" s="2723">
        <f t="shared" si="2"/>
        <v>1950</v>
      </c>
      <c r="M129" s="2723"/>
    </row>
    <row r="130" spans="2:13" ht="15">
      <c r="B130" s="2718"/>
      <c r="C130" s="2714" t="s">
        <v>3430</v>
      </c>
      <c r="D130" s="2485"/>
      <c r="E130" s="2721"/>
      <c r="F130" s="2485"/>
      <c r="G130" s="2485"/>
      <c r="H130" s="2485"/>
      <c r="I130" s="2485"/>
      <c r="J130" s="2485"/>
      <c r="K130" s="2485"/>
      <c r="L130" s="2723"/>
      <c r="M130" s="2723"/>
    </row>
    <row r="131" spans="2:13" ht="15">
      <c r="B131" s="2718"/>
      <c r="C131" s="2717" t="s">
        <v>3431</v>
      </c>
      <c r="D131" s="2485"/>
      <c r="E131" s="2485"/>
      <c r="F131" s="2485"/>
      <c r="G131" s="2485"/>
      <c r="H131" s="2485"/>
      <c r="I131" s="2485">
        <v>1</v>
      </c>
      <c r="J131" s="2485" t="s">
        <v>3406</v>
      </c>
      <c r="K131" s="2485">
        <f>+(565*2*1.5+600)</f>
        <v>2295</v>
      </c>
      <c r="L131" s="2723">
        <f t="shared" si="2"/>
        <v>2295</v>
      </c>
      <c r="M131" s="2723"/>
    </row>
    <row r="132" spans="2:13" ht="15">
      <c r="B132" s="2718"/>
      <c r="C132" s="2717" t="s">
        <v>3432</v>
      </c>
      <c r="D132" s="2485"/>
      <c r="E132" s="2485"/>
      <c r="F132" s="2485"/>
      <c r="G132" s="2485"/>
      <c r="H132" s="2485"/>
      <c r="I132" s="2485">
        <v>1</v>
      </c>
      <c r="J132" s="2485" t="s">
        <v>3406</v>
      </c>
      <c r="K132" s="2485">
        <f>+(565*1*1.5+600)</f>
        <v>1447.5</v>
      </c>
      <c r="L132" s="2723">
        <f t="shared" si="2"/>
        <v>1447.5</v>
      </c>
      <c r="M132" s="2723"/>
    </row>
    <row r="133" spans="2:13" ht="15">
      <c r="B133" s="2718"/>
      <c r="C133" s="2717" t="s">
        <v>3433</v>
      </c>
      <c r="D133" s="2485"/>
      <c r="E133" s="2485"/>
      <c r="F133" s="2485"/>
      <c r="G133" s="2485"/>
      <c r="H133" s="2485"/>
      <c r="I133" s="2485">
        <v>1</v>
      </c>
      <c r="J133" s="2485" t="s">
        <v>3406</v>
      </c>
      <c r="K133" s="2485">
        <v>308</v>
      </c>
      <c r="L133" s="2723">
        <f t="shared" si="2"/>
        <v>308</v>
      </c>
      <c r="M133" s="2723"/>
    </row>
    <row r="134" spans="2:13" ht="15">
      <c r="B134" s="2718"/>
      <c r="C134" s="2717" t="s">
        <v>3434</v>
      </c>
      <c r="D134" s="2485"/>
      <c r="E134" s="2485"/>
      <c r="F134" s="2485"/>
      <c r="G134" s="2485"/>
      <c r="H134" s="2485"/>
      <c r="I134" s="2485">
        <v>1</v>
      </c>
      <c r="J134" s="2485" t="s">
        <v>3406</v>
      </c>
      <c r="K134" s="2485">
        <v>208</v>
      </c>
      <c r="L134" s="2723">
        <f t="shared" si="2"/>
        <v>208</v>
      </c>
      <c r="M134" s="2723"/>
    </row>
    <row r="135" spans="2:13" ht="15">
      <c r="B135" s="2718"/>
      <c r="C135" s="2717" t="s">
        <v>3435</v>
      </c>
      <c r="D135" s="2485"/>
      <c r="E135" s="2485"/>
      <c r="F135" s="2485"/>
      <c r="G135" s="2485"/>
      <c r="H135" s="2485"/>
      <c r="I135" s="2485">
        <v>3</v>
      </c>
      <c r="J135" s="2485" t="s">
        <v>3406</v>
      </c>
      <c r="K135" s="2485">
        <v>116</v>
      </c>
      <c r="L135" s="2723">
        <f t="shared" si="2"/>
        <v>348</v>
      </c>
      <c r="M135" s="2723"/>
    </row>
    <row r="136" spans="2:13" ht="15">
      <c r="B136" s="2718"/>
      <c r="C136" s="2717" t="s">
        <v>3436</v>
      </c>
      <c r="D136" s="2485"/>
      <c r="E136" s="2485"/>
      <c r="F136" s="2485"/>
      <c r="G136" s="2485"/>
      <c r="H136" s="2485"/>
      <c r="I136" s="2485">
        <v>1</v>
      </c>
      <c r="J136" s="2485" t="s">
        <v>3406</v>
      </c>
      <c r="K136" s="2485">
        <v>3467</v>
      </c>
      <c r="L136" s="2723">
        <f t="shared" si="2"/>
        <v>3467</v>
      </c>
      <c r="M136" s="2723"/>
    </row>
    <row r="137" spans="2:13" ht="15">
      <c r="B137" s="2718"/>
      <c r="C137" s="2717" t="s">
        <v>3437</v>
      </c>
      <c r="D137" s="2485"/>
      <c r="E137" s="2485"/>
      <c r="F137" s="2485"/>
      <c r="G137" s="2485"/>
      <c r="H137" s="2485"/>
      <c r="I137" s="2485">
        <v>1</v>
      </c>
      <c r="J137" s="2485" t="s">
        <v>3406</v>
      </c>
      <c r="K137" s="2485">
        <v>124</v>
      </c>
      <c r="L137" s="2723">
        <f t="shared" si="2"/>
        <v>124</v>
      </c>
      <c r="M137" s="2723"/>
    </row>
    <row r="138" spans="2:13" ht="15">
      <c r="B138" s="2718"/>
      <c r="C138" s="2717" t="s">
        <v>3438</v>
      </c>
      <c r="D138" s="2485"/>
      <c r="E138" s="2485"/>
      <c r="F138" s="2485"/>
      <c r="G138" s="2485"/>
      <c r="H138" s="2485"/>
      <c r="I138" s="2485">
        <v>2</v>
      </c>
      <c r="J138" s="2485" t="s">
        <v>3406</v>
      </c>
      <c r="K138" s="2485">
        <v>1332</v>
      </c>
      <c r="L138" s="2723">
        <f t="shared" si="2"/>
        <v>2664</v>
      </c>
      <c r="M138" s="2723"/>
    </row>
    <row r="139" spans="2:13" ht="15">
      <c r="B139" s="2718"/>
      <c r="C139" s="2714" t="s">
        <v>3439</v>
      </c>
      <c r="D139" s="2485"/>
      <c r="E139" s="2721"/>
      <c r="F139" s="2485"/>
      <c r="G139" s="2485"/>
      <c r="H139" s="2485"/>
      <c r="I139" s="2485"/>
      <c r="J139" s="2485"/>
      <c r="K139" s="2485"/>
      <c r="L139" s="2723"/>
      <c r="M139" s="2723"/>
    </row>
    <row r="140" spans="2:13" ht="15">
      <c r="B140" s="2718"/>
      <c r="C140" s="2717" t="s">
        <v>3440</v>
      </c>
      <c r="D140" s="2485"/>
      <c r="E140" s="2721"/>
      <c r="F140" s="2485"/>
      <c r="G140" s="2485"/>
      <c r="H140" s="2485"/>
      <c r="I140" s="2485">
        <v>1</v>
      </c>
      <c r="J140" s="2485" t="s">
        <v>1983</v>
      </c>
      <c r="K140" s="2485">
        <f>+(1215*2.8*1.5+1000)</f>
        <v>6103</v>
      </c>
      <c r="L140" s="2723">
        <f t="shared" si="2"/>
        <v>6103</v>
      </c>
      <c r="M140" s="2723"/>
    </row>
    <row r="141" spans="2:13" ht="15">
      <c r="B141" s="2718"/>
      <c r="C141" s="2717" t="s">
        <v>3441</v>
      </c>
      <c r="D141" s="2485"/>
      <c r="E141" s="2485"/>
      <c r="F141" s="2485"/>
      <c r="G141" s="2485"/>
      <c r="H141" s="2485"/>
      <c r="I141" s="2485">
        <v>0</v>
      </c>
      <c r="J141" s="2485" t="s">
        <v>3406</v>
      </c>
      <c r="K141" s="2485">
        <v>13691</v>
      </c>
      <c r="L141" s="2723">
        <f t="shared" si="2"/>
        <v>0</v>
      </c>
      <c r="M141" s="2723"/>
    </row>
    <row r="142" spans="2:13" ht="15">
      <c r="B142" s="2718"/>
      <c r="C142" s="2717" t="s">
        <v>3426</v>
      </c>
      <c r="D142" s="2485"/>
      <c r="E142" s="2485"/>
      <c r="F142" s="2485"/>
      <c r="G142" s="2485"/>
      <c r="H142" s="2485"/>
      <c r="I142" s="2485">
        <v>1</v>
      </c>
      <c r="J142" s="2485" t="s">
        <v>3406</v>
      </c>
      <c r="K142" s="2485">
        <v>1253</v>
      </c>
      <c r="L142" s="2723">
        <f t="shared" si="2"/>
        <v>1253</v>
      </c>
      <c r="M142" s="2723"/>
    </row>
    <row r="143" spans="2:13" ht="15">
      <c r="B143" s="2718"/>
      <c r="C143" s="2717" t="s">
        <v>3442</v>
      </c>
      <c r="D143" s="2485"/>
      <c r="E143" s="2485"/>
      <c r="F143" s="2485"/>
      <c r="G143" s="2485"/>
      <c r="H143" s="2485"/>
      <c r="I143" s="2485">
        <v>2</v>
      </c>
      <c r="J143" s="2485" t="s">
        <v>1038</v>
      </c>
      <c r="K143" s="2485">
        <v>1950</v>
      </c>
      <c r="L143" s="2723">
        <f t="shared" si="2"/>
        <v>3900</v>
      </c>
      <c r="M143" s="2723"/>
    </row>
    <row r="144" spans="2:13" ht="15">
      <c r="B144" s="2718"/>
      <c r="C144" s="2717" t="s">
        <v>3428</v>
      </c>
      <c r="D144" s="2485"/>
      <c r="E144" s="2485"/>
      <c r="F144" s="2485"/>
      <c r="G144" s="2485"/>
      <c r="H144" s="2485"/>
      <c r="I144" s="2485">
        <v>1</v>
      </c>
      <c r="J144" s="2485" t="s">
        <v>3406</v>
      </c>
      <c r="K144" s="2485">
        <v>437</v>
      </c>
      <c r="L144" s="2723">
        <f t="shared" si="2"/>
        <v>437</v>
      </c>
      <c r="M144" s="2723"/>
    </row>
    <row r="145" spans="2:13" ht="15">
      <c r="B145" s="2718"/>
      <c r="C145" s="2717" t="s">
        <v>3443</v>
      </c>
      <c r="D145" s="2485"/>
      <c r="E145" s="2485"/>
      <c r="F145" s="2485"/>
      <c r="G145" s="2485"/>
      <c r="H145" s="2485"/>
      <c r="I145" s="2485">
        <v>1</v>
      </c>
      <c r="J145" s="2485" t="s">
        <v>1038</v>
      </c>
      <c r="K145" s="2485">
        <v>1950</v>
      </c>
      <c r="L145" s="2723">
        <f t="shared" si="2"/>
        <v>1950</v>
      </c>
      <c r="M145" s="2723"/>
    </row>
    <row r="146" spans="2:13" ht="12.75">
      <c r="B146" s="2724"/>
      <c r="C146" s="2723"/>
      <c r="D146" s="2723"/>
      <c r="E146" s="2723"/>
      <c r="F146" s="2723"/>
      <c r="G146" s="2723"/>
      <c r="H146" s="2723"/>
      <c r="I146" s="2723"/>
      <c r="J146" s="2723"/>
      <c r="K146" s="2725" t="s">
        <v>1715</v>
      </c>
      <c r="L146" s="2725">
        <f>SUM(L106:L145)</f>
        <v>93636.425000000003</v>
      </c>
      <c r="M146" s="2725" t="s">
        <v>1451</v>
      </c>
    </row>
    <row r="149" spans="2:13">
      <c r="L149" s="2726">
        <f>L146+L101</f>
        <v>1408598.8810933956</v>
      </c>
    </row>
    <row r="151" spans="2:13">
      <c r="L151" s="2726" t="e">
        <f>L149+'reservoir 200'!L152+'reservoir 150 '!L150+#REF!+#REF!+Sheet1!F73</f>
        <v>#REF!</v>
      </c>
    </row>
    <row r="154" spans="2:13">
      <c r="L154" s="2727"/>
    </row>
  </sheetData>
  <mergeCells count="5">
    <mergeCell ref="J11:J12"/>
    <mergeCell ref="B1:M1"/>
    <mergeCell ref="B2:M2"/>
    <mergeCell ref="B3:M3"/>
    <mergeCell ref="B4:M4"/>
  </mergeCells>
  <dataValidations disablePrompts="1" count="1">
    <dataValidation type="list" allowBlank="1" showInputMessage="1" showErrorMessage="1" promptTitle="Size of RCC Tank" prompt="Adopt one of the sizes only" sqref="G13" xr:uid="{00000000-0002-0000-2C00-000000000000}">
      <formula1>"10,15,20,25,50,75,100,150,200"</formula1>
    </dataValidation>
  </dataValidations>
  <pageMargins left="0.7" right="0.7" top="0.75" bottom="0.75" header="0.3" footer="0.3"/>
  <pageSetup scale="84" orientation="portrait" r:id="rId1"/>
  <headerFooter>
    <oddFooter>&amp;LPrepared By:&amp;CChecked By: 
Er. Bal Krishna Manandhar&amp;RApproved By:
Er. Prakash Singh Saud</oddFooter>
  </headerFooter>
  <colBreaks count="1" manualBreakCount="1">
    <brk id="13" max="1048575" man="1"/>
  </col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FFFF00"/>
  </sheetPr>
  <dimension ref="A1:P82"/>
  <sheetViews>
    <sheetView topLeftCell="A72" zoomScale="130" zoomScaleNormal="130" workbookViewId="0">
      <selection activeCell="I80" sqref="I80"/>
    </sheetView>
  </sheetViews>
  <sheetFormatPr defaultRowHeight="12.75"/>
  <cols>
    <col min="1" max="1" width="6.42578125" customWidth="1"/>
    <col min="2" max="2" width="31.140625" customWidth="1"/>
    <col min="4" max="5" width="9" bestFit="1" customWidth="1"/>
    <col min="6" max="6" width="17.7109375" bestFit="1" customWidth="1"/>
    <col min="7" max="7" width="9" bestFit="1" customWidth="1"/>
    <col min="8" max="8" width="14.28515625" style="2739" bestFit="1" customWidth="1"/>
    <col min="9" max="9" width="14" style="2739" customWidth="1"/>
    <col min="10" max="10" width="14" bestFit="1" customWidth="1"/>
    <col min="12" max="12" width="11.5703125" bestFit="1" customWidth="1"/>
    <col min="14" max="14" width="10.85546875" bestFit="1" customWidth="1"/>
  </cols>
  <sheetData>
    <row r="1" spans="1:16" s="2596" customFormat="1" ht="15">
      <c r="A1" s="3110" t="s">
        <v>3515</v>
      </c>
      <c r="B1" s="3110"/>
      <c r="C1" s="3110"/>
      <c r="D1" s="3110"/>
      <c r="E1" s="3110"/>
      <c r="F1" s="3110"/>
      <c r="G1" s="3110"/>
      <c r="H1" s="3110"/>
      <c r="I1" s="3110"/>
      <c r="J1" s="3110"/>
      <c r="K1" s="2747"/>
      <c r="L1" s="2747"/>
      <c r="M1" s="2747"/>
      <c r="N1" s="2747"/>
      <c r="O1" s="2747"/>
      <c r="P1" s="2747"/>
    </row>
    <row r="2" spans="1:16" s="2596" customFormat="1" ht="20.25">
      <c r="A2" s="3111" t="s">
        <v>3516</v>
      </c>
      <c r="B2" s="3111"/>
      <c r="C2" s="3111"/>
      <c r="D2" s="3111"/>
      <c r="E2" s="3111"/>
      <c r="F2" s="3111"/>
      <c r="G2" s="3111"/>
      <c r="H2" s="3111"/>
      <c r="I2" s="3111"/>
      <c r="J2" s="3111"/>
      <c r="K2" s="2746"/>
      <c r="L2" s="2746"/>
      <c r="M2" s="2746"/>
      <c r="N2" s="2746"/>
      <c r="O2" s="2746"/>
      <c r="P2" s="2746"/>
    </row>
    <row r="3" spans="1:16" s="2596" customFormat="1" ht="20.25">
      <c r="A3" s="3112" t="s">
        <v>3517</v>
      </c>
      <c r="B3" s="3112"/>
      <c r="C3" s="3112"/>
      <c r="D3" s="3112"/>
      <c r="E3" s="3112"/>
      <c r="F3" s="3112"/>
      <c r="G3" s="3112"/>
      <c r="H3" s="3112"/>
      <c r="I3" s="3112"/>
      <c r="J3" s="3112"/>
      <c r="K3" s="2752"/>
      <c r="L3" s="2746"/>
      <c r="M3" s="2746"/>
      <c r="N3" s="2746"/>
      <c r="O3" s="2746"/>
      <c r="P3" s="2746"/>
    </row>
    <row r="4" spans="1:16" s="2596" customFormat="1" ht="20.25">
      <c r="A4" s="3114" t="s">
        <v>3582</v>
      </c>
      <c r="B4" s="3114"/>
      <c r="C4" s="3114"/>
      <c r="D4" s="3114"/>
      <c r="E4" s="3114"/>
      <c r="F4" s="3114"/>
      <c r="G4" s="3114"/>
      <c r="H4" s="3114"/>
      <c r="I4" s="3114"/>
      <c r="J4" s="3114"/>
      <c r="K4" s="2743"/>
      <c r="L4" s="2743"/>
      <c r="M4" s="2743"/>
      <c r="N4" s="2743"/>
      <c r="O4" s="2743"/>
      <c r="P4" s="2743"/>
    </row>
    <row r="5" spans="1:16" s="2596" customFormat="1" ht="20.25">
      <c r="A5" s="513" t="s">
        <v>3529</v>
      </c>
      <c r="B5" s="2814"/>
      <c r="C5" s="2814"/>
      <c r="D5" s="2814"/>
      <c r="E5" s="2814"/>
      <c r="F5" s="2814"/>
      <c r="G5" s="2814"/>
      <c r="H5" s="2814"/>
      <c r="I5" s="2814"/>
      <c r="J5" s="2814"/>
      <c r="K5" s="2743"/>
      <c r="L5" s="2743"/>
      <c r="M5" s="2743"/>
      <c r="N5" s="2743"/>
      <c r="O5" s="2743"/>
      <c r="P5" s="2743"/>
    </row>
    <row r="6" spans="1:16" s="2596" customFormat="1" ht="20.25">
      <c r="A6" s="2748" t="s">
        <v>3583</v>
      </c>
      <c r="B6" s="2814"/>
      <c r="C6" s="2814"/>
      <c r="D6" s="2814"/>
      <c r="E6" s="2814"/>
      <c r="F6" s="2814"/>
      <c r="G6" s="2814"/>
      <c r="H6" s="2814"/>
      <c r="I6" s="2814"/>
      <c r="J6" s="2814"/>
      <c r="K6" s="2743"/>
      <c r="L6" s="2743"/>
      <c r="M6" s="2743"/>
      <c r="N6" s="2743"/>
      <c r="O6" s="2743"/>
      <c r="P6" s="2743"/>
    </row>
    <row r="7" spans="1:16" s="2596" customFormat="1" ht="20.25">
      <c r="A7" s="2748" t="s">
        <v>3584</v>
      </c>
      <c r="B7" s="2814"/>
      <c r="C7" s="2814"/>
      <c r="D7" s="2814"/>
      <c r="E7" s="2814"/>
      <c r="F7" s="2814"/>
      <c r="G7" s="2814"/>
      <c r="H7" s="2814"/>
      <c r="I7" s="2814"/>
      <c r="J7" s="2814"/>
      <c r="K7" s="2743"/>
      <c r="L7" s="2743"/>
      <c r="M7" s="2743"/>
      <c r="N7" s="2743"/>
      <c r="O7" s="2743"/>
      <c r="P7" s="2743"/>
    </row>
    <row r="8" spans="1:16" s="2596" customFormat="1" ht="20.25">
      <c r="A8" s="2748" t="s">
        <v>3518</v>
      </c>
      <c r="C8" s="2743"/>
      <c r="D8" s="2743"/>
      <c r="E8" s="2743"/>
      <c r="F8" s="2743"/>
      <c r="G8" s="2743"/>
      <c r="H8" s="2743"/>
      <c r="I8" s="2743"/>
      <c r="J8" s="2749" t="s">
        <v>3520</v>
      </c>
      <c r="L8" s="2743"/>
      <c r="M8" s="2743"/>
      <c r="N8" s="2743"/>
      <c r="O8" s="2743"/>
    </row>
    <row r="9" spans="1:16" s="2596" customFormat="1" ht="20.25">
      <c r="A9" s="2748" t="s">
        <v>3519</v>
      </c>
      <c r="C9" s="2743"/>
      <c r="D9" s="2743"/>
      <c r="E9" s="2743"/>
      <c r="F9" s="2743"/>
      <c r="G9" s="2743"/>
      <c r="H9" s="2743"/>
      <c r="I9" s="2743"/>
      <c r="J9" s="2749" t="s">
        <v>3585</v>
      </c>
      <c r="L9" s="2743"/>
      <c r="M9" s="2743"/>
      <c r="N9" s="2743"/>
      <c r="O9" s="2743"/>
    </row>
    <row r="10" spans="1:16">
      <c r="A10" s="2750" t="s">
        <v>1357</v>
      </c>
      <c r="B10" s="2750" t="s">
        <v>962</v>
      </c>
      <c r="C10" s="2750" t="s">
        <v>1035</v>
      </c>
      <c r="D10" s="2750" t="s">
        <v>964</v>
      </c>
      <c r="E10" s="2750" t="s">
        <v>97</v>
      </c>
      <c r="F10" s="2751" t="s">
        <v>52</v>
      </c>
      <c r="G10" s="2750" t="s">
        <v>964</v>
      </c>
      <c r="H10" s="2751" t="s">
        <v>52</v>
      </c>
      <c r="I10" s="2751"/>
      <c r="J10" s="2750" t="s">
        <v>1055</v>
      </c>
    </row>
    <row r="11" spans="1:16">
      <c r="A11" s="1752"/>
      <c r="B11" s="1752" t="s">
        <v>3449</v>
      </c>
      <c r="C11" s="1770"/>
      <c r="D11" s="1770"/>
      <c r="E11" s="1770"/>
      <c r="F11" s="1770"/>
      <c r="G11" s="1752"/>
      <c r="H11" s="2738"/>
      <c r="I11" s="2738"/>
      <c r="J11" s="1770"/>
    </row>
    <row r="12" spans="1:16" ht="78.75">
      <c r="A12" s="1770">
        <v>1</v>
      </c>
      <c r="B12" s="2728" t="s">
        <v>3461</v>
      </c>
      <c r="C12" s="1752" t="s">
        <v>1182</v>
      </c>
      <c r="D12" s="1752">
        <v>870.8</v>
      </c>
      <c r="E12" s="1752">
        <v>80</v>
      </c>
      <c r="F12" s="1752">
        <f>D12*E12</f>
        <v>69664</v>
      </c>
      <c r="G12" s="2729">
        <f>'reservoir 200'!I15+'reservoir 150 '!I16+'reservoir 50'!I16+'st quantity'!G14</f>
        <v>909.25259905752057</v>
      </c>
      <c r="H12" s="2738">
        <f>G12*E12</f>
        <v>72740.207924601651</v>
      </c>
      <c r="I12" s="2738">
        <f t="shared" ref="I12:I43" si="0">H12-F12</f>
        <v>3076.207924601651</v>
      </c>
      <c r="J12" s="1770"/>
      <c r="K12" s="2513">
        <f>I12/F12*100</f>
        <v>4.4157784861645197</v>
      </c>
    </row>
    <row r="13" spans="1:16" ht="63">
      <c r="A13" s="1770">
        <f>A12+1</f>
        <v>2</v>
      </c>
      <c r="B13" s="2728" t="s">
        <v>3452</v>
      </c>
      <c r="C13" s="1752" t="s">
        <v>1174</v>
      </c>
      <c r="D13" s="1752">
        <v>827.1</v>
      </c>
      <c r="E13" s="1752">
        <v>80</v>
      </c>
      <c r="F13" s="1752">
        <f t="shared" ref="F13:F74" si="1">D13*E13</f>
        <v>66168</v>
      </c>
      <c r="G13" s="2729">
        <f>'reservoir 200'!I21+'reservoir 150 '!I22+'reservoir 50'!I21+'st quantity'!G19+'fencing quantity'!G25</f>
        <v>758.3624385468255</v>
      </c>
      <c r="H13" s="2738">
        <f t="shared" ref="H13:H74" si="2">G13*E13</f>
        <v>60668.995083746042</v>
      </c>
      <c r="I13" s="2738">
        <f t="shared" si="0"/>
        <v>-5499.0049162539581</v>
      </c>
      <c r="J13" s="1770"/>
      <c r="K13" s="2513">
        <f t="shared" ref="K13:K74" si="3">I13/F13*100</f>
        <v>-8.3106711949189318</v>
      </c>
    </row>
    <row r="14" spans="1:16" ht="78.75">
      <c r="A14" s="1770">
        <f t="shared" ref="A14:A74" si="4">A13+1</f>
        <v>3</v>
      </c>
      <c r="B14" s="2731" t="s">
        <v>3453</v>
      </c>
      <c r="C14" s="1752" t="s">
        <v>1174</v>
      </c>
      <c r="D14" s="1752">
        <v>165.8</v>
      </c>
      <c r="E14" s="1752">
        <v>100</v>
      </c>
      <c r="F14" s="1752">
        <f t="shared" si="1"/>
        <v>16580</v>
      </c>
      <c r="G14" s="2729">
        <f>'reservoir 200'!I22+'reservoir 150 '!I23+'reservoir 50'!I22+'st quantity'!G24</f>
        <v>97.271841479988595</v>
      </c>
      <c r="H14" s="2738">
        <f t="shared" si="2"/>
        <v>9727.1841479988598</v>
      </c>
      <c r="I14" s="2738">
        <f t="shared" si="0"/>
        <v>-6852.8158520011402</v>
      </c>
      <c r="J14" s="1770"/>
      <c r="K14" s="2513">
        <f t="shared" si="3"/>
        <v>-41.331820579017737</v>
      </c>
    </row>
    <row r="15" spans="1:16" ht="47.25">
      <c r="A15" s="1770">
        <f t="shared" si="4"/>
        <v>4</v>
      </c>
      <c r="B15" s="2728" t="s">
        <v>3454</v>
      </c>
      <c r="C15" s="1752" t="s">
        <v>1174</v>
      </c>
      <c r="D15" s="1752">
        <v>101.26</v>
      </c>
      <c r="E15" s="1752">
        <v>3200</v>
      </c>
      <c r="F15" s="1752">
        <f t="shared" si="1"/>
        <v>324032</v>
      </c>
      <c r="G15" s="2729">
        <f>'reservoir 200'!I27+'reservoir 150 '!I28+'reservoir 50'!I27+'st quantity'!G35+'fencing quantity'!G39</f>
        <v>85.508741806243393</v>
      </c>
      <c r="H15" s="2738">
        <f t="shared" si="2"/>
        <v>273627.97377997887</v>
      </c>
      <c r="I15" s="2738">
        <f t="shared" si="0"/>
        <v>-50404.026220021129</v>
      </c>
      <c r="J15" s="1770"/>
      <c r="K15" s="2513">
        <f t="shared" si="3"/>
        <v>-15.555261893893544</v>
      </c>
    </row>
    <row r="16" spans="1:16" ht="63">
      <c r="A16" s="1770">
        <f t="shared" si="4"/>
        <v>5</v>
      </c>
      <c r="B16" s="2728" t="s">
        <v>3455</v>
      </c>
      <c r="C16" s="1752" t="s">
        <v>1174</v>
      </c>
      <c r="D16" s="1752">
        <v>134.55000000000001</v>
      </c>
      <c r="E16" s="1752">
        <v>6000</v>
      </c>
      <c r="F16" s="1752">
        <f t="shared" si="1"/>
        <v>807300.00000000012</v>
      </c>
      <c r="G16" s="2729">
        <f>'reservoir 200'!I31+'reservoir 150 '!I32+'reservoir 50'!I30+'fencing quantity'!G67</f>
        <v>75.101249999999993</v>
      </c>
      <c r="H16" s="2738">
        <f t="shared" si="2"/>
        <v>450607.49999999994</v>
      </c>
      <c r="I16" s="2738">
        <f t="shared" si="0"/>
        <v>-356692.50000000017</v>
      </c>
      <c r="J16" s="1770"/>
      <c r="K16" s="2513">
        <f t="shared" si="3"/>
        <v>-44.183389074693437</v>
      </c>
    </row>
    <row r="17" spans="1:11" ht="78.75">
      <c r="A17" s="1770">
        <f t="shared" si="4"/>
        <v>6</v>
      </c>
      <c r="B17" s="2728" t="s">
        <v>3456</v>
      </c>
      <c r="C17" s="1752" t="s">
        <v>1174</v>
      </c>
      <c r="D17" s="1752">
        <v>42.8</v>
      </c>
      <c r="E17" s="1752">
        <v>6600</v>
      </c>
      <c r="F17" s="1752">
        <f t="shared" si="1"/>
        <v>282480</v>
      </c>
      <c r="G17" s="2729">
        <f>'reservoir 200'!I33+'reservoir 150 '!I34+'reservoir 50'!I32+'st quantity'!G44</f>
        <v>35.522553573032951</v>
      </c>
      <c r="H17" s="2738">
        <f t="shared" si="2"/>
        <v>234448.85358201747</v>
      </c>
      <c r="I17" s="2738">
        <f t="shared" si="0"/>
        <v>-48031.146417982527</v>
      </c>
      <c r="J17" s="1770"/>
      <c r="K17" s="2513">
        <f t="shared" si="3"/>
        <v>-17.00337950225946</v>
      </c>
    </row>
    <row r="18" spans="1:11" ht="63">
      <c r="A18" s="1770">
        <f t="shared" si="4"/>
        <v>7</v>
      </c>
      <c r="B18" s="2728" t="s">
        <v>3457</v>
      </c>
      <c r="C18" s="1752" t="s">
        <v>1174</v>
      </c>
      <c r="D18" s="1752">
        <v>13.98</v>
      </c>
      <c r="E18" s="1752">
        <v>8000</v>
      </c>
      <c r="F18" s="1752">
        <f t="shared" si="1"/>
        <v>111840</v>
      </c>
      <c r="G18" s="2729">
        <f>'reservoir 200'!I40+'reservoir 150 '!I38+'reservoir 50'!I38+'fencing quantity'!G53</f>
        <v>6.8602999999999996</v>
      </c>
      <c r="H18" s="2738">
        <f t="shared" si="2"/>
        <v>54882.399999999994</v>
      </c>
      <c r="I18" s="2738">
        <f t="shared" si="0"/>
        <v>-56957.600000000006</v>
      </c>
      <c r="J18" s="1770"/>
      <c r="K18" s="2513">
        <f t="shared" si="3"/>
        <v>-50.927753934191713</v>
      </c>
    </row>
    <row r="19" spans="1:11" ht="78.75">
      <c r="A19" s="1770">
        <f t="shared" si="4"/>
        <v>8</v>
      </c>
      <c r="B19" s="2728" t="s">
        <v>3458</v>
      </c>
      <c r="C19" s="1752" t="s">
        <v>1174</v>
      </c>
      <c r="D19" s="1752">
        <v>206.51</v>
      </c>
      <c r="E19" s="1752">
        <v>12800</v>
      </c>
      <c r="F19" s="1752">
        <f t="shared" si="1"/>
        <v>2643328</v>
      </c>
      <c r="G19" s="2729">
        <f>'reservoir 200'!I48+'reservoir 150 '!I46+'reservoir 50'!I46+'st quantity'!G90</f>
        <v>237.28095543549716</v>
      </c>
      <c r="H19" s="2738">
        <f t="shared" si="2"/>
        <v>3037196.2295743637</v>
      </c>
      <c r="I19" s="2738">
        <f t="shared" si="0"/>
        <v>393868.22957436368</v>
      </c>
      <c r="J19" s="1770"/>
      <c r="K19" s="2513">
        <f t="shared" si="3"/>
        <v>14.900467500603924</v>
      </c>
    </row>
    <row r="20" spans="1:11" ht="78.75">
      <c r="A20" s="1770">
        <f t="shared" si="4"/>
        <v>9</v>
      </c>
      <c r="B20" s="2728" t="s">
        <v>3459</v>
      </c>
      <c r="C20" s="1752" t="s">
        <v>1182</v>
      </c>
      <c r="D20" s="1752">
        <v>1260.3699999999999</v>
      </c>
      <c r="E20" s="1752">
        <v>250</v>
      </c>
      <c r="F20" s="1752">
        <f t="shared" si="1"/>
        <v>315092.5</v>
      </c>
      <c r="G20" s="2729">
        <f>'reservoir 200'!I56+'reservoir 150 '!I54+'reservoir 50'!I54+'st quantity'!G131</f>
        <v>1387.6407528593647</v>
      </c>
      <c r="H20" s="2738">
        <f t="shared" si="2"/>
        <v>346910.18821484118</v>
      </c>
      <c r="I20" s="2738">
        <f t="shared" si="0"/>
        <v>31817.688214841182</v>
      </c>
      <c r="J20" s="1770"/>
      <c r="K20" s="2513">
        <f t="shared" si="3"/>
        <v>10.097888148667829</v>
      </c>
    </row>
    <row r="21" spans="1:11" ht="47.25">
      <c r="A21" s="1770">
        <f t="shared" si="4"/>
        <v>10</v>
      </c>
      <c r="B21" s="2728" t="s">
        <v>3460</v>
      </c>
      <c r="C21" s="1752" t="s">
        <v>3168</v>
      </c>
      <c r="D21" s="1752">
        <v>3</v>
      </c>
      <c r="E21" s="1752">
        <v>10000</v>
      </c>
      <c r="F21" s="1752">
        <f t="shared" si="1"/>
        <v>30000</v>
      </c>
      <c r="G21" s="2732">
        <f>'reservoir 200'!I58+'reservoir 150 '!I56+'reservoir 50'!I56</f>
        <v>3</v>
      </c>
      <c r="H21" s="2738">
        <f t="shared" si="2"/>
        <v>30000</v>
      </c>
      <c r="I21" s="2738">
        <f t="shared" si="0"/>
        <v>0</v>
      </c>
      <c r="J21" s="1770"/>
      <c r="K21" s="2513">
        <f t="shared" si="3"/>
        <v>0</v>
      </c>
    </row>
    <row r="22" spans="1:11" ht="173.25">
      <c r="A22" s="1770">
        <f t="shared" si="4"/>
        <v>11</v>
      </c>
      <c r="B22" s="2740" t="s">
        <v>3462</v>
      </c>
      <c r="C22" s="1752" t="s">
        <v>1034</v>
      </c>
      <c r="D22" s="1752">
        <v>27572.68</v>
      </c>
      <c r="E22" s="1752">
        <v>110</v>
      </c>
      <c r="F22" s="1752">
        <f t="shared" si="1"/>
        <v>3032994.8</v>
      </c>
      <c r="G22" s="2729">
        <f>'reservoir 200'!I73+'reservoir 150 '!I71+'reservoir 50'!I71+'st quantity'!G206</f>
        <v>27234.342855463961</v>
      </c>
      <c r="H22" s="2738">
        <f t="shared" si="2"/>
        <v>2995777.7141010356</v>
      </c>
      <c r="I22" s="2738">
        <f t="shared" si="0"/>
        <v>-37217.0858989642</v>
      </c>
      <c r="J22" s="1770"/>
      <c r="K22" s="2513">
        <f t="shared" si="3"/>
        <v>-1.2270738446028395</v>
      </c>
    </row>
    <row r="23" spans="1:11" ht="47.25">
      <c r="A23" s="1770">
        <f t="shared" si="4"/>
        <v>12</v>
      </c>
      <c r="B23" s="2728" t="s">
        <v>3463</v>
      </c>
      <c r="C23" s="1752" t="s">
        <v>1174</v>
      </c>
      <c r="D23" s="1752">
        <v>7.86</v>
      </c>
      <c r="E23" s="1752">
        <v>11500</v>
      </c>
      <c r="F23" s="1752">
        <f t="shared" si="1"/>
        <v>90390</v>
      </c>
      <c r="G23" s="2729">
        <f>'st quantity'!G213</f>
        <v>0</v>
      </c>
      <c r="H23" s="2738">
        <f t="shared" si="2"/>
        <v>0</v>
      </c>
      <c r="I23" s="2738">
        <f t="shared" si="0"/>
        <v>-90390</v>
      </c>
      <c r="J23" s="1770"/>
      <c r="K23" s="2513">
        <f t="shared" si="3"/>
        <v>-100</v>
      </c>
    </row>
    <row r="24" spans="1:11" ht="63">
      <c r="A24" s="1770">
        <f t="shared" si="4"/>
        <v>13</v>
      </c>
      <c r="B24" s="2728" t="s">
        <v>3464</v>
      </c>
      <c r="C24" s="1752" t="s">
        <v>1182</v>
      </c>
      <c r="D24" s="1752">
        <v>1178.83</v>
      </c>
      <c r="E24" s="1752">
        <v>280</v>
      </c>
      <c r="F24" s="1752">
        <f t="shared" si="1"/>
        <v>330072.39999999997</v>
      </c>
      <c r="G24" s="2729">
        <f>'reservoir 200'!I77+'reservoir 150 '!I75+'reservoir 50'!I75+'st quantity'!G245+'st quantity'!G259</f>
        <v>1162.9947986189222</v>
      </c>
      <c r="H24" s="2738">
        <f t="shared" si="2"/>
        <v>325638.54361329821</v>
      </c>
      <c r="I24" s="2738">
        <f t="shared" si="0"/>
        <v>-4433.856386701751</v>
      </c>
      <c r="J24" s="1770"/>
      <c r="K24" s="2513">
        <f t="shared" si="3"/>
        <v>-1.3432981329859</v>
      </c>
    </row>
    <row r="25" spans="1:11" ht="47.25">
      <c r="A25" s="1770">
        <f t="shared" si="4"/>
        <v>14</v>
      </c>
      <c r="B25" s="2728" t="s">
        <v>3465</v>
      </c>
      <c r="C25" s="1752" t="s">
        <v>1182</v>
      </c>
      <c r="D25" s="1752">
        <v>600.54999999999995</v>
      </c>
      <c r="E25" s="1752">
        <v>280</v>
      </c>
      <c r="F25" s="1752">
        <f t="shared" si="1"/>
        <v>168154</v>
      </c>
      <c r="G25" s="2729">
        <f>'reservoir 200'!I82+'reservoir 150 '!I80+'reservoir 50'!I80</f>
        <v>626.20996119212248</v>
      </c>
      <c r="H25" s="2738">
        <f t="shared" si="2"/>
        <v>175338.78913379429</v>
      </c>
      <c r="I25" s="2738">
        <f t="shared" si="0"/>
        <v>7184.7891337942856</v>
      </c>
      <c r="J25" s="1770"/>
      <c r="K25" s="2513">
        <f t="shared" si="3"/>
        <v>4.2727435171297063</v>
      </c>
    </row>
    <row r="26" spans="1:11" ht="47.25">
      <c r="A26" s="1770">
        <f t="shared" si="4"/>
        <v>15</v>
      </c>
      <c r="B26" s="2728" t="s">
        <v>3466</v>
      </c>
      <c r="C26" s="1752" t="s">
        <v>1182</v>
      </c>
      <c r="D26" s="1752">
        <v>894.58</v>
      </c>
      <c r="E26" s="1752">
        <v>100</v>
      </c>
      <c r="F26" s="1752">
        <f t="shared" si="1"/>
        <v>89458</v>
      </c>
      <c r="G26" s="2729">
        <f>'reservoir 200'!I86+'reservoir 150 '!I84+'reservoir 50'!I84+'st quantity'!G261</f>
        <v>850.99479861892223</v>
      </c>
      <c r="H26" s="2738">
        <f t="shared" si="2"/>
        <v>85099.479861892221</v>
      </c>
      <c r="I26" s="2738">
        <f t="shared" si="0"/>
        <v>-4358.5201381077786</v>
      </c>
      <c r="J26" s="1770"/>
      <c r="K26" s="2513">
        <f t="shared" si="3"/>
        <v>-4.8721412708844136</v>
      </c>
    </row>
    <row r="27" spans="1:11" ht="47.25">
      <c r="A27" s="1770">
        <f t="shared" si="4"/>
        <v>16</v>
      </c>
      <c r="B27" s="2728" t="s">
        <v>3467</v>
      </c>
      <c r="C27" s="1752" t="s">
        <v>1182</v>
      </c>
      <c r="D27" s="1752">
        <v>317.04000000000002</v>
      </c>
      <c r="E27" s="1752">
        <v>120</v>
      </c>
      <c r="F27" s="1752">
        <f t="shared" si="1"/>
        <v>38044.800000000003</v>
      </c>
      <c r="G27" s="1770">
        <f>'reservoir 200'!I90+'reservoir 150 '!I88+'reservoir 50'!I88</f>
        <v>330.24629995930513</v>
      </c>
      <c r="H27" s="2738">
        <f t="shared" si="2"/>
        <v>39629.555995116614</v>
      </c>
      <c r="I27" s="2738">
        <f t="shared" si="0"/>
        <v>1584.7559951166113</v>
      </c>
      <c r="J27" s="1770"/>
      <c r="K27" s="2513">
        <f t="shared" si="3"/>
        <v>4.1654996086629748</v>
      </c>
    </row>
    <row r="28" spans="1:11" ht="47.25">
      <c r="A28" s="1770">
        <f t="shared" si="4"/>
        <v>17</v>
      </c>
      <c r="B28" s="2728" t="s">
        <v>3468</v>
      </c>
      <c r="C28" s="1752" t="s">
        <v>1182</v>
      </c>
      <c r="D28" s="1752">
        <v>376.18</v>
      </c>
      <c r="E28" s="1752">
        <v>120</v>
      </c>
      <c r="F28" s="1752">
        <f t="shared" si="1"/>
        <v>45141.599999999999</v>
      </c>
      <c r="G28" s="2729">
        <f>'reservoir 200'!I94+'reservoir 150 '!I92+'reservoir 50'!I91</f>
        <v>344.3264088150753</v>
      </c>
      <c r="H28" s="2738">
        <f t="shared" si="2"/>
        <v>41319.169057809035</v>
      </c>
      <c r="I28" s="2738">
        <f t="shared" si="0"/>
        <v>-3822.4309421909638</v>
      </c>
      <c r="J28" s="1770"/>
      <c r="K28" s="2513">
        <f t="shared" si="3"/>
        <v>-8.4676461228466966</v>
      </c>
    </row>
    <row r="29" spans="1:11" ht="63">
      <c r="A29" s="1770">
        <f t="shared" si="4"/>
        <v>18</v>
      </c>
      <c r="B29" s="2728" t="s">
        <v>3469</v>
      </c>
      <c r="C29" s="1752" t="s">
        <v>1182</v>
      </c>
      <c r="D29" s="1752">
        <v>206.67</v>
      </c>
      <c r="E29" s="1752">
        <v>120</v>
      </c>
      <c r="F29" s="1752">
        <f t="shared" si="1"/>
        <v>24800.399999999998</v>
      </c>
      <c r="G29" s="2729">
        <f>'st quantity'!G268</f>
        <v>312</v>
      </c>
      <c r="H29" s="2738">
        <f t="shared" si="2"/>
        <v>37440</v>
      </c>
      <c r="I29" s="2738">
        <f t="shared" si="0"/>
        <v>12639.600000000002</v>
      </c>
      <c r="J29" s="1770"/>
      <c r="K29" s="2513">
        <f t="shared" si="3"/>
        <v>50.965307011177252</v>
      </c>
    </row>
    <row r="30" spans="1:11" ht="47.25">
      <c r="A30" s="1770">
        <f t="shared" si="4"/>
        <v>19</v>
      </c>
      <c r="B30" s="2728" t="s">
        <v>3448</v>
      </c>
      <c r="C30" s="1752" t="s">
        <v>3168</v>
      </c>
      <c r="D30" s="1752">
        <v>6</v>
      </c>
      <c r="E30" s="1752">
        <v>20000</v>
      </c>
      <c r="F30" s="1752">
        <f t="shared" si="1"/>
        <v>120000</v>
      </c>
      <c r="G30" s="2732">
        <f>'reservoir 200'!I96+'reservoir 150 '!I94+'reservoir 50'!I93</f>
        <v>6</v>
      </c>
      <c r="H30" s="2738">
        <f t="shared" si="2"/>
        <v>120000</v>
      </c>
      <c r="I30" s="2738">
        <f t="shared" si="0"/>
        <v>0</v>
      </c>
      <c r="J30" s="1770"/>
      <c r="K30" s="2513">
        <f t="shared" si="3"/>
        <v>0</v>
      </c>
    </row>
    <row r="31" spans="1:11" ht="47.25">
      <c r="A31" s="1770">
        <f t="shared" si="4"/>
        <v>20</v>
      </c>
      <c r="B31" s="2733" t="s">
        <v>3446</v>
      </c>
      <c r="C31" s="1752" t="s">
        <v>2389</v>
      </c>
      <c r="D31" s="1752">
        <v>12</v>
      </c>
      <c r="E31" s="1752">
        <v>10000</v>
      </c>
      <c r="F31" s="1752">
        <f t="shared" si="1"/>
        <v>120000</v>
      </c>
      <c r="G31" s="2732">
        <f>'reservoir 200'!I98+'reservoir 150 '!I96+'reservoir 50'!I95+'st quantity'!G275</f>
        <v>10</v>
      </c>
      <c r="H31" s="2738">
        <f t="shared" si="2"/>
        <v>100000</v>
      </c>
      <c r="I31" s="2738">
        <f t="shared" si="0"/>
        <v>-20000</v>
      </c>
      <c r="J31" s="1770"/>
      <c r="K31" s="2513">
        <f t="shared" si="3"/>
        <v>-16.666666666666664</v>
      </c>
    </row>
    <row r="32" spans="1:11" ht="31.5">
      <c r="A32" s="1770">
        <f t="shared" si="4"/>
        <v>21</v>
      </c>
      <c r="B32" s="2728" t="s">
        <v>3470</v>
      </c>
      <c r="C32" s="1752" t="s">
        <v>3168</v>
      </c>
      <c r="D32" s="1752">
        <v>3</v>
      </c>
      <c r="E32" s="1752">
        <v>20000</v>
      </c>
      <c r="F32" s="1752">
        <f t="shared" si="1"/>
        <v>60000</v>
      </c>
      <c r="G32" s="2732">
        <f>'reservoir 200'!I100+'reservoir 150 '!I98+'reservoir 50'!I97</f>
        <v>3</v>
      </c>
      <c r="H32" s="2738">
        <f t="shared" si="2"/>
        <v>60000</v>
      </c>
      <c r="I32" s="2738">
        <f t="shared" si="0"/>
        <v>0</v>
      </c>
      <c r="J32" s="1770"/>
      <c r="K32" s="2513">
        <f t="shared" si="3"/>
        <v>0</v>
      </c>
    </row>
    <row r="33" spans="1:11" ht="47.25">
      <c r="A33" s="1770">
        <f t="shared" si="4"/>
        <v>22</v>
      </c>
      <c r="B33" s="2728" t="s">
        <v>3447</v>
      </c>
      <c r="C33" s="1752" t="s">
        <v>3168</v>
      </c>
      <c r="D33" s="1752">
        <v>3</v>
      </c>
      <c r="E33" s="1752">
        <v>20000</v>
      </c>
      <c r="F33" s="1752">
        <f t="shared" si="1"/>
        <v>60000</v>
      </c>
      <c r="G33" s="1770">
        <v>3</v>
      </c>
      <c r="H33" s="2738">
        <f t="shared" si="2"/>
        <v>60000</v>
      </c>
      <c r="I33" s="2738">
        <f t="shared" si="0"/>
        <v>0</v>
      </c>
      <c r="J33" s="1770"/>
      <c r="K33" s="2513">
        <f t="shared" si="3"/>
        <v>0</v>
      </c>
    </row>
    <row r="34" spans="1:11" ht="45">
      <c r="A34" s="1770">
        <f t="shared" si="4"/>
        <v>23</v>
      </c>
      <c r="B34" s="2515" t="s">
        <v>3471</v>
      </c>
      <c r="C34" s="2729" t="str">
        <f>'reservoir 200'!J109</f>
        <v>pc</v>
      </c>
      <c r="D34" s="2729">
        <v>6</v>
      </c>
      <c r="E34" s="2729">
        <v>5500</v>
      </c>
      <c r="F34" s="1752">
        <f t="shared" si="1"/>
        <v>33000</v>
      </c>
      <c r="G34" s="2729">
        <f t="shared" ref="G34:G69" si="5">D34</f>
        <v>6</v>
      </c>
      <c r="H34" s="2738">
        <f t="shared" si="2"/>
        <v>33000</v>
      </c>
      <c r="I34" s="2738">
        <f t="shared" si="0"/>
        <v>0</v>
      </c>
      <c r="J34" s="1770"/>
      <c r="K34" s="2513">
        <f t="shared" si="3"/>
        <v>0</v>
      </c>
    </row>
    <row r="35" spans="1:11" ht="45">
      <c r="A35" s="1770">
        <f t="shared" si="4"/>
        <v>24</v>
      </c>
      <c r="B35" s="2515" t="s">
        <v>3472</v>
      </c>
      <c r="C35" s="2729" t="str">
        <f>'reservoir 200'!J110</f>
        <v>pc</v>
      </c>
      <c r="D35" s="2729">
        <v>6</v>
      </c>
      <c r="E35" s="2729">
        <v>1600</v>
      </c>
      <c r="F35" s="1752">
        <f t="shared" si="1"/>
        <v>9600</v>
      </c>
      <c r="G35" s="2729">
        <f t="shared" si="5"/>
        <v>6</v>
      </c>
      <c r="H35" s="2738">
        <f t="shared" si="2"/>
        <v>9600</v>
      </c>
      <c r="I35" s="2738">
        <f t="shared" si="0"/>
        <v>0</v>
      </c>
      <c r="J35" s="1770"/>
      <c r="K35" s="2513">
        <f t="shared" si="3"/>
        <v>0</v>
      </c>
    </row>
    <row r="36" spans="1:11" ht="30">
      <c r="A36" s="1770">
        <f t="shared" si="4"/>
        <v>25</v>
      </c>
      <c r="B36" s="2515" t="s">
        <v>3473</v>
      </c>
      <c r="C36" s="2729" t="str">
        <f>'reservoir 200'!J111</f>
        <v>pc</v>
      </c>
      <c r="D36" s="2729">
        <v>3</v>
      </c>
      <c r="E36" s="2729">
        <v>500</v>
      </c>
      <c r="F36" s="1752">
        <f t="shared" si="1"/>
        <v>1500</v>
      </c>
      <c r="G36" s="2729">
        <f t="shared" si="5"/>
        <v>3</v>
      </c>
      <c r="H36" s="2738">
        <f t="shared" si="2"/>
        <v>1500</v>
      </c>
      <c r="I36" s="2738">
        <f t="shared" si="0"/>
        <v>0</v>
      </c>
      <c r="J36" s="1770"/>
      <c r="K36" s="2513">
        <f t="shared" si="3"/>
        <v>0</v>
      </c>
    </row>
    <row r="37" spans="1:11" ht="30">
      <c r="A37" s="1770">
        <f t="shared" si="4"/>
        <v>26</v>
      </c>
      <c r="B37" s="2515" t="s">
        <v>3474</v>
      </c>
      <c r="C37" s="2729" t="str">
        <f>'reservoir 200'!J112</f>
        <v>pc</v>
      </c>
      <c r="D37" s="2729">
        <v>6</v>
      </c>
      <c r="E37" s="2729">
        <v>780</v>
      </c>
      <c r="F37" s="1752">
        <f t="shared" si="1"/>
        <v>4680</v>
      </c>
      <c r="G37" s="2729">
        <f t="shared" si="5"/>
        <v>6</v>
      </c>
      <c r="H37" s="2738">
        <f t="shared" si="2"/>
        <v>4680</v>
      </c>
      <c r="I37" s="2738">
        <f t="shared" si="0"/>
        <v>0</v>
      </c>
      <c r="J37" s="1770"/>
      <c r="K37" s="2513">
        <f t="shared" si="3"/>
        <v>0</v>
      </c>
    </row>
    <row r="38" spans="1:11" ht="45">
      <c r="A38" s="1770">
        <f t="shared" si="4"/>
        <v>27</v>
      </c>
      <c r="B38" s="2515" t="s">
        <v>3475</v>
      </c>
      <c r="C38" s="2729" t="str">
        <f>'reservoir 200'!J113</f>
        <v>pc</v>
      </c>
      <c r="D38" s="2729">
        <v>6</v>
      </c>
      <c r="E38" s="2729">
        <v>2200</v>
      </c>
      <c r="F38" s="1752">
        <f t="shared" si="1"/>
        <v>13200</v>
      </c>
      <c r="G38" s="2729">
        <f t="shared" si="5"/>
        <v>6</v>
      </c>
      <c r="H38" s="2738">
        <f t="shared" si="2"/>
        <v>13200</v>
      </c>
      <c r="I38" s="2738">
        <f t="shared" si="0"/>
        <v>0</v>
      </c>
      <c r="J38" s="1770"/>
      <c r="K38" s="2513">
        <f t="shared" si="3"/>
        <v>0</v>
      </c>
    </row>
    <row r="39" spans="1:11" ht="45">
      <c r="A39" s="1770">
        <f t="shared" si="4"/>
        <v>28</v>
      </c>
      <c r="B39" s="2515" t="s">
        <v>3476</v>
      </c>
      <c r="C39" s="2729" t="str">
        <f>'reservoir 200'!J114</f>
        <v>pc</v>
      </c>
      <c r="D39" s="2729">
        <v>6</v>
      </c>
      <c r="E39" s="2729">
        <v>80</v>
      </c>
      <c r="F39" s="1752">
        <f t="shared" si="1"/>
        <v>480</v>
      </c>
      <c r="G39" s="2729">
        <f t="shared" si="5"/>
        <v>6</v>
      </c>
      <c r="H39" s="2738">
        <f t="shared" si="2"/>
        <v>480</v>
      </c>
      <c r="I39" s="2738">
        <f t="shared" si="0"/>
        <v>0</v>
      </c>
      <c r="J39" s="1770"/>
      <c r="K39" s="2513">
        <f t="shared" si="3"/>
        <v>0</v>
      </c>
    </row>
    <row r="40" spans="1:11" ht="45">
      <c r="A40" s="1770">
        <f t="shared" si="4"/>
        <v>29</v>
      </c>
      <c r="B40" s="2515" t="s">
        <v>3477</v>
      </c>
      <c r="C40" s="2729" t="str">
        <f>'reservoir 200'!J115</f>
        <v>set</v>
      </c>
      <c r="D40" s="2729">
        <v>6</v>
      </c>
      <c r="E40" s="2729">
        <v>610</v>
      </c>
      <c r="F40" s="1752">
        <f t="shared" si="1"/>
        <v>3660</v>
      </c>
      <c r="G40" s="2729">
        <f t="shared" si="5"/>
        <v>6</v>
      </c>
      <c r="H40" s="2738">
        <f t="shared" si="2"/>
        <v>3660</v>
      </c>
      <c r="I40" s="2738">
        <f t="shared" si="0"/>
        <v>0</v>
      </c>
      <c r="J40" s="1770"/>
      <c r="K40" s="2513">
        <f t="shared" si="3"/>
        <v>0</v>
      </c>
    </row>
    <row r="41" spans="1:11" ht="45">
      <c r="A41" s="1770">
        <f t="shared" si="4"/>
        <v>30</v>
      </c>
      <c r="B41" s="2515" t="s">
        <v>3478</v>
      </c>
      <c r="C41" s="2729" t="str">
        <f>'reservoir 200'!J116</f>
        <v>set</v>
      </c>
      <c r="D41" s="2729">
        <v>6</v>
      </c>
      <c r="E41" s="2729">
        <v>1600</v>
      </c>
      <c r="F41" s="1752">
        <f t="shared" si="1"/>
        <v>9600</v>
      </c>
      <c r="G41" s="2729">
        <f t="shared" si="5"/>
        <v>6</v>
      </c>
      <c r="H41" s="2738">
        <f t="shared" si="2"/>
        <v>9600</v>
      </c>
      <c r="I41" s="2738">
        <f t="shared" si="0"/>
        <v>0</v>
      </c>
      <c r="J41" s="1770"/>
      <c r="K41" s="2513">
        <f t="shared" si="3"/>
        <v>0</v>
      </c>
    </row>
    <row r="42" spans="1:11" ht="30">
      <c r="A42" s="1770">
        <f t="shared" si="4"/>
        <v>31</v>
      </c>
      <c r="B42" s="2515" t="s">
        <v>3479</v>
      </c>
      <c r="C42" s="2729" t="str">
        <f>'reservoir 200'!J117</f>
        <v>pc</v>
      </c>
      <c r="D42" s="2729">
        <v>6</v>
      </c>
      <c r="E42" s="2729">
        <v>230</v>
      </c>
      <c r="F42" s="1752">
        <f t="shared" si="1"/>
        <v>1380</v>
      </c>
      <c r="G42" s="2729">
        <f t="shared" si="5"/>
        <v>6</v>
      </c>
      <c r="H42" s="2738">
        <f t="shared" si="2"/>
        <v>1380</v>
      </c>
      <c r="I42" s="2738">
        <f t="shared" si="0"/>
        <v>0</v>
      </c>
      <c r="J42" s="1770"/>
      <c r="K42" s="2513">
        <f t="shared" si="3"/>
        <v>0</v>
      </c>
    </row>
    <row r="43" spans="1:11" ht="45">
      <c r="A43" s="1770">
        <f t="shared" si="4"/>
        <v>32</v>
      </c>
      <c r="B43" s="2515" t="s">
        <v>3480</v>
      </c>
      <c r="C43" s="2729" t="str">
        <f>'reservoir 200'!J118</f>
        <v>pc</v>
      </c>
      <c r="D43" s="2729">
        <v>3</v>
      </c>
      <c r="E43" s="2729">
        <v>1100</v>
      </c>
      <c r="F43" s="1752">
        <f t="shared" si="1"/>
        <v>3300</v>
      </c>
      <c r="G43" s="2729">
        <f t="shared" si="5"/>
        <v>3</v>
      </c>
      <c r="H43" s="2738">
        <f t="shared" si="2"/>
        <v>3300</v>
      </c>
      <c r="I43" s="2738">
        <f t="shared" si="0"/>
        <v>0</v>
      </c>
      <c r="J43" s="1770"/>
      <c r="K43" s="2513">
        <f t="shared" si="3"/>
        <v>0</v>
      </c>
    </row>
    <row r="44" spans="1:11" ht="30">
      <c r="A44" s="1770">
        <f t="shared" si="4"/>
        <v>33</v>
      </c>
      <c r="B44" s="2515" t="s">
        <v>3481</v>
      </c>
      <c r="C44" s="2729" t="str">
        <f>'reservoir 200'!J119</f>
        <v>pc</v>
      </c>
      <c r="D44" s="2729">
        <v>6</v>
      </c>
      <c r="E44" s="2729">
        <v>1500</v>
      </c>
      <c r="F44" s="1752">
        <f t="shared" si="1"/>
        <v>9000</v>
      </c>
      <c r="G44" s="2729">
        <f t="shared" si="5"/>
        <v>6</v>
      </c>
      <c r="H44" s="2738">
        <f t="shared" si="2"/>
        <v>9000</v>
      </c>
      <c r="I44" s="2738">
        <f t="shared" ref="I44:I75" si="6">H44-F44</f>
        <v>0</v>
      </c>
      <c r="J44" s="1770"/>
      <c r="K44" s="2513">
        <f t="shared" si="3"/>
        <v>0</v>
      </c>
    </row>
    <row r="45" spans="1:11" ht="45">
      <c r="A45" s="1770">
        <f t="shared" si="4"/>
        <v>34</v>
      </c>
      <c r="B45" s="2515" t="s">
        <v>3482</v>
      </c>
      <c r="C45" s="2729" t="str">
        <f>'reservoir 200'!J120</f>
        <v>pc</v>
      </c>
      <c r="D45" s="2729">
        <v>3</v>
      </c>
      <c r="E45" s="2729">
        <v>780</v>
      </c>
      <c r="F45" s="1752">
        <f t="shared" si="1"/>
        <v>2340</v>
      </c>
      <c r="G45" s="2729">
        <f t="shared" si="5"/>
        <v>3</v>
      </c>
      <c r="H45" s="2738">
        <f t="shared" si="2"/>
        <v>2340</v>
      </c>
      <c r="I45" s="2738">
        <f t="shared" si="6"/>
        <v>0</v>
      </c>
      <c r="J45" s="1770"/>
      <c r="K45" s="2513">
        <f t="shared" si="3"/>
        <v>0</v>
      </c>
    </row>
    <row r="46" spans="1:11" ht="45">
      <c r="A46" s="1770">
        <f t="shared" si="4"/>
        <v>35</v>
      </c>
      <c r="B46" s="2515" t="s">
        <v>3483</v>
      </c>
      <c r="C46" s="2729" t="str">
        <f>'reservoir 200'!J121</f>
        <v>pc</v>
      </c>
      <c r="D46" s="2729">
        <v>3</v>
      </c>
      <c r="E46" s="2729">
        <v>350</v>
      </c>
      <c r="F46" s="1752">
        <f t="shared" si="1"/>
        <v>1050</v>
      </c>
      <c r="G46" s="2729">
        <f t="shared" si="5"/>
        <v>3</v>
      </c>
      <c r="H46" s="2738">
        <f t="shared" si="2"/>
        <v>1050</v>
      </c>
      <c r="I46" s="2738">
        <f t="shared" si="6"/>
        <v>0</v>
      </c>
      <c r="J46" s="1770"/>
      <c r="K46" s="2513">
        <f t="shared" si="3"/>
        <v>0</v>
      </c>
    </row>
    <row r="47" spans="1:11" ht="30">
      <c r="A47" s="1770">
        <f t="shared" si="4"/>
        <v>36</v>
      </c>
      <c r="B47" s="2515" t="s">
        <v>3484</v>
      </c>
      <c r="C47" s="2729" t="str">
        <f>'reservoir 200'!J122</f>
        <v>pc</v>
      </c>
      <c r="D47" s="2729">
        <v>12</v>
      </c>
      <c r="E47" s="2729">
        <v>110</v>
      </c>
      <c r="F47" s="1752">
        <f t="shared" si="1"/>
        <v>1320</v>
      </c>
      <c r="G47" s="2729">
        <f t="shared" si="5"/>
        <v>12</v>
      </c>
      <c r="H47" s="2738">
        <f t="shared" si="2"/>
        <v>1320</v>
      </c>
      <c r="I47" s="2738">
        <f t="shared" si="6"/>
        <v>0</v>
      </c>
      <c r="J47" s="1770"/>
      <c r="K47" s="2513">
        <f t="shared" si="3"/>
        <v>0</v>
      </c>
    </row>
    <row r="48" spans="1:11" ht="30">
      <c r="A48" s="1770">
        <f t="shared" si="4"/>
        <v>37</v>
      </c>
      <c r="B48" s="2515" t="s">
        <v>3485</v>
      </c>
      <c r="C48" s="2729" t="str">
        <f>'reservoir 200'!J123</f>
        <v>pc</v>
      </c>
      <c r="D48" s="2729">
        <v>6</v>
      </c>
      <c r="E48" s="2729">
        <v>100</v>
      </c>
      <c r="F48" s="1752">
        <f t="shared" si="1"/>
        <v>600</v>
      </c>
      <c r="G48" s="2729">
        <f t="shared" si="5"/>
        <v>6</v>
      </c>
      <c r="H48" s="2738">
        <f t="shared" si="2"/>
        <v>600</v>
      </c>
      <c r="I48" s="2738">
        <f t="shared" si="6"/>
        <v>0</v>
      </c>
      <c r="J48" s="1770"/>
      <c r="K48" s="2513">
        <f t="shared" si="3"/>
        <v>0</v>
      </c>
    </row>
    <row r="49" spans="1:11" ht="30">
      <c r="A49" s="1770">
        <f t="shared" si="4"/>
        <v>38</v>
      </c>
      <c r="B49" s="2515" t="s">
        <v>3486</v>
      </c>
      <c r="C49" s="2729" t="str">
        <f>'reservoir 200'!J124</f>
        <v>pc</v>
      </c>
      <c r="D49" s="2729">
        <v>3</v>
      </c>
      <c r="E49" s="2729">
        <v>210</v>
      </c>
      <c r="F49" s="1752">
        <f t="shared" si="1"/>
        <v>630</v>
      </c>
      <c r="G49" s="2729">
        <f t="shared" si="5"/>
        <v>3</v>
      </c>
      <c r="H49" s="2738">
        <f t="shared" si="2"/>
        <v>630</v>
      </c>
      <c r="I49" s="2738">
        <f t="shared" si="6"/>
        <v>0</v>
      </c>
      <c r="J49" s="1770"/>
      <c r="K49" s="2513">
        <f t="shared" si="3"/>
        <v>0</v>
      </c>
    </row>
    <row r="50" spans="1:11" ht="30">
      <c r="A50" s="1770">
        <f t="shared" si="4"/>
        <v>39</v>
      </c>
      <c r="B50" s="2515" t="s">
        <v>3487</v>
      </c>
      <c r="C50" s="2729" t="str">
        <f>'reservoir 200'!J125</f>
        <v>pc</v>
      </c>
      <c r="D50" s="2729">
        <v>9</v>
      </c>
      <c r="E50" s="2729">
        <v>100</v>
      </c>
      <c r="F50" s="1752">
        <f t="shared" si="1"/>
        <v>900</v>
      </c>
      <c r="G50" s="2729">
        <f t="shared" si="5"/>
        <v>9</v>
      </c>
      <c r="H50" s="2738">
        <f t="shared" si="2"/>
        <v>900</v>
      </c>
      <c r="I50" s="2738">
        <f t="shared" si="6"/>
        <v>0</v>
      </c>
      <c r="J50" s="1770"/>
      <c r="K50" s="2513">
        <f t="shared" si="3"/>
        <v>0</v>
      </c>
    </row>
    <row r="51" spans="1:11" ht="45">
      <c r="A51" s="1770">
        <f t="shared" si="4"/>
        <v>40</v>
      </c>
      <c r="B51" s="2515" t="s">
        <v>3488</v>
      </c>
      <c r="C51" s="2729" t="str">
        <f>'reservoir 200'!J127</f>
        <v>pc</v>
      </c>
      <c r="D51" s="2729">
        <v>6</v>
      </c>
      <c r="E51" s="2729">
        <v>6900</v>
      </c>
      <c r="F51" s="1752">
        <f t="shared" si="1"/>
        <v>41400</v>
      </c>
      <c r="G51" s="2729">
        <f t="shared" si="5"/>
        <v>6</v>
      </c>
      <c r="H51" s="2738">
        <f t="shared" si="2"/>
        <v>41400</v>
      </c>
      <c r="I51" s="2738">
        <f t="shared" si="6"/>
        <v>0</v>
      </c>
      <c r="J51" s="1770"/>
      <c r="K51" s="2513">
        <f t="shared" si="3"/>
        <v>0</v>
      </c>
    </row>
    <row r="52" spans="1:11" ht="45">
      <c r="A52" s="1770">
        <f t="shared" si="4"/>
        <v>41</v>
      </c>
      <c r="B52" s="2515" t="s">
        <v>3489</v>
      </c>
      <c r="C52" s="2729" t="str">
        <f>'reservoir 200'!J128</f>
        <v>pc</v>
      </c>
      <c r="D52" s="2729">
        <v>3</v>
      </c>
      <c r="E52" s="2729">
        <v>1710</v>
      </c>
      <c r="F52" s="1752">
        <f t="shared" si="1"/>
        <v>5130</v>
      </c>
      <c r="G52" s="2729">
        <f t="shared" si="5"/>
        <v>3</v>
      </c>
      <c r="H52" s="2738">
        <f t="shared" si="2"/>
        <v>5130</v>
      </c>
      <c r="I52" s="2738">
        <f t="shared" si="6"/>
        <v>0</v>
      </c>
      <c r="J52" s="1770"/>
      <c r="K52" s="2513">
        <f t="shared" si="3"/>
        <v>0</v>
      </c>
    </row>
    <row r="53" spans="1:11" ht="30">
      <c r="A53" s="1770">
        <f t="shared" si="4"/>
        <v>42</v>
      </c>
      <c r="B53" s="2515" t="s">
        <v>3490</v>
      </c>
      <c r="C53" s="2729" t="str">
        <f>'reservoir 200'!J129</f>
        <v>pc</v>
      </c>
      <c r="D53" s="2729">
        <v>6</v>
      </c>
      <c r="E53" s="2729">
        <v>1270</v>
      </c>
      <c r="F53" s="1752">
        <f t="shared" si="1"/>
        <v>7620</v>
      </c>
      <c r="G53" s="2729">
        <f t="shared" si="5"/>
        <v>6</v>
      </c>
      <c r="H53" s="2738">
        <f t="shared" si="2"/>
        <v>7620</v>
      </c>
      <c r="I53" s="2738">
        <f t="shared" si="6"/>
        <v>0</v>
      </c>
      <c r="J53" s="1770"/>
      <c r="K53" s="2513">
        <f t="shared" si="3"/>
        <v>0</v>
      </c>
    </row>
    <row r="54" spans="1:11" ht="30">
      <c r="A54" s="1770">
        <f t="shared" si="4"/>
        <v>43</v>
      </c>
      <c r="B54" s="2515" t="s">
        <v>3491</v>
      </c>
      <c r="C54" s="2729" t="str">
        <f>'reservoir 200'!J130</f>
        <v>pc</v>
      </c>
      <c r="D54" s="2729">
        <v>3</v>
      </c>
      <c r="E54" s="2729">
        <v>880</v>
      </c>
      <c r="F54" s="1752">
        <f t="shared" si="1"/>
        <v>2640</v>
      </c>
      <c r="G54" s="2729">
        <f t="shared" si="5"/>
        <v>3</v>
      </c>
      <c r="H54" s="2738">
        <f t="shared" si="2"/>
        <v>2640</v>
      </c>
      <c r="I54" s="2738">
        <f t="shared" si="6"/>
        <v>0</v>
      </c>
      <c r="J54" s="1770"/>
      <c r="K54" s="2513">
        <f t="shared" si="3"/>
        <v>0</v>
      </c>
    </row>
    <row r="55" spans="1:11" ht="30">
      <c r="A55" s="1770">
        <f t="shared" si="4"/>
        <v>44</v>
      </c>
      <c r="B55" s="2515" t="s">
        <v>3492</v>
      </c>
      <c r="C55" s="2729" t="str">
        <f>'reservoir 200'!J131</f>
        <v>pc</v>
      </c>
      <c r="D55" s="2729">
        <v>3</v>
      </c>
      <c r="E55" s="2729">
        <v>460</v>
      </c>
      <c r="F55" s="1752">
        <f t="shared" si="1"/>
        <v>1380</v>
      </c>
      <c r="G55" s="2729">
        <f t="shared" si="5"/>
        <v>3</v>
      </c>
      <c r="H55" s="2738">
        <f t="shared" si="2"/>
        <v>1380</v>
      </c>
      <c r="I55" s="2738">
        <f t="shared" si="6"/>
        <v>0</v>
      </c>
      <c r="J55" s="1770"/>
      <c r="K55" s="2513">
        <f t="shared" si="3"/>
        <v>0</v>
      </c>
    </row>
    <row r="56" spans="1:11" ht="45">
      <c r="A56" s="1770">
        <f t="shared" si="4"/>
        <v>45</v>
      </c>
      <c r="B56" s="2515" t="s">
        <v>3493</v>
      </c>
      <c r="C56" s="2729" t="str">
        <f>'reservoir 200'!J132</f>
        <v>Set</v>
      </c>
      <c r="D56" s="2729">
        <v>3</v>
      </c>
      <c r="E56" s="2729">
        <v>1900</v>
      </c>
      <c r="F56" s="1752">
        <f t="shared" si="1"/>
        <v>5700</v>
      </c>
      <c r="G56" s="2729">
        <f t="shared" si="5"/>
        <v>3</v>
      </c>
      <c r="H56" s="2738">
        <f t="shared" si="2"/>
        <v>5700</v>
      </c>
      <c r="I56" s="2738">
        <f t="shared" si="6"/>
        <v>0</v>
      </c>
      <c r="J56" s="1770"/>
      <c r="K56" s="2513">
        <f t="shared" si="3"/>
        <v>0</v>
      </c>
    </row>
    <row r="57" spans="1:11" ht="45">
      <c r="A57" s="1770">
        <f t="shared" si="4"/>
        <v>46</v>
      </c>
      <c r="B57" s="2515" t="s">
        <v>3494</v>
      </c>
      <c r="C57" s="2729" t="str">
        <f>'reservoir 200'!J134</f>
        <v>pc</v>
      </c>
      <c r="D57" s="2729">
        <v>3</v>
      </c>
      <c r="E57" s="2729">
        <v>3000</v>
      </c>
      <c r="F57" s="1752">
        <f t="shared" si="1"/>
        <v>9000</v>
      </c>
      <c r="G57" s="2729">
        <f t="shared" si="5"/>
        <v>3</v>
      </c>
      <c r="H57" s="2738">
        <f t="shared" si="2"/>
        <v>9000</v>
      </c>
      <c r="I57" s="2738">
        <f t="shared" si="6"/>
        <v>0</v>
      </c>
      <c r="J57" s="1770"/>
      <c r="K57" s="2513">
        <f t="shared" si="3"/>
        <v>0</v>
      </c>
    </row>
    <row r="58" spans="1:11" ht="45">
      <c r="A58" s="1770">
        <f t="shared" si="4"/>
        <v>47</v>
      </c>
      <c r="B58" s="2515" t="s">
        <v>3495</v>
      </c>
      <c r="C58" s="2729" t="str">
        <f>'reservoir 200'!J135</f>
        <v>pc</v>
      </c>
      <c r="D58" s="2729">
        <v>3</v>
      </c>
      <c r="E58" s="2729">
        <v>1500</v>
      </c>
      <c r="F58" s="1752">
        <f t="shared" si="1"/>
        <v>4500</v>
      </c>
      <c r="G58" s="2729">
        <f t="shared" si="5"/>
        <v>3</v>
      </c>
      <c r="H58" s="2738">
        <f t="shared" si="2"/>
        <v>4500</v>
      </c>
      <c r="I58" s="2738">
        <f t="shared" si="6"/>
        <v>0</v>
      </c>
      <c r="J58" s="1770"/>
      <c r="K58" s="2513">
        <f t="shared" si="3"/>
        <v>0</v>
      </c>
    </row>
    <row r="59" spans="1:11" ht="30">
      <c r="A59" s="1770">
        <f t="shared" si="4"/>
        <v>48</v>
      </c>
      <c r="B59" s="2515" t="s">
        <v>3496</v>
      </c>
      <c r="C59" s="2729" t="str">
        <f>'reservoir 200'!J136</f>
        <v>pc</v>
      </c>
      <c r="D59" s="2729">
        <v>3</v>
      </c>
      <c r="E59" s="2729">
        <v>350</v>
      </c>
      <c r="F59" s="1752">
        <f t="shared" si="1"/>
        <v>1050</v>
      </c>
      <c r="G59" s="2729">
        <f t="shared" si="5"/>
        <v>3</v>
      </c>
      <c r="H59" s="2738">
        <f t="shared" si="2"/>
        <v>1050</v>
      </c>
      <c r="I59" s="2738">
        <f t="shared" si="6"/>
        <v>0</v>
      </c>
      <c r="J59" s="1770"/>
      <c r="K59" s="2513">
        <f t="shared" si="3"/>
        <v>0</v>
      </c>
    </row>
    <row r="60" spans="1:11" ht="30">
      <c r="A60" s="1770">
        <f t="shared" si="4"/>
        <v>49</v>
      </c>
      <c r="B60" s="2515" t="s">
        <v>3497</v>
      </c>
      <c r="C60" s="2729" t="str">
        <f>'reservoir 200'!J137</f>
        <v>pc</v>
      </c>
      <c r="D60" s="2729">
        <v>3</v>
      </c>
      <c r="E60" s="2729">
        <v>300</v>
      </c>
      <c r="F60" s="1752">
        <f t="shared" si="1"/>
        <v>900</v>
      </c>
      <c r="G60" s="2729">
        <f t="shared" si="5"/>
        <v>3</v>
      </c>
      <c r="H60" s="2738">
        <f t="shared" si="2"/>
        <v>900</v>
      </c>
      <c r="I60" s="2738">
        <f t="shared" si="6"/>
        <v>0</v>
      </c>
      <c r="J60" s="1770"/>
      <c r="K60" s="2513">
        <f t="shared" si="3"/>
        <v>0</v>
      </c>
    </row>
    <row r="61" spans="1:11" ht="30">
      <c r="A61" s="1770">
        <f t="shared" si="4"/>
        <v>50</v>
      </c>
      <c r="B61" s="2515" t="s">
        <v>3498</v>
      </c>
      <c r="C61" s="2729" t="str">
        <f>'reservoir 200'!J138</f>
        <v>pc</v>
      </c>
      <c r="D61" s="2729">
        <v>9</v>
      </c>
      <c r="E61" s="2729">
        <v>230</v>
      </c>
      <c r="F61" s="1752">
        <f t="shared" si="1"/>
        <v>2070</v>
      </c>
      <c r="G61" s="2729">
        <f t="shared" si="5"/>
        <v>9</v>
      </c>
      <c r="H61" s="2738">
        <f t="shared" si="2"/>
        <v>2070</v>
      </c>
      <c r="I61" s="2738">
        <f t="shared" si="6"/>
        <v>0</v>
      </c>
      <c r="J61" s="1770"/>
      <c r="K61" s="2513">
        <f t="shared" si="3"/>
        <v>0</v>
      </c>
    </row>
    <row r="62" spans="1:11" ht="30">
      <c r="A62" s="1770">
        <f t="shared" si="4"/>
        <v>51</v>
      </c>
      <c r="B62" s="2515" t="s">
        <v>3499</v>
      </c>
      <c r="C62" s="2729" t="str">
        <f>'reservoir 200'!J139</f>
        <v>pc</v>
      </c>
      <c r="D62" s="2729">
        <v>3</v>
      </c>
      <c r="E62" s="2729">
        <v>3500</v>
      </c>
      <c r="F62" s="1752">
        <f t="shared" si="1"/>
        <v>10500</v>
      </c>
      <c r="G62" s="2729">
        <f t="shared" si="5"/>
        <v>3</v>
      </c>
      <c r="H62" s="2738">
        <f t="shared" si="2"/>
        <v>10500</v>
      </c>
      <c r="I62" s="2738">
        <f t="shared" si="6"/>
        <v>0</v>
      </c>
      <c r="J62" s="1770"/>
      <c r="K62" s="2513">
        <f t="shared" si="3"/>
        <v>0</v>
      </c>
    </row>
    <row r="63" spans="1:11" ht="30">
      <c r="A63" s="1770">
        <f t="shared" si="4"/>
        <v>52</v>
      </c>
      <c r="B63" s="2515" t="s">
        <v>3500</v>
      </c>
      <c r="C63" s="2729" t="str">
        <f>'reservoir 200'!J140</f>
        <v>pc</v>
      </c>
      <c r="D63" s="2729">
        <v>3</v>
      </c>
      <c r="E63" s="2729">
        <v>80</v>
      </c>
      <c r="F63" s="1752">
        <f t="shared" si="1"/>
        <v>240</v>
      </c>
      <c r="G63" s="2729">
        <f t="shared" si="5"/>
        <v>3</v>
      </c>
      <c r="H63" s="2738">
        <f t="shared" si="2"/>
        <v>240</v>
      </c>
      <c r="I63" s="2738">
        <f t="shared" si="6"/>
        <v>0</v>
      </c>
      <c r="J63" s="1770"/>
      <c r="K63" s="2513">
        <f t="shared" si="3"/>
        <v>0</v>
      </c>
    </row>
    <row r="64" spans="1:11" ht="45">
      <c r="A64" s="1770">
        <f t="shared" si="4"/>
        <v>53</v>
      </c>
      <c r="B64" s="2515" t="s">
        <v>3501</v>
      </c>
      <c r="C64" s="2729" t="str">
        <f>'reservoir 200'!J141</f>
        <v>pc</v>
      </c>
      <c r="D64" s="2729">
        <v>6</v>
      </c>
      <c r="E64" s="2729">
        <v>1110</v>
      </c>
      <c r="F64" s="1752">
        <f t="shared" si="1"/>
        <v>6660</v>
      </c>
      <c r="G64" s="2729">
        <f t="shared" si="5"/>
        <v>6</v>
      </c>
      <c r="H64" s="2738">
        <f t="shared" si="2"/>
        <v>6660</v>
      </c>
      <c r="I64" s="2738">
        <f t="shared" si="6"/>
        <v>0</v>
      </c>
      <c r="J64" s="1770"/>
      <c r="K64" s="2513">
        <f t="shared" si="3"/>
        <v>0</v>
      </c>
    </row>
    <row r="65" spans="1:14" ht="45">
      <c r="A65" s="1770">
        <f t="shared" si="4"/>
        <v>54</v>
      </c>
      <c r="B65" s="2515" t="s">
        <v>3502</v>
      </c>
      <c r="C65" s="2729" t="str">
        <f>'reservoir 200'!J143</f>
        <v>Pc</v>
      </c>
      <c r="D65" s="2729">
        <v>3</v>
      </c>
      <c r="E65" s="2729">
        <v>9000</v>
      </c>
      <c r="F65" s="1752">
        <f t="shared" si="1"/>
        <v>27000</v>
      </c>
      <c r="G65" s="2729">
        <f t="shared" si="5"/>
        <v>3</v>
      </c>
      <c r="H65" s="2738">
        <f t="shared" si="2"/>
        <v>27000</v>
      </c>
      <c r="I65" s="2738">
        <f t="shared" si="6"/>
        <v>0</v>
      </c>
      <c r="J65" s="1770"/>
      <c r="K65" s="2513">
        <f t="shared" si="3"/>
        <v>0</v>
      </c>
    </row>
    <row r="66" spans="1:14" ht="30">
      <c r="A66" s="1770">
        <f t="shared" si="4"/>
        <v>55</v>
      </c>
      <c r="B66" s="2515" t="s">
        <v>3503</v>
      </c>
      <c r="C66" s="2729" t="str">
        <f>'reservoir 200'!J145</f>
        <v>pc</v>
      </c>
      <c r="D66" s="2729">
        <v>3</v>
      </c>
      <c r="E66" s="2729">
        <v>1100</v>
      </c>
      <c r="F66" s="1752">
        <f t="shared" si="1"/>
        <v>3300</v>
      </c>
      <c r="G66" s="2729">
        <f t="shared" si="5"/>
        <v>3</v>
      </c>
      <c r="H66" s="2738">
        <f t="shared" si="2"/>
        <v>3300</v>
      </c>
      <c r="I66" s="2738">
        <f t="shared" si="6"/>
        <v>0</v>
      </c>
      <c r="J66" s="1770"/>
      <c r="K66" s="2513">
        <f t="shared" si="3"/>
        <v>0</v>
      </c>
    </row>
    <row r="67" spans="1:14" ht="30">
      <c r="A67" s="1770">
        <f t="shared" si="4"/>
        <v>56</v>
      </c>
      <c r="B67" s="2515" t="s">
        <v>3504</v>
      </c>
      <c r="C67" s="2729" t="str">
        <f>'reservoir 200'!J146</f>
        <v>set</v>
      </c>
      <c r="D67" s="2729">
        <v>6</v>
      </c>
      <c r="E67" s="2729">
        <v>700</v>
      </c>
      <c r="F67" s="1752">
        <f t="shared" si="1"/>
        <v>4200</v>
      </c>
      <c r="G67" s="2729">
        <f t="shared" si="5"/>
        <v>6</v>
      </c>
      <c r="H67" s="2738">
        <f t="shared" si="2"/>
        <v>4200</v>
      </c>
      <c r="I67" s="2738">
        <f t="shared" si="6"/>
        <v>0</v>
      </c>
      <c r="J67" s="1770"/>
      <c r="K67" s="2513">
        <f t="shared" si="3"/>
        <v>0</v>
      </c>
    </row>
    <row r="68" spans="1:14" ht="30">
      <c r="A68" s="1770">
        <f t="shared" si="4"/>
        <v>57</v>
      </c>
      <c r="B68" s="2515" t="s">
        <v>3505</v>
      </c>
      <c r="C68" s="2729" t="str">
        <f>'reservoir 200'!J147</f>
        <v>pc</v>
      </c>
      <c r="D68" s="2729">
        <v>3</v>
      </c>
      <c r="E68" s="2729">
        <v>400</v>
      </c>
      <c r="F68" s="1752">
        <f t="shared" si="1"/>
        <v>1200</v>
      </c>
      <c r="G68" s="2729">
        <f t="shared" si="5"/>
        <v>3</v>
      </c>
      <c r="H68" s="2738">
        <f t="shared" si="2"/>
        <v>1200</v>
      </c>
      <c r="I68" s="2738">
        <f t="shared" si="6"/>
        <v>0</v>
      </c>
      <c r="J68" s="1770"/>
      <c r="K68" s="2513">
        <f t="shared" si="3"/>
        <v>0</v>
      </c>
    </row>
    <row r="69" spans="1:14" ht="45">
      <c r="A69" s="1770">
        <f t="shared" si="4"/>
        <v>58</v>
      </c>
      <c r="B69" s="2515" t="s">
        <v>3506</v>
      </c>
      <c r="C69" s="2729" t="str">
        <f>'reservoir 200'!J148</f>
        <v>set</v>
      </c>
      <c r="D69" s="2729">
        <v>3</v>
      </c>
      <c r="E69" s="2729">
        <v>1850</v>
      </c>
      <c r="F69" s="1752">
        <f t="shared" si="1"/>
        <v>5550</v>
      </c>
      <c r="G69" s="2729">
        <f t="shared" si="5"/>
        <v>3</v>
      </c>
      <c r="H69" s="2738">
        <f t="shared" si="2"/>
        <v>5550</v>
      </c>
      <c r="I69" s="2738">
        <f t="shared" si="6"/>
        <v>0</v>
      </c>
      <c r="J69" s="1770"/>
      <c r="K69" s="2513">
        <f t="shared" si="3"/>
        <v>0</v>
      </c>
    </row>
    <row r="70" spans="1:14" ht="25.5">
      <c r="A70" s="1770">
        <f t="shared" si="4"/>
        <v>59</v>
      </c>
      <c r="B70" s="332" t="s">
        <v>3507</v>
      </c>
      <c r="C70" s="1752" t="s">
        <v>1033</v>
      </c>
      <c r="D70" s="1752">
        <v>1724.58</v>
      </c>
      <c r="E70" s="1752">
        <v>1000</v>
      </c>
      <c r="F70" s="1752">
        <f t="shared" si="1"/>
        <v>1724580</v>
      </c>
      <c r="G70" s="2729">
        <f>'fencing quantity'!G76</f>
        <v>1782.96</v>
      </c>
      <c r="H70" s="2738">
        <f t="shared" si="2"/>
        <v>1782960</v>
      </c>
      <c r="I70" s="2738">
        <f t="shared" si="6"/>
        <v>58380</v>
      </c>
      <c r="J70" s="1770"/>
      <c r="K70" s="2513">
        <f t="shared" si="3"/>
        <v>3.3851720418884597</v>
      </c>
    </row>
    <row r="71" spans="1:14" ht="38.25">
      <c r="A71" s="1770">
        <f t="shared" si="4"/>
        <v>60</v>
      </c>
      <c r="B71" s="332" t="s">
        <v>3508</v>
      </c>
      <c r="C71" s="1752" t="s">
        <v>1034</v>
      </c>
      <c r="D71" s="1752">
        <v>35.4</v>
      </c>
      <c r="E71" s="1752">
        <v>150</v>
      </c>
      <c r="F71" s="1752">
        <f t="shared" si="1"/>
        <v>5310</v>
      </c>
      <c r="G71" s="2729">
        <f>'fencing quantity'!G82</f>
        <v>0</v>
      </c>
      <c r="H71" s="2738">
        <f t="shared" si="2"/>
        <v>0</v>
      </c>
      <c r="I71" s="2738">
        <f t="shared" si="6"/>
        <v>-5310</v>
      </c>
      <c r="J71" s="1770"/>
      <c r="K71" s="2513">
        <f t="shared" si="3"/>
        <v>-100</v>
      </c>
    </row>
    <row r="72" spans="1:14" ht="25.5">
      <c r="A72" s="1770">
        <f t="shared" si="4"/>
        <v>61</v>
      </c>
      <c r="B72" s="332" t="s">
        <v>3509</v>
      </c>
      <c r="C72" s="1752" t="s">
        <v>1034</v>
      </c>
      <c r="D72" s="1752">
        <v>1077.99</v>
      </c>
      <c r="E72" s="1752">
        <v>150</v>
      </c>
      <c r="F72" s="1752">
        <f t="shared" si="1"/>
        <v>161698.5</v>
      </c>
      <c r="G72" s="2729">
        <f>'fencing quantity'!G90</f>
        <v>560</v>
      </c>
      <c r="H72" s="2738">
        <f t="shared" si="2"/>
        <v>84000</v>
      </c>
      <c r="I72" s="2738">
        <f t="shared" si="6"/>
        <v>-77698.5</v>
      </c>
      <c r="J72" s="1770"/>
      <c r="K72" s="2513">
        <f t="shared" si="3"/>
        <v>-48.051466154602544</v>
      </c>
    </row>
    <row r="73" spans="1:14" ht="63.75">
      <c r="A73" s="1770">
        <f t="shared" si="4"/>
        <v>62</v>
      </c>
      <c r="B73" s="2741" t="s">
        <v>3510</v>
      </c>
      <c r="C73" s="1752" t="s">
        <v>1174</v>
      </c>
      <c r="D73" s="1752">
        <v>135</v>
      </c>
      <c r="E73" s="1752">
        <v>2500</v>
      </c>
      <c r="F73" s="1752">
        <f t="shared" si="1"/>
        <v>337500</v>
      </c>
      <c r="G73" s="1770"/>
      <c r="H73" s="2738">
        <f t="shared" si="2"/>
        <v>0</v>
      </c>
      <c r="I73" s="2738">
        <f t="shared" si="6"/>
        <v>-337500</v>
      </c>
      <c r="J73" s="1770"/>
      <c r="K73" s="2513">
        <f t="shared" si="3"/>
        <v>-100</v>
      </c>
    </row>
    <row r="74" spans="1:14" ht="140.25">
      <c r="A74" s="1770">
        <f t="shared" si="4"/>
        <v>63</v>
      </c>
      <c r="B74" s="2742" t="s">
        <v>3511</v>
      </c>
      <c r="C74" s="1752" t="s">
        <v>1174</v>
      </c>
      <c r="D74" s="1752">
        <v>600</v>
      </c>
      <c r="E74" s="1752">
        <v>50</v>
      </c>
      <c r="F74" s="1752">
        <f t="shared" si="1"/>
        <v>30000</v>
      </c>
      <c r="G74" s="1770">
        <f>10*10*2+10*10*1.5+15*6*1</f>
        <v>440</v>
      </c>
      <c r="H74" s="2738">
        <f t="shared" si="2"/>
        <v>22000</v>
      </c>
      <c r="I74" s="2738">
        <f t="shared" si="6"/>
        <v>-8000</v>
      </c>
      <c r="J74" s="1770"/>
      <c r="K74" s="2513">
        <f t="shared" si="3"/>
        <v>-26.666666666666668</v>
      </c>
    </row>
    <row r="75" spans="1:14">
      <c r="A75" s="1770"/>
      <c r="B75" s="1753" t="s">
        <v>1108</v>
      </c>
      <c r="C75" s="1770"/>
      <c r="D75" s="1770"/>
      <c r="E75" s="1770"/>
      <c r="F75" s="2754">
        <f>SUM(F12:F74)</f>
        <v>11340909</v>
      </c>
      <c r="G75" s="1770"/>
      <c r="H75" s="2754">
        <f>SUM(H12:H74)</f>
        <v>10736292.784070494</v>
      </c>
      <c r="I75" s="2754">
        <f t="shared" si="6"/>
        <v>-604616.21592950635</v>
      </c>
      <c r="J75" s="1770"/>
      <c r="K75">
        <f>H75/F75*100</f>
        <v>94.66871468654314</v>
      </c>
      <c r="L75" s="6" t="e">
        <f>'reservoir 200'!L152+'reservoir 150 '!L150+'reservoir 50'!L149+#REF!+#REF!+H73+H74</f>
        <v>#REF!</v>
      </c>
      <c r="N75" s="2513" t="e">
        <f>L75-H75</f>
        <v>#REF!</v>
      </c>
    </row>
    <row r="76" spans="1:14">
      <c r="A76" s="1770"/>
      <c r="B76" s="1753" t="s">
        <v>3578</v>
      </c>
      <c r="C76" s="1770"/>
      <c r="D76" s="1770"/>
      <c r="E76" s="1770"/>
      <c r="F76" s="2754">
        <f>F75*0.13</f>
        <v>1474318.1700000002</v>
      </c>
      <c r="G76" s="1770"/>
      <c r="H76" s="2754">
        <f>H75*0.13</f>
        <v>1395718.0619291642</v>
      </c>
      <c r="I76" s="2754">
        <f t="shared" ref="I76:I82" si="7">H76-F76</f>
        <v>-78600.108070835937</v>
      </c>
      <c r="J76" s="1770"/>
    </row>
    <row r="77" spans="1:14">
      <c r="A77" s="1770"/>
      <c r="B77" s="1753" t="s">
        <v>3450</v>
      </c>
      <c r="C77" s="1770"/>
      <c r="D77" s="1770"/>
      <c r="E77" s="1770"/>
      <c r="F77" s="2754">
        <f>SUM(F75:F76)</f>
        <v>12815227.17</v>
      </c>
      <c r="G77" s="1770"/>
      <c r="H77" s="2754">
        <f>SUM(H75:H76)</f>
        <v>12132010.845999658</v>
      </c>
      <c r="I77" s="2754">
        <f t="shared" si="7"/>
        <v>-683216.32400034182</v>
      </c>
      <c r="J77" s="1770"/>
    </row>
    <row r="78" spans="1:14" ht="25.5">
      <c r="A78" s="1770"/>
      <c r="B78" s="2734" t="s">
        <v>3512</v>
      </c>
      <c r="C78" s="1752" t="s">
        <v>3213</v>
      </c>
      <c r="D78" s="1752">
        <v>3</v>
      </c>
      <c r="E78" s="1752">
        <v>5000</v>
      </c>
      <c r="F78" s="1752">
        <f>E78*D78</f>
        <v>15000</v>
      </c>
      <c r="G78" s="1770">
        <v>2</v>
      </c>
      <c r="H78" s="2738">
        <f>Sheet1!E78</f>
        <v>5000</v>
      </c>
      <c r="I78" s="2738">
        <f t="shared" si="7"/>
        <v>-10000</v>
      </c>
      <c r="J78" s="1770"/>
    </row>
    <row r="79" spans="1:14" ht="25.5">
      <c r="A79" s="1770"/>
      <c r="B79" s="2734" t="s">
        <v>3513</v>
      </c>
      <c r="C79" s="1752" t="s">
        <v>3213</v>
      </c>
      <c r="D79" s="1752">
        <v>1</v>
      </c>
      <c r="E79" s="1752">
        <v>45000</v>
      </c>
      <c r="F79" s="1752">
        <f t="shared" ref="F79:F81" si="8">E79*D79</f>
        <v>45000</v>
      </c>
      <c r="G79" s="1770">
        <v>1</v>
      </c>
      <c r="H79" s="2738">
        <f>Sheet1!E79</f>
        <v>45000</v>
      </c>
      <c r="I79" s="2738">
        <f t="shared" si="7"/>
        <v>0</v>
      </c>
      <c r="J79" s="1770"/>
    </row>
    <row r="80" spans="1:14">
      <c r="A80" s="1770"/>
      <c r="B80" s="1752" t="s">
        <v>3211</v>
      </c>
      <c r="C80" s="1752" t="s">
        <v>3213</v>
      </c>
      <c r="D80" s="1752">
        <v>1</v>
      </c>
      <c r="E80" s="1752">
        <v>30000</v>
      </c>
      <c r="F80" s="1752">
        <f t="shared" si="8"/>
        <v>30000</v>
      </c>
      <c r="G80" s="1770">
        <v>1</v>
      </c>
      <c r="H80" s="2738">
        <f>Sheet1!E80</f>
        <v>30000</v>
      </c>
      <c r="I80" s="2738">
        <f t="shared" si="7"/>
        <v>0</v>
      </c>
      <c r="J80" s="1770"/>
    </row>
    <row r="81" spans="1:10" ht="51">
      <c r="A81" s="1770"/>
      <c r="B81" s="2734" t="s">
        <v>3514</v>
      </c>
      <c r="C81" s="1752" t="s">
        <v>3213</v>
      </c>
      <c r="D81" s="1752">
        <v>1</v>
      </c>
      <c r="E81" s="1752">
        <v>300000</v>
      </c>
      <c r="F81" s="1752">
        <f t="shared" si="8"/>
        <v>300000</v>
      </c>
      <c r="G81" s="1770">
        <v>1</v>
      </c>
      <c r="H81" s="2738">
        <f>Sheet1!E81</f>
        <v>235113.02</v>
      </c>
      <c r="I81" s="2738">
        <f t="shared" si="7"/>
        <v>-64886.98000000001</v>
      </c>
      <c r="J81" s="1770"/>
    </row>
    <row r="82" spans="1:10">
      <c r="A82" s="1770"/>
      <c r="B82" s="1753" t="s">
        <v>1108</v>
      </c>
      <c r="C82" s="1752"/>
      <c r="D82" s="1752"/>
      <c r="E82" s="1752"/>
      <c r="F82" s="2818">
        <f>SUM(F77:F81)</f>
        <v>13205227.17</v>
      </c>
      <c r="G82" s="1770"/>
      <c r="H82" s="2754">
        <f>SUM(H77:H81)</f>
        <v>12447123.865999658</v>
      </c>
      <c r="I82" s="2754">
        <f t="shared" si="7"/>
        <v>-758103.30400034226</v>
      </c>
      <c r="J82" s="1770"/>
    </row>
  </sheetData>
  <mergeCells count="4">
    <mergeCell ref="A1:J1"/>
    <mergeCell ref="A2:J2"/>
    <mergeCell ref="A3:J3"/>
    <mergeCell ref="A4:J4"/>
  </mergeCells>
  <pageMargins left="0.7" right="0.7" top="0.75" bottom="0.75" header="0.3" footer="0.3"/>
  <pageSetup scale="93" orientation="landscape" r:id="rId1"/>
  <headerFooter>
    <oddFooter>&amp;LPrepared By:&amp;CChecked By: Er Bal Krishna Manandhar                        Recommended By: Er. Prakash Singh Saud&amp;RApproved By:
Basudev Khanal</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FFFF00"/>
  </sheetPr>
  <dimension ref="A1:M83"/>
  <sheetViews>
    <sheetView view="pageLayout" topLeftCell="A16" workbookViewId="0">
      <selection activeCell="E16" sqref="E16"/>
    </sheetView>
  </sheetViews>
  <sheetFormatPr defaultRowHeight="12.75"/>
  <cols>
    <col min="1" max="1" width="6.42578125" customWidth="1"/>
    <col min="2" max="2" width="31.140625" customWidth="1"/>
    <col min="5" max="5" width="11.42578125" bestFit="1" customWidth="1"/>
    <col min="6" max="6" width="14" style="2739" bestFit="1" customWidth="1"/>
    <col min="7" max="7" width="14" bestFit="1" customWidth="1"/>
    <col min="9" max="9" width="11.5703125" bestFit="1" customWidth="1"/>
    <col min="11" max="11" width="10.85546875" bestFit="1" customWidth="1"/>
  </cols>
  <sheetData>
    <row r="1" spans="1:13" s="2596" customFormat="1" ht="15">
      <c r="A1" s="3110" t="s">
        <v>3515</v>
      </c>
      <c r="B1" s="3110"/>
      <c r="C1" s="3110"/>
      <c r="D1" s="3110"/>
      <c r="E1" s="3110"/>
      <c r="F1" s="3110"/>
      <c r="G1" s="3110"/>
      <c r="H1" s="2747"/>
      <c r="I1" s="2747"/>
      <c r="J1" s="2747"/>
      <c r="K1" s="2747"/>
      <c r="L1" s="2747"/>
      <c r="M1" s="2747"/>
    </row>
    <row r="2" spans="1:13" s="2596" customFormat="1" ht="20.25">
      <c r="A2" s="3111" t="s">
        <v>3516</v>
      </c>
      <c r="B2" s="3111"/>
      <c r="C2" s="3111"/>
      <c r="D2" s="3111"/>
      <c r="E2" s="3111"/>
      <c r="F2" s="3111"/>
      <c r="G2" s="3111"/>
      <c r="H2" s="2746"/>
      <c r="I2" s="2746"/>
      <c r="J2" s="2746"/>
      <c r="K2" s="2746"/>
      <c r="L2" s="2746"/>
      <c r="M2" s="2746"/>
    </row>
    <row r="3" spans="1:13" s="2596" customFormat="1" ht="20.25">
      <c r="A3" s="3112" t="s">
        <v>3517</v>
      </c>
      <c r="B3" s="3112"/>
      <c r="C3" s="3112"/>
      <c r="D3" s="3112"/>
      <c r="E3" s="3112"/>
      <c r="F3" s="3112"/>
      <c r="G3" s="3112"/>
      <c r="H3" s="2752"/>
      <c r="I3" s="2746"/>
      <c r="J3" s="2746"/>
      <c r="K3" s="2746"/>
      <c r="L3" s="2746"/>
      <c r="M3" s="2746"/>
    </row>
    <row r="4" spans="1:13" s="2596" customFormat="1" ht="20.25">
      <c r="A4" s="2907" t="s">
        <v>3522</v>
      </c>
      <c r="B4" s="2907"/>
      <c r="C4" s="2907"/>
      <c r="D4" s="2907"/>
      <c r="E4" s="2907"/>
      <c r="F4" s="2907"/>
      <c r="G4" s="2907"/>
      <c r="H4" s="2752"/>
      <c r="I4" s="2746"/>
      <c r="J4" s="2746"/>
      <c r="K4" s="2746"/>
      <c r="L4" s="2746"/>
      <c r="M4" s="2746"/>
    </row>
    <row r="5" spans="1:13" s="2596" customFormat="1" ht="20.25">
      <c r="A5" s="513" t="s">
        <v>3529</v>
      </c>
      <c r="B5" s="2743"/>
      <c r="C5" s="2743"/>
      <c r="D5" s="2743"/>
      <c r="E5" s="2743"/>
      <c r="F5" s="2743"/>
      <c r="G5" s="2743"/>
      <c r="H5" s="2743"/>
      <c r="I5" s="2743"/>
      <c r="J5" s="2743"/>
      <c r="K5" s="2743"/>
      <c r="L5" s="2743"/>
      <c r="M5" s="2743"/>
    </row>
    <row r="6" spans="1:13" s="2596" customFormat="1" ht="20.25">
      <c r="A6" s="2819" t="s">
        <v>3583</v>
      </c>
      <c r="B6" s="2743"/>
      <c r="C6" s="2743"/>
      <c r="D6" s="2743"/>
      <c r="E6" s="2743"/>
      <c r="F6" s="2743"/>
      <c r="G6" s="2743"/>
      <c r="H6" s="2743"/>
      <c r="I6" s="2743"/>
      <c r="J6" s="2743"/>
      <c r="K6" s="2743"/>
      <c r="L6" s="2743"/>
      <c r="M6" s="2743"/>
    </row>
    <row r="7" spans="1:13" s="2596" customFormat="1" ht="20.25">
      <c r="A7" s="2819" t="s">
        <v>3584</v>
      </c>
      <c r="B7" s="2743"/>
      <c r="C7" s="2743"/>
      <c r="D7" s="2743"/>
      <c r="E7" s="2743"/>
      <c r="F7" s="2743"/>
      <c r="G7" s="2743"/>
      <c r="H7" s="2743"/>
      <c r="I7" s="2743"/>
      <c r="J7" s="2743"/>
      <c r="K7" s="2743"/>
      <c r="L7" s="2743"/>
      <c r="M7" s="2743"/>
    </row>
    <row r="8" spans="1:13" s="2596" customFormat="1" ht="20.25">
      <c r="A8" s="2748" t="s">
        <v>3518</v>
      </c>
      <c r="C8" s="2743"/>
      <c r="D8" s="2743"/>
      <c r="E8" s="2743"/>
      <c r="F8" s="2743"/>
      <c r="G8" s="2749" t="s">
        <v>3520</v>
      </c>
      <c r="I8" s="2743"/>
      <c r="J8" s="2743"/>
      <c r="K8" s="2743"/>
      <c r="L8" s="2743"/>
    </row>
    <row r="9" spans="1:13" s="2596" customFormat="1" ht="20.25">
      <c r="A9" s="2748" t="s">
        <v>3519</v>
      </c>
      <c r="C9" s="2743"/>
      <c r="D9" s="2743"/>
      <c r="E9" s="2743"/>
      <c r="F9" s="2743"/>
      <c r="G9" s="2749" t="str">
        <f>wcr!J9</f>
        <v>Date: 2080/3/21</v>
      </c>
      <c r="I9" s="2743"/>
      <c r="J9" s="2743"/>
      <c r="K9" s="2743"/>
      <c r="L9" s="2743"/>
    </row>
    <row r="10" spans="1:13">
      <c r="A10" s="2750" t="s">
        <v>1357</v>
      </c>
      <c r="B10" s="2750" t="s">
        <v>962</v>
      </c>
      <c r="C10" s="2750" t="s">
        <v>1035</v>
      </c>
      <c r="D10" s="2750" t="s">
        <v>964</v>
      </c>
      <c r="E10" s="2750" t="s">
        <v>97</v>
      </c>
      <c r="F10" s="2751" t="s">
        <v>52</v>
      </c>
      <c r="G10" s="2750" t="s">
        <v>1055</v>
      </c>
    </row>
    <row r="11" spans="1:13">
      <c r="A11" s="1752"/>
      <c r="B11" s="1752" t="s">
        <v>3449</v>
      </c>
      <c r="C11" s="1770"/>
      <c r="D11" s="1752"/>
      <c r="E11" s="1770"/>
      <c r="F11" s="2738"/>
      <c r="G11" s="1770"/>
    </row>
    <row r="12" spans="1:13" ht="78.75">
      <c r="A12" s="1770">
        <v>1</v>
      </c>
      <c r="B12" s="2728" t="s">
        <v>3461</v>
      </c>
      <c r="C12" s="1752" t="s">
        <v>1182</v>
      </c>
      <c r="D12" s="2729">
        <f>wcr!G12</f>
        <v>909.25259905752057</v>
      </c>
      <c r="E12" s="2730">
        <v>80</v>
      </c>
      <c r="F12" s="2738">
        <f>D12*E12</f>
        <v>72740.207924601651</v>
      </c>
      <c r="G12" s="1770"/>
    </row>
    <row r="13" spans="1:13" ht="63">
      <c r="A13" s="1770">
        <f>A12+1</f>
        <v>2</v>
      </c>
      <c r="B13" s="2728" t="s">
        <v>3452</v>
      </c>
      <c r="C13" s="1752" t="s">
        <v>1174</v>
      </c>
      <c r="D13" s="2729">
        <f>wcr!G13</f>
        <v>758.3624385468255</v>
      </c>
      <c r="E13" s="2729">
        <v>80</v>
      </c>
      <c r="F13" s="2738">
        <f t="shared" ref="F13:F33" si="0">D13*E13</f>
        <v>60668.995083746042</v>
      </c>
      <c r="G13" s="1770"/>
    </row>
    <row r="14" spans="1:13" ht="78.75">
      <c r="A14" s="1770">
        <f t="shared" ref="A14:A74" si="1">A13+1</f>
        <v>3</v>
      </c>
      <c r="B14" s="2731" t="s">
        <v>3453</v>
      </c>
      <c r="C14" s="1752" t="s">
        <v>1174</v>
      </c>
      <c r="D14" s="2729">
        <f>wcr!G14</f>
        <v>97.271841479988595</v>
      </c>
      <c r="E14" s="2729">
        <v>100</v>
      </c>
      <c r="F14" s="2738">
        <f t="shared" si="0"/>
        <v>9727.1841479988598</v>
      </c>
      <c r="G14" s="1770"/>
    </row>
    <row r="15" spans="1:13" ht="47.25">
      <c r="A15" s="1770">
        <f t="shared" si="1"/>
        <v>4</v>
      </c>
      <c r="B15" s="2728" t="s">
        <v>3454</v>
      </c>
      <c r="C15" s="1752" t="s">
        <v>1174</v>
      </c>
      <c r="D15" s="2729">
        <f>wcr!G15</f>
        <v>85.508741806243393</v>
      </c>
      <c r="E15" s="2729">
        <v>3200</v>
      </c>
      <c r="F15" s="2738">
        <f t="shared" si="0"/>
        <v>273627.97377997887</v>
      </c>
      <c r="G15" s="1770"/>
    </row>
    <row r="16" spans="1:13" ht="63">
      <c r="A16" s="1770">
        <f t="shared" si="1"/>
        <v>5</v>
      </c>
      <c r="B16" s="2728" t="s">
        <v>3455</v>
      </c>
      <c r="C16" s="1752" t="s">
        <v>1174</v>
      </c>
      <c r="D16" s="2729">
        <f>wcr!G16</f>
        <v>75.101249999999993</v>
      </c>
      <c r="E16" s="2729">
        <v>6000</v>
      </c>
      <c r="F16" s="2738">
        <f t="shared" si="0"/>
        <v>450607.49999999994</v>
      </c>
      <c r="G16" s="1770"/>
    </row>
    <row r="17" spans="1:7" ht="78.75">
      <c r="A17" s="1770">
        <f t="shared" si="1"/>
        <v>6</v>
      </c>
      <c r="B17" s="2728" t="s">
        <v>3456</v>
      </c>
      <c r="C17" s="1752" t="s">
        <v>1174</v>
      </c>
      <c r="D17" s="2729">
        <f>wcr!G17</f>
        <v>35.522553573032951</v>
      </c>
      <c r="E17" s="2729">
        <v>6600</v>
      </c>
      <c r="F17" s="2738">
        <f t="shared" si="0"/>
        <v>234448.85358201747</v>
      </c>
      <c r="G17" s="1770"/>
    </row>
    <row r="18" spans="1:7" ht="63">
      <c r="A18" s="1770">
        <f t="shared" si="1"/>
        <v>7</v>
      </c>
      <c r="B18" s="2728" t="s">
        <v>3457</v>
      </c>
      <c r="C18" s="1752" t="s">
        <v>1174</v>
      </c>
      <c r="D18" s="2729">
        <f>wcr!G18</f>
        <v>6.8602999999999996</v>
      </c>
      <c r="E18" s="2729">
        <v>8000</v>
      </c>
      <c r="F18" s="2738">
        <f t="shared" si="0"/>
        <v>54882.399999999994</v>
      </c>
      <c r="G18" s="1770"/>
    </row>
    <row r="19" spans="1:7" ht="78.75">
      <c r="A19" s="1770">
        <f t="shared" si="1"/>
        <v>8</v>
      </c>
      <c r="B19" s="2728" t="s">
        <v>3458</v>
      </c>
      <c r="C19" s="1752" t="s">
        <v>1174</v>
      </c>
      <c r="D19" s="2729">
        <f>wcr!G19</f>
        <v>237.28095543549716</v>
      </c>
      <c r="E19" s="2729">
        <v>12800</v>
      </c>
      <c r="F19" s="2738">
        <f t="shared" si="0"/>
        <v>3037196.2295743637</v>
      </c>
      <c r="G19" s="1770"/>
    </row>
    <row r="20" spans="1:7" ht="78.75">
      <c r="A20" s="1770">
        <f t="shared" si="1"/>
        <v>9</v>
      </c>
      <c r="B20" s="2728" t="s">
        <v>3459</v>
      </c>
      <c r="C20" s="1752" t="s">
        <v>1182</v>
      </c>
      <c r="D20" s="2729">
        <f>wcr!G20</f>
        <v>1387.6407528593647</v>
      </c>
      <c r="E20" s="2729">
        <v>250</v>
      </c>
      <c r="F20" s="2738">
        <f t="shared" si="0"/>
        <v>346910.18821484118</v>
      </c>
      <c r="G20" s="1770"/>
    </row>
    <row r="21" spans="1:7" ht="47.25">
      <c r="A21" s="1770">
        <f t="shared" si="1"/>
        <v>10</v>
      </c>
      <c r="B21" s="2728" t="s">
        <v>3460</v>
      </c>
      <c r="C21" s="1752" t="s">
        <v>3168</v>
      </c>
      <c r="D21" s="2732">
        <f>wcr!G21</f>
        <v>3</v>
      </c>
      <c r="E21" s="1770">
        <v>10000</v>
      </c>
      <c r="F21" s="2738">
        <f t="shared" si="0"/>
        <v>30000</v>
      </c>
      <c r="G21" s="1770"/>
    </row>
    <row r="22" spans="1:7" ht="173.25">
      <c r="A22" s="1770">
        <f t="shared" si="1"/>
        <v>11</v>
      </c>
      <c r="B22" s="2740" t="s">
        <v>3462</v>
      </c>
      <c r="C22" s="1752" t="s">
        <v>1034</v>
      </c>
      <c r="D22" s="2729">
        <f>wcr!G22</f>
        <v>27234.342855463961</v>
      </c>
      <c r="E22" s="2729">
        <v>110</v>
      </c>
      <c r="F22" s="2738">
        <f t="shared" si="0"/>
        <v>2995777.7141010356</v>
      </c>
      <c r="G22" s="1770"/>
    </row>
    <row r="23" spans="1:7" ht="47.25">
      <c r="A23" s="1770">
        <f t="shared" si="1"/>
        <v>12</v>
      </c>
      <c r="B23" s="2728" t="s">
        <v>3463</v>
      </c>
      <c r="C23" s="1752" t="s">
        <v>1174</v>
      </c>
      <c r="D23" s="2729">
        <f>wcr!G23</f>
        <v>0</v>
      </c>
      <c r="E23" s="2729">
        <v>11500</v>
      </c>
      <c r="F23" s="2738">
        <f>D23*E23</f>
        <v>0</v>
      </c>
      <c r="G23" s="1770"/>
    </row>
    <row r="24" spans="1:7" ht="63">
      <c r="A24" s="1770">
        <f t="shared" si="1"/>
        <v>13</v>
      </c>
      <c r="B24" s="2728" t="s">
        <v>3464</v>
      </c>
      <c r="C24" s="1752" t="s">
        <v>1182</v>
      </c>
      <c r="D24" s="2729">
        <f>wcr!G24</f>
        <v>1162.9947986189222</v>
      </c>
      <c r="E24" s="2729">
        <v>280</v>
      </c>
      <c r="F24" s="2738">
        <f t="shared" si="0"/>
        <v>325638.54361329821</v>
      </c>
      <c r="G24" s="1770"/>
    </row>
    <row r="25" spans="1:7" ht="47.25">
      <c r="A25" s="1770">
        <f t="shared" si="1"/>
        <v>14</v>
      </c>
      <c r="B25" s="2728" t="s">
        <v>3465</v>
      </c>
      <c r="C25" s="1752" t="s">
        <v>1182</v>
      </c>
      <c r="D25" s="2729">
        <f>wcr!G25</f>
        <v>626.20996119212248</v>
      </c>
      <c r="E25" s="2729">
        <v>280</v>
      </c>
      <c r="F25" s="2738">
        <f t="shared" si="0"/>
        <v>175338.78913379429</v>
      </c>
      <c r="G25" s="1770"/>
    </row>
    <row r="26" spans="1:7" ht="47.25">
      <c r="A26" s="1770">
        <f t="shared" si="1"/>
        <v>15</v>
      </c>
      <c r="B26" s="2728" t="s">
        <v>3466</v>
      </c>
      <c r="C26" s="1752" t="s">
        <v>1182</v>
      </c>
      <c r="D26" s="2729">
        <f>wcr!G26</f>
        <v>850.99479861892223</v>
      </c>
      <c r="E26" s="2729">
        <v>100</v>
      </c>
      <c r="F26" s="2738">
        <f t="shared" si="0"/>
        <v>85099.479861892221</v>
      </c>
      <c r="G26" s="1770"/>
    </row>
    <row r="27" spans="1:7" ht="47.25">
      <c r="A27" s="1770">
        <f t="shared" si="1"/>
        <v>16</v>
      </c>
      <c r="B27" s="2728" t="s">
        <v>3467</v>
      </c>
      <c r="C27" s="1752" t="s">
        <v>1182</v>
      </c>
      <c r="D27" s="2729">
        <f>wcr!G27</f>
        <v>330.24629995930513</v>
      </c>
      <c r="E27" s="2729">
        <v>120</v>
      </c>
      <c r="F27" s="2738">
        <f t="shared" si="0"/>
        <v>39629.555995116614</v>
      </c>
      <c r="G27" s="1770"/>
    </row>
    <row r="28" spans="1:7" ht="47.25">
      <c r="A28" s="1770">
        <f t="shared" si="1"/>
        <v>17</v>
      </c>
      <c r="B28" s="2728" t="s">
        <v>3468</v>
      </c>
      <c r="C28" s="1752" t="s">
        <v>1182</v>
      </c>
      <c r="D28" s="2729">
        <f>wcr!G28</f>
        <v>344.3264088150753</v>
      </c>
      <c r="E28" s="2729">
        <v>120</v>
      </c>
      <c r="F28" s="2738">
        <f t="shared" si="0"/>
        <v>41319.169057809035</v>
      </c>
      <c r="G28" s="1770"/>
    </row>
    <row r="29" spans="1:7" ht="63">
      <c r="A29" s="1770">
        <f t="shared" si="1"/>
        <v>18</v>
      </c>
      <c r="B29" s="2728" t="s">
        <v>3469</v>
      </c>
      <c r="C29" s="1752" t="s">
        <v>1182</v>
      </c>
      <c r="D29" s="2729">
        <f>wcr!G29</f>
        <v>312</v>
      </c>
      <c r="E29" s="2729">
        <v>120</v>
      </c>
      <c r="F29" s="2738">
        <f>D29*E29</f>
        <v>37440</v>
      </c>
      <c r="G29" s="1770"/>
    </row>
    <row r="30" spans="1:7" ht="47.25">
      <c r="A30" s="1770">
        <f t="shared" si="1"/>
        <v>19</v>
      </c>
      <c r="B30" s="2728" t="s">
        <v>3448</v>
      </c>
      <c r="C30" s="1752" t="s">
        <v>3168</v>
      </c>
      <c r="D30" s="2732">
        <f>wcr!G30</f>
        <v>6</v>
      </c>
      <c r="E30" s="2729">
        <v>20000</v>
      </c>
      <c r="F30" s="2738">
        <f t="shared" si="0"/>
        <v>120000</v>
      </c>
      <c r="G30" s="1770"/>
    </row>
    <row r="31" spans="1:7" ht="47.25">
      <c r="A31" s="1770">
        <f t="shared" si="1"/>
        <v>20</v>
      </c>
      <c r="B31" s="2733" t="s">
        <v>3446</v>
      </c>
      <c r="C31" s="1752" t="s">
        <v>2389</v>
      </c>
      <c r="D31" s="2732">
        <f>wcr!G31</f>
        <v>10</v>
      </c>
      <c r="E31" s="2729">
        <v>10000</v>
      </c>
      <c r="F31" s="2738">
        <f t="shared" si="0"/>
        <v>100000</v>
      </c>
      <c r="G31" s="1770"/>
    </row>
    <row r="32" spans="1:7" ht="31.5">
      <c r="A32" s="1770">
        <f t="shared" si="1"/>
        <v>21</v>
      </c>
      <c r="B32" s="2728" t="s">
        <v>3470</v>
      </c>
      <c r="C32" s="1752" t="s">
        <v>3168</v>
      </c>
      <c r="D32" s="2732">
        <f>wcr!G32</f>
        <v>3</v>
      </c>
      <c r="E32" s="2729">
        <v>20000</v>
      </c>
      <c r="F32" s="2738">
        <f t="shared" si="0"/>
        <v>60000</v>
      </c>
      <c r="G32" s="1770"/>
    </row>
    <row r="33" spans="1:8" ht="47.25">
      <c r="A33" s="1770">
        <f t="shared" si="1"/>
        <v>22</v>
      </c>
      <c r="B33" s="2728" t="s">
        <v>3447</v>
      </c>
      <c r="C33" s="1752" t="s">
        <v>3168</v>
      </c>
      <c r="D33" s="2729">
        <f>wcr!G33</f>
        <v>3</v>
      </c>
      <c r="E33" s="2732">
        <v>20000</v>
      </c>
      <c r="F33" s="2738">
        <f t="shared" si="0"/>
        <v>60000</v>
      </c>
      <c r="G33" s="1770"/>
    </row>
    <row r="34" spans="1:8" ht="45">
      <c r="A34" s="1770">
        <f t="shared" si="1"/>
        <v>23</v>
      </c>
      <c r="B34" s="2515" t="s">
        <v>3471</v>
      </c>
      <c r="C34" s="2729" t="str">
        <f>'reservoir 200'!J109</f>
        <v>pc</v>
      </c>
      <c r="D34" s="2729">
        <f>wcr!G34</f>
        <v>6</v>
      </c>
      <c r="E34" s="2729">
        <v>5500</v>
      </c>
      <c r="F34" s="2738">
        <f t="shared" ref="F34:F69" si="2">D34*E34</f>
        <v>33000</v>
      </c>
      <c r="G34" s="1770"/>
      <c r="H34">
        <v>3</v>
      </c>
    </row>
    <row r="35" spans="1:8" ht="45">
      <c r="A35" s="1770">
        <f t="shared" si="1"/>
        <v>24</v>
      </c>
      <c r="B35" s="2515" t="s">
        <v>3472</v>
      </c>
      <c r="C35" s="2729" t="str">
        <f>'reservoir 200'!J110</f>
        <v>pc</v>
      </c>
      <c r="D35" s="2729">
        <f>wcr!G35</f>
        <v>6</v>
      </c>
      <c r="E35" s="2729">
        <v>1600</v>
      </c>
      <c r="F35" s="2738">
        <f t="shared" si="2"/>
        <v>9600</v>
      </c>
      <c r="G35" s="1770"/>
      <c r="H35">
        <v>3</v>
      </c>
    </row>
    <row r="36" spans="1:8" ht="45">
      <c r="A36" s="1770">
        <f t="shared" si="1"/>
        <v>25</v>
      </c>
      <c r="B36" s="2515" t="s">
        <v>3473</v>
      </c>
      <c r="C36" s="2729" t="str">
        <f>'reservoir 200'!J111</f>
        <v>pc</v>
      </c>
      <c r="D36" s="2729">
        <f>wcr!G36</f>
        <v>3</v>
      </c>
      <c r="E36" s="2729">
        <v>500</v>
      </c>
      <c r="F36" s="2738">
        <f t="shared" si="2"/>
        <v>1500</v>
      </c>
      <c r="G36" s="1770"/>
      <c r="H36">
        <v>3</v>
      </c>
    </row>
    <row r="37" spans="1:8" ht="45">
      <c r="A37" s="1770">
        <f t="shared" si="1"/>
        <v>26</v>
      </c>
      <c r="B37" s="2515" t="s">
        <v>3474</v>
      </c>
      <c r="C37" s="2729" t="str">
        <f>'reservoir 200'!J112</f>
        <v>pc</v>
      </c>
      <c r="D37" s="2729">
        <f>wcr!G37</f>
        <v>6</v>
      </c>
      <c r="E37" s="2729">
        <v>780</v>
      </c>
      <c r="F37" s="2738">
        <f t="shared" si="2"/>
        <v>4680</v>
      </c>
      <c r="G37" s="1770"/>
      <c r="H37">
        <v>3</v>
      </c>
    </row>
    <row r="38" spans="1:8" ht="45">
      <c r="A38" s="1770">
        <f t="shared" si="1"/>
        <v>27</v>
      </c>
      <c r="B38" s="2515" t="s">
        <v>3475</v>
      </c>
      <c r="C38" s="2729" t="str">
        <f>'reservoir 200'!J113</f>
        <v>pc</v>
      </c>
      <c r="D38" s="2729">
        <f>wcr!G38</f>
        <v>6</v>
      </c>
      <c r="E38" s="2729">
        <v>2200</v>
      </c>
      <c r="F38" s="2738">
        <f t="shared" si="2"/>
        <v>13200</v>
      </c>
      <c r="G38" s="1770"/>
      <c r="H38">
        <v>3</v>
      </c>
    </row>
    <row r="39" spans="1:8" ht="45">
      <c r="A39" s="1770">
        <f t="shared" si="1"/>
        <v>28</v>
      </c>
      <c r="B39" s="2515" t="s">
        <v>3476</v>
      </c>
      <c r="C39" s="2729" t="str">
        <f>'reservoir 200'!J114</f>
        <v>pc</v>
      </c>
      <c r="D39" s="2729">
        <f>wcr!G39</f>
        <v>6</v>
      </c>
      <c r="E39" s="2729">
        <v>80</v>
      </c>
      <c r="F39" s="2738">
        <f t="shared" si="2"/>
        <v>480</v>
      </c>
      <c r="G39" s="1770"/>
      <c r="H39">
        <v>3</v>
      </c>
    </row>
    <row r="40" spans="1:8" ht="45">
      <c r="A40" s="1770">
        <f t="shared" si="1"/>
        <v>29</v>
      </c>
      <c r="B40" s="2515" t="s">
        <v>3477</v>
      </c>
      <c r="C40" s="2729" t="str">
        <f>'reservoir 200'!J115</f>
        <v>set</v>
      </c>
      <c r="D40" s="2729">
        <f>wcr!G40</f>
        <v>6</v>
      </c>
      <c r="E40" s="2729">
        <v>610</v>
      </c>
      <c r="F40" s="2738">
        <f t="shared" si="2"/>
        <v>3660</v>
      </c>
      <c r="G40" s="1770"/>
      <c r="H40">
        <v>3</v>
      </c>
    </row>
    <row r="41" spans="1:8" ht="45">
      <c r="A41" s="1770">
        <f t="shared" si="1"/>
        <v>30</v>
      </c>
      <c r="B41" s="2515" t="s">
        <v>3478</v>
      </c>
      <c r="C41" s="2729" t="str">
        <f>'reservoir 200'!J116</f>
        <v>set</v>
      </c>
      <c r="D41" s="2729">
        <f>wcr!G41</f>
        <v>6</v>
      </c>
      <c r="E41" s="2729">
        <v>1600</v>
      </c>
      <c r="F41" s="2738">
        <f t="shared" si="2"/>
        <v>9600</v>
      </c>
      <c r="G41" s="1770"/>
      <c r="H41">
        <v>3</v>
      </c>
    </row>
    <row r="42" spans="1:8" ht="30">
      <c r="A42" s="1770">
        <f t="shared" si="1"/>
        <v>31</v>
      </c>
      <c r="B42" s="2515" t="s">
        <v>3479</v>
      </c>
      <c r="C42" s="2729" t="str">
        <f>'reservoir 200'!J117</f>
        <v>pc</v>
      </c>
      <c r="D42" s="2729">
        <f>wcr!G42</f>
        <v>6</v>
      </c>
      <c r="E42" s="2729">
        <v>230</v>
      </c>
      <c r="F42" s="2738">
        <f t="shared" si="2"/>
        <v>1380</v>
      </c>
      <c r="G42" s="1770"/>
      <c r="H42">
        <v>3</v>
      </c>
    </row>
    <row r="43" spans="1:8" ht="45">
      <c r="A43" s="1770">
        <f t="shared" si="1"/>
        <v>32</v>
      </c>
      <c r="B43" s="2515" t="s">
        <v>3480</v>
      </c>
      <c r="C43" s="2729" t="str">
        <f>'reservoir 200'!J118</f>
        <v>pc</v>
      </c>
      <c r="D43" s="2729">
        <f>wcr!G43</f>
        <v>3</v>
      </c>
      <c r="E43" s="2729">
        <v>1100</v>
      </c>
      <c r="F43" s="2738">
        <f t="shared" si="2"/>
        <v>3300</v>
      </c>
      <c r="G43" s="1770"/>
      <c r="H43">
        <v>3</v>
      </c>
    </row>
    <row r="44" spans="1:8" ht="30">
      <c r="A44" s="1770">
        <f t="shared" si="1"/>
        <v>33</v>
      </c>
      <c r="B44" s="2515" t="s">
        <v>3481</v>
      </c>
      <c r="C44" s="2729" t="str">
        <f>'reservoir 200'!J119</f>
        <v>pc</v>
      </c>
      <c r="D44" s="2729">
        <f>wcr!G44</f>
        <v>6</v>
      </c>
      <c r="E44" s="2729">
        <v>1500</v>
      </c>
      <c r="F44" s="2738">
        <f t="shared" si="2"/>
        <v>9000</v>
      </c>
      <c r="G44" s="1770"/>
      <c r="H44">
        <v>3</v>
      </c>
    </row>
    <row r="45" spans="1:8" ht="45">
      <c r="A45" s="1770">
        <f t="shared" si="1"/>
        <v>34</v>
      </c>
      <c r="B45" s="2515" t="s">
        <v>3482</v>
      </c>
      <c r="C45" s="2729" t="str">
        <f>'reservoir 200'!J120</f>
        <v>pc</v>
      </c>
      <c r="D45" s="2729">
        <f>wcr!G45</f>
        <v>3</v>
      </c>
      <c r="E45" s="2729">
        <v>780</v>
      </c>
      <c r="F45" s="2738">
        <f t="shared" si="2"/>
        <v>2340</v>
      </c>
      <c r="G45" s="1770"/>
      <c r="H45">
        <v>3</v>
      </c>
    </row>
    <row r="46" spans="1:8" ht="45">
      <c r="A46" s="1770">
        <f t="shared" si="1"/>
        <v>35</v>
      </c>
      <c r="B46" s="2515" t="s">
        <v>3483</v>
      </c>
      <c r="C46" s="2729" t="str">
        <f>'reservoir 200'!J121</f>
        <v>pc</v>
      </c>
      <c r="D46" s="2729">
        <f>wcr!G46</f>
        <v>3</v>
      </c>
      <c r="E46" s="2729">
        <v>350</v>
      </c>
      <c r="F46" s="2738">
        <f t="shared" si="2"/>
        <v>1050</v>
      </c>
      <c r="G46" s="1770"/>
      <c r="H46">
        <v>3</v>
      </c>
    </row>
    <row r="47" spans="1:8" ht="30">
      <c r="A47" s="1770">
        <f t="shared" si="1"/>
        <v>36</v>
      </c>
      <c r="B47" s="2515" t="s">
        <v>3484</v>
      </c>
      <c r="C47" s="2729" t="str">
        <f>'reservoir 200'!J122</f>
        <v>pc</v>
      </c>
      <c r="D47" s="2729">
        <f>wcr!G47</f>
        <v>12</v>
      </c>
      <c r="E47" s="2729">
        <v>110</v>
      </c>
      <c r="F47" s="2738">
        <f t="shared" si="2"/>
        <v>1320</v>
      </c>
      <c r="G47" s="1770"/>
      <c r="H47">
        <v>3</v>
      </c>
    </row>
    <row r="48" spans="1:8" ht="30">
      <c r="A48" s="1770">
        <f t="shared" si="1"/>
        <v>37</v>
      </c>
      <c r="B48" s="2515" t="s">
        <v>3485</v>
      </c>
      <c r="C48" s="2729" t="str">
        <f>'reservoir 200'!J123</f>
        <v>pc</v>
      </c>
      <c r="D48" s="2729">
        <f>wcr!G48</f>
        <v>6</v>
      </c>
      <c r="E48" s="2729">
        <v>100</v>
      </c>
      <c r="F48" s="2738">
        <f t="shared" si="2"/>
        <v>600</v>
      </c>
      <c r="G48" s="1770"/>
      <c r="H48">
        <v>3</v>
      </c>
    </row>
    <row r="49" spans="1:8" ht="30">
      <c r="A49" s="1770">
        <f t="shared" si="1"/>
        <v>38</v>
      </c>
      <c r="B49" s="2515" t="s">
        <v>3486</v>
      </c>
      <c r="C49" s="2729" t="str">
        <f>'reservoir 200'!J124</f>
        <v>pc</v>
      </c>
      <c r="D49" s="2729">
        <f>wcr!G49</f>
        <v>3</v>
      </c>
      <c r="E49" s="2729">
        <v>210</v>
      </c>
      <c r="F49" s="2738">
        <f t="shared" si="2"/>
        <v>630</v>
      </c>
      <c r="G49" s="1770"/>
      <c r="H49">
        <v>3</v>
      </c>
    </row>
    <row r="50" spans="1:8" ht="30">
      <c r="A50" s="1770">
        <f t="shared" si="1"/>
        <v>39</v>
      </c>
      <c r="B50" s="2515" t="s">
        <v>3487</v>
      </c>
      <c r="C50" s="2729" t="str">
        <f>'reservoir 200'!J125</f>
        <v>pc</v>
      </c>
      <c r="D50" s="2729">
        <f>wcr!G50</f>
        <v>9</v>
      </c>
      <c r="E50" s="2729">
        <v>100</v>
      </c>
      <c r="F50" s="2738">
        <f t="shared" si="2"/>
        <v>900</v>
      </c>
      <c r="G50" s="1770"/>
      <c r="H50">
        <v>3</v>
      </c>
    </row>
    <row r="51" spans="1:8" ht="45">
      <c r="A51" s="1770">
        <f t="shared" si="1"/>
        <v>40</v>
      </c>
      <c r="B51" s="2515" t="s">
        <v>3488</v>
      </c>
      <c r="C51" s="2729" t="str">
        <f>'reservoir 200'!J127</f>
        <v>pc</v>
      </c>
      <c r="D51" s="2729">
        <f>wcr!G51</f>
        <v>6</v>
      </c>
      <c r="E51" s="2729">
        <v>6900</v>
      </c>
      <c r="F51" s="2738">
        <f t="shared" si="2"/>
        <v>41400</v>
      </c>
      <c r="G51" s="1770"/>
      <c r="H51">
        <v>3</v>
      </c>
    </row>
    <row r="52" spans="1:8" ht="45">
      <c r="A52" s="1770">
        <f t="shared" si="1"/>
        <v>41</v>
      </c>
      <c r="B52" s="2515" t="s">
        <v>3489</v>
      </c>
      <c r="C52" s="2729" t="str">
        <f>'reservoir 200'!J128</f>
        <v>pc</v>
      </c>
      <c r="D52" s="2729">
        <f>wcr!G52</f>
        <v>3</v>
      </c>
      <c r="E52" s="2729">
        <v>1710</v>
      </c>
      <c r="F52" s="2738">
        <f t="shared" si="2"/>
        <v>5130</v>
      </c>
      <c r="G52" s="1770"/>
      <c r="H52">
        <v>3</v>
      </c>
    </row>
    <row r="53" spans="1:8" ht="30">
      <c r="A53" s="1770">
        <f t="shared" si="1"/>
        <v>42</v>
      </c>
      <c r="B53" s="2515" t="s">
        <v>3490</v>
      </c>
      <c r="C53" s="2729" t="str">
        <f>'reservoir 200'!J129</f>
        <v>pc</v>
      </c>
      <c r="D53" s="2729">
        <f>wcr!G53</f>
        <v>6</v>
      </c>
      <c r="E53" s="2729">
        <v>1270</v>
      </c>
      <c r="F53" s="2738">
        <f t="shared" si="2"/>
        <v>7620</v>
      </c>
      <c r="G53" s="1770"/>
      <c r="H53">
        <v>3</v>
      </c>
    </row>
    <row r="54" spans="1:8" ht="30">
      <c r="A54" s="1770">
        <f t="shared" si="1"/>
        <v>43</v>
      </c>
      <c r="B54" s="2515" t="s">
        <v>3491</v>
      </c>
      <c r="C54" s="2729" t="str">
        <f>'reservoir 200'!J130</f>
        <v>pc</v>
      </c>
      <c r="D54" s="2729">
        <f>wcr!G54</f>
        <v>3</v>
      </c>
      <c r="E54" s="2729">
        <v>880</v>
      </c>
      <c r="F54" s="2738">
        <f t="shared" si="2"/>
        <v>2640</v>
      </c>
      <c r="G54" s="1770"/>
      <c r="H54">
        <v>3</v>
      </c>
    </row>
    <row r="55" spans="1:8" ht="30">
      <c r="A55" s="1770">
        <f t="shared" si="1"/>
        <v>44</v>
      </c>
      <c r="B55" s="2515" t="s">
        <v>3492</v>
      </c>
      <c r="C55" s="2729" t="str">
        <f>'reservoir 200'!J131</f>
        <v>pc</v>
      </c>
      <c r="D55" s="2729">
        <f>wcr!G55</f>
        <v>3</v>
      </c>
      <c r="E55" s="2729">
        <v>460</v>
      </c>
      <c r="F55" s="2738">
        <f t="shared" si="2"/>
        <v>1380</v>
      </c>
      <c r="G55" s="1770"/>
      <c r="H55">
        <v>3</v>
      </c>
    </row>
    <row r="56" spans="1:8" ht="45">
      <c r="A56" s="1770">
        <f t="shared" si="1"/>
        <v>45</v>
      </c>
      <c r="B56" s="2515" t="s">
        <v>3493</v>
      </c>
      <c r="C56" s="2729" t="str">
        <f>'reservoir 200'!J132</f>
        <v>Set</v>
      </c>
      <c r="D56" s="2729">
        <f>wcr!G56</f>
        <v>3</v>
      </c>
      <c r="E56" s="2729">
        <v>1900</v>
      </c>
      <c r="F56" s="2738">
        <f t="shared" si="2"/>
        <v>5700</v>
      </c>
      <c r="G56" s="1770"/>
      <c r="H56">
        <v>3</v>
      </c>
    </row>
    <row r="57" spans="1:8" ht="45">
      <c r="A57" s="1770">
        <f t="shared" si="1"/>
        <v>46</v>
      </c>
      <c r="B57" s="2515" t="s">
        <v>3494</v>
      </c>
      <c r="C57" s="2729" t="str">
        <f>'reservoir 200'!J134</f>
        <v>pc</v>
      </c>
      <c r="D57" s="2729">
        <f>wcr!G57</f>
        <v>3</v>
      </c>
      <c r="E57" s="2729">
        <v>3000</v>
      </c>
      <c r="F57" s="2738">
        <f t="shared" si="2"/>
        <v>9000</v>
      </c>
      <c r="G57" s="1770"/>
      <c r="H57">
        <v>3</v>
      </c>
    </row>
    <row r="58" spans="1:8" ht="45">
      <c r="A58" s="1770">
        <f t="shared" si="1"/>
        <v>47</v>
      </c>
      <c r="B58" s="2515" t="s">
        <v>3495</v>
      </c>
      <c r="C58" s="2729" t="str">
        <f>'reservoir 200'!J135</f>
        <v>pc</v>
      </c>
      <c r="D58" s="2729">
        <f>wcr!G58</f>
        <v>3</v>
      </c>
      <c r="E58" s="2729">
        <v>1500</v>
      </c>
      <c r="F58" s="2738">
        <f t="shared" si="2"/>
        <v>4500</v>
      </c>
      <c r="G58" s="1770"/>
      <c r="H58">
        <v>3</v>
      </c>
    </row>
    <row r="59" spans="1:8" ht="45">
      <c r="A59" s="1770">
        <f t="shared" si="1"/>
        <v>48</v>
      </c>
      <c r="B59" s="2515" t="s">
        <v>3496</v>
      </c>
      <c r="C59" s="2729" t="str">
        <f>'reservoir 200'!J136</f>
        <v>pc</v>
      </c>
      <c r="D59" s="2729">
        <f>wcr!G59</f>
        <v>3</v>
      </c>
      <c r="E59" s="2729">
        <v>350</v>
      </c>
      <c r="F59" s="2738">
        <f t="shared" si="2"/>
        <v>1050</v>
      </c>
      <c r="G59" s="1770"/>
      <c r="H59">
        <v>3</v>
      </c>
    </row>
    <row r="60" spans="1:8" ht="45">
      <c r="A60" s="1770">
        <f t="shared" si="1"/>
        <v>49</v>
      </c>
      <c r="B60" s="2515" t="s">
        <v>3497</v>
      </c>
      <c r="C60" s="2729" t="str">
        <f>'reservoir 200'!J137</f>
        <v>pc</v>
      </c>
      <c r="D60" s="2729">
        <f>wcr!G60</f>
        <v>3</v>
      </c>
      <c r="E60" s="2729">
        <v>300</v>
      </c>
      <c r="F60" s="2738">
        <f t="shared" si="2"/>
        <v>900</v>
      </c>
      <c r="G60" s="1770"/>
      <c r="H60">
        <v>3</v>
      </c>
    </row>
    <row r="61" spans="1:8" ht="45">
      <c r="A61" s="1770">
        <f t="shared" si="1"/>
        <v>50</v>
      </c>
      <c r="B61" s="2515" t="s">
        <v>3498</v>
      </c>
      <c r="C61" s="2729" t="str">
        <f>'reservoir 200'!J138</f>
        <v>pc</v>
      </c>
      <c r="D61" s="2729">
        <f>wcr!G61</f>
        <v>9</v>
      </c>
      <c r="E61" s="2729">
        <v>230</v>
      </c>
      <c r="F61" s="2738">
        <f t="shared" si="2"/>
        <v>2070</v>
      </c>
      <c r="G61" s="1770"/>
      <c r="H61">
        <v>3</v>
      </c>
    </row>
    <row r="62" spans="1:8" ht="45">
      <c r="A62" s="1770">
        <f t="shared" si="1"/>
        <v>51</v>
      </c>
      <c r="B62" s="2515" t="s">
        <v>3499</v>
      </c>
      <c r="C62" s="2729" t="str">
        <f>'reservoir 200'!J139</f>
        <v>pc</v>
      </c>
      <c r="D62" s="2729">
        <f>wcr!G62</f>
        <v>3</v>
      </c>
      <c r="E62" s="2729">
        <v>3500</v>
      </c>
      <c r="F62" s="2738">
        <f t="shared" si="2"/>
        <v>10500</v>
      </c>
      <c r="G62" s="1770"/>
      <c r="H62">
        <v>3</v>
      </c>
    </row>
    <row r="63" spans="1:8" ht="30">
      <c r="A63" s="1770">
        <f t="shared" si="1"/>
        <v>52</v>
      </c>
      <c r="B63" s="2515" t="s">
        <v>3500</v>
      </c>
      <c r="C63" s="2729" t="str">
        <f>'reservoir 200'!J140</f>
        <v>pc</v>
      </c>
      <c r="D63" s="2729">
        <f>wcr!G63</f>
        <v>3</v>
      </c>
      <c r="E63" s="2729">
        <v>80</v>
      </c>
      <c r="F63" s="2738">
        <f t="shared" si="2"/>
        <v>240</v>
      </c>
      <c r="G63" s="1770"/>
      <c r="H63">
        <v>3</v>
      </c>
    </row>
    <row r="64" spans="1:8" ht="45">
      <c r="A64" s="1770">
        <f t="shared" si="1"/>
        <v>53</v>
      </c>
      <c r="B64" s="2515" t="s">
        <v>3501</v>
      </c>
      <c r="C64" s="2729" t="str">
        <f>'reservoir 200'!J141</f>
        <v>pc</v>
      </c>
      <c r="D64" s="2729">
        <f>wcr!G64</f>
        <v>6</v>
      </c>
      <c r="E64" s="2729">
        <v>1110</v>
      </c>
      <c r="F64" s="2738">
        <f t="shared" si="2"/>
        <v>6660</v>
      </c>
      <c r="G64" s="1770"/>
      <c r="H64">
        <v>3</v>
      </c>
    </row>
    <row r="65" spans="1:11" ht="45">
      <c r="A65" s="1770">
        <f t="shared" si="1"/>
        <v>54</v>
      </c>
      <c r="B65" s="2515" t="s">
        <v>3502</v>
      </c>
      <c r="C65" s="2729" t="str">
        <f>'reservoir 200'!J143</f>
        <v>Pc</v>
      </c>
      <c r="D65" s="2729">
        <f>wcr!G65</f>
        <v>3</v>
      </c>
      <c r="E65" s="2729">
        <v>9000</v>
      </c>
      <c r="F65" s="2738">
        <f t="shared" si="2"/>
        <v>27000</v>
      </c>
      <c r="G65" s="1770"/>
      <c r="H65">
        <v>3</v>
      </c>
    </row>
    <row r="66" spans="1:11" ht="30">
      <c r="A66" s="1770">
        <f t="shared" si="1"/>
        <v>55</v>
      </c>
      <c r="B66" s="2515" t="s">
        <v>3503</v>
      </c>
      <c r="C66" s="2729" t="str">
        <f>'reservoir 200'!J145</f>
        <v>pc</v>
      </c>
      <c r="D66" s="2729">
        <f>wcr!G66</f>
        <v>3</v>
      </c>
      <c r="E66" s="2729">
        <v>1100</v>
      </c>
      <c r="F66" s="2738">
        <f t="shared" si="2"/>
        <v>3300</v>
      </c>
      <c r="G66" s="1770"/>
      <c r="H66">
        <v>3</v>
      </c>
    </row>
    <row r="67" spans="1:11" ht="30">
      <c r="A67" s="1770">
        <f t="shared" si="1"/>
        <v>56</v>
      </c>
      <c r="B67" s="2515" t="s">
        <v>3504</v>
      </c>
      <c r="C67" s="2729" t="str">
        <f>'reservoir 200'!J146</f>
        <v>set</v>
      </c>
      <c r="D67" s="2729">
        <f>wcr!G67</f>
        <v>6</v>
      </c>
      <c r="E67" s="2729">
        <v>700</v>
      </c>
      <c r="F67" s="2738">
        <f t="shared" si="2"/>
        <v>4200</v>
      </c>
      <c r="G67" s="1770"/>
      <c r="H67">
        <v>3</v>
      </c>
    </row>
    <row r="68" spans="1:11" ht="30">
      <c r="A68" s="1770">
        <f t="shared" si="1"/>
        <v>57</v>
      </c>
      <c r="B68" s="2515" t="s">
        <v>3505</v>
      </c>
      <c r="C68" s="2729" t="str">
        <f>'reservoir 200'!J147</f>
        <v>pc</v>
      </c>
      <c r="D68" s="2729">
        <f>wcr!G68</f>
        <v>3</v>
      </c>
      <c r="E68" s="2729">
        <v>400</v>
      </c>
      <c r="F68" s="2738">
        <f t="shared" si="2"/>
        <v>1200</v>
      </c>
      <c r="G68" s="1770"/>
      <c r="H68">
        <v>3</v>
      </c>
    </row>
    <row r="69" spans="1:11" ht="45">
      <c r="A69" s="1770">
        <f t="shared" si="1"/>
        <v>58</v>
      </c>
      <c r="B69" s="2515" t="s">
        <v>3506</v>
      </c>
      <c r="C69" s="2729" t="str">
        <f>'reservoir 200'!J148</f>
        <v>set</v>
      </c>
      <c r="D69" s="2729">
        <f>wcr!G69</f>
        <v>3</v>
      </c>
      <c r="E69" s="2729">
        <v>1850</v>
      </c>
      <c r="F69" s="2738">
        <f t="shared" si="2"/>
        <v>5550</v>
      </c>
      <c r="G69" s="1770"/>
      <c r="H69">
        <v>3</v>
      </c>
    </row>
    <row r="70" spans="1:11" ht="25.5">
      <c r="A70" s="1770">
        <f t="shared" si="1"/>
        <v>59</v>
      </c>
      <c r="B70" s="332" t="s">
        <v>3507</v>
      </c>
      <c r="C70" s="1752" t="s">
        <v>1033</v>
      </c>
      <c r="D70" s="2729">
        <f>wcr!G70</f>
        <v>1782.96</v>
      </c>
      <c r="E70" s="2729">
        <v>1000</v>
      </c>
      <c r="F70" s="2738">
        <f>D70*E70</f>
        <v>1782960</v>
      </c>
      <c r="G70" s="1770"/>
    </row>
    <row r="71" spans="1:11" ht="38.25">
      <c r="A71" s="1770">
        <f t="shared" si="1"/>
        <v>60</v>
      </c>
      <c r="B71" s="332" t="s">
        <v>3508</v>
      </c>
      <c r="C71" s="1752" t="s">
        <v>1034</v>
      </c>
      <c r="D71" s="2729">
        <f>wcr!G71</f>
        <v>0</v>
      </c>
      <c r="E71" s="2729">
        <v>150</v>
      </c>
      <c r="F71" s="2738">
        <f t="shared" ref="F71:F72" si="3">D71*E71</f>
        <v>0</v>
      </c>
      <c r="G71" s="1770"/>
    </row>
    <row r="72" spans="1:11" ht="25.5">
      <c r="A72" s="1770">
        <f t="shared" si="1"/>
        <v>61</v>
      </c>
      <c r="B72" s="332" t="s">
        <v>3509</v>
      </c>
      <c r="C72" s="1752" t="s">
        <v>1034</v>
      </c>
      <c r="D72" s="2729">
        <f>wcr!G72</f>
        <v>560</v>
      </c>
      <c r="E72" s="2729">
        <v>150</v>
      </c>
      <c r="F72" s="2738">
        <f t="shared" si="3"/>
        <v>84000</v>
      </c>
      <c r="G72" s="1770"/>
    </row>
    <row r="73" spans="1:11" ht="63.75">
      <c r="A73" s="1770">
        <f t="shared" si="1"/>
        <v>62</v>
      </c>
      <c r="B73" s="2741" t="s">
        <v>3510</v>
      </c>
      <c r="C73" s="1752" t="s">
        <v>1174</v>
      </c>
      <c r="D73" s="2729">
        <f>wcr!G73</f>
        <v>0</v>
      </c>
      <c r="E73" s="1770">
        <v>2500</v>
      </c>
      <c r="F73" s="2738">
        <f>D73*E73</f>
        <v>0</v>
      </c>
      <c r="G73" s="1770"/>
    </row>
    <row r="74" spans="1:11" ht="140.25">
      <c r="A74" s="1770">
        <f t="shared" si="1"/>
        <v>63</v>
      </c>
      <c r="B74" s="2742" t="s">
        <v>3511</v>
      </c>
      <c r="C74" s="1752" t="s">
        <v>1174</v>
      </c>
      <c r="D74" s="2729">
        <f>wcr!G74</f>
        <v>440</v>
      </c>
      <c r="E74" s="1770">
        <v>50</v>
      </c>
      <c r="F74" s="2738">
        <f>D74*E74</f>
        <v>22000</v>
      </c>
      <c r="G74" s="1770"/>
    </row>
    <row r="75" spans="1:11">
      <c r="A75" s="1770"/>
      <c r="B75" s="1770"/>
      <c r="C75" s="1770"/>
      <c r="D75" s="1770"/>
      <c r="E75" s="2753" t="s">
        <v>1108</v>
      </c>
      <c r="F75" s="2754">
        <f>SUM(F12:F74)</f>
        <v>10736292.784070494</v>
      </c>
      <c r="G75" s="1770"/>
      <c r="I75" s="6" t="e">
        <f>'reservoir 200'!L152+'reservoir 150 '!L150+'reservoir 50'!L149+#REF!+#REF!+F73+F74</f>
        <v>#REF!</v>
      </c>
      <c r="K75" s="2513" t="e">
        <f>I75-F75</f>
        <v>#REF!</v>
      </c>
    </row>
    <row r="76" spans="1:11">
      <c r="A76" s="1770"/>
      <c r="B76" s="1770"/>
      <c r="C76" s="1770"/>
      <c r="D76" s="1770"/>
      <c r="E76" s="2753" t="s">
        <v>113</v>
      </c>
      <c r="F76" s="2754">
        <f>F75*0.13</f>
        <v>1395718.0619291642</v>
      </c>
      <c r="G76" s="1770"/>
    </row>
    <row r="77" spans="1:11">
      <c r="A77" s="1770"/>
      <c r="B77" s="1770"/>
      <c r="C77" s="1770"/>
      <c r="D77" s="1770"/>
      <c r="E77" s="2753" t="s">
        <v>3450</v>
      </c>
      <c r="F77" s="2754">
        <f>SUM(F75:F76)</f>
        <v>12132010.845999658</v>
      </c>
      <c r="G77" s="1770"/>
    </row>
    <row r="78" spans="1:11" ht="25.5">
      <c r="A78" s="1770"/>
      <c r="B78" s="2734" t="s">
        <v>3512</v>
      </c>
      <c r="C78" s="1752" t="s">
        <v>3213</v>
      </c>
      <c r="D78" s="1770">
        <v>2</v>
      </c>
      <c r="E78" s="1752">
        <v>5000</v>
      </c>
      <c r="F78" s="2738">
        <f>D78*E78</f>
        <v>10000</v>
      </c>
      <c r="G78" s="1770"/>
    </row>
    <row r="79" spans="1:11" ht="25.5">
      <c r="A79" s="1770"/>
      <c r="B79" s="2734" t="s">
        <v>3513</v>
      </c>
      <c r="C79" s="1752" t="s">
        <v>3213</v>
      </c>
      <c r="D79" s="1770">
        <v>1</v>
      </c>
      <c r="E79" s="1752">
        <v>45000</v>
      </c>
      <c r="F79" s="2738">
        <f>D79*E79</f>
        <v>45000</v>
      </c>
      <c r="G79" s="1770"/>
    </row>
    <row r="80" spans="1:11">
      <c r="A80" s="1770"/>
      <c r="B80" s="1752" t="s">
        <v>3211</v>
      </c>
      <c r="C80" s="1752" t="s">
        <v>3213</v>
      </c>
      <c r="D80" s="1770">
        <v>1</v>
      </c>
      <c r="E80" s="1752">
        <v>30000</v>
      </c>
      <c r="F80" s="2738">
        <f>D80*E80</f>
        <v>30000</v>
      </c>
      <c r="G80" s="1770"/>
    </row>
    <row r="81" spans="1:7" ht="51">
      <c r="A81" s="1770"/>
      <c r="B81" s="2734" t="s">
        <v>3514</v>
      </c>
      <c r="C81" s="1752" t="s">
        <v>3213</v>
      </c>
      <c r="D81" s="1770">
        <v>1</v>
      </c>
      <c r="E81" s="2817">
        <f>Sheet2!F34</f>
        <v>235113.02</v>
      </c>
      <c r="F81" s="2738">
        <f>D81*E81</f>
        <v>235113.02</v>
      </c>
      <c r="G81" s="1770"/>
    </row>
    <row r="82" spans="1:7">
      <c r="A82" s="1770"/>
      <c r="B82" s="2734"/>
      <c r="C82" s="1752"/>
      <c r="D82" s="1770"/>
      <c r="E82" s="2753" t="s">
        <v>2626</v>
      </c>
      <c r="F82" s="2754">
        <f>SUM(F77:F81)</f>
        <v>12452123.865999658</v>
      </c>
      <c r="G82" s="1770"/>
    </row>
    <row r="83" spans="1:7">
      <c r="A83" s="1770"/>
      <c r="B83" s="1770"/>
      <c r="C83" s="1770"/>
      <c r="D83" s="1770"/>
      <c r="E83" s="2755"/>
      <c r="F83" s="2754"/>
      <c r="G83" s="1770"/>
    </row>
  </sheetData>
  <mergeCells count="4">
    <mergeCell ref="A1:G1"/>
    <mergeCell ref="A2:G2"/>
    <mergeCell ref="A3:G3"/>
    <mergeCell ref="A4:G4"/>
  </mergeCells>
  <pageMargins left="0.7" right="0.7" top="0.75" bottom="0.75" header="0.3" footer="0.3"/>
  <pageSetup scale="97" orientation="portrait" r:id="rId1"/>
  <headerFooter>
    <oddFooter>&amp;LPrepared By:Bal Krishna ManandharEngineer&amp;RApproved By:Basudev KhanalChief Executive Officer</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M275"/>
  <sheetViews>
    <sheetView view="pageLayout" topLeftCell="A28" workbookViewId="0">
      <selection activeCell="H59" sqref="H59"/>
    </sheetView>
  </sheetViews>
  <sheetFormatPr defaultRowHeight="12.75"/>
  <cols>
    <col min="2" max="2" width="46.28515625" bestFit="1" customWidth="1"/>
  </cols>
  <sheetData>
    <row r="1" spans="1:13" s="2596" customFormat="1" ht="15">
      <c r="A1" s="3110" t="s">
        <v>3515</v>
      </c>
      <c r="B1" s="3110"/>
      <c r="C1" s="3110"/>
      <c r="D1" s="3110"/>
      <c r="E1" s="3110"/>
      <c r="F1" s="3110"/>
      <c r="G1" s="3110"/>
      <c r="H1" s="3110"/>
      <c r="I1" s="2747"/>
      <c r="J1" s="2747"/>
      <c r="K1" s="2747"/>
      <c r="L1" s="2747"/>
      <c r="M1" s="2747"/>
    </row>
    <row r="2" spans="1:13" s="2596" customFormat="1" ht="20.25">
      <c r="A2" s="3111" t="s">
        <v>3516</v>
      </c>
      <c r="B2" s="3111"/>
      <c r="C2" s="3111"/>
      <c r="D2" s="3111"/>
      <c r="E2" s="3111"/>
      <c r="F2" s="3111"/>
      <c r="G2" s="3111"/>
      <c r="H2" s="3111"/>
      <c r="I2" s="2746"/>
      <c r="J2" s="2746"/>
      <c r="K2" s="2746"/>
      <c r="L2" s="2746"/>
      <c r="M2" s="2746"/>
    </row>
    <row r="3" spans="1:13" s="2596" customFormat="1" ht="20.25">
      <c r="A3" s="3112" t="s">
        <v>3517</v>
      </c>
      <c r="B3" s="3112"/>
      <c r="C3" s="3112"/>
      <c r="D3" s="3112"/>
      <c r="E3" s="3112"/>
      <c r="F3" s="3112"/>
      <c r="G3" s="3112"/>
      <c r="H3" s="3112"/>
      <c r="I3" s="2746"/>
      <c r="J3" s="2746"/>
      <c r="K3" s="2746"/>
      <c r="L3" s="2746"/>
      <c r="M3" s="2746"/>
    </row>
    <row r="4" spans="1:13" s="2596" customFormat="1" ht="18.75">
      <c r="A4" s="3113" t="s">
        <v>3304</v>
      </c>
      <c r="B4" s="3113"/>
      <c r="C4" s="3113"/>
      <c r="D4" s="3113"/>
      <c r="E4" s="3113"/>
      <c r="F4" s="3113"/>
      <c r="G4" s="3113"/>
      <c r="H4" s="3113"/>
      <c r="I4" s="2821"/>
      <c r="J4" s="2821"/>
      <c r="K4" s="2821"/>
      <c r="L4" s="2821"/>
      <c r="M4" s="2821"/>
    </row>
    <row r="5" spans="1:13" s="2596" customFormat="1" ht="18.75">
      <c r="A5" s="513" t="s">
        <v>3529</v>
      </c>
      <c r="B5" s="2820"/>
      <c r="C5" s="2820"/>
      <c r="D5" s="2820"/>
      <c r="E5" s="2820"/>
      <c r="F5" s="2820"/>
      <c r="G5" s="2820"/>
      <c r="H5" s="2820"/>
      <c r="I5" s="2821"/>
      <c r="J5" s="2821"/>
      <c r="K5" s="2821"/>
      <c r="L5" s="2821"/>
      <c r="M5" s="2821"/>
    </row>
    <row r="6" spans="1:13" s="2596" customFormat="1" ht="18.75">
      <c r="A6" s="2819" t="s">
        <v>3583</v>
      </c>
      <c r="C6" s="2820"/>
      <c r="D6" s="2820"/>
      <c r="E6" s="2820"/>
      <c r="F6" s="2820"/>
      <c r="G6" s="2820"/>
      <c r="H6" s="2820"/>
      <c r="I6" s="2820"/>
      <c r="J6" s="2820"/>
      <c r="K6" s="2820"/>
      <c r="L6" s="2820"/>
      <c r="M6" s="2820"/>
    </row>
    <row r="7" spans="1:13" s="2596" customFormat="1" ht="18.75">
      <c r="A7" s="2819" t="s">
        <v>3584</v>
      </c>
      <c r="C7" s="2820"/>
      <c r="D7" s="2820"/>
      <c r="E7" s="2820"/>
      <c r="F7" s="2820"/>
      <c r="G7" s="2820"/>
      <c r="H7" s="2820"/>
      <c r="I7" s="2820"/>
      <c r="J7" s="2820"/>
      <c r="K7" s="2820"/>
      <c r="L7" s="2820"/>
      <c r="M7" s="2820"/>
    </row>
    <row r="8" spans="1:13" s="2596" customFormat="1" ht="20.25">
      <c r="A8" s="2744" t="s">
        <v>3518</v>
      </c>
      <c r="C8" s="2743"/>
      <c r="D8" s="2743"/>
      <c r="E8" s="2743"/>
      <c r="F8" s="2743"/>
      <c r="G8" s="2743"/>
      <c r="H8" s="2745" t="s">
        <v>3520</v>
      </c>
      <c r="I8" s="2743"/>
      <c r="J8" s="2743"/>
      <c r="K8" s="2743"/>
      <c r="L8" s="2743"/>
    </row>
    <row r="9" spans="1:13" s="2596" customFormat="1" ht="20.25">
      <c r="A9" s="2744" t="s">
        <v>3519</v>
      </c>
      <c r="C9" s="2743"/>
      <c r="D9" s="2743"/>
      <c r="E9" s="2743"/>
      <c r="F9" s="2743"/>
      <c r="G9" s="2743"/>
      <c r="H9" s="2745" t="s">
        <v>3585</v>
      </c>
      <c r="I9" s="2743"/>
      <c r="J9" s="2743"/>
      <c r="K9" s="2743"/>
      <c r="L9" s="2743"/>
    </row>
    <row r="10" spans="1:13">
      <c r="A10" s="3115" t="s">
        <v>3304</v>
      </c>
      <c r="B10" s="3115"/>
      <c r="C10" s="3115"/>
      <c r="D10" s="3115"/>
      <c r="E10" s="3115"/>
      <c r="F10" s="3115"/>
      <c r="G10" s="3115"/>
      <c r="H10" s="3115"/>
    </row>
    <row r="11" spans="1:13">
      <c r="A11" s="430" t="s">
        <v>21</v>
      </c>
      <c r="B11" s="2671"/>
      <c r="C11" s="2672"/>
      <c r="D11" s="2673"/>
      <c r="E11" s="2673"/>
      <c r="F11" s="2673"/>
      <c r="G11" s="2674"/>
      <c r="H11" s="2671"/>
    </row>
    <row r="12" spans="1:13">
      <c r="A12" s="364"/>
      <c r="B12" s="364"/>
      <c r="C12" s="364"/>
      <c r="D12" s="364"/>
      <c r="E12" s="364"/>
      <c r="F12" s="364"/>
      <c r="G12" s="364"/>
      <c r="H12" s="364"/>
    </row>
    <row r="13" spans="1:13" ht="25.5">
      <c r="A13" s="5" t="s">
        <v>961</v>
      </c>
      <c r="B13" s="2675" t="s">
        <v>962</v>
      </c>
      <c r="C13" s="2676" t="s">
        <v>963</v>
      </c>
      <c r="D13" s="2677" t="s">
        <v>1051</v>
      </c>
      <c r="E13" s="2677" t="s">
        <v>1052</v>
      </c>
      <c r="F13" s="2677" t="s">
        <v>1053</v>
      </c>
      <c r="G13" s="2678" t="s">
        <v>964</v>
      </c>
      <c r="H13" s="2675" t="s">
        <v>1054</v>
      </c>
    </row>
    <row r="14" spans="1:13">
      <c r="A14" s="471">
        <v>1</v>
      </c>
      <c r="B14" s="2679" t="s">
        <v>966</v>
      </c>
      <c r="C14" s="2679">
        <v>3</v>
      </c>
      <c r="D14" s="2680">
        <v>14</v>
      </c>
      <c r="E14" s="2680">
        <v>6</v>
      </c>
      <c r="F14" s="2680"/>
      <c r="G14" s="2681">
        <f>ROUND((C14*D14*E14),2)</f>
        <v>252</v>
      </c>
      <c r="H14" s="2682" t="s">
        <v>1182</v>
      </c>
    </row>
    <row r="15" spans="1:13">
      <c r="A15" s="475">
        <v>2</v>
      </c>
      <c r="B15" s="2683" t="s">
        <v>900</v>
      </c>
      <c r="C15" s="2684"/>
      <c r="D15" s="2685"/>
      <c r="E15" s="2685"/>
      <c r="F15" s="2685"/>
      <c r="G15" s="2686"/>
      <c r="H15" s="2687"/>
    </row>
    <row r="16" spans="1:13">
      <c r="A16" s="475"/>
      <c r="B16" s="2773" t="s">
        <v>3527</v>
      </c>
      <c r="C16" s="2684">
        <v>1</v>
      </c>
      <c r="D16" s="2685">
        <v>14.5</v>
      </c>
      <c r="E16" s="2685">
        <v>6.5</v>
      </c>
      <c r="F16" s="2685">
        <v>1.5</v>
      </c>
      <c r="G16" s="2686">
        <f>ROUND((C16*D16*E16*F16),2)</f>
        <v>141.38</v>
      </c>
      <c r="H16" s="2687"/>
    </row>
    <row r="17" spans="1:8">
      <c r="A17" s="475"/>
      <c r="B17" s="2773" t="s">
        <v>3528</v>
      </c>
      <c r="C17" s="2684">
        <v>1</v>
      </c>
      <c r="D17" s="2685">
        <v>14.5</v>
      </c>
      <c r="E17" s="2685">
        <v>6.5</v>
      </c>
      <c r="F17" s="2685">
        <v>1.5</v>
      </c>
      <c r="G17" s="2686">
        <f>ROUND((C17*D17*E17*F17),2)</f>
        <v>141.38</v>
      </c>
      <c r="H17" s="2687"/>
    </row>
    <row r="18" spans="1:8">
      <c r="A18" s="475"/>
      <c r="B18" s="2773" t="s">
        <v>3534</v>
      </c>
      <c r="C18" s="2684">
        <v>1</v>
      </c>
      <c r="D18" s="2685">
        <v>12.5</v>
      </c>
      <c r="E18" s="2685">
        <v>6</v>
      </c>
      <c r="F18" s="2685">
        <v>1</v>
      </c>
      <c r="G18" s="2686">
        <f>ROUND((C18*D18*E18*F18),2)</f>
        <v>75</v>
      </c>
      <c r="H18" s="2687"/>
    </row>
    <row r="19" spans="1:8">
      <c r="A19" s="475"/>
      <c r="B19" s="2688"/>
      <c r="C19" s="2684"/>
      <c r="D19" s="2685"/>
      <c r="E19" s="2685" t="s">
        <v>1108</v>
      </c>
      <c r="F19" s="2685"/>
      <c r="G19" s="2689">
        <f>ROUND(SUM(G16:G18),2)</f>
        <v>357.76</v>
      </c>
      <c r="H19" s="2687" t="s">
        <v>1174</v>
      </c>
    </row>
    <row r="20" spans="1:8">
      <c r="A20" s="475">
        <v>3</v>
      </c>
      <c r="B20" s="2683" t="s">
        <v>1002</v>
      </c>
      <c r="C20" s="2684"/>
      <c r="D20" s="2685"/>
      <c r="E20" s="2685"/>
      <c r="F20" s="2685"/>
      <c r="G20" s="2686"/>
      <c r="H20" s="2687"/>
    </row>
    <row r="21" spans="1:8">
      <c r="A21" s="475"/>
      <c r="B21" s="2683" t="s">
        <v>3527</v>
      </c>
      <c r="C21" s="2684">
        <v>1</v>
      </c>
      <c r="D21" s="2685">
        <f>D16</f>
        <v>14.5</v>
      </c>
      <c r="E21" s="2685">
        <v>0.8</v>
      </c>
      <c r="F21" s="2685">
        <v>2</v>
      </c>
      <c r="G21" s="2686">
        <f>PRODUCT(C21:F21)</f>
        <v>23.200000000000003</v>
      </c>
      <c r="H21" s="2687"/>
    </row>
    <row r="22" spans="1:8">
      <c r="A22" s="475"/>
      <c r="B22" s="2688"/>
      <c r="C22" s="2684">
        <v>1</v>
      </c>
      <c r="D22" s="2685">
        <v>5</v>
      </c>
      <c r="E22" s="2685">
        <v>0.5</v>
      </c>
      <c r="F22" s="2685">
        <v>2</v>
      </c>
      <c r="G22" s="2686">
        <f>PRODUCT(C22:F22)</f>
        <v>5</v>
      </c>
      <c r="H22" s="2687" t="s">
        <v>3530</v>
      </c>
    </row>
    <row r="23" spans="1:8">
      <c r="A23" s="475"/>
      <c r="B23" s="2688"/>
      <c r="C23" s="2684"/>
      <c r="D23" s="2685"/>
      <c r="E23" s="2685"/>
      <c r="F23" s="2685"/>
      <c r="G23" s="2686"/>
      <c r="H23" s="2687"/>
    </row>
    <row r="24" spans="1:8">
      <c r="A24" s="475"/>
      <c r="B24" s="2688"/>
      <c r="C24" s="2684"/>
      <c r="D24" s="2685"/>
      <c r="E24" s="2685" t="s">
        <v>1111</v>
      </c>
      <c r="F24" s="2685"/>
      <c r="G24" s="2689">
        <f>ROUND(SUM(G21:G23),2)</f>
        <v>28.2</v>
      </c>
      <c r="H24" s="2687" t="s">
        <v>1174</v>
      </c>
    </row>
    <row r="25" spans="1:8">
      <c r="A25" s="475"/>
      <c r="B25" s="2688"/>
      <c r="C25" s="2684"/>
      <c r="D25" s="2685"/>
      <c r="E25" s="2685"/>
      <c r="F25" s="2685"/>
      <c r="G25" s="2686"/>
      <c r="H25" s="2687"/>
    </row>
    <row r="26" spans="1:8">
      <c r="A26" s="475" t="s">
        <v>984</v>
      </c>
      <c r="B26" s="2683" t="s">
        <v>1113</v>
      </c>
      <c r="C26" s="2684"/>
      <c r="D26" s="2685"/>
      <c r="E26" s="2685"/>
      <c r="F26" s="2685"/>
      <c r="G26" s="2686"/>
      <c r="H26" s="2687"/>
    </row>
    <row r="27" spans="1:8">
      <c r="A27" s="475"/>
      <c r="B27" s="2683" t="s">
        <v>3531</v>
      </c>
      <c r="C27" s="2684">
        <v>1</v>
      </c>
      <c r="D27" s="2685">
        <v>12.4</v>
      </c>
      <c r="E27" s="2685">
        <v>4.4000000000000004</v>
      </c>
      <c r="F27" s="2685">
        <v>0.2</v>
      </c>
      <c r="G27" s="2686">
        <f>ROUND((C27*D27*E27*F27),2)</f>
        <v>10.91</v>
      </c>
      <c r="H27" s="2687"/>
    </row>
    <row r="28" spans="1:8">
      <c r="A28" s="475"/>
      <c r="B28" s="2683" t="s">
        <v>3550</v>
      </c>
      <c r="C28" s="2684">
        <v>1</v>
      </c>
      <c r="D28" s="2685">
        <v>1</v>
      </c>
      <c r="E28" s="2685">
        <v>1</v>
      </c>
      <c r="F28" s="2685">
        <v>0.15</v>
      </c>
      <c r="G28" s="2686">
        <f>ROUND((C28*D28*E28*F28),2)</f>
        <v>0.15</v>
      </c>
      <c r="H28" s="2687"/>
    </row>
    <row r="29" spans="1:8">
      <c r="A29" s="475"/>
      <c r="B29" s="2683"/>
      <c r="C29" s="2684"/>
      <c r="D29" s="2685"/>
      <c r="E29" s="2685"/>
      <c r="F29" s="2685"/>
      <c r="G29" s="2686"/>
      <c r="H29" s="2687"/>
    </row>
    <row r="30" spans="1:8">
      <c r="A30" s="475"/>
      <c r="B30" s="2683" t="s">
        <v>3532</v>
      </c>
      <c r="C30" s="2684">
        <v>1</v>
      </c>
      <c r="D30" s="2685">
        <v>12.3</v>
      </c>
      <c r="E30" s="2685">
        <v>4.4000000000000004</v>
      </c>
      <c r="F30" s="2685">
        <v>0.2</v>
      </c>
      <c r="G30" s="2686">
        <f>ROUND((C30*D30*E30*F30),2)</f>
        <v>10.82</v>
      </c>
      <c r="H30" s="2687"/>
    </row>
    <row r="31" spans="1:8">
      <c r="A31" s="475"/>
      <c r="B31" s="2683" t="s">
        <v>3550</v>
      </c>
      <c r="C31" s="2684">
        <v>1</v>
      </c>
      <c r="D31" s="2685">
        <v>1</v>
      </c>
      <c r="E31" s="2685">
        <v>1</v>
      </c>
      <c r="F31" s="2685">
        <v>0.15</v>
      </c>
      <c r="G31" s="2686">
        <f>ROUND((C31*D31*E31*F31),2)</f>
        <v>0.15</v>
      </c>
      <c r="H31" s="2687"/>
    </row>
    <row r="32" spans="1:8">
      <c r="A32" s="475"/>
      <c r="B32" s="2683"/>
      <c r="C32" s="2684"/>
      <c r="D32" s="2685"/>
      <c r="E32" s="2685"/>
      <c r="F32" s="2685"/>
      <c r="G32" s="2686"/>
      <c r="H32" s="2687"/>
    </row>
    <row r="33" spans="1:8">
      <c r="A33" s="475"/>
      <c r="B33" s="2683" t="s">
        <v>3533</v>
      </c>
      <c r="C33" s="2684">
        <v>1</v>
      </c>
      <c r="D33" s="2685">
        <v>10.5</v>
      </c>
      <c r="E33" s="2685">
        <v>4</v>
      </c>
      <c r="F33" s="2685">
        <v>0.2</v>
      </c>
      <c r="G33" s="2686">
        <f>ROUND((C33*D33*E33*F33),2)</f>
        <v>8.4</v>
      </c>
      <c r="H33" s="2687"/>
    </row>
    <row r="34" spans="1:8">
      <c r="A34" s="475"/>
      <c r="B34" s="2683" t="s">
        <v>3550</v>
      </c>
      <c r="C34" s="2684">
        <v>1</v>
      </c>
      <c r="D34" s="2685">
        <v>1</v>
      </c>
      <c r="E34" s="2685">
        <v>1</v>
      </c>
      <c r="F34" s="2685">
        <v>0.15</v>
      </c>
      <c r="G34" s="2686">
        <f>ROUND((C34*D34*E34*F34),2)</f>
        <v>0.15</v>
      </c>
      <c r="H34" s="2687"/>
    </row>
    <row r="35" spans="1:8">
      <c r="A35" s="475"/>
      <c r="B35" s="2688"/>
      <c r="C35" s="2684"/>
      <c r="D35" s="2685"/>
      <c r="E35" s="2685" t="s">
        <v>1108</v>
      </c>
      <c r="F35" s="2685"/>
      <c r="G35" s="2689">
        <f>ROUND(SUM(G27:G34),2)</f>
        <v>30.58</v>
      </c>
      <c r="H35" s="2687" t="s">
        <v>1174</v>
      </c>
    </row>
    <row r="36" spans="1:8">
      <c r="A36" s="475" t="s">
        <v>985</v>
      </c>
      <c r="B36" s="2683" t="s">
        <v>986</v>
      </c>
      <c r="C36" s="2684"/>
      <c r="D36" s="2685"/>
      <c r="E36" s="2685"/>
      <c r="F36" s="2685"/>
      <c r="G36" s="2686"/>
      <c r="H36" s="2687"/>
    </row>
    <row r="37" spans="1:8">
      <c r="A37" s="475"/>
      <c r="B37" s="2683" t="s">
        <v>3531</v>
      </c>
      <c r="C37" s="2684">
        <v>1</v>
      </c>
      <c r="D37" s="2685">
        <v>12.4</v>
      </c>
      <c r="E37" s="2685">
        <v>4.4000000000000004</v>
      </c>
      <c r="F37" s="2685">
        <v>0.1</v>
      </c>
      <c r="G37" s="2686">
        <f>ROUND((C37*D37*E37*F37),2)</f>
        <v>5.46</v>
      </c>
      <c r="H37" s="2687"/>
    </row>
    <row r="38" spans="1:8">
      <c r="A38" s="475"/>
      <c r="B38" s="2683"/>
      <c r="C38" s="2684"/>
      <c r="D38" s="2685"/>
      <c r="E38" s="2685"/>
      <c r="F38" s="2685"/>
      <c r="G38" s="2686"/>
      <c r="H38" s="2687"/>
    </row>
    <row r="39" spans="1:8">
      <c r="A39" s="475"/>
      <c r="B39" s="2683" t="s">
        <v>3532</v>
      </c>
      <c r="C39" s="2684">
        <v>1</v>
      </c>
      <c r="D39" s="2685">
        <v>12.3</v>
      </c>
      <c r="E39" s="2685">
        <v>4.4000000000000004</v>
      </c>
      <c r="F39" s="2685">
        <v>0.1</v>
      </c>
      <c r="G39" s="2686">
        <f>ROUND((C39*D39*E39*F39),2)</f>
        <v>5.41</v>
      </c>
      <c r="H39" s="2687"/>
    </row>
    <row r="40" spans="1:8">
      <c r="A40" s="475"/>
      <c r="B40" s="2683"/>
      <c r="C40" s="2684"/>
      <c r="D40" s="2685"/>
      <c r="E40" s="2685"/>
      <c r="F40" s="2685"/>
      <c r="G40" s="2686"/>
      <c r="H40" s="2687"/>
    </row>
    <row r="41" spans="1:8">
      <c r="A41" s="475"/>
      <c r="B41" s="2683" t="s">
        <v>3533</v>
      </c>
      <c r="C41" s="2684">
        <v>1</v>
      </c>
      <c r="D41" s="2685">
        <v>10.5</v>
      </c>
      <c r="E41" s="2685">
        <v>4</v>
      </c>
      <c r="F41" s="2685">
        <v>0.1</v>
      </c>
      <c r="G41" s="2686">
        <f>ROUND((C41*D41*E41*F41),2)</f>
        <v>4.2</v>
      </c>
      <c r="H41" s="2687"/>
    </row>
    <row r="42" spans="1:8">
      <c r="A42" s="475"/>
      <c r="B42" s="2688"/>
      <c r="C42" s="2684"/>
      <c r="D42" s="2685"/>
      <c r="E42" s="2685"/>
      <c r="F42" s="2685"/>
      <c r="G42" s="2686"/>
      <c r="H42" s="2687"/>
    </row>
    <row r="43" spans="1:8">
      <c r="A43" s="475"/>
      <c r="B43" s="2688"/>
      <c r="C43" s="2684"/>
      <c r="D43" s="2685"/>
      <c r="E43" s="2685"/>
      <c r="F43" s="2685"/>
      <c r="G43" s="2686"/>
      <c r="H43" s="2687"/>
    </row>
    <row r="44" spans="1:8">
      <c r="A44" s="475"/>
      <c r="B44" s="2688"/>
      <c r="C44" s="2684"/>
      <c r="D44" s="2685"/>
      <c r="E44" s="2685" t="s">
        <v>1108</v>
      </c>
      <c r="F44" s="2685"/>
      <c r="G44" s="2689">
        <f>ROUND(SUM(G37:G43),2)</f>
        <v>15.07</v>
      </c>
      <c r="H44" s="2687" t="s">
        <v>1174</v>
      </c>
    </row>
    <row r="45" spans="1:8">
      <c r="A45" s="475" t="s">
        <v>990</v>
      </c>
      <c r="B45" s="2683" t="s">
        <v>1116</v>
      </c>
      <c r="C45" s="2684"/>
      <c r="D45" s="2685"/>
      <c r="E45" s="2685"/>
      <c r="F45" s="2685"/>
      <c r="G45" s="2686"/>
      <c r="H45" s="2687"/>
    </row>
    <row r="46" spans="1:8">
      <c r="A46" s="475"/>
      <c r="B46" s="2683"/>
      <c r="C46" s="2684"/>
      <c r="D46" s="2685"/>
      <c r="E46" s="2685"/>
      <c r="F46" s="2685"/>
      <c r="G46" s="2686"/>
      <c r="H46" s="2687"/>
    </row>
    <row r="47" spans="1:8">
      <c r="A47" s="475"/>
      <c r="B47" s="2688"/>
      <c r="C47" s="2684"/>
      <c r="D47" s="2685"/>
      <c r="E47" s="2685" t="s">
        <v>1108</v>
      </c>
      <c r="F47" s="2685"/>
      <c r="G47" s="2689">
        <f>ROUND(SUM(G46:G46),2)</f>
        <v>0</v>
      </c>
      <c r="H47" s="2687" t="s">
        <v>1174</v>
      </c>
    </row>
    <row r="48" spans="1:8">
      <c r="A48" s="475" t="s">
        <v>988</v>
      </c>
      <c r="B48" s="2683" t="s">
        <v>899</v>
      </c>
      <c r="C48" s="2684"/>
      <c r="D48" s="2685"/>
      <c r="E48" s="2685"/>
      <c r="F48" s="2685"/>
      <c r="G48" s="2686"/>
      <c r="H48" s="2687"/>
    </row>
    <row r="49" spans="1:8">
      <c r="A49" s="475"/>
      <c r="B49" s="2773" t="s">
        <v>3527</v>
      </c>
      <c r="C49" s="2684"/>
      <c r="D49" s="2685"/>
      <c r="E49" s="2685"/>
      <c r="F49" s="2685"/>
      <c r="G49" s="2686"/>
      <c r="H49" s="2687"/>
    </row>
    <row r="50" spans="1:8">
      <c r="A50" s="475"/>
      <c r="B50" s="2688" t="s">
        <v>1003</v>
      </c>
      <c r="C50" s="2684">
        <v>1</v>
      </c>
      <c r="D50" s="2685">
        <v>12.4</v>
      </c>
      <c r="E50" s="2685">
        <v>4.4000000000000004</v>
      </c>
      <c r="F50" s="2685">
        <v>0.18</v>
      </c>
      <c r="G50" s="2686">
        <f t="shared" ref="G50:G62" si="0">ROUND((C50*D50*E50*F50),2)</f>
        <v>9.82</v>
      </c>
      <c r="H50" s="2687"/>
    </row>
    <row r="51" spans="1:8">
      <c r="A51" s="475"/>
      <c r="B51" s="2688" t="s">
        <v>3535</v>
      </c>
      <c r="C51" s="2684">
        <v>2</v>
      </c>
      <c r="D51" s="2685">
        <f>D50-0.15</f>
        <v>12.25</v>
      </c>
      <c r="E51" s="2685">
        <v>0.15</v>
      </c>
      <c r="F51" s="2685">
        <v>2.8</v>
      </c>
      <c r="G51" s="2686">
        <f t="shared" si="0"/>
        <v>10.29</v>
      </c>
      <c r="H51" s="2687"/>
    </row>
    <row r="52" spans="1:8">
      <c r="A52" s="475"/>
      <c r="B52" s="2688" t="s">
        <v>3536</v>
      </c>
      <c r="C52" s="2684">
        <v>2</v>
      </c>
      <c r="D52" s="2685">
        <f>E50-0.15</f>
        <v>4.25</v>
      </c>
      <c r="E52" s="2685">
        <v>0.15</v>
      </c>
      <c r="F52" s="2685">
        <v>2.8</v>
      </c>
      <c r="G52" s="2686">
        <f t="shared" si="0"/>
        <v>3.57</v>
      </c>
      <c r="H52" s="2687"/>
    </row>
    <row r="53" spans="1:8">
      <c r="A53" s="475"/>
      <c r="B53" s="2688" t="s">
        <v>3538</v>
      </c>
      <c r="C53" s="2684">
        <v>-1</v>
      </c>
      <c r="D53" s="2685">
        <v>3.7</v>
      </c>
      <c r="E53" s="2685">
        <v>0.15</v>
      </c>
      <c r="F53" s="2685">
        <v>0.2</v>
      </c>
      <c r="G53" s="2686">
        <f t="shared" si="0"/>
        <v>-0.11</v>
      </c>
      <c r="H53" s="2687"/>
    </row>
    <row r="54" spans="1:8">
      <c r="A54" s="475"/>
      <c r="B54" s="2688" t="s">
        <v>3537</v>
      </c>
      <c r="C54" s="2684">
        <v>1</v>
      </c>
      <c r="D54" s="2685">
        <f>4.4-0.4</f>
        <v>4</v>
      </c>
      <c r="E54" s="2774">
        <v>0.55000000000000004</v>
      </c>
      <c r="F54" s="2774">
        <v>7.4999999999999997E-2</v>
      </c>
      <c r="G54" s="2686">
        <f t="shared" si="0"/>
        <v>0.17</v>
      </c>
      <c r="H54" s="2687"/>
    </row>
    <row r="55" spans="1:8">
      <c r="A55" s="475"/>
      <c r="B55" s="2688" t="s">
        <v>3539</v>
      </c>
      <c r="C55" s="2684">
        <v>1</v>
      </c>
      <c r="D55" s="2685">
        <v>3.7</v>
      </c>
      <c r="E55" s="2685">
        <v>0.55000000000000004</v>
      </c>
      <c r="F55" s="2685">
        <v>7.4999999999999997E-2</v>
      </c>
      <c r="G55" s="2686">
        <f t="shared" si="0"/>
        <v>0.15</v>
      </c>
      <c r="H55" s="2687"/>
    </row>
    <row r="56" spans="1:8">
      <c r="A56" s="475"/>
      <c r="B56" s="2688" t="s">
        <v>3540</v>
      </c>
      <c r="C56" s="2684">
        <v>1</v>
      </c>
      <c r="D56" s="2685">
        <v>4</v>
      </c>
      <c r="E56" s="2685">
        <v>0.15</v>
      </c>
      <c r="F56" s="2685">
        <v>2</v>
      </c>
      <c r="G56" s="2686">
        <f t="shared" si="0"/>
        <v>1.2</v>
      </c>
      <c r="H56" s="2687"/>
    </row>
    <row r="57" spans="1:8">
      <c r="A57" s="475"/>
      <c r="B57" s="2688" t="s">
        <v>1515</v>
      </c>
      <c r="C57" s="2684">
        <v>1</v>
      </c>
      <c r="D57" s="2685">
        <v>4</v>
      </c>
      <c r="E57" s="2685">
        <v>0.15</v>
      </c>
      <c r="F57" s="2685">
        <v>0.9</v>
      </c>
      <c r="G57" s="2686">
        <f t="shared" si="0"/>
        <v>0.54</v>
      </c>
      <c r="H57" s="2687"/>
    </row>
    <row r="58" spans="1:8">
      <c r="A58" s="475"/>
      <c r="B58" s="2688" t="s">
        <v>3542</v>
      </c>
      <c r="C58" s="2684">
        <v>2</v>
      </c>
      <c r="D58" s="2685">
        <f>D50+2*0.45</f>
        <v>13.3</v>
      </c>
      <c r="E58" s="2685">
        <v>0.45</v>
      </c>
      <c r="F58" s="2685">
        <v>0.33300000000000002</v>
      </c>
      <c r="G58" s="2686">
        <f t="shared" si="0"/>
        <v>3.99</v>
      </c>
      <c r="H58" s="2687"/>
    </row>
    <row r="59" spans="1:8">
      <c r="A59" s="475"/>
      <c r="B59" s="2688"/>
      <c r="C59" s="2684">
        <v>1</v>
      </c>
      <c r="D59" s="2685">
        <f>E50</f>
        <v>4.4000000000000004</v>
      </c>
      <c r="E59" s="2685">
        <v>0.45</v>
      </c>
      <c r="F59" s="2685">
        <v>0.33300000000000002</v>
      </c>
      <c r="G59" s="2686">
        <f t="shared" si="0"/>
        <v>0.66</v>
      </c>
      <c r="H59" s="2687"/>
    </row>
    <row r="60" spans="1:8">
      <c r="A60" s="475"/>
      <c r="B60" s="2688" t="s">
        <v>3550</v>
      </c>
      <c r="C60" s="2684">
        <v>4</v>
      </c>
      <c r="D60" s="2685">
        <v>0.9</v>
      </c>
      <c r="E60" s="2685">
        <v>0.1</v>
      </c>
      <c r="F60" s="2685">
        <v>0.9</v>
      </c>
      <c r="G60" s="2686">
        <f t="shared" si="0"/>
        <v>0.32</v>
      </c>
      <c r="H60" s="2687"/>
    </row>
    <row r="61" spans="1:8">
      <c r="A61" s="475"/>
      <c r="B61" s="2688" t="s">
        <v>3551</v>
      </c>
      <c r="C61" s="2684">
        <v>1</v>
      </c>
      <c r="D61" s="2685">
        <v>1</v>
      </c>
      <c r="E61" s="2685">
        <v>1</v>
      </c>
      <c r="F61" s="2685">
        <v>0.1</v>
      </c>
      <c r="G61" s="2686">
        <f t="shared" si="0"/>
        <v>0.1</v>
      </c>
      <c r="H61" s="2687"/>
    </row>
    <row r="62" spans="1:8">
      <c r="A62" s="475"/>
      <c r="B62" s="2688" t="s">
        <v>3552</v>
      </c>
      <c r="C62" s="2684">
        <v>-1</v>
      </c>
      <c r="D62" s="2685">
        <v>0.6</v>
      </c>
      <c r="E62" s="2685">
        <v>0.6</v>
      </c>
      <c r="F62" s="2685">
        <v>0.1</v>
      </c>
      <c r="G62" s="2686">
        <f t="shared" si="0"/>
        <v>-0.04</v>
      </c>
      <c r="H62" s="2687"/>
    </row>
    <row r="63" spans="1:8">
      <c r="A63" s="475"/>
      <c r="B63" s="2688"/>
      <c r="C63" s="2684"/>
      <c r="D63" s="2685"/>
      <c r="E63" s="2685"/>
      <c r="F63" s="2685"/>
      <c r="G63" s="2686"/>
      <c r="H63" s="2687"/>
    </row>
    <row r="64" spans="1:8">
      <c r="A64" s="475"/>
      <c r="B64" s="2773" t="s">
        <v>3528</v>
      </c>
      <c r="C64" s="2684"/>
      <c r="D64" s="2685"/>
      <c r="E64" s="2685"/>
      <c r="F64" s="2685"/>
      <c r="G64" s="2686"/>
      <c r="H64" s="2687"/>
    </row>
    <row r="65" spans="1:8">
      <c r="A65" s="491"/>
      <c r="B65" s="2688" t="s">
        <v>1003</v>
      </c>
      <c r="C65" s="2684">
        <v>1</v>
      </c>
      <c r="D65" s="2685">
        <v>12.3</v>
      </c>
      <c r="E65" s="2685">
        <v>4.4000000000000004</v>
      </c>
      <c r="F65" s="2685">
        <v>0.18</v>
      </c>
      <c r="G65" s="2686">
        <f t="shared" ref="G65:G77" si="1">ROUND((C65*D65*E65*F65),2)</f>
        <v>9.74</v>
      </c>
      <c r="H65" s="2690"/>
    </row>
    <row r="66" spans="1:8">
      <c r="A66" s="471"/>
      <c r="B66" s="2688" t="s">
        <v>3535</v>
      </c>
      <c r="C66" s="2684">
        <v>2</v>
      </c>
      <c r="D66" s="2685">
        <f>D65-0.15</f>
        <v>12.15</v>
      </c>
      <c r="E66" s="2685">
        <v>0.15</v>
      </c>
      <c r="F66" s="2685">
        <v>2.8</v>
      </c>
      <c r="G66" s="2686">
        <f t="shared" si="1"/>
        <v>10.210000000000001</v>
      </c>
      <c r="H66" s="2682"/>
    </row>
    <row r="67" spans="1:8">
      <c r="A67" s="475"/>
      <c r="B67" s="2688" t="s">
        <v>3536</v>
      </c>
      <c r="C67" s="2684">
        <v>2</v>
      </c>
      <c r="D67" s="2685">
        <f>E65-0.15</f>
        <v>4.25</v>
      </c>
      <c r="E67" s="2685">
        <v>0.15</v>
      </c>
      <c r="F67" s="2685">
        <v>2.8</v>
      </c>
      <c r="G67" s="2686">
        <f t="shared" si="1"/>
        <v>3.57</v>
      </c>
      <c r="H67" s="2687"/>
    </row>
    <row r="68" spans="1:8">
      <c r="A68" s="475"/>
      <c r="B68" s="2688" t="s">
        <v>3538</v>
      </c>
      <c r="C68" s="2684">
        <v>-1</v>
      </c>
      <c r="D68" s="2685">
        <v>3.7</v>
      </c>
      <c r="E68" s="2685">
        <v>0.15</v>
      </c>
      <c r="F68" s="2685">
        <v>0.2</v>
      </c>
      <c r="G68" s="2686">
        <f t="shared" si="1"/>
        <v>-0.11</v>
      </c>
      <c r="H68" s="2687"/>
    </row>
    <row r="69" spans="1:8">
      <c r="A69" s="475"/>
      <c r="B69" s="2688" t="s">
        <v>3537</v>
      </c>
      <c r="C69" s="2684">
        <v>1</v>
      </c>
      <c r="D69" s="2685">
        <f>4.4-0.4</f>
        <v>4</v>
      </c>
      <c r="E69" s="2774">
        <v>0.55000000000000004</v>
      </c>
      <c r="F69" s="2774">
        <v>7.4999999999999997E-2</v>
      </c>
      <c r="G69" s="2686">
        <f t="shared" si="1"/>
        <v>0.17</v>
      </c>
      <c r="H69" s="2687"/>
    </row>
    <row r="70" spans="1:8">
      <c r="A70" s="475"/>
      <c r="B70" s="2688" t="s">
        <v>3539</v>
      </c>
      <c r="C70" s="2684">
        <v>1</v>
      </c>
      <c r="D70" s="2685">
        <v>3.7</v>
      </c>
      <c r="E70" s="2685">
        <v>0.55000000000000004</v>
      </c>
      <c r="F70" s="2685">
        <v>7.4999999999999997E-2</v>
      </c>
      <c r="G70" s="2686">
        <f t="shared" si="1"/>
        <v>0.15</v>
      </c>
      <c r="H70" s="2687"/>
    </row>
    <row r="71" spans="1:8">
      <c r="A71" s="475"/>
      <c r="B71" s="2688" t="s">
        <v>3540</v>
      </c>
      <c r="C71" s="2684">
        <v>1</v>
      </c>
      <c r="D71" s="2685">
        <v>4</v>
      </c>
      <c r="E71" s="2685">
        <v>0.15</v>
      </c>
      <c r="F71" s="2685">
        <v>2</v>
      </c>
      <c r="G71" s="2686">
        <f t="shared" si="1"/>
        <v>1.2</v>
      </c>
      <c r="H71" s="2687"/>
    </row>
    <row r="72" spans="1:8">
      <c r="A72" s="475"/>
      <c r="B72" s="2688" t="s">
        <v>1515</v>
      </c>
      <c r="C72" s="2684">
        <v>1</v>
      </c>
      <c r="D72" s="2685">
        <v>4</v>
      </c>
      <c r="E72" s="2685">
        <v>0.15</v>
      </c>
      <c r="F72" s="2685">
        <v>0.9</v>
      </c>
      <c r="G72" s="2686">
        <f t="shared" si="1"/>
        <v>0.54</v>
      </c>
      <c r="H72" s="2687"/>
    </row>
    <row r="73" spans="1:8">
      <c r="A73" s="475"/>
      <c r="B73" s="2688" t="s">
        <v>3542</v>
      </c>
      <c r="C73" s="2684">
        <v>2</v>
      </c>
      <c r="D73" s="2685">
        <f>D65+2*0.45</f>
        <v>13.200000000000001</v>
      </c>
      <c r="E73" s="2685">
        <v>0.45</v>
      </c>
      <c r="F73" s="2685">
        <v>0.33300000000000002</v>
      </c>
      <c r="G73" s="2686">
        <f t="shared" si="1"/>
        <v>3.96</v>
      </c>
      <c r="H73" s="2687"/>
    </row>
    <row r="74" spans="1:8">
      <c r="A74" s="475"/>
      <c r="B74" s="2688"/>
      <c r="C74" s="2684">
        <v>1</v>
      </c>
      <c r="D74" s="2685">
        <f>E65</f>
        <v>4.4000000000000004</v>
      </c>
      <c r="E74" s="2685">
        <v>0.45</v>
      </c>
      <c r="F74" s="2685">
        <v>0.33300000000000002</v>
      </c>
      <c r="G74" s="2686">
        <f t="shared" si="1"/>
        <v>0.66</v>
      </c>
      <c r="H74" s="2687"/>
    </row>
    <row r="75" spans="1:8">
      <c r="A75" s="475"/>
      <c r="B75" s="2688" t="s">
        <v>3550</v>
      </c>
      <c r="C75" s="2684">
        <v>4</v>
      </c>
      <c r="D75" s="2685">
        <v>0.9</v>
      </c>
      <c r="E75" s="2685">
        <v>0.1</v>
      </c>
      <c r="F75" s="2685">
        <v>0.9</v>
      </c>
      <c r="G75" s="2686">
        <f t="shared" si="1"/>
        <v>0.32</v>
      </c>
      <c r="H75" s="2687"/>
    </row>
    <row r="76" spans="1:8">
      <c r="A76" s="475"/>
      <c r="B76" s="2688" t="s">
        <v>3551</v>
      </c>
      <c r="C76" s="2684">
        <v>1</v>
      </c>
      <c r="D76" s="2685">
        <v>1</v>
      </c>
      <c r="E76" s="2685">
        <v>1</v>
      </c>
      <c r="F76" s="2685">
        <v>0.1</v>
      </c>
      <c r="G76" s="2686">
        <f t="shared" si="1"/>
        <v>0.1</v>
      </c>
      <c r="H76" s="2687"/>
    </row>
    <row r="77" spans="1:8">
      <c r="A77" s="475"/>
      <c r="B77" s="2688" t="s">
        <v>3552</v>
      </c>
      <c r="C77" s="2684">
        <v>-1</v>
      </c>
      <c r="D77" s="2685">
        <v>0.6</v>
      </c>
      <c r="E77" s="2685">
        <v>0.6</v>
      </c>
      <c r="F77" s="2685">
        <v>0.1</v>
      </c>
      <c r="G77" s="2686">
        <f t="shared" si="1"/>
        <v>-0.04</v>
      </c>
      <c r="H77" s="2687"/>
    </row>
    <row r="78" spans="1:8">
      <c r="A78" s="475"/>
      <c r="B78" s="2688"/>
      <c r="C78" s="2684"/>
      <c r="D78" s="2685"/>
      <c r="E78" s="2685"/>
      <c r="F78" s="2685"/>
      <c r="G78" s="2686"/>
      <c r="H78" s="2687"/>
    </row>
    <row r="79" spans="1:8">
      <c r="A79" s="475"/>
      <c r="B79" s="2773" t="s">
        <v>3541</v>
      </c>
      <c r="C79" s="2684"/>
      <c r="D79" s="2685"/>
      <c r="E79" s="2685"/>
      <c r="F79" s="2685"/>
      <c r="G79" s="2686"/>
      <c r="H79" s="2687"/>
    </row>
    <row r="80" spans="1:8">
      <c r="A80" s="475"/>
      <c r="B80" s="2688" t="s">
        <v>1003</v>
      </c>
      <c r="C80" s="2684">
        <v>1</v>
      </c>
      <c r="D80" s="2685">
        <v>10.5</v>
      </c>
      <c r="E80" s="2685">
        <v>4</v>
      </c>
      <c r="F80" s="2685">
        <v>0.18</v>
      </c>
      <c r="G80" s="2686">
        <f t="shared" ref="G80:G89" si="2">ROUND((C80*D80*E80*F80),2)</f>
        <v>7.56</v>
      </c>
      <c r="H80" s="2687"/>
    </row>
    <row r="81" spans="1:10">
      <c r="A81" s="475"/>
      <c r="B81" s="2688" t="s">
        <v>3535</v>
      </c>
      <c r="C81" s="2684">
        <v>2</v>
      </c>
      <c r="D81" s="2685">
        <f>D80-0.15</f>
        <v>10.35</v>
      </c>
      <c r="E81" s="2685">
        <v>0.15</v>
      </c>
      <c r="F81" s="2685">
        <v>2.8</v>
      </c>
      <c r="G81" s="2686">
        <f t="shared" si="2"/>
        <v>8.69</v>
      </c>
      <c r="H81" s="2687"/>
    </row>
    <row r="82" spans="1:10">
      <c r="A82" s="475"/>
      <c r="B82" s="2688" t="s">
        <v>3536</v>
      </c>
      <c r="C82" s="2684">
        <v>2</v>
      </c>
      <c r="D82" s="2685">
        <f>E80-0.15</f>
        <v>3.85</v>
      </c>
      <c r="E82" s="2685">
        <v>0.15</v>
      </c>
      <c r="F82" s="2685">
        <v>2.8</v>
      </c>
      <c r="G82" s="2686">
        <f t="shared" si="2"/>
        <v>3.23</v>
      </c>
      <c r="H82" s="2687"/>
      <c r="J82" s="6">
        <f>D80-0.15</f>
        <v>10.35</v>
      </c>
    </row>
    <row r="83" spans="1:10">
      <c r="A83" s="475"/>
      <c r="B83" s="2688" t="s">
        <v>3538</v>
      </c>
      <c r="C83" s="2684">
        <v>-1</v>
      </c>
      <c r="D83" s="2685">
        <v>3.4</v>
      </c>
      <c r="E83" s="2685">
        <v>0.15</v>
      </c>
      <c r="F83" s="2685">
        <v>0.2</v>
      </c>
      <c r="G83" s="2686">
        <f t="shared" si="2"/>
        <v>-0.1</v>
      </c>
      <c r="H83" s="2687"/>
      <c r="J83">
        <f>J82/3</f>
        <v>3.4499999999999997</v>
      </c>
    </row>
    <row r="84" spans="1:10">
      <c r="A84" s="475"/>
      <c r="B84" s="2688" t="s">
        <v>3537</v>
      </c>
      <c r="C84" s="2684">
        <v>1</v>
      </c>
      <c r="D84" s="2685">
        <f>E80-0.4</f>
        <v>3.6</v>
      </c>
      <c r="E84" s="2774">
        <v>0.55000000000000004</v>
      </c>
      <c r="F84" s="2774">
        <v>7.4999999999999997E-2</v>
      </c>
      <c r="G84" s="2686">
        <f t="shared" si="2"/>
        <v>0.15</v>
      </c>
      <c r="H84" s="2687"/>
    </row>
    <row r="85" spans="1:10">
      <c r="A85" s="475"/>
      <c r="B85" s="2688" t="s">
        <v>3539</v>
      </c>
      <c r="C85" s="2684">
        <v>1</v>
      </c>
      <c r="D85" s="2685">
        <f>D83</f>
        <v>3.4</v>
      </c>
      <c r="E85" s="2685">
        <v>0.55000000000000004</v>
      </c>
      <c r="F85" s="2685">
        <v>7.4999999999999997E-2</v>
      </c>
      <c r="G85" s="2686">
        <f t="shared" si="2"/>
        <v>0.14000000000000001</v>
      </c>
      <c r="H85" s="2687"/>
    </row>
    <row r="86" spans="1:10">
      <c r="A86" s="475"/>
      <c r="B86" s="2688" t="s">
        <v>3540</v>
      </c>
      <c r="C86" s="2684">
        <v>1</v>
      </c>
      <c r="D86" s="2685">
        <f>D84</f>
        <v>3.6</v>
      </c>
      <c r="E86" s="2685">
        <v>0.15</v>
      </c>
      <c r="F86" s="2685">
        <v>2</v>
      </c>
      <c r="G86" s="2686">
        <f t="shared" si="2"/>
        <v>1.08</v>
      </c>
      <c r="H86" s="2687"/>
    </row>
    <row r="87" spans="1:10">
      <c r="A87" s="475"/>
      <c r="B87" s="2688" t="s">
        <v>1515</v>
      </c>
      <c r="C87" s="2684">
        <v>1</v>
      </c>
      <c r="D87" s="2685">
        <f>D85</f>
        <v>3.4</v>
      </c>
      <c r="E87" s="2685">
        <v>0.15</v>
      </c>
      <c r="F87" s="2685">
        <v>0.9</v>
      </c>
      <c r="G87" s="2686">
        <f t="shared" si="2"/>
        <v>0.46</v>
      </c>
      <c r="H87" s="2687"/>
    </row>
    <row r="88" spans="1:10">
      <c r="A88" s="475"/>
      <c r="B88" s="2688" t="s">
        <v>3542</v>
      </c>
      <c r="C88" s="2684">
        <v>2</v>
      </c>
      <c r="D88" s="2685">
        <f>D80+2*0.45</f>
        <v>11.4</v>
      </c>
      <c r="E88" s="2685">
        <v>0.45</v>
      </c>
      <c r="F88" s="2685">
        <v>0.33300000000000002</v>
      </c>
      <c r="G88" s="2686">
        <f t="shared" si="2"/>
        <v>3.42</v>
      </c>
      <c r="H88" s="2687"/>
    </row>
    <row r="89" spans="1:10">
      <c r="A89" s="475"/>
      <c r="B89" s="2688"/>
      <c r="C89" s="2684">
        <v>1</v>
      </c>
      <c r="D89" s="2685">
        <f>E80</f>
        <v>4</v>
      </c>
      <c r="E89" s="2685">
        <v>0.45</v>
      </c>
      <c r="F89" s="2685">
        <v>0.33300000000000002</v>
      </c>
      <c r="G89" s="2686">
        <f t="shared" si="2"/>
        <v>0.6</v>
      </c>
      <c r="H89" s="2687"/>
    </row>
    <row r="90" spans="1:10">
      <c r="A90" s="475"/>
      <c r="B90" s="2688"/>
      <c r="C90" s="2684"/>
      <c r="D90" s="2685"/>
      <c r="E90" s="2685"/>
      <c r="F90" s="2685"/>
      <c r="G90" s="2689">
        <f>SUM(G50:G89)</f>
        <v>86.36</v>
      </c>
      <c r="H90" s="2775" t="s">
        <v>1174</v>
      </c>
    </row>
    <row r="91" spans="1:10">
      <c r="A91" s="475">
        <v>8</v>
      </c>
      <c r="B91" s="2683" t="s">
        <v>970</v>
      </c>
      <c r="C91" s="2684"/>
      <c r="D91" s="2685"/>
      <c r="E91" s="2685"/>
      <c r="F91" s="2685"/>
      <c r="G91" s="2686"/>
      <c r="H91" s="2687"/>
    </row>
    <row r="92" spans="1:10">
      <c r="A92" s="475"/>
      <c r="B92" s="2683" t="s">
        <v>725</v>
      </c>
      <c r="C92" s="2684"/>
      <c r="D92" s="2685"/>
      <c r="E92" s="2685"/>
      <c r="F92" s="2685"/>
      <c r="G92" s="2686"/>
      <c r="H92" s="2687"/>
    </row>
    <row r="93" spans="1:10">
      <c r="A93" s="475"/>
      <c r="B93" s="2773" t="s">
        <v>3527</v>
      </c>
      <c r="C93" s="2684"/>
      <c r="D93" s="2685"/>
      <c r="E93" s="2685"/>
      <c r="F93" s="2685"/>
      <c r="G93" s="2686"/>
      <c r="H93" s="2687"/>
    </row>
    <row r="94" spans="1:10">
      <c r="A94" s="475"/>
      <c r="B94" s="2688" t="s">
        <v>1003</v>
      </c>
      <c r="C94" s="2684">
        <v>2</v>
      </c>
      <c r="D94" s="2685">
        <v>12.4</v>
      </c>
      <c r="E94" s="2685"/>
      <c r="F94" s="2685">
        <v>0.18</v>
      </c>
      <c r="G94" s="2686">
        <f>PRODUCT(C94:F94)</f>
        <v>4.4639999999999995</v>
      </c>
      <c r="H94" s="2687"/>
    </row>
    <row r="95" spans="1:10">
      <c r="A95" s="475"/>
      <c r="B95" s="2688"/>
      <c r="C95" s="2684">
        <v>2</v>
      </c>
      <c r="D95" s="2685">
        <v>4.4000000000000004</v>
      </c>
      <c r="E95" s="2685"/>
      <c r="F95" s="2685">
        <v>0.18</v>
      </c>
      <c r="G95" s="2686">
        <f t="shared" ref="G95:G104" si="3">PRODUCT(C95:F95)</f>
        <v>1.5840000000000001</v>
      </c>
      <c r="H95" s="2687"/>
    </row>
    <row r="96" spans="1:10">
      <c r="A96" s="475"/>
      <c r="B96" s="2688" t="s">
        <v>3535</v>
      </c>
      <c r="C96" s="2684">
        <v>4</v>
      </c>
      <c r="D96" s="2685">
        <f>D94-0.15</f>
        <v>12.25</v>
      </c>
      <c r="E96" s="2685"/>
      <c r="F96" s="2685">
        <v>2.8</v>
      </c>
      <c r="G96" s="2686">
        <f t="shared" si="3"/>
        <v>137.19999999999999</v>
      </c>
      <c r="H96" s="2687"/>
    </row>
    <row r="97" spans="1:8">
      <c r="A97" s="475"/>
      <c r="B97" s="2688" t="s">
        <v>3536</v>
      </c>
      <c r="C97" s="2684">
        <v>4</v>
      </c>
      <c r="D97" s="2685">
        <f>D95-0.15</f>
        <v>4.25</v>
      </c>
      <c r="E97" s="2685"/>
      <c r="F97" s="2685">
        <v>2.8</v>
      </c>
      <c r="G97" s="2686">
        <f t="shared" si="3"/>
        <v>47.599999999999994</v>
      </c>
      <c r="H97" s="2687"/>
    </row>
    <row r="98" spans="1:8">
      <c r="A98" s="475"/>
      <c r="B98" s="2688" t="s">
        <v>3538</v>
      </c>
      <c r="C98" s="2684">
        <v>-1</v>
      </c>
      <c r="D98" s="2685">
        <v>3.7</v>
      </c>
      <c r="E98" s="2685"/>
      <c r="F98" s="2685">
        <v>0.2</v>
      </c>
      <c r="G98" s="2686">
        <f t="shared" si="3"/>
        <v>-0.7400000000000001</v>
      </c>
      <c r="H98" s="2687"/>
    </row>
    <row r="99" spans="1:8">
      <c r="A99" s="475"/>
      <c r="B99" s="2688" t="s">
        <v>3537</v>
      </c>
      <c r="C99" s="2684">
        <v>1</v>
      </c>
      <c r="D99" s="2685">
        <f>4.4-0.4</f>
        <v>4</v>
      </c>
      <c r="E99" s="2774">
        <v>0.55000000000000004</v>
      </c>
      <c r="F99" s="2774"/>
      <c r="G99" s="2686">
        <f t="shared" si="3"/>
        <v>2.2000000000000002</v>
      </c>
      <c r="H99" s="2687"/>
    </row>
    <row r="100" spans="1:8">
      <c r="A100" s="475"/>
      <c r="B100" s="2688" t="s">
        <v>3539</v>
      </c>
      <c r="C100" s="2684">
        <v>1</v>
      </c>
      <c r="D100" s="2685">
        <v>3.7</v>
      </c>
      <c r="E100" s="2685">
        <v>0.55000000000000004</v>
      </c>
      <c r="F100" s="2685"/>
      <c r="G100" s="2686">
        <f t="shared" si="3"/>
        <v>2.0350000000000001</v>
      </c>
      <c r="H100" s="2687"/>
    </row>
    <row r="101" spans="1:8">
      <c r="A101" s="475"/>
      <c r="B101" s="2688" t="s">
        <v>3540</v>
      </c>
      <c r="C101" s="2684">
        <v>2</v>
      </c>
      <c r="D101" s="2685">
        <v>4</v>
      </c>
      <c r="E101" s="2685"/>
      <c r="F101" s="2685">
        <v>2</v>
      </c>
      <c r="G101" s="2686">
        <f t="shared" si="3"/>
        <v>16</v>
      </c>
      <c r="H101" s="2687"/>
    </row>
    <row r="102" spans="1:8">
      <c r="A102" s="475"/>
      <c r="B102" s="2688" t="s">
        <v>1515</v>
      </c>
      <c r="C102" s="2684">
        <v>2</v>
      </c>
      <c r="D102" s="2685">
        <v>4</v>
      </c>
      <c r="E102" s="2685"/>
      <c r="F102" s="2685">
        <v>0.9</v>
      </c>
      <c r="G102" s="2686">
        <f t="shared" si="3"/>
        <v>7.2</v>
      </c>
      <c r="H102" s="2687"/>
    </row>
    <row r="103" spans="1:8">
      <c r="A103" s="475"/>
      <c r="B103" s="2688" t="s">
        <v>3542</v>
      </c>
      <c r="C103" s="2684">
        <v>2</v>
      </c>
      <c r="D103" s="2685">
        <f>D94+2*0.45</f>
        <v>13.3</v>
      </c>
      <c r="E103" s="2685">
        <v>0.45</v>
      </c>
      <c r="F103" s="2685"/>
      <c r="G103" s="2686">
        <f t="shared" si="3"/>
        <v>11.97</v>
      </c>
      <c r="H103" s="2687"/>
    </row>
    <row r="104" spans="1:8">
      <c r="A104" s="475"/>
      <c r="B104" s="2688"/>
      <c r="C104" s="2684">
        <v>1</v>
      </c>
      <c r="D104" s="2685">
        <f>D95</f>
        <v>4.4000000000000004</v>
      </c>
      <c r="E104" s="2685">
        <v>0.45</v>
      </c>
      <c r="F104" s="2685"/>
      <c r="G104" s="2686">
        <f t="shared" si="3"/>
        <v>1.9800000000000002</v>
      </c>
      <c r="H104" s="2687"/>
    </row>
    <row r="105" spans="1:8">
      <c r="A105" s="475"/>
      <c r="B105" s="2688"/>
      <c r="C105" s="2684"/>
      <c r="D105" s="2685"/>
      <c r="E105" s="2685"/>
      <c r="F105" s="2685"/>
      <c r="G105" s="2686"/>
      <c r="H105" s="2687"/>
    </row>
    <row r="106" spans="1:8">
      <c r="A106" s="475"/>
      <c r="B106" s="2773" t="s">
        <v>3528</v>
      </c>
      <c r="C106" s="2684"/>
      <c r="D106" s="2685"/>
      <c r="E106" s="2685"/>
      <c r="F106" s="2685"/>
      <c r="G106" s="2686"/>
      <c r="H106" s="2687"/>
    </row>
    <row r="107" spans="1:8">
      <c r="A107" s="475"/>
      <c r="B107" s="2688" t="s">
        <v>1003</v>
      </c>
      <c r="C107" s="2684">
        <v>2</v>
      </c>
      <c r="D107" s="2685">
        <v>12.3</v>
      </c>
      <c r="E107" s="2685"/>
      <c r="F107" s="2685">
        <v>0.18</v>
      </c>
      <c r="G107" s="2686">
        <f>PRODUCT(C107:F107)</f>
        <v>4.4279999999999999</v>
      </c>
      <c r="H107" s="2687"/>
    </row>
    <row r="108" spans="1:8">
      <c r="A108" s="475"/>
      <c r="B108" s="2688"/>
      <c r="C108" s="2684">
        <v>2</v>
      </c>
      <c r="D108" s="2685">
        <v>4.4000000000000004</v>
      </c>
      <c r="E108" s="2685"/>
      <c r="F108" s="2685">
        <v>0.18</v>
      </c>
      <c r="G108" s="2686">
        <f t="shared" ref="G108:G117" si="4">PRODUCT(C108:F108)</f>
        <v>1.5840000000000001</v>
      </c>
      <c r="H108" s="2687"/>
    </row>
    <row r="109" spans="1:8">
      <c r="A109" s="475"/>
      <c r="B109" s="2688" t="s">
        <v>3535</v>
      </c>
      <c r="C109" s="2684">
        <v>4</v>
      </c>
      <c r="D109" s="2685">
        <f>D107-0.15</f>
        <v>12.15</v>
      </c>
      <c r="E109" s="2685"/>
      <c r="F109" s="2685">
        <v>2.8</v>
      </c>
      <c r="G109" s="2686">
        <f t="shared" si="4"/>
        <v>136.07999999999998</v>
      </c>
      <c r="H109" s="2687"/>
    </row>
    <row r="110" spans="1:8">
      <c r="A110" s="475"/>
      <c r="B110" s="2688" t="s">
        <v>3536</v>
      </c>
      <c r="C110" s="2684">
        <v>4</v>
      </c>
      <c r="D110" s="2685">
        <f>D108-0.15</f>
        <v>4.25</v>
      </c>
      <c r="E110" s="2685"/>
      <c r="F110" s="2685">
        <v>2.8</v>
      </c>
      <c r="G110" s="2686">
        <f t="shared" si="4"/>
        <v>47.599999999999994</v>
      </c>
      <c r="H110" s="2687"/>
    </row>
    <row r="111" spans="1:8">
      <c r="A111" s="475"/>
      <c r="B111" s="2688" t="s">
        <v>3538</v>
      </c>
      <c r="C111" s="2684">
        <v>-1</v>
      </c>
      <c r="D111" s="2685">
        <v>3.7</v>
      </c>
      <c r="E111" s="2685"/>
      <c r="F111" s="2685">
        <v>0.2</v>
      </c>
      <c r="G111" s="2686">
        <f t="shared" si="4"/>
        <v>-0.7400000000000001</v>
      </c>
      <c r="H111" s="2687"/>
    </row>
    <row r="112" spans="1:8">
      <c r="A112" s="475"/>
      <c r="B112" s="2688" t="s">
        <v>3537</v>
      </c>
      <c r="C112" s="2684">
        <v>1</v>
      </c>
      <c r="D112" s="2685">
        <f>4.4-0.4</f>
        <v>4</v>
      </c>
      <c r="E112" s="2774">
        <v>0.55000000000000004</v>
      </c>
      <c r="F112" s="2774"/>
      <c r="G112" s="2686">
        <f t="shared" si="4"/>
        <v>2.2000000000000002</v>
      </c>
      <c r="H112" s="2687"/>
    </row>
    <row r="113" spans="1:8">
      <c r="A113" s="475"/>
      <c r="B113" s="2688" t="s">
        <v>3539</v>
      </c>
      <c r="C113" s="2684">
        <v>1</v>
      </c>
      <c r="D113" s="2685">
        <v>3.7</v>
      </c>
      <c r="E113" s="2685">
        <v>0.55000000000000004</v>
      </c>
      <c r="F113" s="2685"/>
      <c r="G113" s="2686">
        <f t="shared" si="4"/>
        <v>2.0350000000000001</v>
      </c>
      <c r="H113" s="2687"/>
    </row>
    <row r="114" spans="1:8">
      <c r="A114" s="475"/>
      <c r="B114" s="2688" t="s">
        <v>3540</v>
      </c>
      <c r="C114" s="2684">
        <v>2</v>
      </c>
      <c r="D114" s="2685">
        <v>4</v>
      </c>
      <c r="E114" s="2685"/>
      <c r="F114" s="2685">
        <v>2</v>
      </c>
      <c r="G114" s="2686">
        <f t="shared" si="4"/>
        <v>16</v>
      </c>
      <c r="H114" s="2687"/>
    </row>
    <row r="115" spans="1:8">
      <c r="A115" s="475"/>
      <c r="B115" s="2688" t="s">
        <v>1515</v>
      </c>
      <c r="C115" s="2684">
        <v>2</v>
      </c>
      <c r="D115" s="2685">
        <v>4</v>
      </c>
      <c r="E115" s="2685"/>
      <c r="F115" s="2685">
        <v>0.9</v>
      </c>
      <c r="G115" s="2686">
        <f t="shared" si="4"/>
        <v>7.2</v>
      </c>
      <c r="H115" s="2687"/>
    </row>
    <row r="116" spans="1:8">
      <c r="A116" s="475"/>
      <c r="B116" s="2688" t="s">
        <v>3542</v>
      </c>
      <c r="C116" s="2684">
        <v>2</v>
      </c>
      <c r="D116" s="2685">
        <f>D107+2*0.45</f>
        <v>13.200000000000001</v>
      </c>
      <c r="E116" s="2685">
        <v>0.45</v>
      </c>
      <c r="F116" s="2685"/>
      <c r="G116" s="2686">
        <f t="shared" si="4"/>
        <v>11.88</v>
      </c>
      <c r="H116" s="2687"/>
    </row>
    <row r="117" spans="1:8">
      <c r="A117" s="475"/>
      <c r="B117" s="2688"/>
      <c r="C117" s="2684">
        <v>1</v>
      </c>
      <c r="D117" s="2685">
        <f>D108</f>
        <v>4.4000000000000004</v>
      </c>
      <c r="E117" s="2685">
        <v>0.45</v>
      </c>
      <c r="F117" s="2685"/>
      <c r="G117" s="2686">
        <f t="shared" si="4"/>
        <v>1.9800000000000002</v>
      </c>
      <c r="H117" s="2687"/>
    </row>
    <row r="118" spans="1:8">
      <c r="A118" s="475"/>
      <c r="B118" s="2688"/>
      <c r="C118" s="2684"/>
      <c r="D118" s="2685"/>
      <c r="E118" s="2685"/>
      <c r="F118" s="2685"/>
      <c r="G118" s="2686"/>
      <c r="H118" s="2687"/>
    </row>
    <row r="119" spans="1:8">
      <c r="A119" s="475"/>
      <c r="B119" s="2773" t="s">
        <v>3541</v>
      </c>
      <c r="C119" s="2684"/>
      <c r="D119" s="2685"/>
      <c r="E119" s="2685"/>
      <c r="F119" s="2685"/>
      <c r="G119" s="2686"/>
      <c r="H119" s="2687"/>
    </row>
    <row r="120" spans="1:8">
      <c r="A120" s="475"/>
      <c r="B120" s="2688" t="s">
        <v>1003</v>
      </c>
      <c r="C120" s="2684">
        <v>2</v>
      </c>
      <c r="D120" s="2685">
        <v>10.5</v>
      </c>
      <c r="E120" s="2685"/>
      <c r="F120" s="2685">
        <v>0.18</v>
      </c>
      <c r="G120" s="2686">
        <f>PRODUCT(C120:F120)</f>
        <v>3.78</v>
      </c>
      <c r="H120" s="2687"/>
    </row>
    <row r="121" spans="1:8">
      <c r="A121" s="475"/>
      <c r="B121" s="2688"/>
      <c r="C121" s="2684">
        <v>2</v>
      </c>
      <c r="D121" s="2685">
        <v>4</v>
      </c>
      <c r="E121" s="2685"/>
      <c r="F121" s="2685">
        <v>0.18</v>
      </c>
      <c r="G121" s="2686">
        <f t="shared" ref="G121:G130" si="5">PRODUCT(C121:F121)</f>
        <v>1.44</v>
      </c>
      <c r="H121" s="2687"/>
    </row>
    <row r="122" spans="1:8">
      <c r="A122" s="475"/>
      <c r="B122" s="2688" t="s">
        <v>3535</v>
      </c>
      <c r="C122" s="2684">
        <v>4</v>
      </c>
      <c r="D122" s="2685">
        <f>D120-0.15</f>
        <v>10.35</v>
      </c>
      <c r="E122" s="2685"/>
      <c r="F122" s="2685">
        <v>2.8</v>
      </c>
      <c r="G122" s="2686">
        <f t="shared" si="5"/>
        <v>115.91999999999999</v>
      </c>
      <c r="H122" s="2687"/>
    </row>
    <row r="123" spans="1:8">
      <c r="A123" s="475"/>
      <c r="B123" s="2688" t="s">
        <v>3536</v>
      </c>
      <c r="C123" s="2684">
        <v>4</v>
      </c>
      <c r="D123" s="2685">
        <f>D121-0.15</f>
        <v>3.85</v>
      </c>
      <c r="E123" s="2685"/>
      <c r="F123" s="2685">
        <v>2.8</v>
      </c>
      <c r="G123" s="2686">
        <f t="shared" si="5"/>
        <v>43.12</v>
      </c>
      <c r="H123" s="2687"/>
    </row>
    <row r="124" spans="1:8">
      <c r="A124" s="475"/>
      <c r="B124" s="2688" t="s">
        <v>3538</v>
      </c>
      <c r="C124" s="2684">
        <v>-1</v>
      </c>
      <c r="D124" s="2685">
        <v>3.4</v>
      </c>
      <c r="E124" s="2685"/>
      <c r="F124" s="2685">
        <v>0.2</v>
      </c>
      <c r="G124" s="2686">
        <f t="shared" si="5"/>
        <v>-0.68</v>
      </c>
      <c r="H124" s="2687"/>
    </row>
    <row r="125" spans="1:8">
      <c r="A125" s="475"/>
      <c r="B125" s="2688" t="s">
        <v>3537</v>
      </c>
      <c r="C125" s="2684">
        <v>1</v>
      </c>
      <c r="D125" s="2685">
        <f>D121-0.4</f>
        <v>3.6</v>
      </c>
      <c r="E125" s="2774">
        <v>0.55000000000000004</v>
      </c>
      <c r="F125" s="2774"/>
      <c r="G125" s="2686">
        <f t="shared" si="5"/>
        <v>1.9800000000000002</v>
      </c>
      <c r="H125" s="2687"/>
    </row>
    <row r="126" spans="1:8">
      <c r="A126" s="475"/>
      <c r="B126" s="2688" t="s">
        <v>3539</v>
      </c>
      <c r="C126" s="2684">
        <v>1</v>
      </c>
      <c r="D126" s="2685">
        <f>D124</f>
        <v>3.4</v>
      </c>
      <c r="E126" s="2685">
        <v>0.55000000000000004</v>
      </c>
      <c r="F126" s="2685"/>
      <c r="G126" s="2686">
        <f t="shared" si="5"/>
        <v>1.87</v>
      </c>
      <c r="H126" s="2687"/>
    </row>
    <row r="127" spans="1:8">
      <c r="A127" s="475"/>
      <c r="B127" s="2688" t="s">
        <v>3540</v>
      </c>
      <c r="C127" s="2684">
        <v>2</v>
      </c>
      <c r="D127" s="2685">
        <f>D125</f>
        <v>3.6</v>
      </c>
      <c r="E127" s="2685"/>
      <c r="F127" s="2685">
        <v>2</v>
      </c>
      <c r="G127" s="2686">
        <f t="shared" si="5"/>
        <v>14.4</v>
      </c>
      <c r="H127" s="2687"/>
    </row>
    <row r="128" spans="1:8">
      <c r="A128" s="475"/>
      <c r="B128" s="2688" t="s">
        <v>1515</v>
      </c>
      <c r="C128" s="2684">
        <v>2</v>
      </c>
      <c r="D128" s="2685">
        <f>D126</f>
        <v>3.4</v>
      </c>
      <c r="E128" s="2685"/>
      <c r="F128" s="2685">
        <v>0.9</v>
      </c>
      <c r="G128" s="2686">
        <f t="shared" si="5"/>
        <v>6.12</v>
      </c>
      <c r="H128" s="2687"/>
    </row>
    <row r="129" spans="1:8">
      <c r="A129" s="475"/>
      <c r="B129" s="2688" t="s">
        <v>3542</v>
      </c>
      <c r="C129" s="2684">
        <v>2</v>
      </c>
      <c r="D129" s="2685">
        <f>D120+2*0.45</f>
        <v>11.4</v>
      </c>
      <c r="E129" s="2685">
        <v>0.45</v>
      </c>
      <c r="F129" s="2685"/>
      <c r="G129" s="2686">
        <f t="shared" si="5"/>
        <v>10.26</v>
      </c>
      <c r="H129" s="2687"/>
    </row>
    <row r="130" spans="1:8">
      <c r="A130" s="475"/>
      <c r="B130" s="2688"/>
      <c r="C130" s="2684">
        <v>1</v>
      </c>
      <c r="D130" s="2685">
        <f>D121</f>
        <v>4</v>
      </c>
      <c r="E130" s="2685">
        <v>0.45</v>
      </c>
      <c r="F130" s="2685"/>
      <c r="G130" s="2686">
        <f t="shared" si="5"/>
        <v>1.8</v>
      </c>
      <c r="H130" s="2687"/>
    </row>
    <row r="131" spans="1:8">
      <c r="A131" s="475"/>
      <c r="B131" s="2688"/>
      <c r="C131" s="2684"/>
      <c r="D131" s="2685"/>
      <c r="E131" s="2685" t="s">
        <v>1108</v>
      </c>
      <c r="F131" s="2685"/>
      <c r="G131" s="2689">
        <f>SUM(G94:G130)</f>
        <v>661.74999999999989</v>
      </c>
      <c r="H131" s="2687" t="s">
        <v>1182</v>
      </c>
    </row>
    <row r="132" spans="1:8">
      <c r="A132" s="475">
        <v>9</v>
      </c>
      <c r="B132" s="2683" t="s">
        <v>1126</v>
      </c>
      <c r="C132" s="2684"/>
      <c r="D132" s="2685"/>
      <c r="E132" s="2685"/>
      <c r="F132" s="2685"/>
      <c r="G132" s="2686"/>
      <c r="H132" s="2687"/>
    </row>
    <row r="133" spans="1:8">
      <c r="A133" s="475"/>
      <c r="B133" s="2683" t="s">
        <v>19</v>
      </c>
      <c r="C133" s="2684"/>
      <c r="D133" s="2685"/>
      <c r="E133" s="2685"/>
      <c r="F133" s="2685"/>
      <c r="G133" s="2686"/>
      <c r="H133" s="2687"/>
    </row>
    <row r="134" spans="1:8">
      <c r="A134" s="475"/>
      <c r="B134" s="2683" t="s">
        <v>20</v>
      </c>
      <c r="C134" s="2684"/>
      <c r="D134" s="2685"/>
      <c r="E134" s="2685"/>
      <c r="F134" s="2685"/>
      <c r="G134" s="2686"/>
      <c r="H134" s="2687"/>
    </row>
    <row r="135" spans="1:8">
      <c r="A135" s="475"/>
      <c r="B135" s="2773" t="s">
        <v>3527</v>
      </c>
      <c r="C135" s="2684"/>
      <c r="D135" s="2685"/>
      <c r="E135" s="2685"/>
      <c r="F135" s="2685"/>
      <c r="G135" s="2686"/>
      <c r="H135" s="2687"/>
    </row>
    <row r="136" spans="1:8">
      <c r="A136" s="475"/>
      <c r="B136" s="2693" t="s">
        <v>1003</v>
      </c>
      <c r="C136" s="2684"/>
      <c r="D136" s="2685"/>
      <c r="E136" s="2685"/>
      <c r="F136" s="2685"/>
      <c r="G136" s="2686"/>
      <c r="H136" s="2687"/>
    </row>
    <row r="137" spans="1:8">
      <c r="A137" s="475"/>
      <c r="B137" s="2688" t="s">
        <v>2763</v>
      </c>
      <c r="C137" s="2684">
        <v>77</v>
      </c>
      <c r="D137" s="2685">
        <v>6.42</v>
      </c>
      <c r="E137" s="2685">
        <v>0.88171200000000005</v>
      </c>
      <c r="F137" s="2685" t="s">
        <v>1067</v>
      </c>
      <c r="G137" s="2686">
        <f>ROUND((C137*D137*E137),2)</f>
        <v>435.87</v>
      </c>
      <c r="H137" s="2687"/>
    </row>
    <row r="138" spans="1:8">
      <c r="A138" s="475"/>
      <c r="B138" s="2688" t="s">
        <v>472</v>
      </c>
      <c r="C138" s="2684">
        <v>28</v>
      </c>
      <c r="D138" s="2685">
        <v>14.22</v>
      </c>
      <c r="E138" s="2685">
        <v>0.61230000000000007</v>
      </c>
      <c r="F138" s="2685" t="s">
        <v>1067</v>
      </c>
      <c r="G138" s="2686">
        <f>ROUND((C138*D138*E138),2)</f>
        <v>243.79</v>
      </c>
      <c r="H138" s="2687"/>
    </row>
    <row r="139" spans="1:8">
      <c r="A139" s="475"/>
      <c r="B139" s="2688" t="s">
        <v>2764</v>
      </c>
      <c r="C139" s="2684">
        <v>77</v>
      </c>
      <c r="D139" s="2685">
        <v>6.42</v>
      </c>
      <c r="E139" s="2685">
        <v>0.88171200000000005</v>
      </c>
      <c r="F139" s="2685" t="s">
        <v>1067</v>
      </c>
      <c r="G139" s="2686">
        <f>ROUND((C139*D139*E139),2)</f>
        <v>435.87</v>
      </c>
      <c r="H139" s="2687"/>
    </row>
    <row r="140" spans="1:8">
      <c r="A140" s="475"/>
      <c r="B140" s="2688" t="s">
        <v>473</v>
      </c>
      <c r="C140" s="2684">
        <v>28</v>
      </c>
      <c r="D140" s="2685">
        <v>14.22</v>
      </c>
      <c r="E140" s="2685">
        <v>0.61230000000000007</v>
      </c>
      <c r="F140" s="2685" t="s">
        <v>1067</v>
      </c>
      <c r="G140" s="2686">
        <f>ROUND((C140*D140*E140),2)</f>
        <v>243.79</v>
      </c>
      <c r="H140" s="2687"/>
    </row>
    <row r="141" spans="1:8">
      <c r="A141" s="475"/>
      <c r="B141" s="2688" t="s">
        <v>1031</v>
      </c>
      <c r="C141" s="2684"/>
      <c r="D141" s="2685"/>
      <c r="E141" s="2685"/>
      <c r="F141" s="2685"/>
      <c r="G141" s="2686"/>
      <c r="H141" s="2687"/>
    </row>
    <row r="142" spans="1:8">
      <c r="A142" s="475"/>
      <c r="B142" s="2688" t="s">
        <v>474</v>
      </c>
      <c r="C142" s="2684">
        <v>135</v>
      </c>
      <c r="D142" s="2685">
        <v>1.2</v>
      </c>
      <c r="E142" s="2685">
        <v>0.88171200000000005</v>
      </c>
      <c r="F142" s="2685" t="s">
        <v>1067</v>
      </c>
      <c r="G142" s="2686">
        <f>ROUND((C142*D142*E142),2)</f>
        <v>142.84</v>
      </c>
      <c r="H142" s="2687"/>
    </row>
    <row r="143" spans="1:8">
      <c r="A143" s="475"/>
      <c r="B143" s="2688" t="s">
        <v>475</v>
      </c>
      <c r="C143" s="2684">
        <v>55</v>
      </c>
      <c r="D143" s="2685">
        <v>1.2</v>
      </c>
      <c r="E143" s="2685">
        <v>0.88171200000000005</v>
      </c>
      <c r="F143" s="2685" t="s">
        <v>1067</v>
      </c>
      <c r="G143" s="2686">
        <f>ROUND((C143*D143*E143),2)</f>
        <v>58.19</v>
      </c>
      <c r="H143" s="2687"/>
    </row>
    <row r="144" spans="1:8">
      <c r="A144" s="475"/>
      <c r="B144" s="2688"/>
      <c r="C144" s="2684"/>
      <c r="D144" s="2685"/>
      <c r="E144" s="2685"/>
      <c r="F144" s="2685"/>
      <c r="G144" s="2689">
        <f>ROUND(SUM(G137:G143),2)</f>
        <v>1560.35</v>
      </c>
      <c r="H144" s="2687" t="s">
        <v>1034</v>
      </c>
    </row>
    <row r="145" spans="1:8">
      <c r="A145" s="475"/>
      <c r="B145" s="2693" t="s">
        <v>1019</v>
      </c>
      <c r="C145" s="2684"/>
      <c r="D145" s="2685"/>
      <c r="E145" s="2685"/>
      <c r="F145" s="2685"/>
      <c r="G145" s="2686"/>
      <c r="H145" s="2687"/>
    </row>
    <row r="146" spans="1:8">
      <c r="A146" s="475"/>
      <c r="B146" s="2688" t="s">
        <v>2765</v>
      </c>
      <c r="C146" s="2684">
        <v>167</v>
      </c>
      <c r="D146" s="2685">
        <v>3.18</v>
      </c>
      <c r="E146" s="2685">
        <v>0.88171200000000005</v>
      </c>
      <c r="F146" s="2685" t="s">
        <v>1067</v>
      </c>
      <c r="G146" s="2686">
        <f>ROUND((C146*D146*E146),2)</f>
        <v>468.24</v>
      </c>
      <c r="H146" s="2687"/>
    </row>
    <row r="147" spans="1:8">
      <c r="A147" s="475"/>
      <c r="B147" s="2688" t="s">
        <v>476</v>
      </c>
      <c r="C147" s="2684">
        <v>18</v>
      </c>
      <c r="D147" s="2685">
        <v>13.32</v>
      </c>
      <c r="E147" s="2685">
        <v>0.61230000000000007</v>
      </c>
      <c r="F147" s="2685" t="s">
        <v>1067</v>
      </c>
      <c r="G147" s="2686">
        <f>ROUND((C147*D147*E147),2)</f>
        <v>146.81</v>
      </c>
      <c r="H147" s="2687"/>
    </row>
    <row r="148" spans="1:8">
      <c r="A148" s="475"/>
      <c r="B148" s="2688" t="s">
        <v>477</v>
      </c>
      <c r="C148" s="2684">
        <v>126</v>
      </c>
      <c r="D148" s="2685">
        <v>3.18</v>
      </c>
      <c r="E148" s="2685">
        <v>0.88171200000000005</v>
      </c>
      <c r="F148" s="2685" t="s">
        <v>1067</v>
      </c>
      <c r="G148" s="2686">
        <f>ROUND((C148*D148*E148),2)</f>
        <v>353.28</v>
      </c>
      <c r="H148" s="2687"/>
    </row>
    <row r="149" spans="1:8">
      <c r="A149" s="475"/>
      <c r="B149" s="2688" t="s">
        <v>478</v>
      </c>
      <c r="C149" s="2684">
        <v>18</v>
      </c>
      <c r="D149" s="2685">
        <v>13.32</v>
      </c>
      <c r="E149" s="2685">
        <v>0.61230000000000007</v>
      </c>
      <c r="F149" s="2685" t="s">
        <v>1067</v>
      </c>
      <c r="G149" s="2686">
        <f>ROUND((C149*D149*E149),2)</f>
        <v>146.81</v>
      </c>
      <c r="H149" s="2687"/>
    </row>
    <row r="150" spans="1:8">
      <c r="A150" s="358"/>
      <c r="B150" s="2691"/>
      <c r="C150" s="2694"/>
      <c r="D150" s="2695"/>
      <c r="E150" s="2695"/>
      <c r="F150" s="2695"/>
      <c r="G150" s="2696">
        <f>ROUND(SUM(G146:G149),2)</f>
        <v>1115.1400000000001</v>
      </c>
      <c r="H150" s="2697" t="s">
        <v>1034</v>
      </c>
    </row>
    <row r="151" spans="1:8">
      <c r="A151" s="471"/>
      <c r="B151" s="2679" t="s">
        <v>1006</v>
      </c>
      <c r="C151" s="2679"/>
      <c r="D151" s="2680"/>
      <c r="E151" s="2680"/>
      <c r="F151" s="2680"/>
      <c r="G151" s="2692"/>
      <c r="H151" s="2682"/>
    </row>
    <row r="152" spans="1:8">
      <c r="A152" s="475"/>
      <c r="B152" s="2688" t="s">
        <v>479</v>
      </c>
      <c r="C152" s="2684">
        <v>26</v>
      </c>
      <c r="D152" s="2685">
        <v>4.92</v>
      </c>
      <c r="E152" s="2685">
        <v>0.88171200000000005</v>
      </c>
      <c r="F152" s="2685" t="s">
        <v>1067</v>
      </c>
      <c r="G152" s="2686">
        <f t="shared" ref="G152:G164" si="6">ROUND((C152*D152*E152),2)</f>
        <v>112.79</v>
      </c>
      <c r="H152" s="2687"/>
    </row>
    <row r="153" spans="1:8">
      <c r="A153" s="475"/>
      <c r="B153" s="2688" t="s">
        <v>480</v>
      </c>
      <c r="C153" s="2684">
        <v>31</v>
      </c>
      <c r="D153" s="2685">
        <v>32.58</v>
      </c>
      <c r="E153" s="2685">
        <v>0.61230000000000007</v>
      </c>
      <c r="F153" s="2685" t="s">
        <v>1067</v>
      </c>
      <c r="G153" s="2686">
        <f t="shared" si="6"/>
        <v>618.41</v>
      </c>
      <c r="H153" s="2687"/>
    </row>
    <row r="154" spans="1:8">
      <c r="A154" s="475"/>
      <c r="B154" s="2688" t="s">
        <v>481</v>
      </c>
      <c r="C154" s="2684">
        <v>26</v>
      </c>
      <c r="D154" s="2685">
        <v>4.92</v>
      </c>
      <c r="E154" s="2685">
        <v>0.88171200000000005</v>
      </c>
      <c r="F154" s="2685" t="s">
        <v>1067</v>
      </c>
      <c r="G154" s="2686">
        <f t="shared" si="6"/>
        <v>112.79</v>
      </c>
      <c r="H154" s="2687"/>
    </row>
    <row r="155" spans="1:8">
      <c r="A155" s="475"/>
      <c r="B155" s="2688" t="s">
        <v>478</v>
      </c>
      <c r="C155" s="2684">
        <v>31</v>
      </c>
      <c r="D155" s="2685">
        <v>32.58</v>
      </c>
      <c r="E155" s="2685">
        <v>0.61230000000000007</v>
      </c>
      <c r="F155" s="2685" t="s">
        <v>1067</v>
      </c>
      <c r="G155" s="2686">
        <f t="shared" si="6"/>
        <v>618.41</v>
      </c>
      <c r="H155" s="2687"/>
    </row>
    <row r="156" spans="1:8">
      <c r="A156" s="475"/>
      <c r="B156" s="2688"/>
      <c r="C156" s="2684"/>
      <c r="D156" s="2685"/>
      <c r="E156" s="2685"/>
      <c r="F156" s="2685"/>
      <c r="G156" s="2689">
        <f>ROUND(SUM(G152:G155),2)</f>
        <v>1462.4</v>
      </c>
      <c r="H156" s="2687" t="s">
        <v>1034</v>
      </c>
    </row>
    <row r="157" spans="1:8">
      <c r="A157" s="475"/>
      <c r="B157" s="2683" t="s">
        <v>482</v>
      </c>
      <c r="C157" s="2684">
        <v>341</v>
      </c>
      <c r="D157" s="2685">
        <v>1.78</v>
      </c>
      <c r="E157" s="2685">
        <v>0.88171200000000005</v>
      </c>
      <c r="F157" s="2685" t="s">
        <v>1067</v>
      </c>
      <c r="G157" s="2686">
        <f t="shared" si="6"/>
        <v>535.17999999999995</v>
      </c>
      <c r="H157" s="2687"/>
    </row>
    <row r="158" spans="1:8">
      <c r="A158" s="475"/>
      <c r="B158" s="2688" t="s">
        <v>1086</v>
      </c>
      <c r="C158" s="2684"/>
      <c r="D158" s="2685"/>
      <c r="E158" s="2685"/>
      <c r="F158" s="2685"/>
      <c r="G158" s="2686"/>
      <c r="H158" s="2687"/>
    </row>
    <row r="159" spans="1:8">
      <c r="A159" s="475"/>
      <c r="B159" s="2688" t="s">
        <v>1089</v>
      </c>
      <c r="C159" s="2684">
        <v>29</v>
      </c>
      <c r="D159" s="2685">
        <v>1</v>
      </c>
      <c r="E159" s="2685">
        <v>0.61230000000000007</v>
      </c>
      <c r="F159" s="2685" t="s">
        <v>1067</v>
      </c>
      <c r="G159" s="2686">
        <f t="shared" si="6"/>
        <v>17.760000000000002</v>
      </c>
      <c r="H159" s="2687"/>
    </row>
    <row r="160" spans="1:8">
      <c r="A160" s="475"/>
      <c r="B160" s="2688" t="s">
        <v>1090</v>
      </c>
      <c r="C160" s="2684">
        <v>14</v>
      </c>
      <c r="D160" s="2685">
        <v>4.16</v>
      </c>
      <c r="E160" s="2685">
        <v>0.61230000000000007</v>
      </c>
      <c r="F160" s="2685" t="s">
        <v>1067</v>
      </c>
      <c r="G160" s="2686">
        <f t="shared" si="6"/>
        <v>35.659999999999997</v>
      </c>
      <c r="H160" s="2687"/>
    </row>
    <row r="161" spans="1:10">
      <c r="A161" s="475"/>
      <c r="B161" s="2688"/>
      <c r="C161" s="2684"/>
      <c r="D161" s="2685"/>
      <c r="E161" s="2685"/>
      <c r="F161" s="2685"/>
      <c r="G161" s="2686"/>
      <c r="H161" s="2687"/>
    </row>
    <row r="162" spans="1:10">
      <c r="A162" s="475"/>
      <c r="B162" s="2688"/>
      <c r="C162" s="2684"/>
      <c r="D162" s="2685"/>
      <c r="E162" s="2685"/>
      <c r="F162" s="2685"/>
      <c r="G162" s="2686"/>
      <c r="H162" s="2687"/>
    </row>
    <row r="163" spans="1:10">
      <c r="A163" s="475"/>
      <c r="B163" s="2688" t="s">
        <v>1123</v>
      </c>
      <c r="C163" s="2684">
        <v>25</v>
      </c>
      <c r="D163" s="2685">
        <v>0.75</v>
      </c>
      <c r="E163" s="2685">
        <v>0.61230000000000007</v>
      </c>
      <c r="F163" s="2685" t="s">
        <v>1067</v>
      </c>
      <c r="G163" s="2686">
        <f t="shared" si="6"/>
        <v>11.48</v>
      </c>
      <c r="H163" s="2687"/>
    </row>
    <row r="164" spans="1:10">
      <c r="A164" s="475"/>
      <c r="B164" s="2688" t="s">
        <v>1124</v>
      </c>
      <c r="C164" s="2684">
        <v>25</v>
      </c>
      <c r="D164" s="2685">
        <v>1</v>
      </c>
      <c r="E164" s="2685">
        <v>0.61230000000000007</v>
      </c>
      <c r="F164" s="2685" t="s">
        <v>1067</v>
      </c>
      <c r="G164" s="2686">
        <f t="shared" si="6"/>
        <v>15.31</v>
      </c>
      <c r="H164" s="2687"/>
    </row>
    <row r="165" spans="1:10">
      <c r="A165" s="475"/>
      <c r="B165" s="2688"/>
      <c r="C165" s="2684"/>
      <c r="D165" s="2685"/>
      <c r="E165" s="2685"/>
      <c r="F165" s="2685"/>
      <c r="G165" s="2689">
        <f>ROUND(SUM(G159:G164),2)</f>
        <v>80.209999999999994</v>
      </c>
      <c r="H165" s="2687"/>
    </row>
    <row r="166" spans="1:10">
      <c r="A166" s="475"/>
      <c r="B166" s="2683" t="s">
        <v>724</v>
      </c>
      <c r="C166" s="2684">
        <v>52</v>
      </c>
      <c r="D166" s="2685">
        <v>3.504</v>
      </c>
      <c r="E166" s="2685">
        <v>0.88171200000000005</v>
      </c>
      <c r="F166" s="2685" t="s">
        <v>1067</v>
      </c>
      <c r="G166" s="2686">
        <f>ROUND((C166*D166*E166),2)</f>
        <v>160.65</v>
      </c>
      <c r="H166" s="2687"/>
    </row>
    <row r="167" spans="1:10">
      <c r="A167" s="475"/>
      <c r="B167" s="2688"/>
      <c r="C167" s="2684"/>
      <c r="D167" s="2685"/>
      <c r="E167" s="2685"/>
      <c r="F167" s="2685"/>
      <c r="G167" s="2686"/>
      <c r="H167" s="2687"/>
    </row>
    <row r="168" spans="1:10">
      <c r="A168" s="475"/>
      <c r="B168" s="2688"/>
      <c r="C168" s="2684"/>
      <c r="D168" s="2685"/>
      <c r="E168" s="2685" t="s">
        <v>1111</v>
      </c>
      <c r="F168" s="2685"/>
      <c r="G168" s="2689">
        <f>ROUND((G144+G150+G156+G157+G165+G166),2)</f>
        <v>4913.93</v>
      </c>
      <c r="H168" s="2687" t="s">
        <v>1034</v>
      </c>
    </row>
    <row r="169" spans="1:10">
      <c r="A169" s="475"/>
      <c r="B169" s="2688"/>
      <c r="C169" s="2684"/>
      <c r="D169" s="2685"/>
      <c r="E169" s="2685"/>
      <c r="F169" s="2685"/>
      <c r="G169" s="2686"/>
      <c r="H169" s="2687"/>
    </row>
    <row r="170" spans="1:10">
      <c r="A170" s="475"/>
      <c r="B170" s="2773" t="s">
        <v>3528</v>
      </c>
      <c r="C170" s="2684"/>
      <c r="D170" s="2685"/>
      <c r="E170" s="2685"/>
      <c r="F170" s="2685"/>
      <c r="G170" s="2689">
        <f>G168</f>
        <v>4913.93</v>
      </c>
      <c r="H170" s="2775" t="s">
        <v>1034</v>
      </c>
    </row>
    <row r="171" spans="1:10">
      <c r="A171" s="475"/>
      <c r="B171" s="2688"/>
      <c r="C171" s="2684"/>
      <c r="D171" s="2685"/>
      <c r="E171" s="2685"/>
      <c r="F171" s="2685"/>
      <c r="G171" s="2686"/>
      <c r="H171" s="2687"/>
    </row>
    <row r="172" spans="1:10">
      <c r="A172" s="475"/>
      <c r="B172" s="2683" t="s">
        <v>3541</v>
      </c>
      <c r="C172" s="2684"/>
      <c r="D172" s="2685"/>
      <c r="E172" s="2685"/>
      <c r="F172" s="2685"/>
      <c r="G172" s="2686"/>
      <c r="H172" s="2687"/>
    </row>
    <row r="173" spans="1:10">
      <c r="A173" s="475"/>
      <c r="B173" s="2693" t="s">
        <v>1003</v>
      </c>
      <c r="C173" s="2684"/>
      <c r="D173" s="2685"/>
      <c r="E173" s="2685"/>
      <c r="F173" s="2685"/>
      <c r="G173" s="2686"/>
      <c r="H173" s="2687"/>
    </row>
    <row r="174" spans="1:10">
      <c r="A174" s="475"/>
      <c r="B174" s="2688" t="s">
        <v>2763</v>
      </c>
      <c r="C174" s="2684">
        <v>65</v>
      </c>
      <c r="D174" s="2685">
        <v>6</v>
      </c>
      <c r="E174" s="2685">
        <v>0.88171200000000005</v>
      </c>
      <c r="F174" s="2685" t="s">
        <v>1067</v>
      </c>
      <c r="G174" s="2686">
        <f>ROUND((C174*D174*E174),2)</f>
        <v>343.87</v>
      </c>
      <c r="H174" s="2687"/>
    </row>
    <row r="175" spans="1:10">
      <c r="A175" s="475"/>
      <c r="B175" s="2688" t="s">
        <v>472</v>
      </c>
      <c r="C175" s="2684">
        <v>24</v>
      </c>
      <c r="D175" s="2685">
        <v>12.22</v>
      </c>
      <c r="E175" s="2685">
        <v>0.61230000000000007</v>
      </c>
      <c r="F175" s="2685" t="s">
        <v>1067</v>
      </c>
      <c r="G175" s="2686">
        <f>ROUND((C175*D175*E175),2)</f>
        <v>179.58</v>
      </c>
      <c r="H175" s="2687"/>
    </row>
    <row r="176" spans="1:10">
      <c r="A176" s="475"/>
      <c r="B176" s="2688" t="s">
        <v>2764</v>
      </c>
      <c r="C176" s="2684">
        <v>65</v>
      </c>
      <c r="D176" s="2685">
        <v>6</v>
      </c>
      <c r="E176" s="2685">
        <v>0.88171200000000005</v>
      </c>
      <c r="F176" s="2685" t="s">
        <v>1067</v>
      </c>
      <c r="G176" s="2686">
        <f>ROUND((C176*D176*E176),2)</f>
        <v>343.87</v>
      </c>
      <c r="H176" s="2687"/>
      <c r="J176">
        <f>2/0.15</f>
        <v>13.333333333333334</v>
      </c>
    </row>
    <row r="177" spans="1:8">
      <c r="A177" s="475"/>
      <c r="B177" s="2688" t="s">
        <v>473</v>
      </c>
      <c r="C177" s="2684">
        <v>24</v>
      </c>
      <c r="D177" s="2685">
        <v>12.42</v>
      </c>
      <c r="E177" s="2685">
        <v>0.61230000000000007</v>
      </c>
      <c r="F177" s="2685" t="s">
        <v>1067</v>
      </c>
      <c r="G177" s="2686">
        <f>ROUND((C177*D177*E177),2)</f>
        <v>182.51</v>
      </c>
      <c r="H177" s="2687"/>
    </row>
    <row r="178" spans="1:8">
      <c r="A178" s="475"/>
      <c r="B178" s="2688" t="s">
        <v>1031</v>
      </c>
      <c r="C178" s="2684"/>
      <c r="D178" s="2685"/>
      <c r="E178" s="2685"/>
      <c r="F178" s="2685"/>
      <c r="G178" s="2686"/>
      <c r="H178" s="2687"/>
    </row>
    <row r="179" spans="1:8">
      <c r="A179" s="475"/>
      <c r="B179" s="2688" t="s">
        <v>474</v>
      </c>
      <c r="C179" s="2684">
        <v>110</v>
      </c>
      <c r="D179" s="2685">
        <v>1.2</v>
      </c>
      <c r="E179" s="2685">
        <v>0.88171200000000005</v>
      </c>
      <c r="F179" s="2685" t="s">
        <v>1067</v>
      </c>
      <c r="G179" s="2686">
        <f>ROUND((C179*D179*E179),2)</f>
        <v>116.39</v>
      </c>
      <c r="H179" s="2687"/>
    </row>
    <row r="180" spans="1:8">
      <c r="A180" s="475"/>
      <c r="B180" s="2688" t="s">
        <v>475</v>
      </c>
      <c r="C180" s="2684">
        <v>40</v>
      </c>
      <c r="D180" s="2685">
        <v>1.2</v>
      </c>
      <c r="E180" s="2685">
        <v>0.88171200000000005</v>
      </c>
      <c r="F180" s="2685" t="s">
        <v>1067</v>
      </c>
      <c r="G180" s="2686">
        <f>ROUND((C180*D180*E180),2)</f>
        <v>42.32</v>
      </c>
      <c r="H180" s="2687"/>
    </row>
    <row r="181" spans="1:8">
      <c r="A181" s="475"/>
      <c r="B181" s="2688"/>
      <c r="C181" s="2684"/>
      <c r="D181" s="2685"/>
      <c r="E181" s="2685"/>
      <c r="F181" s="2685"/>
      <c r="G181" s="2689">
        <f>ROUND(SUM(G174:G180),2)</f>
        <v>1208.54</v>
      </c>
      <c r="H181" s="2687" t="s">
        <v>1034</v>
      </c>
    </row>
    <row r="182" spans="1:8">
      <c r="A182" s="475"/>
      <c r="B182" s="2693" t="s">
        <v>1019</v>
      </c>
      <c r="C182" s="2684"/>
      <c r="D182" s="2685"/>
      <c r="E182" s="2685"/>
      <c r="F182" s="2685"/>
      <c r="G182" s="2686"/>
      <c r="H182" s="2687"/>
    </row>
    <row r="183" spans="1:8">
      <c r="A183" s="475"/>
      <c r="B183" s="2688" t="s">
        <v>2765</v>
      </c>
      <c r="C183" s="2684">
        <v>150</v>
      </c>
      <c r="D183" s="2685">
        <v>3.18</v>
      </c>
      <c r="E183" s="2685">
        <v>0.88171200000000005</v>
      </c>
      <c r="F183" s="2685" t="s">
        <v>1067</v>
      </c>
      <c r="G183" s="2686">
        <f>ROUND((C183*D183*E183),2)</f>
        <v>420.58</v>
      </c>
      <c r="H183" s="2687"/>
    </row>
    <row r="184" spans="1:8">
      <c r="A184" s="475"/>
      <c r="B184" s="2688" t="s">
        <v>476</v>
      </c>
      <c r="C184" s="2684">
        <v>18</v>
      </c>
      <c r="D184" s="2685">
        <v>11.5</v>
      </c>
      <c r="E184" s="2685">
        <v>0.61230000000000007</v>
      </c>
      <c r="F184" s="2685" t="s">
        <v>1067</v>
      </c>
      <c r="G184" s="2686">
        <f>ROUND((C184*D184*E184),2)</f>
        <v>126.75</v>
      </c>
      <c r="H184" s="2687"/>
    </row>
    <row r="185" spans="1:8">
      <c r="A185" s="475"/>
      <c r="B185" s="2688" t="s">
        <v>477</v>
      </c>
      <c r="C185" s="2684">
        <v>105</v>
      </c>
      <c r="D185" s="2685">
        <v>3.18</v>
      </c>
      <c r="E185" s="2685">
        <v>0.88171200000000005</v>
      </c>
      <c r="F185" s="2685" t="s">
        <v>1067</v>
      </c>
      <c r="G185" s="2686">
        <f>ROUND((C185*D185*E185),2)</f>
        <v>294.39999999999998</v>
      </c>
      <c r="H185" s="2687"/>
    </row>
    <row r="186" spans="1:8">
      <c r="A186" s="475"/>
      <c r="B186" s="2688" t="s">
        <v>478</v>
      </c>
      <c r="C186" s="2684">
        <v>18</v>
      </c>
      <c r="D186" s="2685">
        <v>13.32</v>
      </c>
      <c r="E186" s="2685">
        <v>0.61230000000000007</v>
      </c>
      <c r="F186" s="2685" t="s">
        <v>1067</v>
      </c>
      <c r="G186" s="2686">
        <f>ROUND((C186*D186*E186),2)</f>
        <v>146.81</v>
      </c>
      <c r="H186" s="2687"/>
    </row>
    <row r="187" spans="1:8">
      <c r="A187" s="358"/>
      <c r="B187" s="2691"/>
      <c r="C187" s="2694"/>
      <c r="D187" s="2695"/>
      <c r="E187" s="2695"/>
      <c r="F187" s="2695"/>
      <c r="G187" s="2696">
        <f>ROUND(SUM(G183:G186),2)</f>
        <v>988.54</v>
      </c>
      <c r="H187" s="2697" t="s">
        <v>1034</v>
      </c>
    </row>
    <row r="188" spans="1:8">
      <c r="A188" s="471"/>
      <c r="B188" s="2679" t="s">
        <v>1006</v>
      </c>
      <c r="C188" s="2679"/>
      <c r="D188" s="2680"/>
      <c r="E188" s="2680"/>
      <c r="F188" s="2680"/>
      <c r="G188" s="2692"/>
      <c r="H188" s="2682"/>
    </row>
    <row r="189" spans="1:8">
      <c r="A189" s="475"/>
      <c r="B189" s="2688" t="s">
        <v>479</v>
      </c>
      <c r="C189" s="2684">
        <v>26</v>
      </c>
      <c r="D189" s="2685">
        <v>4.92</v>
      </c>
      <c r="E189" s="2685">
        <v>0.88171200000000005</v>
      </c>
      <c r="F189" s="2685" t="s">
        <v>1067</v>
      </c>
      <c r="G189" s="2686">
        <f t="shared" ref="G189:G192" si="7">ROUND((C189*D189*E189),2)</f>
        <v>112.79</v>
      </c>
      <c r="H189" s="2687"/>
    </row>
    <row r="190" spans="1:8">
      <c r="A190" s="475"/>
      <c r="B190" s="2688" t="s">
        <v>480</v>
      </c>
      <c r="C190" s="2684">
        <v>31</v>
      </c>
      <c r="D190" s="2685">
        <v>32.58</v>
      </c>
      <c r="E190" s="2685">
        <v>0.61230000000000007</v>
      </c>
      <c r="F190" s="2685" t="s">
        <v>1067</v>
      </c>
      <c r="G190" s="2686">
        <f t="shared" si="7"/>
        <v>618.41</v>
      </c>
      <c r="H190" s="2687"/>
    </row>
    <row r="191" spans="1:8">
      <c r="A191" s="475"/>
      <c r="B191" s="2688" t="s">
        <v>481</v>
      </c>
      <c r="C191" s="2684">
        <v>26</v>
      </c>
      <c r="D191" s="2685">
        <v>4.92</v>
      </c>
      <c r="E191" s="2685">
        <v>0.88171200000000005</v>
      </c>
      <c r="F191" s="2685" t="s">
        <v>1067</v>
      </c>
      <c r="G191" s="2686">
        <f t="shared" si="7"/>
        <v>112.79</v>
      </c>
      <c r="H191" s="2687"/>
    </row>
    <row r="192" spans="1:8">
      <c r="A192" s="475"/>
      <c r="B192" s="2688" t="s">
        <v>478</v>
      </c>
      <c r="C192" s="2684">
        <v>31</v>
      </c>
      <c r="D192" s="2685">
        <v>32.58</v>
      </c>
      <c r="E192" s="2685">
        <v>0.61230000000000007</v>
      </c>
      <c r="F192" s="2685" t="s">
        <v>1067</v>
      </c>
      <c r="G192" s="2686">
        <f t="shared" si="7"/>
        <v>618.41</v>
      </c>
      <c r="H192" s="2687"/>
    </row>
    <row r="193" spans="1:8">
      <c r="A193" s="475"/>
      <c r="B193" s="2688"/>
      <c r="C193" s="2684"/>
      <c r="D193" s="2685"/>
      <c r="E193" s="2685"/>
      <c r="F193" s="2685"/>
      <c r="G193" s="2689">
        <f>ROUND(SUM(G189:G192),2)</f>
        <v>1462.4</v>
      </c>
      <c r="H193" s="2687" t="s">
        <v>1034</v>
      </c>
    </row>
    <row r="194" spans="1:8">
      <c r="A194" s="475"/>
      <c r="B194" s="2683" t="s">
        <v>482</v>
      </c>
      <c r="C194" s="2684">
        <v>288</v>
      </c>
      <c r="D194" s="2685">
        <v>1.78</v>
      </c>
      <c r="E194" s="2685">
        <v>0.88171200000000005</v>
      </c>
      <c r="F194" s="2685" t="s">
        <v>1067</v>
      </c>
      <c r="G194" s="2686">
        <f t="shared" ref="G194" si="8">ROUND((C194*D194*E194),2)</f>
        <v>452</v>
      </c>
      <c r="H194" s="2687"/>
    </row>
    <row r="195" spans="1:8">
      <c r="A195" s="475"/>
      <c r="B195" s="2688" t="s">
        <v>1086</v>
      </c>
      <c r="C195" s="2684"/>
      <c r="D195" s="2685"/>
      <c r="E195" s="2685"/>
      <c r="F195" s="2685"/>
      <c r="G195" s="2686"/>
      <c r="H195" s="2687"/>
    </row>
    <row r="196" spans="1:8">
      <c r="A196" s="475"/>
      <c r="B196" s="2688" t="s">
        <v>1089</v>
      </c>
      <c r="C196" s="2684">
        <v>24</v>
      </c>
      <c r="D196" s="2685">
        <v>1</v>
      </c>
      <c r="E196" s="2685">
        <v>0.61230000000000007</v>
      </c>
      <c r="F196" s="2685" t="s">
        <v>1067</v>
      </c>
      <c r="G196" s="2686">
        <f t="shared" ref="G196:G197" si="9">ROUND((C196*D196*E196),2)</f>
        <v>14.7</v>
      </c>
      <c r="H196" s="2687"/>
    </row>
    <row r="197" spans="1:8">
      <c r="A197" s="475"/>
      <c r="B197" s="2688" t="s">
        <v>1090</v>
      </c>
      <c r="C197" s="2684">
        <v>10</v>
      </c>
      <c r="D197" s="2685">
        <v>4.16</v>
      </c>
      <c r="E197" s="2685">
        <v>0.61230000000000007</v>
      </c>
      <c r="F197" s="2685" t="s">
        <v>1067</v>
      </c>
      <c r="G197" s="2686">
        <f t="shared" si="9"/>
        <v>25.47</v>
      </c>
      <c r="H197" s="2687"/>
    </row>
    <row r="198" spans="1:8">
      <c r="A198" s="475"/>
      <c r="B198" s="2688"/>
      <c r="C198" s="2684"/>
      <c r="D198" s="2685"/>
      <c r="E198" s="2685"/>
      <c r="F198" s="2685"/>
      <c r="G198" s="2686"/>
      <c r="H198" s="2687"/>
    </row>
    <row r="199" spans="1:8">
      <c r="A199" s="475"/>
      <c r="B199" s="2688"/>
      <c r="C199" s="2684"/>
      <c r="D199" s="2685"/>
      <c r="E199" s="2685"/>
      <c r="F199" s="2685"/>
      <c r="G199" s="2686"/>
      <c r="H199" s="2687"/>
    </row>
    <row r="200" spans="1:8">
      <c r="A200" s="475"/>
      <c r="B200" s="2688" t="s">
        <v>1123</v>
      </c>
      <c r="C200" s="2684">
        <v>20</v>
      </c>
      <c r="D200" s="2685">
        <v>0.75</v>
      </c>
      <c r="E200" s="2685">
        <v>0.61230000000000007</v>
      </c>
      <c r="F200" s="2685" t="s">
        <v>1067</v>
      </c>
      <c r="G200" s="2686">
        <f t="shared" ref="G200:G201" si="10">ROUND((C200*D200*E200),2)</f>
        <v>9.18</v>
      </c>
      <c r="H200" s="2687"/>
    </row>
    <row r="201" spans="1:8">
      <c r="A201" s="475"/>
      <c r="B201" s="2688" t="s">
        <v>1124</v>
      </c>
      <c r="C201" s="2684">
        <v>20</v>
      </c>
      <c r="D201" s="2685">
        <v>1</v>
      </c>
      <c r="E201" s="2685">
        <v>0.61230000000000007</v>
      </c>
      <c r="F201" s="2685" t="s">
        <v>1067</v>
      </c>
      <c r="G201" s="2686">
        <f t="shared" si="10"/>
        <v>12.25</v>
      </c>
      <c r="H201" s="2687"/>
    </row>
    <row r="202" spans="1:8">
      <c r="A202" s="475"/>
      <c r="B202" s="2688"/>
      <c r="C202" s="2684"/>
      <c r="D202" s="2685"/>
      <c r="E202" s="2685"/>
      <c r="F202" s="2685"/>
      <c r="G202" s="2689">
        <f>ROUND(SUM(G196:G201),2)</f>
        <v>61.6</v>
      </c>
      <c r="H202" s="2687"/>
    </row>
    <row r="203" spans="1:8">
      <c r="A203" s="475"/>
      <c r="B203" s="2683" t="s">
        <v>724</v>
      </c>
      <c r="C203" s="2684">
        <v>45</v>
      </c>
      <c r="D203" s="2685">
        <v>3.504</v>
      </c>
      <c r="E203" s="2685">
        <v>0.88171200000000005</v>
      </c>
      <c r="F203" s="2685" t="s">
        <v>1067</v>
      </c>
      <c r="G203" s="2686">
        <f>ROUND((C203*D203*E203),2)</f>
        <v>139.03</v>
      </c>
      <c r="H203" s="2687"/>
    </row>
    <row r="204" spans="1:8">
      <c r="A204" s="475"/>
      <c r="B204" s="2688"/>
      <c r="C204" s="2684"/>
      <c r="D204" s="2685"/>
      <c r="E204" s="2685"/>
      <c r="F204" s="2685"/>
      <c r="G204" s="2686"/>
      <c r="H204" s="2687"/>
    </row>
    <row r="205" spans="1:8">
      <c r="A205" s="475"/>
      <c r="B205" s="2688"/>
      <c r="C205" s="2684"/>
      <c r="D205" s="2685"/>
      <c r="E205" s="2685" t="s">
        <v>1111</v>
      </c>
      <c r="F205" s="2685"/>
      <c r="G205" s="2689">
        <f>ROUND((G181+G187+G193+G194+G202+G203),2)</f>
        <v>4312.1099999999997</v>
      </c>
      <c r="H205" s="2687" t="s">
        <v>1034</v>
      </c>
    </row>
    <row r="206" spans="1:8">
      <c r="A206" s="475"/>
      <c r="B206" s="2688" t="s">
        <v>1094</v>
      </c>
      <c r="C206" s="2684"/>
      <c r="D206" s="2685"/>
      <c r="E206" s="2685" t="s">
        <v>1108</v>
      </c>
      <c r="F206" s="2685"/>
      <c r="G206" s="2689">
        <f>ROUND(G205+G170+G168,2)</f>
        <v>14139.97</v>
      </c>
      <c r="H206" s="2687" t="s">
        <v>1034</v>
      </c>
    </row>
    <row r="207" spans="1:8">
      <c r="A207" s="475">
        <v>10</v>
      </c>
      <c r="B207" s="2683" t="s">
        <v>738</v>
      </c>
      <c r="C207" s="2684"/>
      <c r="D207" s="2685"/>
      <c r="E207" s="2685"/>
      <c r="F207" s="2685"/>
      <c r="G207" s="2686"/>
      <c r="H207" s="2687"/>
    </row>
    <row r="208" spans="1:8">
      <c r="A208" s="475"/>
      <c r="B208" s="2683"/>
      <c r="C208" s="2684"/>
      <c r="D208" s="2685"/>
      <c r="E208" s="2685"/>
      <c r="F208" s="2685"/>
      <c r="G208" s="2686"/>
      <c r="H208" s="2687"/>
    </row>
    <row r="209" spans="1:8">
      <c r="A209" s="475"/>
      <c r="B209" s="2688"/>
      <c r="C209" s="2684"/>
      <c r="D209" s="2685"/>
      <c r="E209" s="2685"/>
      <c r="F209" s="2685"/>
      <c r="G209" s="2686"/>
      <c r="H209" s="2687"/>
    </row>
    <row r="210" spans="1:8">
      <c r="A210" s="475"/>
      <c r="B210" s="2688"/>
      <c r="C210" s="2684"/>
      <c r="D210" s="2685"/>
      <c r="E210" s="2685"/>
      <c r="F210" s="2685"/>
      <c r="G210" s="2686"/>
      <c r="H210" s="2687"/>
    </row>
    <row r="211" spans="1:8">
      <c r="A211" s="475"/>
      <c r="B211" s="2688"/>
      <c r="C211" s="2684"/>
      <c r="D211" s="2685"/>
      <c r="E211" s="2685"/>
      <c r="F211" s="2685"/>
      <c r="G211" s="2686"/>
      <c r="H211" s="2687"/>
    </row>
    <row r="212" spans="1:8">
      <c r="A212" s="475"/>
      <c r="B212" s="2688"/>
      <c r="C212" s="2684"/>
      <c r="D212" s="2685"/>
      <c r="E212" s="2685"/>
      <c r="F212" s="2685"/>
      <c r="G212" s="2686"/>
      <c r="H212" s="2687"/>
    </row>
    <row r="213" spans="1:8">
      <c r="A213" s="475"/>
      <c r="B213" s="2688"/>
      <c r="C213" s="2684"/>
      <c r="D213" s="2685"/>
      <c r="E213" s="2685" t="s">
        <v>1108</v>
      </c>
      <c r="F213" s="2685"/>
      <c r="G213" s="2689">
        <f>ROUND(SUM(G209:G212),2)</f>
        <v>0</v>
      </c>
      <c r="H213" s="2687"/>
    </row>
    <row r="214" spans="1:8">
      <c r="A214" s="475">
        <v>11</v>
      </c>
      <c r="B214" s="2683" t="s">
        <v>1133</v>
      </c>
      <c r="C214" s="2684"/>
      <c r="D214" s="2685"/>
      <c r="E214" s="2685"/>
      <c r="F214" s="2685"/>
      <c r="G214" s="2686"/>
      <c r="H214" s="2687"/>
    </row>
    <row r="215" spans="1:8">
      <c r="A215" s="475"/>
      <c r="B215" s="2683" t="s">
        <v>1134</v>
      </c>
      <c r="C215" s="2684"/>
      <c r="D215" s="2685"/>
      <c r="E215" s="2685"/>
      <c r="F215" s="2685"/>
      <c r="G215" s="2686"/>
      <c r="H215" s="2687"/>
    </row>
    <row r="216" spans="1:8">
      <c r="A216" s="475"/>
      <c r="B216" s="2773" t="s">
        <v>3527</v>
      </c>
      <c r="C216" s="2684"/>
      <c r="D216" s="2685"/>
      <c r="E216" s="2685"/>
      <c r="F216" s="2685"/>
      <c r="G216" s="2686"/>
      <c r="H216" s="2687"/>
    </row>
    <row r="217" spans="1:8">
      <c r="A217" s="475"/>
      <c r="B217" s="2688" t="s">
        <v>3335</v>
      </c>
      <c r="C217" s="2684">
        <v>1</v>
      </c>
      <c r="D217" s="2685">
        <f>12.4-0.35</f>
        <v>12.05</v>
      </c>
      <c r="E217" s="2685"/>
      <c r="F217" s="2685">
        <v>4.05</v>
      </c>
      <c r="G217" s="2686">
        <f>PRODUCT(C217:F217)</f>
        <v>48.802500000000002</v>
      </c>
      <c r="H217" s="2687"/>
    </row>
    <row r="218" spans="1:8">
      <c r="A218" s="475"/>
      <c r="B218" s="2688" t="s">
        <v>3535</v>
      </c>
      <c r="C218" s="2684">
        <v>2</v>
      </c>
      <c r="D218" s="2685">
        <v>12.05</v>
      </c>
      <c r="E218" s="2685"/>
      <c r="F218" s="2685">
        <v>2.9</v>
      </c>
      <c r="G218" s="2686">
        <f t="shared" ref="G218:G224" si="11">PRODUCT(C218:F218)</f>
        <v>69.89</v>
      </c>
      <c r="H218" s="2687"/>
    </row>
    <row r="219" spans="1:8">
      <c r="A219" s="475"/>
      <c r="B219" s="2688" t="s">
        <v>1076</v>
      </c>
      <c r="C219" s="2684">
        <v>2</v>
      </c>
      <c r="D219" s="2685">
        <v>4.05</v>
      </c>
      <c r="E219" s="2685"/>
      <c r="F219" s="2685">
        <v>2.9</v>
      </c>
      <c r="G219" s="2686">
        <f t="shared" si="11"/>
        <v>23.49</v>
      </c>
      <c r="H219" s="2687"/>
    </row>
    <row r="220" spans="1:8">
      <c r="A220" s="475"/>
      <c r="B220" s="2688" t="s">
        <v>3543</v>
      </c>
      <c r="C220" s="2684">
        <v>-2</v>
      </c>
      <c r="D220" s="2685">
        <v>0.17</v>
      </c>
      <c r="E220" s="2685"/>
      <c r="F220" s="2685">
        <v>2</v>
      </c>
      <c r="G220" s="2686">
        <f t="shared" si="11"/>
        <v>-0.68</v>
      </c>
      <c r="H220" s="2687"/>
    </row>
    <row r="221" spans="1:8">
      <c r="A221" s="2777"/>
      <c r="B221" s="2778"/>
      <c r="C221" s="2779">
        <v>-2</v>
      </c>
      <c r="D221" s="2780">
        <v>0.17</v>
      </c>
      <c r="E221" s="2780"/>
      <c r="F221" s="2780">
        <v>0.9</v>
      </c>
      <c r="G221" s="2781">
        <f t="shared" si="11"/>
        <v>-0.30600000000000005</v>
      </c>
      <c r="H221" s="2782"/>
    </row>
    <row r="222" spans="1:8">
      <c r="A222" s="2789"/>
      <c r="B222" s="2790" t="s">
        <v>3546</v>
      </c>
      <c r="C222" s="2791">
        <v>2</v>
      </c>
      <c r="D222" s="2792">
        <v>4</v>
      </c>
      <c r="E222" s="2792"/>
      <c r="F222" s="2792">
        <v>2.0750000000000002</v>
      </c>
      <c r="G222" s="2793">
        <f t="shared" si="11"/>
        <v>16.600000000000001</v>
      </c>
      <c r="H222" s="2793"/>
    </row>
    <row r="223" spans="1:8">
      <c r="A223" s="2776"/>
      <c r="B223" s="2794" t="s">
        <v>3547</v>
      </c>
      <c r="C223" s="2795">
        <v>2</v>
      </c>
      <c r="D223" s="2796">
        <v>4</v>
      </c>
      <c r="E223" s="2796"/>
      <c r="F223" s="2796">
        <v>0.9</v>
      </c>
      <c r="G223" s="2797"/>
      <c r="H223" s="2798"/>
    </row>
    <row r="224" spans="1:8">
      <c r="A224" s="2783"/>
      <c r="B224" s="2784" t="s">
        <v>3544</v>
      </c>
      <c r="C224" s="2785">
        <v>2</v>
      </c>
      <c r="D224" s="2786">
        <v>3.6</v>
      </c>
      <c r="E224" s="2786">
        <v>0.65</v>
      </c>
      <c r="F224" s="2786"/>
      <c r="G224" s="2787">
        <f t="shared" si="11"/>
        <v>4.6800000000000006</v>
      </c>
      <c r="H224" s="2788"/>
    </row>
    <row r="225" spans="1:8">
      <c r="A225" s="475"/>
      <c r="B225" s="2688"/>
      <c r="C225" s="2684"/>
      <c r="D225" s="2685"/>
      <c r="E225" s="2685"/>
      <c r="F225" s="2685"/>
      <c r="G225" s="2686"/>
      <c r="H225" s="2687"/>
    </row>
    <row r="226" spans="1:8">
      <c r="A226" s="475"/>
      <c r="B226" s="2773" t="s">
        <v>3545</v>
      </c>
      <c r="C226" s="2684"/>
      <c r="D226" s="2685"/>
      <c r="E226" s="2685"/>
      <c r="F226" s="2685"/>
      <c r="G226" s="2686"/>
      <c r="H226" s="2687"/>
    </row>
    <row r="227" spans="1:8">
      <c r="A227" s="475"/>
      <c r="B227" s="2688" t="s">
        <v>3335</v>
      </c>
      <c r="C227" s="2684">
        <v>1</v>
      </c>
      <c r="D227" s="2685">
        <v>12</v>
      </c>
      <c r="E227" s="2685"/>
      <c r="F227" s="2685">
        <v>4.05</v>
      </c>
      <c r="G227" s="2686">
        <f>PRODUCT(C227:F227)</f>
        <v>48.599999999999994</v>
      </c>
      <c r="H227" s="2687"/>
    </row>
    <row r="228" spans="1:8">
      <c r="A228" s="475"/>
      <c r="B228" s="2688" t="s">
        <v>3535</v>
      </c>
      <c r="C228" s="2684">
        <v>2</v>
      </c>
      <c r="D228" s="2685">
        <v>12</v>
      </c>
      <c r="E228" s="2685"/>
      <c r="F228" s="2685">
        <v>2.9</v>
      </c>
      <c r="G228" s="2686">
        <f t="shared" ref="G228:G232" si="12">PRODUCT(C228:F228)</f>
        <v>69.599999999999994</v>
      </c>
      <c r="H228" s="2687"/>
    </row>
    <row r="229" spans="1:8">
      <c r="A229" s="475"/>
      <c r="B229" s="2688" t="s">
        <v>1076</v>
      </c>
      <c r="C229" s="2684">
        <v>2</v>
      </c>
      <c r="D229" s="2685">
        <v>4.05</v>
      </c>
      <c r="E229" s="2685"/>
      <c r="F229" s="2685">
        <v>2.9</v>
      </c>
      <c r="G229" s="2686">
        <f t="shared" si="12"/>
        <v>23.49</v>
      </c>
      <c r="H229" s="2687"/>
    </row>
    <row r="230" spans="1:8">
      <c r="A230" s="475"/>
      <c r="B230" s="2688" t="s">
        <v>3543</v>
      </c>
      <c r="C230" s="2684">
        <v>-2</v>
      </c>
      <c r="D230" s="2685">
        <v>0.17</v>
      </c>
      <c r="E230" s="2685"/>
      <c r="F230" s="2685">
        <v>2</v>
      </c>
      <c r="G230" s="2686">
        <f t="shared" si="12"/>
        <v>-0.68</v>
      </c>
      <c r="H230" s="2687"/>
    </row>
    <row r="231" spans="1:8">
      <c r="A231" s="2777"/>
      <c r="B231" s="2778"/>
      <c r="C231" s="2779">
        <v>-2</v>
      </c>
      <c r="D231" s="2780">
        <v>0.17</v>
      </c>
      <c r="E231" s="2780"/>
      <c r="F231" s="2780">
        <v>0.9</v>
      </c>
      <c r="G231" s="2781">
        <f t="shared" si="12"/>
        <v>-0.30600000000000005</v>
      </c>
      <c r="H231" s="2782"/>
    </row>
    <row r="232" spans="1:8">
      <c r="A232" s="2789"/>
      <c r="B232" s="2790" t="s">
        <v>3546</v>
      </c>
      <c r="C232" s="2791">
        <v>2</v>
      </c>
      <c r="D232" s="2792">
        <v>4</v>
      </c>
      <c r="E232" s="2792"/>
      <c r="F232" s="2792">
        <v>2.0750000000000002</v>
      </c>
      <c r="G232" s="2793">
        <f t="shared" si="12"/>
        <v>16.600000000000001</v>
      </c>
      <c r="H232" s="2793"/>
    </row>
    <row r="233" spans="1:8">
      <c r="A233" s="2776"/>
      <c r="B233" s="2794" t="s">
        <v>3547</v>
      </c>
      <c r="C233" s="2795">
        <v>2</v>
      </c>
      <c r="D233" s="2796">
        <v>4</v>
      </c>
      <c r="E233" s="2796"/>
      <c r="F233" s="2796">
        <v>0.9</v>
      </c>
      <c r="G233" s="2797"/>
      <c r="H233" s="2798"/>
    </row>
    <row r="234" spans="1:8">
      <c r="A234" s="2783"/>
      <c r="B234" s="2784" t="s">
        <v>3544</v>
      </c>
      <c r="C234" s="2785">
        <v>2</v>
      </c>
      <c r="D234" s="2786">
        <v>3.6</v>
      </c>
      <c r="E234" s="2786">
        <v>0.65</v>
      </c>
      <c r="F234" s="2786"/>
      <c r="G234" s="2787">
        <f t="shared" ref="G234" si="13">PRODUCT(C234:F234)</f>
        <v>4.6800000000000006</v>
      </c>
      <c r="H234" s="2788"/>
    </row>
    <row r="235" spans="1:8">
      <c r="A235" s="475"/>
      <c r="B235" s="2688"/>
      <c r="C235" s="2684"/>
      <c r="D235" s="2685"/>
      <c r="E235" s="2685"/>
      <c r="F235" s="2685"/>
      <c r="G235" s="2686"/>
      <c r="H235" s="2687"/>
    </row>
    <row r="236" spans="1:8">
      <c r="A236" s="475"/>
      <c r="B236" s="2773" t="s">
        <v>3534</v>
      </c>
      <c r="C236" s="2684"/>
      <c r="D236" s="2685"/>
      <c r="E236" s="2685"/>
      <c r="F236" s="2685"/>
      <c r="G236" s="2686"/>
      <c r="H236" s="2687"/>
    </row>
    <row r="237" spans="1:8">
      <c r="A237" s="475"/>
      <c r="B237" s="2688" t="s">
        <v>3335</v>
      </c>
      <c r="C237" s="2684">
        <v>1</v>
      </c>
      <c r="D237" s="2685">
        <f>10.5-0.35</f>
        <v>10.15</v>
      </c>
      <c r="E237" s="2685"/>
      <c r="F237" s="2685">
        <f>4-0.35</f>
        <v>3.65</v>
      </c>
      <c r="G237" s="2686">
        <f>PRODUCT(C237:F237)</f>
        <v>37.047499999999999</v>
      </c>
      <c r="H237" s="2687"/>
    </row>
    <row r="238" spans="1:8">
      <c r="A238" s="475"/>
      <c r="B238" s="2688" t="s">
        <v>3535</v>
      </c>
      <c r="C238" s="2684">
        <v>2</v>
      </c>
      <c r="D238" s="2685">
        <f>D237</f>
        <v>10.15</v>
      </c>
      <c r="E238" s="2685"/>
      <c r="F238" s="2685">
        <v>2.9</v>
      </c>
      <c r="G238" s="2686">
        <f t="shared" ref="G238:G242" si="14">PRODUCT(C238:F238)</f>
        <v>58.87</v>
      </c>
      <c r="H238" s="2687"/>
    </row>
    <row r="239" spans="1:8">
      <c r="A239" s="475"/>
      <c r="B239" s="2688" t="s">
        <v>1076</v>
      </c>
      <c r="C239" s="2684">
        <v>2</v>
      </c>
      <c r="D239" s="2685">
        <f>F237</f>
        <v>3.65</v>
      </c>
      <c r="E239" s="2685"/>
      <c r="F239" s="2685">
        <v>2.9</v>
      </c>
      <c r="G239" s="2686">
        <f t="shared" si="14"/>
        <v>21.169999999999998</v>
      </c>
      <c r="H239" s="2687"/>
    </row>
    <row r="240" spans="1:8">
      <c r="A240" s="475"/>
      <c r="B240" s="2688" t="s">
        <v>3543</v>
      </c>
      <c r="C240" s="2684">
        <v>-2</v>
      </c>
      <c r="D240" s="2685">
        <v>0.17</v>
      </c>
      <c r="E240" s="2685"/>
      <c r="F240" s="2685">
        <v>2</v>
      </c>
      <c r="G240" s="2686">
        <f t="shared" si="14"/>
        <v>-0.68</v>
      </c>
      <c r="H240" s="2687"/>
    </row>
    <row r="241" spans="1:8">
      <c r="A241" s="2777"/>
      <c r="B241" s="2778"/>
      <c r="C241" s="2779">
        <v>-2</v>
      </c>
      <c r="D241" s="2780">
        <v>0.17</v>
      </c>
      <c r="E241" s="2780"/>
      <c r="F241" s="2780">
        <v>0.9</v>
      </c>
      <c r="G241" s="2781">
        <f t="shared" si="14"/>
        <v>-0.30600000000000005</v>
      </c>
      <c r="H241" s="2782"/>
    </row>
    <row r="242" spans="1:8">
      <c r="A242" s="2789"/>
      <c r="B242" s="2790" t="s">
        <v>3546</v>
      </c>
      <c r="C242" s="2791">
        <v>2</v>
      </c>
      <c r="D242" s="2792">
        <f>F237</f>
        <v>3.65</v>
      </c>
      <c r="E242" s="2792"/>
      <c r="F242" s="2792">
        <v>2.0750000000000002</v>
      </c>
      <c r="G242" s="2793">
        <f t="shared" si="14"/>
        <v>15.147500000000001</v>
      </c>
      <c r="H242" s="2793"/>
    </row>
    <row r="243" spans="1:8">
      <c r="A243" s="2776"/>
      <c r="B243" s="2794" t="s">
        <v>3547</v>
      </c>
      <c r="C243" s="2795">
        <v>2</v>
      </c>
      <c r="D243" s="2796">
        <f>F237</f>
        <v>3.65</v>
      </c>
      <c r="E243" s="2796"/>
      <c r="F243" s="2796">
        <v>0.9</v>
      </c>
      <c r="G243" s="2797"/>
      <c r="H243" s="2798"/>
    </row>
    <row r="244" spans="1:8">
      <c r="A244" s="2783"/>
      <c r="B244" s="2784" t="s">
        <v>3544</v>
      </c>
      <c r="C244" s="2785">
        <v>2</v>
      </c>
      <c r="D244" s="2786">
        <v>2.95</v>
      </c>
      <c r="E244" s="2786">
        <v>0.65</v>
      </c>
      <c r="F244" s="2786"/>
      <c r="G244" s="2787">
        <f t="shared" ref="G244" si="15">PRODUCT(C244:F244)</f>
        <v>3.8350000000000004</v>
      </c>
      <c r="H244" s="2788"/>
    </row>
    <row r="245" spans="1:8">
      <c r="A245" s="475"/>
      <c r="B245" s="2688"/>
      <c r="C245" s="2684"/>
      <c r="D245" s="2685"/>
      <c r="E245" s="2685" t="s">
        <v>1108</v>
      </c>
      <c r="F245" s="2685"/>
      <c r="G245" s="2689">
        <f>SUM(G217:G244)</f>
        <v>459.54450000000003</v>
      </c>
      <c r="H245" s="2687" t="s">
        <v>1182</v>
      </c>
    </row>
    <row r="246" spans="1:8">
      <c r="A246" s="475">
        <v>12</v>
      </c>
      <c r="B246" s="2683" t="s">
        <v>1007</v>
      </c>
      <c r="C246" s="2684"/>
      <c r="D246" s="2685"/>
      <c r="E246" s="2685"/>
      <c r="F246" s="2685"/>
      <c r="G246" s="2686"/>
      <c r="H246" s="2687"/>
    </row>
    <row r="247" spans="1:8">
      <c r="A247" s="475"/>
      <c r="B247" s="2683" t="s">
        <v>3548</v>
      </c>
      <c r="C247" s="2684"/>
      <c r="D247" s="2685"/>
      <c r="E247" s="2685"/>
      <c r="F247" s="2685"/>
      <c r="G247" s="2686"/>
      <c r="H247" s="2687"/>
    </row>
    <row r="248" spans="1:8">
      <c r="A248" s="475"/>
      <c r="B248" s="2773" t="s">
        <v>3526</v>
      </c>
      <c r="C248" s="2684"/>
      <c r="D248" s="2685"/>
      <c r="E248" s="2685"/>
      <c r="F248" s="2685"/>
      <c r="G248" s="2686"/>
      <c r="H248" s="2687"/>
    </row>
    <row r="249" spans="1:8">
      <c r="A249" s="475"/>
      <c r="B249" s="2683" t="s">
        <v>3549</v>
      </c>
      <c r="C249" s="2684">
        <v>2</v>
      </c>
      <c r="D249" s="2685">
        <v>12.4</v>
      </c>
      <c r="E249" s="2685"/>
      <c r="F249" s="2685">
        <f>2.8+0.45</f>
        <v>3.25</v>
      </c>
      <c r="G249" s="2686">
        <f>PRODUCT(C249:F249)</f>
        <v>80.600000000000009</v>
      </c>
      <c r="H249" s="2687"/>
    </row>
    <row r="250" spans="1:8">
      <c r="A250" s="475"/>
      <c r="B250" s="2683"/>
      <c r="C250" s="2684">
        <v>2</v>
      </c>
      <c r="D250" s="2685">
        <v>4.4000000000000004</v>
      </c>
      <c r="E250" s="2685"/>
      <c r="F250" s="2685">
        <v>3.25</v>
      </c>
      <c r="G250" s="2686">
        <f t="shared" ref="G250:G258" si="16">PRODUCT(C250:F250)</f>
        <v>28.6</v>
      </c>
      <c r="H250" s="2687"/>
    </row>
    <row r="251" spans="1:8">
      <c r="A251" s="475"/>
      <c r="B251" s="2683"/>
      <c r="C251" s="2684"/>
      <c r="D251" s="2685"/>
      <c r="E251" s="2685"/>
      <c r="F251" s="2685"/>
      <c r="G251" s="2686"/>
      <c r="H251" s="2687"/>
    </row>
    <row r="252" spans="1:8">
      <c r="A252" s="475"/>
      <c r="B252" s="2773" t="s">
        <v>3528</v>
      </c>
      <c r="C252" s="2684"/>
      <c r="D252" s="2685"/>
      <c r="E252" s="2685"/>
      <c r="F252" s="2685"/>
      <c r="G252" s="2686"/>
      <c r="H252" s="2687"/>
    </row>
    <row r="253" spans="1:8">
      <c r="A253" s="475"/>
      <c r="B253" s="2683" t="s">
        <v>3549</v>
      </c>
      <c r="C253" s="2684">
        <v>2</v>
      </c>
      <c r="D253" s="2685">
        <v>12.3</v>
      </c>
      <c r="E253" s="2685"/>
      <c r="F253" s="2685">
        <f>2.8+0.45</f>
        <v>3.25</v>
      </c>
      <c r="G253" s="2686">
        <f t="shared" si="16"/>
        <v>79.95</v>
      </c>
      <c r="H253" s="2687"/>
    </row>
    <row r="254" spans="1:8">
      <c r="A254" s="475"/>
      <c r="B254" s="2683"/>
      <c r="C254" s="2684">
        <v>2</v>
      </c>
      <c r="D254" s="2685">
        <v>4.4000000000000004</v>
      </c>
      <c r="E254" s="2685"/>
      <c r="F254" s="2685">
        <v>3.25</v>
      </c>
      <c r="G254" s="2686">
        <f t="shared" si="16"/>
        <v>28.6</v>
      </c>
      <c r="H254" s="2687"/>
    </row>
    <row r="255" spans="1:8">
      <c r="A255" s="475"/>
      <c r="B255" s="2683"/>
      <c r="C255" s="2684"/>
      <c r="D255" s="2685"/>
      <c r="E255" s="2685"/>
      <c r="F255" s="2685"/>
      <c r="G255" s="2686"/>
      <c r="H255" s="2687"/>
    </row>
    <row r="256" spans="1:8">
      <c r="A256" s="475"/>
      <c r="B256" s="2773" t="s">
        <v>3534</v>
      </c>
      <c r="C256" s="2684"/>
      <c r="D256" s="2685"/>
      <c r="E256" s="2685"/>
      <c r="F256" s="2685"/>
      <c r="G256" s="2686"/>
      <c r="H256" s="2687"/>
    </row>
    <row r="257" spans="1:8">
      <c r="A257" s="475"/>
      <c r="B257" s="2683" t="s">
        <v>3549</v>
      </c>
      <c r="C257" s="2684">
        <v>2</v>
      </c>
      <c r="D257" s="2685">
        <v>10.5</v>
      </c>
      <c r="E257" s="2685"/>
      <c r="F257" s="2685">
        <f>2.8+0.45</f>
        <v>3.25</v>
      </c>
      <c r="G257" s="2686">
        <f t="shared" si="16"/>
        <v>68.25</v>
      </c>
      <c r="H257" s="2687"/>
    </row>
    <row r="258" spans="1:8">
      <c r="A258" s="475"/>
      <c r="B258" s="2683"/>
      <c r="C258" s="2684">
        <v>2</v>
      </c>
      <c r="D258" s="2685">
        <v>4</v>
      </c>
      <c r="E258" s="2685"/>
      <c r="F258" s="2685">
        <v>3.25</v>
      </c>
      <c r="G258" s="2686">
        <f t="shared" si="16"/>
        <v>26</v>
      </c>
      <c r="H258" s="2687"/>
    </row>
    <row r="259" spans="1:8">
      <c r="A259" s="475"/>
      <c r="B259" s="2688"/>
      <c r="C259" s="2684"/>
      <c r="D259" s="2685"/>
      <c r="E259" s="2685" t="s">
        <v>1108</v>
      </c>
      <c r="F259" s="2685"/>
      <c r="G259" s="2689">
        <f>SUM(G249:G258)</f>
        <v>312</v>
      </c>
      <c r="H259" s="2687" t="s">
        <v>1182</v>
      </c>
    </row>
    <row r="260" spans="1:8">
      <c r="A260" s="475">
        <v>13</v>
      </c>
      <c r="B260" s="2683" t="s">
        <v>977</v>
      </c>
      <c r="C260" s="2684"/>
      <c r="D260" s="2685"/>
      <c r="E260" s="2685"/>
      <c r="F260" s="2685"/>
      <c r="G260" s="2689"/>
      <c r="H260" s="2687"/>
    </row>
    <row r="261" spans="1:8">
      <c r="A261" s="475"/>
      <c r="B261" s="2683" t="s">
        <v>969</v>
      </c>
      <c r="C261" s="2684" t="s">
        <v>1080</v>
      </c>
      <c r="D261" s="2685"/>
      <c r="E261" s="2685"/>
      <c r="F261" s="2685"/>
      <c r="G261" s="2689">
        <f>G245</f>
        <v>459.54450000000003</v>
      </c>
      <c r="H261" s="2687" t="s">
        <v>1182</v>
      </c>
    </row>
    <row r="262" spans="1:8">
      <c r="A262" s="475"/>
      <c r="B262" s="2688"/>
      <c r="C262" s="2684"/>
      <c r="D262" s="2685"/>
      <c r="E262" s="2685"/>
      <c r="F262" s="2685"/>
      <c r="G262" s="2689"/>
      <c r="H262" s="2687"/>
    </row>
    <row r="263" spans="1:8">
      <c r="A263" s="199"/>
      <c r="B263" s="2698"/>
      <c r="C263" s="2698"/>
      <c r="D263" s="2699"/>
      <c r="E263" s="2699"/>
      <c r="F263" s="2699"/>
      <c r="G263" s="2686"/>
      <c r="H263" s="2700"/>
    </row>
    <row r="264" spans="1:8">
      <c r="A264" s="199"/>
      <c r="B264" s="2698"/>
      <c r="C264" s="2698"/>
      <c r="D264" s="2699"/>
      <c r="E264" s="2699"/>
      <c r="F264" s="2699"/>
      <c r="G264" s="2686"/>
      <c r="H264" s="2700"/>
    </row>
    <row r="265" spans="1:8">
      <c r="A265" s="199"/>
      <c r="B265" s="2698"/>
      <c r="C265" s="2698"/>
      <c r="D265" s="2699"/>
      <c r="E265" s="3118" t="s">
        <v>1108</v>
      </c>
      <c r="F265" s="3119"/>
      <c r="G265" s="2701">
        <f>G261</f>
        <v>459.54450000000003</v>
      </c>
      <c r="H265" s="2700" t="s">
        <v>1182</v>
      </c>
    </row>
    <row r="266" spans="1:8">
      <c r="A266" s="199">
        <v>14</v>
      </c>
      <c r="B266" s="2702" t="s">
        <v>1021</v>
      </c>
      <c r="C266" s="2698"/>
      <c r="D266" s="2699"/>
      <c r="E266" s="2699"/>
      <c r="F266" s="2699"/>
      <c r="G266" s="2703"/>
      <c r="H266" s="2702"/>
    </row>
    <row r="267" spans="1:8">
      <c r="A267" s="199"/>
      <c r="B267" s="2702" t="s">
        <v>1022</v>
      </c>
      <c r="C267" s="3120" t="s">
        <v>1083</v>
      </c>
      <c r="D267" s="3121"/>
      <c r="E267" s="3122"/>
      <c r="F267" s="2699"/>
      <c r="G267" s="2703"/>
      <c r="H267" s="2702"/>
    </row>
    <row r="268" spans="1:8">
      <c r="A268" s="199"/>
      <c r="B268" s="2702" t="s">
        <v>1023</v>
      </c>
      <c r="C268" s="3123"/>
      <c r="D268" s="3124"/>
      <c r="E268" s="3125"/>
      <c r="F268" s="2699"/>
      <c r="G268" s="2701">
        <f>G259</f>
        <v>312</v>
      </c>
      <c r="H268" s="2700" t="s">
        <v>1182</v>
      </c>
    </row>
    <row r="269" spans="1:8">
      <c r="A269" s="199">
        <v>15</v>
      </c>
      <c r="B269" s="2702" t="s">
        <v>2766</v>
      </c>
      <c r="C269" s="2698"/>
      <c r="D269" s="2699"/>
      <c r="E269" s="3118"/>
      <c r="F269" s="3119"/>
      <c r="G269" s="2703"/>
      <c r="H269" s="2702"/>
    </row>
    <row r="270" spans="1:8" ht="25.5">
      <c r="A270" s="199"/>
      <c r="B270" s="2702" t="s">
        <v>1136</v>
      </c>
      <c r="C270" s="2698"/>
      <c r="D270" s="2699"/>
      <c r="E270" s="3118"/>
      <c r="F270" s="3119"/>
      <c r="G270" s="2703"/>
      <c r="H270" s="2700"/>
    </row>
    <row r="271" spans="1:8">
      <c r="A271" s="199"/>
      <c r="B271" s="2702" t="s">
        <v>1137</v>
      </c>
      <c r="C271" s="3116" t="s">
        <v>980</v>
      </c>
      <c r="D271" s="3117"/>
      <c r="E271" s="2699"/>
      <c r="F271" s="2699"/>
      <c r="G271" s="2701" t="s">
        <v>1081</v>
      </c>
      <c r="H271" s="2700"/>
    </row>
    <row r="272" spans="1:8">
      <c r="A272" s="199">
        <v>16</v>
      </c>
      <c r="B272" s="2702" t="s">
        <v>1095</v>
      </c>
      <c r="C272" s="2698"/>
      <c r="D272" s="2699"/>
      <c r="E272" s="2699"/>
      <c r="F272" s="2699"/>
      <c r="G272" s="2703"/>
      <c r="H272" s="2700"/>
    </row>
    <row r="273" spans="1:8">
      <c r="A273" s="199"/>
      <c r="B273" s="2702" t="s">
        <v>1096</v>
      </c>
      <c r="C273" s="2698"/>
      <c r="D273" s="2699"/>
      <c r="E273" s="2699"/>
      <c r="F273" s="2699"/>
      <c r="G273" s="2703"/>
      <c r="H273" s="2700"/>
    </row>
    <row r="274" spans="1:8">
      <c r="A274" s="1646"/>
      <c r="B274" s="2704" t="s">
        <v>978</v>
      </c>
      <c r="C274" s="2705"/>
      <c r="D274" s="2706"/>
      <c r="E274" s="2706"/>
      <c r="F274" s="2706"/>
      <c r="G274" s="2707"/>
      <c r="H274" s="2708"/>
    </row>
    <row r="275" spans="1:8">
      <c r="A275" s="358"/>
      <c r="B275" s="2709" t="s">
        <v>979</v>
      </c>
      <c r="C275" s="2710">
        <v>3</v>
      </c>
      <c r="D275" s="2695"/>
      <c r="E275" s="2695"/>
      <c r="F275" s="2695"/>
      <c r="G275" s="2696">
        <f>C275</f>
        <v>3</v>
      </c>
      <c r="H275" s="2709" t="s">
        <v>1082</v>
      </c>
    </row>
  </sheetData>
  <mergeCells count="10">
    <mergeCell ref="C271:D271"/>
    <mergeCell ref="E265:F265"/>
    <mergeCell ref="C267:E268"/>
    <mergeCell ref="E269:F269"/>
    <mergeCell ref="E270:F270"/>
    <mergeCell ref="A1:H1"/>
    <mergeCell ref="A2:H2"/>
    <mergeCell ref="A3:H3"/>
    <mergeCell ref="A4:H4"/>
    <mergeCell ref="A10:H10"/>
  </mergeCells>
  <pageMargins left="0.7" right="0.7" top="0.75" bottom="0.75" header="0.3" footer="0.3"/>
  <pageSetup scale="83" orientation="portrait" r:id="rId1"/>
  <headerFooter>
    <oddFooter>&amp;LPrepared By:&amp;CChecked By:
 Er. Bal Krishna Manandhar&amp;RApproved By:
 Er. Prakash Singh Saud</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M97"/>
  <sheetViews>
    <sheetView view="pageBreakPreview" zoomScale="60" workbookViewId="0">
      <selection activeCell="F82" sqref="F82"/>
    </sheetView>
  </sheetViews>
  <sheetFormatPr defaultRowHeight="12.75"/>
  <cols>
    <col min="2" max="2" width="34.7109375" customWidth="1"/>
  </cols>
  <sheetData>
    <row r="1" spans="1:13" s="2596" customFormat="1" ht="15">
      <c r="A1" s="3110" t="s">
        <v>3515</v>
      </c>
      <c r="B1" s="3110"/>
      <c r="C1" s="3110"/>
      <c r="D1" s="3110"/>
      <c r="E1" s="3110"/>
      <c r="F1" s="3110"/>
      <c r="G1" s="3110"/>
      <c r="H1" s="3110"/>
      <c r="I1" s="3110"/>
      <c r="J1" s="2747"/>
      <c r="K1" s="2747"/>
      <c r="L1" s="2747"/>
      <c r="M1" s="2747"/>
    </row>
    <row r="2" spans="1:13" s="2596" customFormat="1" ht="20.25">
      <c r="A2" s="3111" t="s">
        <v>3516</v>
      </c>
      <c r="B2" s="3111"/>
      <c r="C2" s="3111"/>
      <c r="D2" s="3111"/>
      <c r="E2" s="3111"/>
      <c r="F2" s="3111"/>
      <c r="G2" s="3111"/>
      <c r="H2" s="3111"/>
      <c r="I2" s="3111"/>
      <c r="J2" s="2746"/>
      <c r="K2" s="2746"/>
      <c r="L2" s="2746"/>
      <c r="M2" s="2746"/>
    </row>
    <row r="3" spans="1:13" s="2596" customFormat="1" ht="20.25">
      <c r="A3" s="3112" t="s">
        <v>3517</v>
      </c>
      <c r="B3" s="3112"/>
      <c r="C3" s="3112"/>
      <c r="D3" s="3112"/>
      <c r="E3" s="3112"/>
      <c r="F3" s="3112"/>
      <c r="G3" s="3112"/>
      <c r="H3" s="3112"/>
      <c r="I3" s="3112"/>
      <c r="J3" s="2746"/>
      <c r="K3" s="2746"/>
      <c r="L3" s="2746"/>
      <c r="M3" s="2746"/>
    </row>
    <row r="4" spans="1:13" s="2596" customFormat="1" ht="18.75">
      <c r="A4" s="3113" t="s">
        <v>3304</v>
      </c>
      <c r="B4" s="3113"/>
      <c r="C4" s="3113"/>
      <c r="D4" s="3113"/>
      <c r="E4" s="3113"/>
      <c r="F4" s="3113"/>
      <c r="G4" s="3113"/>
      <c r="H4" s="3113"/>
      <c r="I4" s="3113"/>
      <c r="J4" s="2821"/>
      <c r="K4" s="2821"/>
      <c r="L4" s="2821"/>
      <c r="M4" s="2821"/>
    </row>
    <row r="5" spans="1:13" s="2596" customFormat="1" ht="18.75">
      <c r="A5" s="513" t="s">
        <v>3529</v>
      </c>
      <c r="B5" s="2820"/>
      <c r="C5" s="2820"/>
      <c r="D5" s="2820"/>
      <c r="E5" s="2820"/>
      <c r="F5" s="2820"/>
      <c r="G5" s="2820"/>
      <c r="H5" s="2820"/>
      <c r="I5" s="2821"/>
      <c r="J5" s="2821"/>
      <c r="K5" s="2821"/>
      <c r="L5" s="2821"/>
      <c r="M5" s="2821"/>
    </row>
    <row r="6" spans="1:13" s="2596" customFormat="1" ht="18.75">
      <c r="A6" s="2819" t="s">
        <v>3583</v>
      </c>
      <c r="C6" s="2820"/>
      <c r="D6" s="2820"/>
      <c r="E6" s="2820"/>
      <c r="F6" s="2820"/>
      <c r="G6" s="2820"/>
      <c r="H6" s="2820"/>
      <c r="I6" s="2820"/>
      <c r="J6" s="2820"/>
      <c r="K6" s="2820"/>
      <c r="L6" s="2820"/>
      <c r="M6" s="2820"/>
    </row>
    <row r="7" spans="1:13" s="2596" customFormat="1" ht="18.75">
      <c r="A7" s="2819" t="s">
        <v>3584</v>
      </c>
      <c r="C7" s="2820"/>
      <c r="D7" s="2820"/>
      <c r="E7" s="2820"/>
      <c r="F7" s="2820"/>
      <c r="G7" s="2820"/>
      <c r="H7" s="2820"/>
      <c r="I7" s="2820"/>
      <c r="J7" s="2820"/>
      <c r="K7" s="2820"/>
      <c r="L7" s="2820"/>
      <c r="M7" s="2820"/>
    </row>
    <row r="8" spans="1:13" s="2596" customFormat="1" ht="20.25">
      <c r="A8" s="2744" t="s">
        <v>3518</v>
      </c>
      <c r="C8" s="2743"/>
      <c r="D8" s="2743"/>
      <c r="E8" s="2743"/>
      <c r="F8" s="2743"/>
      <c r="G8" s="2743"/>
      <c r="H8" s="2745" t="s">
        <v>3520</v>
      </c>
      <c r="I8" s="2743"/>
      <c r="J8" s="2743"/>
      <c r="K8" s="2743"/>
      <c r="L8" s="2743"/>
    </row>
    <row r="9" spans="1:13" s="2596" customFormat="1" ht="20.25">
      <c r="A9" s="2744" t="s">
        <v>3519</v>
      </c>
      <c r="C9" s="2743"/>
      <c r="D9" s="2743"/>
      <c r="E9" s="2743"/>
      <c r="F9" s="2743"/>
      <c r="G9" s="2743"/>
      <c r="H9" s="2745" t="s">
        <v>3585</v>
      </c>
      <c r="I9" s="2743"/>
      <c r="J9" s="2743"/>
      <c r="K9" s="2743"/>
      <c r="L9" s="2743"/>
    </row>
    <row r="10" spans="1:13">
      <c r="A10" s="285" t="s">
        <v>3399</v>
      </c>
      <c r="B10" s="365"/>
      <c r="C10" s="366"/>
      <c r="D10" s="367"/>
      <c r="E10" s="367"/>
      <c r="F10" s="367"/>
      <c r="G10" s="366"/>
      <c r="H10" s="1632"/>
    </row>
    <row r="11" spans="1:13">
      <c r="A11" s="1638"/>
      <c r="B11" s="368"/>
      <c r="C11" s="369"/>
      <c r="D11" s="370"/>
      <c r="E11" s="370"/>
      <c r="F11" s="370"/>
      <c r="G11" s="369"/>
      <c r="H11" s="1633"/>
    </row>
    <row r="12" spans="1:13" ht="25.5">
      <c r="A12" s="1634" t="s">
        <v>961</v>
      </c>
      <c r="B12" s="1634" t="s">
        <v>962</v>
      </c>
      <c r="C12" s="1635" t="s">
        <v>963</v>
      </c>
      <c r="D12" s="1636" t="s">
        <v>1051</v>
      </c>
      <c r="E12" s="1636" t="s">
        <v>1052</v>
      </c>
      <c r="F12" s="1636" t="s">
        <v>1053</v>
      </c>
      <c r="G12" s="1637" t="s">
        <v>964</v>
      </c>
      <c r="H12" s="1634" t="s">
        <v>1054</v>
      </c>
      <c r="I12" s="1636" t="s">
        <v>1055</v>
      </c>
    </row>
    <row r="13" spans="1:13">
      <c r="A13" s="2758"/>
      <c r="B13" s="2759" t="s">
        <v>25</v>
      </c>
      <c r="C13" s="2760"/>
      <c r="D13" s="2761"/>
      <c r="E13" s="2761"/>
      <c r="F13" s="2761"/>
      <c r="G13" s="2762"/>
      <c r="H13" s="2758"/>
      <c r="I13" s="1770"/>
    </row>
    <row r="14" spans="1:13">
      <c r="A14" s="321"/>
      <c r="B14" s="343"/>
      <c r="C14" s="2763"/>
      <c r="D14" s="320"/>
      <c r="E14" s="320"/>
      <c r="F14" s="320"/>
      <c r="G14" s="2764"/>
      <c r="H14" s="2765"/>
      <c r="I14" s="1770"/>
    </row>
    <row r="15" spans="1:13">
      <c r="A15" s="321">
        <v>2</v>
      </c>
      <c r="B15" s="343" t="s">
        <v>27</v>
      </c>
      <c r="C15" s="2756"/>
      <c r="D15" s="320"/>
      <c r="E15" s="320"/>
      <c r="F15" s="320"/>
      <c r="G15" s="2766"/>
      <c r="H15" s="2757"/>
      <c r="I15" s="1770"/>
    </row>
    <row r="16" spans="1:13">
      <c r="A16" s="321"/>
      <c r="B16" s="2771" t="s">
        <v>3523</v>
      </c>
      <c r="C16" s="2756">
        <v>1</v>
      </c>
      <c r="D16" s="320">
        <v>14.4</v>
      </c>
      <c r="E16" s="320">
        <v>0.45</v>
      </c>
      <c r="F16" s="320">
        <v>0.3</v>
      </c>
      <c r="G16" s="2766">
        <f>PRODUCT(C16:F16)</f>
        <v>1.944</v>
      </c>
      <c r="H16" s="2757"/>
      <c r="I16" s="1770"/>
    </row>
    <row r="17" spans="1:9">
      <c r="A17" s="321"/>
      <c r="B17" s="343"/>
      <c r="C17" s="2756">
        <v>1</v>
      </c>
      <c r="D17" s="320" t="s">
        <v>3524</v>
      </c>
      <c r="E17" s="320">
        <v>0.45</v>
      </c>
      <c r="F17" s="320">
        <v>0.6</v>
      </c>
      <c r="G17" s="2766">
        <f t="shared" ref="G17:G23" si="0">PRODUCT(C17:F17)</f>
        <v>0.27</v>
      </c>
      <c r="H17" s="2757"/>
      <c r="I17" s="1770"/>
    </row>
    <row r="18" spans="1:9">
      <c r="A18" s="321"/>
      <c r="B18" s="343"/>
      <c r="C18" s="2756">
        <v>1</v>
      </c>
      <c r="D18" s="320">
        <v>5</v>
      </c>
      <c r="E18" s="320">
        <v>0.6</v>
      </c>
      <c r="F18" s="320">
        <v>0.6</v>
      </c>
      <c r="G18" s="2766">
        <f t="shared" si="0"/>
        <v>1.7999999999999998</v>
      </c>
      <c r="H18" s="2757"/>
      <c r="I18" s="1770"/>
    </row>
    <row r="19" spans="1:9">
      <c r="A19" s="321"/>
      <c r="B19" s="343"/>
      <c r="C19" s="2756">
        <v>1</v>
      </c>
      <c r="D19" s="320">
        <f>21-7.5</f>
        <v>13.5</v>
      </c>
      <c r="E19" s="320">
        <v>0.45</v>
      </c>
      <c r="F19" s="320">
        <v>0.6</v>
      </c>
      <c r="G19" s="2766">
        <f t="shared" si="0"/>
        <v>3.645</v>
      </c>
      <c r="H19" s="2757"/>
      <c r="I19" s="1770"/>
    </row>
    <row r="20" spans="1:9">
      <c r="A20" s="321"/>
      <c r="B20" s="343"/>
      <c r="C20" s="2756">
        <v>1</v>
      </c>
      <c r="D20" s="320">
        <v>12.2</v>
      </c>
      <c r="E20" s="320">
        <v>0.45</v>
      </c>
      <c r="F20" s="320">
        <v>0.6</v>
      </c>
      <c r="G20" s="2766">
        <f t="shared" si="0"/>
        <v>3.294</v>
      </c>
      <c r="H20" s="2757"/>
      <c r="I20" s="1770"/>
    </row>
    <row r="21" spans="1:9">
      <c r="A21" s="321"/>
      <c r="B21" s="343"/>
      <c r="C21" s="2756">
        <v>1</v>
      </c>
      <c r="D21" s="320">
        <v>7.5</v>
      </c>
      <c r="E21" s="320">
        <v>0.45</v>
      </c>
      <c r="F21" s="320">
        <v>0.6</v>
      </c>
      <c r="G21" s="2766">
        <f t="shared" si="0"/>
        <v>2.0249999999999999</v>
      </c>
      <c r="H21" s="2757"/>
      <c r="I21" s="1770"/>
    </row>
    <row r="22" spans="1:9">
      <c r="A22" s="321"/>
      <c r="B22" s="343"/>
      <c r="C22" s="2756"/>
      <c r="D22" s="320"/>
      <c r="E22" s="320"/>
      <c r="F22" s="320"/>
      <c r="G22" s="2766"/>
      <c r="H22" s="2757"/>
      <c r="I22" s="1770"/>
    </row>
    <row r="23" spans="1:9">
      <c r="A23" s="321"/>
      <c r="B23" s="2771" t="s">
        <v>3528</v>
      </c>
      <c r="C23" s="2756">
        <v>1</v>
      </c>
      <c r="D23" s="320">
        <f>7.9+14.2+7.5+16.4</f>
        <v>46</v>
      </c>
      <c r="E23" s="320">
        <v>0.4</v>
      </c>
      <c r="F23" s="320">
        <v>0.6</v>
      </c>
      <c r="G23" s="2766">
        <f t="shared" si="0"/>
        <v>11.040000000000001</v>
      </c>
      <c r="H23" s="2757"/>
      <c r="I23" s="1770"/>
    </row>
    <row r="24" spans="1:9">
      <c r="A24" s="321"/>
      <c r="B24" s="321"/>
      <c r="C24" s="2756"/>
      <c r="D24" s="320"/>
      <c r="E24" s="320"/>
      <c r="F24" s="320"/>
      <c r="G24" s="2766"/>
      <c r="H24" s="2757"/>
      <c r="I24" s="1770"/>
    </row>
    <row r="25" spans="1:9">
      <c r="A25" s="321"/>
      <c r="B25" s="321"/>
      <c r="C25" s="2756"/>
      <c r="D25" s="320"/>
      <c r="E25" s="320"/>
      <c r="F25" s="320"/>
      <c r="G25" s="2767">
        <f>ROUND(SUM(G15:G24),2)</f>
        <v>24.02</v>
      </c>
      <c r="H25" s="2757" t="s">
        <v>29</v>
      </c>
      <c r="I25" s="1770"/>
    </row>
    <row r="26" spans="1:9">
      <c r="A26" s="321"/>
      <c r="B26" s="321"/>
      <c r="C26" s="2756"/>
      <c r="D26" s="320"/>
      <c r="E26" s="320"/>
      <c r="F26" s="320"/>
      <c r="G26" s="2767"/>
      <c r="H26" s="2757"/>
      <c r="I26" s="1770"/>
    </row>
    <row r="27" spans="1:9">
      <c r="A27" s="321"/>
      <c r="B27" s="321"/>
      <c r="C27" s="2756"/>
      <c r="D27" s="320"/>
      <c r="E27" s="320"/>
      <c r="F27" s="320"/>
      <c r="G27" s="2767"/>
      <c r="H27" s="2757"/>
      <c r="I27" s="1770"/>
    </row>
    <row r="28" spans="1:9">
      <c r="A28" s="321">
        <v>3</v>
      </c>
      <c r="B28" s="343" t="s">
        <v>30</v>
      </c>
      <c r="C28" s="2756"/>
      <c r="D28" s="320"/>
      <c r="E28" s="320"/>
      <c r="F28" s="320"/>
      <c r="G28" s="2766"/>
      <c r="H28" s="2757"/>
      <c r="I28" s="1770"/>
    </row>
    <row r="29" spans="1:9">
      <c r="A29" s="321"/>
      <c r="B29" s="2771" t="s">
        <v>3523</v>
      </c>
      <c r="C29" s="2756">
        <v>1</v>
      </c>
      <c r="D29" s="320">
        <v>14.4</v>
      </c>
      <c r="E29" s="320">
        <v>0.45</v>
      </c>
      <c r="F29" s="320">
        <v>0.15</v>
      </c>
      <c r="G29" s="2766">
        <f>PRODUCT(C29:F29)</f>
        <v>0.97199999999999998</v>
      </c>
      <c r="H29" s="2757"/>
      <c r="I29" s="1770"/>
    </row>
    <row r="30" spans="1:9">
      <c r="A30" s="321"/>
      <c r="B30" s="343"/>
      <c r="C30" s="2756">
        <v>1</v>
      </c>
      <c r="D30" s="320" t="s">
        <v>3524</v>
      </c>
      <c r="E30" s="320">
        <v>0.5</v>
      </c>
      <c r="F30" s="320">
        <v>0.15</v>
      </c>
      <c r="G30" s="2766">
        <f t="shared" ref="G30:G36" si="1">PRODUCT(C30:F30)</f>
        <v>7.4999999999999997E-2</v>
      </c>
      <c r="H30" s="2757"/>
      <c r="I30" s="1770"/>
    </row>
    <row r="31" spans="1:9">
      <c r="A31" s="321"/>
      <c r="B31" s="343"/>
      <c r="C31" s="2756">
        <v>1</v>
      </c>
      <c r="D31" s="320">
        <v>5</v>
      </c>
      <c r="E31" s="320">
        <v>0.6</v>
      </c>
      <c r="F31" s="320">
        <v>0.15</v>
      </c>
      <c r="G31" s="2766">
        <f t="shared" si="1"/>
        <v>0.44999999999999996</v>
      </c>
      <c r="H31" s="2757"/>
      <c r="I31" s="1770"/>
    </row>
    <row r="32" spans="1:9">
      <c r="A32" s="321"/>
      <c r="B32" s="343"/>
      <c r="C32" s="2756">
        <v>1</v>
      </c>
      <c r="D32" s="320">
        <f>21-7.5</f>
        <v>13.5</v>
      </c>
      <c r="E32" s="320">
        <v>0.45</v>
      </c>
      <c r="F32" s="320">
        <v>0.15</v>
      </c>
      <c r="G32" s="2766">
        <f t="shared" si="1"/>
        <v>0.91125</v>
      </c>
      <c r="H32" s="2757"/>
      <c r="I32" s="1770"/>
    </row>
    <row r="33" spans="1:9">
      <c r="A33" s="321"/>
      <c r="B33" s="343"/>
      <c r="C33" s="2756">
        <v>1</v>
      </c>
      <c r="D33" s="320">
        <v>12.2</v>
      </c>
      <c r="E33" s="320">
        <v>0.5</v>
      </c>
      <c r="F33" s="320">
        <v>0.15</v>
      </c>
      <c r="G33" s="2766">
        <f t="shared" si="1"/>
        <v>0.91499999999999992</v>
      </c>
      <c r="H33" s="2757"/>
      <c r="I33" s="1770"/>
    </row>
    <row r="34" spans="1:9">
      <c r="A34" s="321"/>
      <c r="B34" s="321"/>
      <c r="C34" s="2756">
        <v>1</v>
      </c>
      <c r="D34" s="320">
        <v>7.5</v>
      </c>
      <c r="E34" s="320">
        <v>0.45</v>
      </c>
      <c r="F34" s="320">
        <v>0.15</v>
      </c>
      <c r="G34" s="2766">
        <f t="shared" si="1"/>
        <v>0.50624999999999998</v>
      </c>
      <c r="H34" s="2757"/>
      <c r="I34" s="1770"/>
    </row>
    <row r="35" spans="1:9">
      <c r="A35" s="321"/>
      <c r="B35" s="321"/>
      <c r="C35" s="2756"/>
      <c r="D35" s="320"/>
      <c r="E35" s="320"/>
      <c r="F35" s="320"/>
      <c r="G35" s="2766"/>
      <c r="H35" s="2757"/>
      <c r="I35" s="1770"/>
    </row>
    <row r="36" spans="1:9">
      <c r="A36" s="321"/>
      <c r="B36" s="2771" t="s">
        <v>3528</v>
      </c>
      <c r="C36" s="2756">
        <v>1</v>
      </c>
      <c r="D36" s="320">
        <f>7.9+14.2+7.5+16.4</f>
        <v>46</v>
      </c>
      <c r="E36" s="320">
        <v>0.45</v>
      </c>
      <c r="F36" s="320">
        <v>0.15</v>
      </c>
      <c r="G36" s="2766">
        <f t="shared" si="1"/>
        <v>3.105</v>
      </c>
      <c r="H36" s="2757"/>
      <c r="I36" s="1770"/>
    </row>
    <row r="37" spans="1:9">
      <c r="A37" s="321"/>
      <c r="B37" s="321"/>
      <c r="C37" s="2756"/>
      <c r="D37" s="320"/>
      <c r="E37" s="320"/>
      <c r="F37" s="320"/>
      <c r="G37" s="2766"/>
      <c r="H37" s="2757"/>
      <c r="I37" s="1770"/>
    </row>
    <row r="38" spans="1:9">
      <c r="A38" s="321"/>
      <c r="B38" s="321"/>
      <c r="C38" s="2756"/>
      <c r="D38" s="320"/>
      <c r="E38" s="320"/>
      <c r="F38" s="320"/>
      <c r="G38" s="2766"/>
      <c r="H38" s="2757"/>
      <c r="I38" s="1770"/>
    </row>
    <row r="39" spans="1:9">
      <c r="A39" s="321"/>
      <c r="B39" s="321"/>
      <c r="C39" s="2756"/>
      <c r="D39" s="320"/>
      <c r="E39" s="320"/>
      <c r="F39" s="320"/>
      <c r="G39" s="2767">
        <f>ROUND(SUM(G28:G37),2)</f>
        <v>6.93</v>
      </c>
      <c r="H39" s="2757" t="s">
        <v>29</v>
      </c>
      <c r="I39" s="1770"/>
    </row>
    <row r="40" spans="1:9">
      <c r="A40" s="321"/>
      <c r="B40" s="321"/>
      <c r="C40" s="2756"/>
      <c r="D40" s="320"/>
      <c r="E40" s="320"/>
      <c r="F40" s="320"/>
      <c r="G40" s="2767"/>
      <c r="H40" s="2757"/>
      <c r="I40" s="1770"/>
    </row>
    <row r="41" spans="1:9">
      <c r="A41" s="321"/>
      <c r="B41" s="321"/>
      <c r="C41" s="2756"/>
      <c r="D41" s="320"/>
      <c r="E41" s="320"/>
      <c r="F41" s="320"/>
      <c r="G41" s="2767"/>
      <c r="H41" s="2757"/>
      <c r="I41" s="1770"/>
    </row>
    <row r="42" spans="1:9">
      <c r="A42" s="321">
        <v>4</v>
      </c>
      <c r="B42" s="343" t="s">
        <v>31</v>
      </c>
      <c r="C42" s="2756"/>
      <c r="D42" s="320"/>
      <c r="E42" s="320"/>
      <c r="F42" s="2768"/>
      <c r="G42" s="388"/>
      <c r="H42" s="2757"/>
      <c r="I42" s="1770"/>
    </row>
    <row r="43" spans="1:9">
      <c r="A43" s="321"/>
      <c r="B43" s="343" t="s">
        <v>3523</v>
      </c>
      <c r="C43" s="2756">
        <v>1</v>
      </c>
      <c r="D43" s="320">
        <v>14.4</v>
      </c>
      <c r="E43" s="320">
        <v>0.45</v>
      </c>
      <c r="F43" s="2768">
        <v>0.05</v>
      </c>
      <c r="G43" s="2766">
        <f>PRODUCT(C43:F43)</f>
        <v>0.32400000000000007</v>
      </c>
      <c r="H43" s="2757"/>
      <c r="I43" s="1770"/>
    </row>
    <row r="44" spans="1:9">
      <c r="A44" s="321"/>
      <c r="B44" s="343"/>
      <c r="C44" s="2756">
        <v>1</v>
      </c>
      <c r="D44" s="320" t="s">
        <v>3524</v>
      </c>
      <c r="E44" s="320">
        <v>0.5</v>
      </c>
      <c r="F44" s="2768">
        <v>0.05</v>
      </c>
      <c r="G44" s="2766">
        <f t="shared" ref="G44:G50" si="2">PRODUCT(C44:F44)</f>
        <v>2.5000000000000001E-2</v>
      </c>
      <c r="H44" s="2757"/>
      <c r="I44" s="1770"/>
    </row>
    <row r="45" spans="1:9">
      <c r="A45" s="321"/>
      <c r="B45" s="343"/>
      <c r="C45" s="2756">
        <v>1</v>
      </c>
      <c r="D45" s="320">
        <v>5</v>
      </c>
      <c r="E45" s="320">
        <v>0.6</v>
      </c>
      <c r="F45" s="2768">
        <v>0.05</v>
      </c>
      <c r="G45" s="2766">
        <f t="shared" si="2"/>
        <v>0.15000000000000002</v>
      </c>
      <c r="H45" s="2757"/>
      <c r="I45" s="1770"/>
    </row>
    <row r="46" spans="1:9">
      <c r="A46" s="321"/>
      <c r="B46" s="343"/>
      <c r="C46" s="2756">
        <v>1</v>
      </c>
      <c r="D46" s="320">
        <f>21-7.5</f>
        <v>13.5</v>
      </c>
      <c r="E46" s="320">
        <v>0.45</v>
      </c>
      <c r="F46" s="2768">
        <v>0.05</v>
      </c>
      <c r="G46" s="2766">
        <f t="shared" si="2"/>
        <v>0.30375000000000002</v>
      </c>
      <c r="H46" s="2757"/>
      <c r="I46" s="1770"/>
    </row>
    <row r="47" spans="1:9">
      <c r="A47" s="321"/>
      <c r="B47" s="343"/>
      <c r="C47" s="2756">
        <v>1</v>
      </c>
      <c r="D47" s="320">
        <v>12.2</v>
      </c>
      <c r="E47" s="320">
        <v>0.5</v>
      </c>
      <c r="F47" s="2768">
        <v>0.05</v>
      </c>
      <c r="G47" s="2766">
        <f t="shared" si="2"/>
        <v>0.30499999999999999</v>
      </c>
      <c r="H47" s="2757"/>
      <c r="I47" s="1770"/>
    </row>
    <row r="48" spans="1:9">
      <c r="A48" s="321"/>
      <c r="B48" s="321"/>
      <c r="C48" s="2756">
        <v>1</v>
      </c>
      <c r="D48" s="320">
        <v>7.5</v>
      </c>
      <c r="E48" s="320">
        <v>0.45</v>
      </c>
      <c r="F48" s="2768">
        <v>0.05</v>
      </c>
      <c r="G48" s="2766">
        <f t="shared" si="2"/>
        <v>0.16875000000000001</v>
      </c>
      <c r="H48" s="2757"/>
      <c r="I48" s="1770"/>
    </row>
    <row r="49" spans="1:12">
      <c r="A49" s="321"/>
      <c r="B49" s="321"/>
      <c r="C49" s="2756"/>
      <c r="D49" s="320"/>
      <c r="E49" s="320"/>
      <c r="F49" s="2768"/>
      <c r="G49" s="2766"/>
      <c r="H49" s="2757"/>
      <c r="I49" s="1770"/>
    </row>
    <row r="50" spans="1:12">
      <c r="A50" s="321"/>
      <c r="B50" s="2771" t="s">
        <v>3528</v>
      </c>
      <c r="C50" s="2756">
        <v>1</v>
      </c>
      <c r="D50" s="320">
        <f>7.9+14.2+7.5+16.4</f>
        <v>46</v>
      </c>
      <c r="E50" s="320">
        <v>0.45</v>
      </c>
      <c r="F50" s="320">
        <v>0.05</v>
      </c>
      <c r="G50" s="2766">
        <f t="shared" si="2"/>
        <v>1.0349999999999999</v>
      </c>
      <c r="H50" s="2757"/>
      <c r="I50" s="1770"/>
    </row>
    <row r="51" spans="1:12">
      <c r="A51" s="321"/>
      <c r="B51" s="321"/>
      <c r="C51" s="2756"/>
      <c r="D51" s="320"/>
      <c r="E51" s="320"/>
      <c r="F51" s="2768"/>
      <c r="G51" s="2766"/>
      <c r="H51" s="2757"/>
      <c r="I51" s="1770"/>
    </row>
    <row r="52" spans="1:12">
      <c r="A52" s="321"/>
      <c r="B52" s="321"/>
      <c r="C52" s="2756"/>
      <c r="D52" s="320"/>
      <c r="E52" s="320"/>
      <c r="F52" s="2768"/>
      <c r="G52" s="2766"/>
      <c r="H52" s="2757"/>
      <c r="I52" s="1770"/>
    </row>
    <row r="53" spans="1:12">
      <c r="A53" s="321"/>
      <c r="B53" s="321"/>
      <c r="C53" s="2756"/>
      <c r="D53" s="320"/>
      <c r="E53" s="320"/>
      <c r="F53" s="2768"/>
      <c r="G53" s="388">
        <f>SUM(G43:G50)</f>
        <v>2.3114999999999997</v>
      </c>
      <c r="H53" s="2757" t="s">
        <v>29</v>
      </c>
      <c r="I53" s="1770"/>
    </row>
    <row r="54" spans="1:12">
      <c r="A54" s="321"/>
      <c r="B54" s="321"/>
      <c r="C54" s="2756"/>
      <c r="D54" s="320"/>
      <c r="E54" s="320"/>
      <c r="F54" s="2768"/>
      <c r="G54" s="388"/>
      <c r="H54" s="2757"/>
      <c r="I54" s="1770"/>
    </row>
    <row r="55" spans="1:12">
      <c r="A55" s="321"/>
      <c r="B55" s="321"/>
      <c r="C55" s="2756"/>
      <c r="D55" s="320"/>
      <c r="E55" s="320"/>
      <c r="F55" s="2768"/>
      <c r="G55" s="388"/>
      <c r="H55" s="2757"/>
      <c r="I55" s="1770"/>
    </row>
    <row r="56" spans="1:12">
      <c r="A56" s="321">
        <v>5</v>
      </c>
      <c r="B56" s="343" t="s">
        <v>32</v>
      </c>
      <c r="C56" s="2756"/>
      <c r="D56" s="320"/>
      <c r="E56" s="320"/>
      <c r="F56" s="320"/>
      <c r="G56" s="2766"/>
      <c r="H56" s="2757"/>
      <c r="I56" s="1770"/>
      <c r="J56">
        <f>C56*D56</f>
        <v>0</v>
      </c>
      <c r="L56">
        <f>60-J56</f>
        <v>60</v>
      </c>
    </row>
    <row r="57" spans="1:12">
      <c r="A57" s="321"/>
      <c r="B57" s="2771" t="s">
        <v>3523</v>
      </c>
      <c r="C57" s="2756">
        <v>1</v>
      </c>
      <c r="D57" s="320">
        <v>14.4</v>
      </c>
      <c r="E57" s="320">
        <v>0.45</v>
      </c>
      <c r="F57" s="320">
        <v>1.1000000000000001</v>
      </c>
      <c r="G57" s="2766">
        <f>PRODUCT(C57:F57)</f>
        <v>7.128000000000001</v>
      </c>
      <c r="H57" s="2757"/>
      <c r="I57" s="1770"/>
    </row>
    <row r="58" spans="1:12">
      <c r="A58" s="321"/>
      <c r="B58" s="343"/>
      <c r="C58" s="2756">
        <v>1</v>
      </c>
      <c r="D58" s="320" t="s">
        <v>3524</v>
      </c>
      <c r="E58" s="320">
        <v>0.5</v>
      </c>
      <c r="F58" s="320">
        <v>1.2</v>
      </c>
      <c r="G58" s="2766">
        <f t="shared" ref="G58:G62" si="3">PRODUCT(C58:F58)</f>
        <v>0.6</v>
      </c>
      <c r="H58" s="2757"/>
      <c r="I58" s="1770"/>
    </row>
    <row r="59" spans="1:12">
      <c r="A59" s="321"/>
      <c r="B59" s="343"/>
      <c r="C59" s="2756">
        <v>1</v>
      </c>
      <c r="D59" s="320">
        <v>5</v>
      </c>
      <c r="E59" s="320">
        <v>0.6</v>
      </c>
      <c r="F59" s="320">
        <v>2.5</v>
      </c>
      <c r="G59" s="2766">
        <f t="shared" si="3"/>
        <v>7.5</v>
      </c>
      <c r="H59" s="2757"/>
      <c r="I59" s="1770"/>
    </row>
    <row r="60" spans="1:12">
      <c r="A60" s="321"/>
      <c r="B60" s="343"/>
      <c r="C60" s="2756">
        <v>1</v>
      </c>
      <c r="D60" s="320">
        <f>21-7.5</f>
        <v>13.5</v>
      </c>
      <c r="E60" s="320">
        <v>0.45</v>
      </c>
      <c r="F60" s="320">
        <v>1.2</v>
      </c>
      <c r="G60" s="2766">
        <f t="shared" si="3"/>
        <v>7.29</v>
      </c>
      <c r="H60" s="2757"/>
      <c r="I60" s="1770"/>
    </row>
    <row r="61" spans="1:12">
      <c r="A61" s="321"/>
      <c r="B61" s="343"/>
      <c r="C61" s="2756">
        <v>1</v>
      </c>
      <c r="D61" s="320">
        <v>12.2</v>
      </c>
      <c r="E61" s="320">
        <v>0.5</v>
      </c>
      <c r="F61" s="320">
        <v>1.2</v>
      </c>
      <c r="G61" s="2766">
        <f t="shared" si="3"/>
        <v>7.3199999999999994</v>
      </c>
      <c r="H61" s="2757"/>
      <c r="I61" s="1770"/>
      <c r="J61">
        <f>C61*D61</f>
        <v>12.2</v>
      </c>
      <c r="L61">
        <f>L56/1.5</f>
        <v>40</v>
      </c>
    </row>
    <row r="62" spans="1:12">
      <c r="A62" s="321"/>
      <c r="B62" s="321"/>
      <c r="C62" s="2756">
        <v>1</v>
      </c>
      <c r="D62" s="320">
        <v>7.5</v>
      </c>
      <c r="E62" s="320">
        <v>0.45</v>
      </c>
      <c r="F62" s="320">
        <v>0.3</v>
      </c>
      <c r="G62" s="2766">
        <f t="shared" si="3"/>
        <v>1.0125</v>
      </c>
      <c r="H62" s="2757"/>
      <c r="I62" s="1770"/>
    </row>
    <row r="63" spans="1:12">
      <c r="A63" s="321"/>
      <c r="B63" s="321"/>
      <c r="C63" s="2756"/>
      <c r="D63" s="320">
        <f>SUM(D57:D62)</f>
        <v>52.599999999999994</v>
      </c>
      <c r="E63" s="320"/>
      <c r="F63" s="320"/>
      <c r="G63" s="2766"/>
      <c r="H63" s="2757"/>
      <c r="I63" s="1770"/>
    </row>
    <row r="64" spans="1:12">
      <c r="A64" s="321"/>
      <c r="B64" s="321"/>
      <c r="C64" s="2756"/>
      <c r="D64" s="320"/>
      <c r="E64" s="320"/>
      <c r="F64" s="320"/>
      <c r="G64" s="2766"/>
      <c r="H64" s="2757"/>
      <c r="I64" s="1770"/>
    </row>
    <row r="65" spans="1:10">
      <c r="A65" s="321"/>
      <c r="B65" s="2771" t="s">
        <v>3528</v>
      </c>
      <c r="C65" s="2756">
        <v>1</v>
      </c>
      <c r="D65" s="320">
        <f>7.9+14.2+7.5+16.4</f>
        <v>46</v>
      </c>
      <c r="E65" s="320">
        <v>0.45</v>
      </c>
      <c r="F65" s="320">
        <v>1.35</v>
      </c>
      <c r="G65" s="2766">
        <f t="shared" ref="G65" si="4">PRODUCT(C65:F65)</f>
        <v>27.945</v>
      </c>
      <c r="H65" s="2757"/>
      <c r="I65" s="1770"/>
    </row>
    <row r="66" spans="1:10">
      <c r="A66" s="321"/>
      <c r="B66" s="321"/>
      <c r="C66" s="2756"/>
      <c r="D66" s="320"/>
      <c r="E66" s="320"/>
      <c r="F66" s="320"/>
      <c r="G66" s="2766"/>
      <c r="H66" s="2757"/>
      <c r="I66" s="1770"/>
    </row>
    <row r="67" spans="1:10">
      <c r="A67" s="321"/>
      <c r="B67" s="345"/>
      <c r="C67" s="2763"/>
      <c r="D67" s="320"/>
      <c r="E67" s="320"/>
      <c r="F67" s="320"/>
      <c r="G67" s="2767">
        <f>ROUND(SUM(G56:G65),2)</f>
        <v>58.8</v>
      </c>
      <c r="H67" s="2757" t="s">
        <v>29</v>
      </c>
      <c r="I67" s="1770"/>
      <c r="J67">
        <f>SUM(J56:J61)</f>
        <v>12.2</v>
      </c>
    </row>
    <row r="68" spans="1:10">
      <c r="A68" s="321">
        <v>6</v>
      </c>
      <c r="B68" s="343" t="s">
        <v>33</v>
      </c>
      <c r="C68" s="2763"/>
      <c r="D68" s="320"/>
      <c r="E68" s="320"/>
      <c r="F68" s="320"/>
      <c r="G68" s="2763"/>
      <c r="H68" s="2758"/>
      <c r="I68" s="1770"/>
    </row>
    <row r="69" spans="1:10">
      <c r="A69" s="321"/>
      <c r="B69" s="2769" t="s">
        <v>34</v>
      </c>
      <c r="C69" s="2770"/>
      <c r="D69" s="320"/>
      <c r="E69" s="320"/>
      <c r="F69" s="320"/>
      <c r="G69" s="2763"/>
      <c r="H69" s="2758"/>
      <c r="I69" s="1770"/>
    </row>
    <row r="70" spans="1:10">
      <c r="A70" s="321"/>
      <c r="B70" s="343" t="s">
        <v>3525</v>
      </c>
      <c r="C70" s="2770"/>
      <c r="D70" s="320"/>
      <c r="E70" s="320"/>
      <c r="F70" s="320"/>
      <c r="G70" s="2763"/>
      <c r="H70" s="2765"/>
      <c r="I70" s="1770"/>
    </row>
    <row r="71" spans="1:10">
      <c r="A71" s="321"/>
      <c r="B71" s="2771" t="s">
        <v>3526</v>
      </c>
      <c r="C71" s="2770">
        <v>1</v>
      </c>
      <c r="D71" s="320">
        <f>(D63+5)*14</f>
        <v>806.39999999999986</v>
      </c>
      <c r="E71" s="320"/>
      <c r="F71" s="320"/>
      <c r="G71" s="2763">
        <f>PRODUCT(C71:F71)</f>
        <v>806.39999999999986</v>
      </c>
      <c r="H71" s="2765"/>
      <c r="I71" s="1770"/>
    </row>
    <row r="72" spans="1:10">
      <c r="A72" s="321"/>
      <c r="B72" s="343"/>
      <c r="C72" s="2770">
        <v>1</v>
      </c>
      <c r="D72" s="320">
        <f>C85*2.82*2</f>
        <v>248.16</v>
      </c>
      <c r="E72" s="320"/>
      <c r="F72" s="320"/>
      <c r="G72" s="2763">
        <f>PRODUCT(C72:F72)</f>
        <v>248.16</v>
      </c>
      <c r="H72" s="2765"/>
      <c r="I72" s="1770"/>
    </row>
    <row r="73" spans="1:10">
      <c r="A73" s="321"/>
      <c r="B73" s="343"/>
      <c r="C73" s="2770"/>
      <c r="D73" s="320"/>
      <c r="E73" s="320"/>
      <c r="F73" s="320"/>
      <c r="G73" s="2763"/>
      <c r="H73" s="2765"/>
      <c r="I73" s="1770"/>
    </row>
    <row r="74" spans="1:10">
      <c r="A74" s="321"/>
      <c r="B74" s="2771" t="s">
        <v>3528</v>
      </c>
      <c r="C74" s="2770">
        <v>1</v>
      </c>
      <c r="D74" s="320">
        <f>(D65+2)*14</f>
        <v>672</v>
      </c>
      <c r="E74" s="320"/>
      <c r="F74" s="320"/>
      <c r="G74" s="2763">
        <f>PRODUCT(C74:F74)</f>
        <v>672</v>
      </c>
      <c r="H74" s="2765"/>
      <c r="I74" s="1770"/>
    </row>
    <row r="75" spans="1:10">
      <c r="A75" s="321"/>
      <c r="B75" s="343"/>
      <c r="C75" s="2770">
        <v>1</v>
      </c>
      <c r="D75" s="320">
        <f>C87*2.82</f>
        <v>56.4</v>
      </c>
      <c r="E75" s="320"/>
      <c r="F75" s="320"/>
      <c r="G75" s="2763">
        <f>PRODUCT(C75:F75)</f>
        <v>56.4</v>
      </c>
      <c r="H75" s="2765"/>
      <c r="I75" s="1770"/>
    </row>
    <row r="76" spans="1:10">
      <c r="A76" s="321"/>
      <c r="B76" s="321"/>
      <c r="C76" s="2763"/>
      <c r="D76" s="320"/>
      <c r="E76" s="320"/>
      <c r="F76" s="320"/>
      <c r="G76" s="2767">
        <f>SUM(G71:G75)</f>
        <v>1782.96</v>
      </c>
      <c r="H76" s="2757" t="s">
        <v>965</v>
      </c>
      <c r="I76" s="1770"/>
    </row>
    <row r="77" spans="1:10">
      <c r="A77" s="321"/>
      <c r="B77" s="321"/>
      <c r="C77" s="2763"/>
      <c r="D77" s="320"/>
      <c r="E77" s="320"/>
      <c r="F77" s="320"/>
      <c r="G77" s="2767"/>
      <c r="H77" s="2757"/>
      <c r="I77" s="1770"/>
    </row>
    <row r="78" spans="1:10">
      <c r="A78" s="321"/>
      <c r="B78" s="321"/>
      <c r="C78" s="2763"/>
      <c r="D78" s="320"/>
      <c r="E78" s="320"/>
      <c r="F78" s="320"/>
      <c r="G78" s="2767"/>
      <c r="H78" s="2757"/>
      <c r="I78" s="1770"/>
    </row>
    <row r="79" spans="1:10">
      <c r="A79" s="321">
        <v>7</v>
      </c>
      <c r="B79" s="343" t="s">
        <v>36</v>
      </c>
      <c r="C79" s="2763"/>
      <c r="D79" s="320"/>
      <c r="E79" s="320"/>
      <c r="F79" s="320"/>
      <c r="G79" s="2767"/>
      <c r="H79" s="2757"/>
      <c r="I79" s="1770"/>
    </row>
    <row r="80" spans="1:10">
      <c r="A80" s="321"/>
      <c r="B80" s="2771"/>
      <c r="C80" s="2770"/>
      <c r="D80" s="320"/>
      <c r="E80" s="320"/>
      <c r="F80" s="320"/>
      <c r="G80" s="388"/>
      <c r="H80" s="2757"/>
      <c r="I80" s="1770"/>
    </row>
    <row r="81" spans="1:9">
      <c r="A81" s="321"/>
      <c r="B81" s="2771"/>
      <c r="C81" s="2770"/>
      <c r="D81" s="320"/>
      <c r="E81" s="320"/>
      <c r="F81" s="320"/>
      <c r="G81" s="388"/>
      <c r="H81" s="2757"/>
      <c r="I81" s="1770"/>
    </row>
    <row r="82" spans="1:9">
      <c r="A82" s="321"/>
      <c r="B82" s="343"/>
      <c r="C82" s="2770"/>
      <c r="D82" s="320"/>
      <c r="E82" s="320"/>
      <c r="F82" s="320"/>
      <c r="G82" s="388">
        <f>SUM(G80:G81)</f>
        <v>0</v>
      </c>
      <c r="H82" s="2757" t="s">
        <v>1034</v>
      </c>
      <c r="I82" s="1770"/>
    </row>
    <row r="83" spans="1:9">
      <c r="A83" s="321"/>
      <c r="B83" s="343"/>
      <c r="C83" s="2770"/>
      <c r="D83" s="320"/>
      <c r="E83" s="320"/>
      <c r="F83" s="320"/>
      <c r="G83" s="388"/>
      <c r="H83" s="2757"/>
      <c r="I83" s="1770"/>
    </row>
    <row r="84" spans="1:9">
      <c r="A84" s="321">
        <v>8</v>
      </c>
      <c r="B84" s="343" t="s">
        <v>37</v>
      </c>
      <c r="C84" s="2770"/>
      <c r="D84" s="320"/>
      <c r="E84" s="320"/>
      <c r="F84" s="320"/>
      <c r="G84" s="388"/>
      <c r="H84" s="2757"/>
      <c r="I84" s="1770"/>
    </row>
    <row r="85" spans="1:9">
      <c r="A85" s="321"/>
      <c r="B85" s="2771" t="s">
        <v>3527</v>
      </c>
      <c r="C85" s="320">
        <v>44</v>
      </c>
      <c r="D85" s="320">
        <v>2.5</v>
      </c>
      <c r="E85" s="320">
        <v>3.5</v>
      </c>
      <c r="F85" s="320" t="s">
        <v>38</v>
      </c>
      <c r="G85" s="388">
        <f>ROUND((C85*D85*E85),2)</f>
        <v>385</v>
      </c>
      <c r="H85" s="2757"/>
      <c r="I85" s="1770"/>
    </row>
    <row r="86" spans="1:9">
      <c r="A86" s="1770"/>
      <c r="B86" s="1770"/>
      <c r="C86" s="1770"/>
      <c r="D86" s="1770"/>
      <c r="E86" s="1770"/>
      <c r="F86" s="1770"/>
      <c r="G86" s="1770"/>
      <c r="H86" s="1770"/>
      <c r="I86" s="1770"/>
    </row>
    <row r="87" spans="1:9">
      <c r="A87" s="1770"/>
      <c r="B87" s="2771" t="s">
        <v>3528</v>
      </c>
      <c r="C87" s="320">
        <v>20</v>
      </c>
      <c r="D87" s="1770">
        <v>2.5</v>
      </c>
      <c r="E87" s="320">
        <v>3.5</v>
      </c>
      <c r="F87" s="320" t="s">
        <v>38</v>
      </c>
      <c r="G87" s="388">
        <f>ROUND((C87*D87*E87),2)</f>
        <v>175</v>
      </c>
      <c r="H87" s="1770"/>
      <c r="I87" s="1770"/>
    </row>
    <row r="88" spans="1:9">
      <c r="A88" s="1770"/>
      <c r="B88" s="1770"/>
      <c r="C88" s="1770"/>
      <c r="D88" s="1770"/>
      <c r="E88" s="1770"/>
      <c r="F88" s="1770"/>
      <c r="G88" s="1770"/>
      <c r="H88" s="1770"/>
      <c r="I88" s="1770"/>
    </row>
    <row r="89" spans="1:9">
      <c r="A89" s="1770"/>
      <c r="B89" s="1770"/>
      <c r="C89" s="1770"/>
      <c r="D89" s="1770"/>
      <c r="E89" s="1770"/>
      <c r="F89" s="1770"/>
      <c r="G89" s="1770"/>
      <c r="H89" s="1770"/>
      <c r="I89" s="1770"/>
    </row>
    <row r="90" spans="1:9">
      <c r="A90" s="1770"/>
      <c r="B90" s="1770"/>
      <c r="C90" s="1770"/>
      <c r="D90" s="1770"/>
      <c r="E90" s="1770"/>
      <c r="F90" s="1770"/>
      <c r="G90" s="2772">
        <f>SUM(G85:G88)</f>
        <v>560</v>
      </c>
      <c r="H90" s="2757" t="s">
        <v>1034</v>
      </c>
      <c r="I90" s="1770"/>
    </row>
    <row r="91" spans="1:9">
      <c r="A91" s="1770"/>
      <c r="B91" s="1770"/>
      <c r="C91" s="1770"/>
      <c r="D91" s="1770"/>
      <c r="E91" s="1770"/>
      <c r="F91" s="1770"/>
      <c r="G91" s="1770"/>
      <c r="H91" s="1770"/>
      <c r="I91" s="1770"/>
    </row>
    <row r="92" spans="1:9">
      <c r="A92" s="1770"/>
      <c r="B92" s="1770"/>
      <c r="C92" s="1770"/>
      <c r="D92" s="1770"/>
      <c r="E92" s="1770"/>
      <c r="F92" s="1770"/>
      <c r="G92" s="1770"/>
      <c r="H92" s="1770"/>
      <c r="I92" s="1770"/>
    </row>
    <row r="93" spans="1:9">
      <c r="A93" s="1770"/>
      <c r="B93" s="1770"/>
      <c r="C93" s="1770"/>
      <c r="D93" s="1770"/>
      <c r="E93" s="1770"/>
      <c r="F93" s="1770"/>
      <c r="G93" s="1770"/>
      <c r="H93" s="1770"/>
      <c r="I93" s="1770"/>
    </row>
    <row r="94" spans="1:9">
      <c r="A94" s="1770"/>
      <c r="B94" s="1770"/>
      <c r="C94" s="1770"/>
      <c r="D94" s="1770"/>
      <c r="E94" s="1770"/>
      <c r="F94" s="1770"/>
      <c r="G94" s="1770"/>
      <c r="H94" s="1770"/>
    </row>
    <row r="95" spans="1:9">
      <c r="A95" s="1770"/>
      <c r="B95" s="1770"/>
      <c r="C95" s="1770"/>
      <c r="D95" s="1770"/>
      <c r="E95" s="1770"/>
      <c r="F95" s="1770"/>
      <c r="G95" s="1770"/>
      <c r="H95" s="1770"/>
    </row>
    <row r="96" spans="1:9">
      <c r="A96" s="1770"/>
      <c r="B96" s="1770"/>
      <c r="C96" s="1770"/>
      <c r="D96" s="1770"/>
      <c r="E96" s="1770"/>
      <c r="F96" s="1770"/>
      <c r="G96" s="1770"/>
      <c r="H96" s="1770"/>
    </row>
    <row r="97" spans="1:8">
      <c r="A97" s="1770"/>
      <c r="B97" s="1770"/>
      <c r="C97" s="1770"/>
      <c r="D97" s="1770"/>
      <c r="E97" s="1770"/>
      <c r="F97" s="1770"/>
      <c r="G97" s="1770"/>
      <c r="H97" s="1770"/>
    </row>
  </sheetData>
  <mergeCells count="4">
    <mergeCell ref="A4:I4"/>
    <mergeCell ref="A3:I3"/>
    <mergeCell ref="A2:I2"/>
    <mergeCell ref="A1:I1"/>
  </mergeCells>
  <pageMargins left="0.7" right="0.7" top="0.75" bottom="0.75" header="0.3" footer="0.3"/>
  <pageSetup scale="87" orientation="portrait" r:id="rId1"/>
  <headerFooter>
    <oddFooter>&amp;LPrepared By:&amp;C
Checked By: 
Er. Bal Krishna Manandhar
&amp;RApproved By:
Er. Prakash SIngh Saud</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I64"/>
  <sheetViews>
    <sheetView workbookViewId="0"/>
  </sheetViews>
  <sheetFormatPr defaultColWidth="8.85546875" defaultRowHeight="12.75"/>
  <cols>
    <col min="1" max="1" width="11" style="536" customWidth="1"/>
    <col min="2" max="7" width="8.85546875" style="536"/>
    <col min="8" max="8" width="10.42578125" style="536" customWidth="1"/>
    <col min="9" max="9" width="11.42578125" style="536" customWidth="1"/>
    <col min="10" max="16384" width="8.85546875" style="536"/>
  </cols>
  <sheetData>
    <row r="1" spans="1:9">
      <c r="A1" s="1547"/>
      <c r="B1" s="3126" t="s">
        <v>2649</v>
      </c>
      <c r="C1" s="3126"/>
      <c r="D1" s="3126"/>
      <c r="E1" s="3126"/>
      <c r="F1" s="3126"/>
      <c r="G1" s="3126"/>
      <c r="H1" s="3126"/>
      <c r="I1" s="1547"/>
    </row>
    <row r="2" spans="1:9">
      <c r="A2" s="1547"/>
      <c r="B2" s="3126" t="s">
        <v>2650</v>
      </c>
      <c r="C2" s="3126"/>
      <c r="D2" s="3126"/>
      <c r="E2" s="3126"/>
      <c r="F2" s="3126"/>
      <c r="G2" s="3126"/>
      <c r="H2" s="3126"/>
      <c r="I2" s="1547"/>
    </row>
    <row r="3" spans="1:9">
      <c r="A3" s="1547"/>
      <c r="B3" s="3126" t="s">
        <v>2651</v>
      </c>
      <c r="C3" s="3126"/>
      <c r="D3" s="3126"/>
      <c r="E3" s="3126"/>
      <c r="F3" s="3126"/>
      <c r="G3" s="3126"/>
      <c r="H3" s="3126"/>
      <c r="I3" s="1547"/>
    </row>
    <row r="4" spans="1:9" ht="6.75" customHeight="1">
      <c r="A4" s="1547"/>
      <c r="B4" s="1547"/>
      <c r="C4" s="1547"/>
      <c r="D4" s="1547"/>
      <c r="E4" s="1547"/>
      <c r="F4" s="1547"/>
      <c r="G4" s="1547"/>
      <c r="H4" s="1547"/>
      <c r="I4" s="1547"/>
    </row>
    <row r="5" spans="1:9">
      <c r="A5" s="1547"/>
      <c r="B5" s="1547" t="s">
        <v>2652</v>
      </c>
      <c r="C5" s="1547"/>
      <c r="D5" s="1547"/>
      <c r="E5" s="1547"/>
      <c r="F5" s="1547"/>
      <c r="G5" s="1547"/>
      <c r="H5" s="1548">
        <f>+'Entry for Rates'!F106</f>
        <v>3164000</v>
      </c>
      <c r="I5" s="1549" t="s">
        <v>107</v>
      </c>
    </row>
    <row r="6" spans="1:9">
      <c r="A6" s="1547"/>
      <c r="B6" s="1550" t="s">
        <v>2653</v>
      </c>
      <c r="C6" s="1550"/>
      <c r="D6" s="1547"/>
      <c r="E6" s="1547"/>
      <c r="F6" s="1547"/>
      <c r="G6" s="1547"/>
      <c r="H6" s="1548">
        <f>+H5/('Entry for Rates'!F114/100+1)</f>
        <v>2800000.0000000005</v>
      </c>
      <c r="I6" s="1549" t="s">
        <v>107</v>
      </c>
    </row>
    <row r="7" spans="1:9">
      <c r="A7" s="1547"/>
      <c r="B7" s="1547" t="s">
        <v>2654</v>
      </c>
      <c r="C7" s="1547"/>
      <c r="D7" s="1547"/>
      <c r="E7" s="1547"/>
      <c r="F7" s="1547"/>
      <c r="G7" s="1547"/>
      <c r="H7" s="1547">
        <v>10000</v>
      </c>
      <c r="I7" s="1547" t="s">
        <v>2655</v>
      </c>
    </row>
    <row r="8" spans="1:9">
      <c r="A8" s="1547"/>
      <c r="B8" s="1547" t="s">
        <v>2656</v>
      </c>
      <c r="C8" s="1547"/>
      <c r="D8" s="1547"/>
      <c r="E8" s="1547"/>
      <c r="F8" s="1547"/>
      <c r="G8" s="1547"/>
      <c r="H8" s="1547">
        <v>2000</v>
      </c>
      <c r="I8" s="1547" t="s">
        <v>2655</v>
      </c>
    </row>
    <row r="9" spans="1:9">
      <c r="A9" s="1547">
        <v>1</v>
      </c>
      <c r="B9" s="1547" t="s">
        <v>2657</v>
      </c>
      <c r="C9" s="1547"/>
      <c r="D9" s="1547"/>
      <c r="E9" s="1547"/>
      <c r="F9" s="1547"/>
      <c r="G9" s="1547"/>
      <c r="H9" s="1547"/>
      <c r="I9" s="1547"/>
    </row>
    <row r="10" spans="1:9">
      <c r="A10" s="1547"/>
      <c r="B10" s="1547" t="s">
        <v>2658</v>
      </c>
      <c r="C10" s="1547"/>
      <c r="D10" s="1547" t="s">
        <v>2659</v>
      </c>
      <c r="E10" s="1547"/>
      <c r="F10" s="1547"/>
      <c r="G10" s="1547"/>
      <c r="H10" s="1548">
        <f>+H6/H7</f>
        <v>280.00000000000006</v>
      </c>
      <c r="I10" s="1547" t="s">
        <v>2660</v>
      </c>
    </row>
    <row r="11" spans="1:9">
      <c r="A11" s="1547"/>
      <c r="B11" s="1547" t="s">
        <v>2661</v>
      </c>
      <c r="C11" s="1547"/>
      <c r="D11" s="1551" t="s">
        <v>2662</v>
      </c>
      <c r="E11" s="1551"/>
      <c r="F11" s="1551"/>
      <c r="G11" s="1551"/>
      <c r="H11" s="1547"/>
      <c r="I11" s="1547"/>
    </row>
    <row r="12" spans="1:9">
      <c r="A12" s="1547"/>
      <c r="B12" s="1547"/>
      <c r="C12" s="1547"/>
      <c r="D12" s="1547" t="s">
        <v>2663</v>
      </c>
      <c r="E12" s="1547"/>
      <c r="F12" s="1547"/>
      <c r="G12" s="1547"/>
      <c r="H12" s="1548">
        <f>+$H$6/$H$8*0.02</f>
        <v>28.000000000000004</v>
      </c>
      <c r="I12" s="1547" t="s">
        <v>2660</v>
      </c>
    </row>
    <row r="13" spans="1:9">
      <c r="A13" s="1547"/>
      <c r="B13" s="1547" t="s">
        <v>2664</v>
      </c>
      <c r="C13" s="1547"/>
      <c r="D13" s="1551" t="s">
        <v>2665</v>
      </c>
      <c r="E13" s="1551"/>
      <c r="F13" s="1551"/>
      <c r="G13" s="1551"/>
      <c r="H13" s="1548"/>
      <c r="I13" s="1547"/>
    </row>
    <row r="14" spans="1:9">
      <c r="A14" s="1547"/>
      <c r="B14" s="1547"/>
      <c r="C14" s="1547"/>
      <c r="D14" s="1547" t="s">
        <v>2663</v>
      </c>
      <c r="E14" s="1547"/>
      <c r="F14" s="1547"/>
      <c r="G14" s="1547"/>
      <c r="H14" s="1548">
        <f>+$H$6/$H$8*0.01</f>
        <v>14.000000000000002</v>
      </c>
      <c r="I14" s="1547" t="s">
        <v>2660</v>
      </c>
    </row>
    <row r="15" spans="1:9">
      <c r="A15" s="1547"/>
      <c r="B15" s="1547"/>
      <c r="C15" s="1547"/>
      <c r="D15" s="1552" t="s">
        <v>1403</v>
      </c>
      <c r="E15" s="1552"/>
      <c r="F15" s="1552"/>
      <c r="G15" s="1552"/>
      <c r="H15" s="1548">
        <f>SUM(H9:H14)</f>
        <v>322.00000000000006</v>
      </c>
      <c r="I15" s="1547" t="s">
        <v>2660</v>
      </c>
    </row>
    <row r="16" spans="1:9">
      <c r="A16" s="1547">
        <v>2</v>
      </c>
      <c r="B16" s="1547" t="s">
        <v>2666</v>
      </c>
      <c r="C16" s="1547"/>
      <c r="D16" s="1547"/>
      <c r="E16" s="1547"/>
      <c r="F16" s="1547"/>
      <c r="G16" s="1547"/>
      <c r="H16" s="1547"/>
      <c r="I16" s="1547"/>
    </row>
    <row r="17" spans="1:9">
      <c r="A17" s="1547">
        <v>2.1</v>
      </c>
      <c r="B17" s="1547" t="s">
        <v>2667</v>
      </c>
      <c r="C17" s="1547"/>
      <c r="D17" s="1547"/>
      <c r="E17" s="1547"/>
      <c r="F17" s="1547"/>
      <c r="G17" s="1547"/>
      <c r="H17" s="1547"/>
      <c r="I17" s="1547"/>
    </row>
    <row r="18" spans="1:9">
      <c r="A18" s="1547"/>
      <c r="B18" s="1547" t="s">
        <v>2668</v>
      </c>
      <c r="C18" s="1547"/>
      <c r="D18" s="1551" t="s">
        <v>2669</v>
      </c>
      <c r="E18" s="1551"/>
      <c r="F18" s="1551"/>
      <c r="G18" s="1551"/>
      <c r="H18" s="1548">
        <f>0.55*H10</f>
        <v>154.00000000000006</v>
      </c>
      <c r="I18" s="1547" t="s">
        <v>2660</v>
      </c>
    </row>
    <row r="19" spans="1:9">
      <c r="A19" s="1547"/>
      <c r="B19" s="1547" t="s">
        <v>2670</v>
      </c>
      <c r="C19" s="1547"/>
      <c r="D19" s="1551" t="s">
        <v>2671</v>
      </c>
      <c r="E19" s="1551"/>
      <c r="F19" s="1551"/>
      <c r="G19" s="1551"/>
      <c r="H19" s="1548">
        <f>0.23*H10</f>
        <v>64.40000000000002</v>
      </c>
      <c r="I19" s="1547" t="s">
        <v>2660</v>
      </c>
    </row>
    <row r="20" spans="1:9">
      <c r="A20" s="1547"/>
      <c r="B20" s="1547"/>
      <c r="C20" s="1547"/>
      <c r="D20" s="1552" t="s">
        <v>1403</v>
      </c>
      <c r="E20" s="1552"/>
      <c r="F20" s="1552"/>
      <c r="G20" s="1552"/>
      <c r="H20" s="1548">
        <f>SUM(H18:H19)</f>
        <v>218.40000000000009</v>
      </c>
      <c r="I20" s="1547"/>
    </row>
    <row r="21" spans="1:9">
      <c r="A21" s="1547">
        <v>2.2000000000000002</v>
      </c>
      <c r="B21" s="1547" t="s">
        <v>2672</v>
      </c>
      <c r="C21" s="1547"/>
      <c r="D21" s="1547"/>
      <c r="E21" s="1547"/>
      <c r="F21" s="1547"/>
      <c r="G21" s="1547"/>
      <c r="H21" s="1548"/>
      <c r="I21" s="1547"/>
    </row>
    <row r="22" spans="1:9">
      <c r="A22" s="1547"/>
      <c r="B22" s="1547" t="s">
        <v>2673</v>
      </c>
      <c r="C22" s="1547"/>
      <c r="D22" s="1547"/>
      <c r="E22" s="1547"/>
      <c r="F22" s="1547"/>
      <c r="G22" s="1547"/>
      <c r="H22" s="1548"/>
      <c r="I22" s="1547"/>
    </row>
    <row r="23" spans="1:9">
      <c r="A23" s="1547"/>
      <c r="B23" s="1552" t="s">
        <v>2472</v>
      </c>
      <c r="C23" s="1552"/>
      <c r="D23" s="1547">
        <v>5.5</v>
      </c>
      <c r="E23" s="1547" t="s">
        <v>2674</v>
      </c>
      <c r="F23" s="1548">
        <f>+'Entry for Rates'!F110</f>
        <v>65</v>
      </c>
      <c r="G23" s="1547" t="s">
        <v>2675</v>
      </c>
      <c r="H23" s="1548">
        <f>+ROUND(D23*F23,2)</f>
        <v>357.5</v>
      </c>
      <c r="I23" s="1547" t="s">
        <v>2660</v>
      </c>
    </row>
    <row r="24" spans="1:9">
      <c r="A24" s="1547"/>
      <c r="B24" s="1552" t="s">
        <v>2676</v>
      </c>
      <c r="C24" s="1552"/>
      <c r="D24" s="1547">
        <v>0.1</v>
      </c>
      <c r="E24" s="1547" t="s">
        <v>2674</v>
      </c>
      <c r="F24" s="1548">
        <f>+'Entry for Rates'!F111</f>
        <v>580.26</v>
      </c>
      <c r="G24" s="1547" t="s">
        <v>2675</v>
      </c>
      <c r="H24" s="1548">
        <f>+ROUND(D24*F24,2)</f>
        <v>58.03</v>
      </c>
      <c r="I24" s="1547" t="s">
        <v>2660</v>
      </c>
    </row>
    <row r="25" spans="1:9">
      <c r="A25" s="1547"/>
      <c r="B25" s="1552" t="s">
        <v>2475</v>
      </c>
      <c r="C25" s="1552"/>
      <c r="D25" s="1547">
        <v>0.03</v>
      </c>
      <c r="E25" s="1547" t="s">
        <v>2674</v>
      </c>
      <c r="F25" s="1548">
        <f>+'Entry for Rates'!F112</f>
        <v>580.26</v>
      </c>
      <c r="G25" s="1547" t="s">
        <v>2675</v>
      </c>
      <c r="H25" s="1548">
        <f>+ROUND(D25*F25,2)</f>
        <v>17.41</v>
      </c>
      <c r="I25" s="1547" t="s">
        <v>2660</v>
      </c>
    </row>
    <row r="26" spans="1:9">
      <c r="A26" s="1547"/>
      <c r="B26" s="1552" t="s">
        <v>2476</v>
      </c>
      <c r="C26" s="1552"/>
      <c r="D26" s="1547">
        <v>1.4999999999999999E-2</v>
      </c>
      <c r="E26" s="1547" t="s">
        <v>2677</v>
      </c>
      <c r="F26" s="1548">
        <f>+'Entry for Rates'!F113</f>
        <v>640.15</v>
      </c>
      <c r="G26" s="1547" t="s">
        <v>2415</v>
      </c>
      <c r="H26" s="1548">
        <f>+ROUND(D26*F26,2)</f>
        <v>9.6</v>
      </c>
      <c r="I26" s="1547" t="s">
        <v>2660</v>
      </c>
    </row>
    <row r="27" spans="1:9">
      <c r="A27" s="1547"/>
      <c r="B27" s="1547"/>
      <c r="C27" s="1547"/>
      <c r="D27" s="1552" t="s">
        <v>1403</v>
      </c>
      <c r="E27" s="1547"/>
      <c r="F27" s="1547"/>
      <c r="G27" s="1547"/>
      <c r="H27" s="1548">
        <f>SUM(H23:H26)</f>
        <v>442.54</v>
      </c>
      <c r="I27" s="1547" t="s">
        <v>2660</v>
      </c>
    </row>
    <row r="28" spans="1:9">
      <c r="A28" s="1547"/>
      <c r="B28" s="1547" t="s">
        <v>2678</v>
      </c>
      <c r="C28" s="1547"/>
      <c r="D28" s="1547"/>
      <c r="E28" s="1547"/>
      <c r="F28" s="1547"/>
      <c r="G28" s="1547"/>
      <c r="H28" s="1548"/>
      <c r="I28" s="1547"/>
    </row>
    <row r="29" spans="1:9">
      <c r="A29" s="1547"/>
      <c r="C29" s="1552" t="s">
        <v>2679</v>
      </c>
      <c r="D29" s="1547">
        <v>2000</v>
      </c>
      <c r="E29" s="1547" t="s">
        <v>2680</v>
      </c>
      <c r="F29" s="1547"/>
      <c r="G29" s="1547"/>
      <c r="H29" s="1548"/>
      <c r="I29" s="1547"/>
    </row>
    <row r="30" spans="1:9">
      <c r="A30" s="1547"/>
      <c r="C30" s="1552" t="s">
        <v>2681</v>
      </c>
      <c r="D30" s="1548">
        <f>+'Entry for Rates'!F107</f>
        <v>22400.25</v>
      </c>
      <c r="E30" s="1547" t="s">
        <v>107</v>
      </c>
      <c r="F30" s="1547"/>
      <c r="G30" s="1547"/>
      <c r="H30" s="1548"/>
      <c r="I30" s="1547"/>
    </row>
    <row r="31" spans="1:9">
      <c r="A31" s="1547"/>
      <c r="C31" s="1552" t="s">
        <v>2682</v>
      </c>
      <c r="D31" s="1548">
        <f>+D30/('Entry for Rates'!F114/100+1)</f>
        <v>19823.230088495577</v>
      </c>
      <c r="E31" s="1547" t="s">
        <v>107</v>
      </c>
      <c r="F31" s="1547"/>
      <c r="G31" s="1547"/>
      <c r="H31" s="1548"/>
      <c r="I31" s="1547"/>
    </row>
    <row r="32" spans="1:9">
      <c r="A32" s="1547"/>
      <c r="C32" s="1552" t="s">
        <v>2683</v>
      </c>
      <c r="D32" s="1547" t="s">
        <v>2684</v>
      </c>
      <c r="E32" s="1547"/>
      <c r="F32" s="1547"/>
      <c r="G32" s="1547"/>
      <c r="H32" s="1548">
        <f>+ROUND(D31*6/D29,2)</f>
        <v>59.47</v>
      </c>
      <c r="I32" s="1547" t="s">
        <v>2660</v>
      </c>
    </row>
    <row r="33" spans="1:9">
      <c r="A33" s="1547"/>
      <c r="B33" s="1547"/>
      <c r="C33" s="1547"/>
      <c r="D33" s="1547"/>
      <c r="E33" s="1547"/>
      <c r="F33" s="1547"/>
      <c r="G33" s="1547"/>
      <c r="H33" s="1548"/>
      <c r="I33" s="1547"/>
    </row>
    <row r="34" spans="1:9">
      <c r="A34" s="1547"/>
      <c r="B34" s="1547" t="s">
        <v>2685</v>
      </c>
      <c r="C34" s="1547"/>
      <c r="D34" s="1547"/>
      <c r="E34" s="1547"/>
      <c r="F34" s="1547"/>
      <c r="G34" s="1547"/>
      <c r="H34" s="1548">
        <f>0.0003/100*H6</f>
        <v>8.4</v>
      </c>
      <c r="I34" s="1547" t="s">
        <v>2660</v>
      </c>
    </row>
    <row r="35" spans="1:9">
      <c r="A35" s="1547"/>
      <c r="B35" s="1547" t="s">
        <v>2686</v>
      </c>
      <c r="C35" s="1547"/>
      <c r="D35" s="1547"/>
      <c r="E35" s="1547"/>
      <c r="F35" s="1547"/>
      <c r="G35" s="1547"/>
      <c r="H35" s="1548">
        <f>+H34/3</f>
        <v>2.8000000000000003</v>
      </c>
      <c r="I35" s="1547" t="s">
        <v>2660</v>
      </c>
    </row>
    <row r="36" spans="1:9">
      <c r="A36" s="1547"/>
      <c r="B36" s="1547"/>
      <c r="C36" s="1547"/>
      <c r="D36" s="1552" t="s">
        <v>1403</v>
      </c>
      <c r="E36" s="1547"/>
      <c r="F36" s="1547"/>
      <c r="G36" s="1547"/>
      <c r="H36" s="1548">
        <f>SUM(H32:H35)</f>
        <v>70.67</v>
      </c>
      <c r="I36" s="1547" t="s">
        <v>2660</v>
      </c>
    </row>
    <row r="37" spans="1:9">
      <c r="A37" s="1547"/>
      <c r="B37" s="1547" t="s">
        <v>2687</v>
      </c>
      <c r="C37" s="1547"/>
      <c r="D37" s="1547"/>
      <c r="E37" s="1547"/>
      <c r="F37" s="1547"/>
      <c r="G37" s="1547"/>
      <c r="H37" s="1548"/>
      <c r="I37" s="1547"/>
    </row>
    <row r="38" spans="1:9">
      <c r="A38" s="1547"/>
      <c r="B38" s="1547" t="s">
        <v>2127</v>
      </c>
      <c r="C38" s="1547"/>
      <c r="D38" s="1548">
        <f>+'Entry for Rates'!F108</f>
        <v>500</v>
      </c>
      <c r="E38" s="1547" t="s">
        <v>2502</v>
      </c>
      <c r="F38" s="1547"/>
      <c r="G38" s="1547"/>
      <c r="H38" s="1548">
        <f>+D38/8</f>
        <v>62.5</v>
      </c>
      <c r="I38" s="1547"/>
    </row>
    <row r="39" spans="1:9">
      <c r="A39" s="1547"/>
      <c r="B39" s="1547" t="s">
        <v>2128</v>
      </c>
      <c r="C39" s="1547"/>
      <c r="D39" s="1548">
        <f>+'Entry for Rates'!F109</f>
        <v>300</v>
      </c>
      <c r="E39" s="1547" t="s">
        <v>2502</v>
      </c>
      <c r="F39" s="1547"/>
      <c r="G39" s="1547"/>
      <c r="H39" s="1548">
        <f>+D39/8</f>
        <v>37.5</v>
      </c>
      <c r="I39" s="1547"/>
    </row>
    <row r="40" spans="1:9">
      <c r="A40" s="1547"/>
      <c r="B40" s="1547" t="s">
        <v>2688</v>
      </c>
      <c r="C40" s="1547"/>
      <c r="D40" s="1547" t="s">
        <v>2689</v>
      </c>
      <c r="E40" s="1547"/>
      <c r="F40" s="1547"/>
      <c r="G40" s="1547"/>
      <c r="H40" s="1548">
        <v>0</v>
      </c>
      <c r="I40" s="1547"/>
    </row>
    <row r="41" spans="1:9">
      <c r="A41" s="1547"/>
      <c r="B41" s="1547"/>
      <c r="C41" s="1547"/>
      <c r="D41" s="1552" t="s">
        <v>1403</v>
      </c>
      <c r="E41" s="1547"/>
      <c r="F41" s="1547"/>
      <c r="G41" s="1547"/>
      <c r="H41" s="1548">
        <f>SUM(H38:H40)</f>
        <v>100</v>
      </c>
      <c r="I41" s="1547" t="s">
        <v>2660</v>
      </c>
    </row>
    <row r="42" spans="1:9">
      <c r="A42" s="1547"/>
      <c r="B42" s="1547" t="s">
        <v>2690</v>
      </c>
      <c r="C42" s="1547"/>
      <c r="D42" s="1547"/>
      <c r="E42" s="1547"/>
      <c r="F42" s="1547"/>
      <c r="G42" s="1547"/>
      <c r="H42" s="1548">
        <f>0.0006%*H6</f>
        <v>16.8</v>
      </c>
      <c r="I42" s="1547" t="s">
        <v>2660</v>
      </c>
    </row>
    <row r="43" spans="1:9">
      <c r="A43" s="1547"/>
      <c r="B43" s="1547"/>
      <c r="C43" s="1547"/>
      <c r="D43" s="1547"/>
      <c r="E43" s="1547"/>
      <c r="F43" s="1547"/>
      <c r="G43" s="1547"/>
      <c r="H43" s="1548"/>
      <c r="I43" s="1547"/>
    </row>
    <row r="44" spans="1:9">
      <c r="A44" s="1547"/>
      <c r="B44" s="1547" t="s">
        <v>2691</v>
      </c>
      <c r="C44" s="1547"/>
      <c r="D44" s="1551" t="s">
        <v>2692</v>
      </c>
      <c r="E44" s="1547"/>
      <c r="F44" s="1547"/>
      <c r="G44" s="1547"/>
      <c r="H44" s="1548">
        <f>+H42+H41+H36+H27+H20</f>
        <v>848.41000000000008</v>
      </c>
      <c r="I44" s="1547" t="s">
        <v>2660</v>
      </c>
    </row>
    <row r="45" spans="1:9">
      <c r="A45" s="1547"/>
      <c r="B45" s="1547"/>
      <c r="C45" s="1547"/>
      <c r="D45" s="1547"/>
      <c r="E45" s="1547"/>
      <c r="F45" s="1547"/>
      <c r="G45" s="1547"/>
      <c r="H45" s="1548"/>
      <c r="I45" s="1547"/>
    </row>
    <row r="46" spans="1:9">
      <c r="A46" s="1547">
        <v>3</v>
      </c>
      <c r="B46" s="1547" t="s">
        <v>2693</v>
      </c>
      <c r="C46" s="1547"/>
      <c r="D46" s="1547"/>
      <c r="E46" s="1547"/>
      <c r="F46" s="1547"/>
      <c r="G46" s="1547"/>
      <c r="H46" s="1548"/>
      <c r="I46" s="1547"/>
    </row>
    <row r="47" spans="1:9">
      <c r="A47" s="1547"/>
      <c r="B47" s="1547"/>
      <c r="C47" s="1547"/>
      <c r="D47" s="1551" t="s">
        <v>2694</v>
      </c>
      <c r="E47" s="1547"/>
      <c r="F47" s="1547"/>
      <c r="G47" s="1547"/>
      <c r="H47" s="1548">
        <f>0.05*H6/H8</f>
        <v>70.000000000000014</v>
      </c>
      <c r="I47" s="1547" t="s">
        <v>2660</v>
      </c>
    </row>
    <row r="48" spans="1:9">
      <c r="A48" s="1547"/>
      <c r="B48" s="1547"/>
      <c r="C48" s="1547"/>
      <c r="D48" s="1547"/>
      <c r="E48" s="1547"/>
      <c r="F48" s="1547"/>
      <c r="G48" s="1547"/>
      <c r="H48" s="1548"/>
      <c r="I48" s="1547"/>
    </row>
    <row r="49" spans="1:9">
      <c r="A49" s="1547"/>
      <c r="B49" s="1547" t="s">
        <v>2695</v>
      </c>
      <c r="C49" s="1547"/>
      <c r="D49" s="1547"/>
      <c r="E49" s="1551" t="s">
        <v>2696</v>
      </c>
      <c r="F49" s="1547"/>
      <c r="G49" s="1547"/>
      <c r="H49" s="1553">
        <f>+H47+H44+H15</f>
        <v>1240.4100000000001</v>
      </c>
      <c r="I49" s="1554" t="s">
        <v>2660</v>
      </c>
    </row>
    <row r="50" spans="1:9">
      <c r="A50" s="1547"/>
      <c r="B50" s="1547" t="s">
        <v>2697</v>
      </c>
      <c r="C50" s="1547"/>
      <c r="D50" s="1547"/>
      <c r="E50" s="1547"/>
      <c r="F50" s="1547"/>
      <c r="G50" s="1547"/>
      <c r="H50" s="1548"/>
      <c r="I50" s="1547"/>
    </row>
    <row r="51" spans="1:9">
      <c r="A51" s="1547"/>
      <c r="B51" s="1555" t="s">
        <v>2698</v>
      </c>
      <c r="C51" s="1552"/>
      <c r="D51" s="1547"/>
      <c r="E51" s="1547"/>
      <c r="F51" s="1547"/>
      <c r="G51" s="1547"/>
      <c r="H51" s="1548"/>
      <c r="I51" s="1547"/>
    </row>
    <row r="52" spans="1:9">
      <c r="A52" s="1547"/>
      <c r="B52" s="1303" t="s">
        <v>2699</v>
      </c>
      <c r="C52" s="1303"/>
      <c r="D52" s="1551" t="s">
        <v>2700</v>
      </c>
      <c r="E52" s="1547"/>
      <c r="F52" s="1547"/>
      <c r="G52" s="1547"/>
      <c r="H52" s="1548"/>
      <c r="I52" s="1547"/>
    </row>
    <row r="53" spans="1:9">
      <c r="A53" s="1547"/>
      <c r="B53" s="1552"/>
      <c r="C53" s="1552"/>
      <c r="D53" s="1547"/>
      <c r="E53" s="1547"/>
      <c r="F53" s="1547"/>
      <c r="G53" s="3127" t="s">
        <v>2701</v>
      </c>
      <c r="H53" s="3127"/>
      <c r="I53" s="1547"/>
    </row>
    <row r="54" spans="1:9">
      <c r="A54" s="1547"/>
      <c r="B54" s="1552" t="s">
        <v>2702</v>
      </c>
      <c r="C54" s="1547"/>
      <c r="D54" s="1556" t="s">
        <v>2703</v>
      </c>
      <c r="E54" s="1547" t="s">
        <v>2704</v>
      </c>
      <c r="F54" s="1547"/>
      <c r="G54" s="1547" t="s">
        <v>377</v>
      </c>
      <c r="H54" s="1548" t="s">
        <v>2705</v>
      </c>
      <c r="I54" s="1547"/>
    </row>
    <row r="55" spans="1:9">
      <c r="A55" s="1547"/>
      <c r="B55" s="1552" t="s">
        <v>2706</v>
      </c>
      <c r="D55" s="1557">
        <f>+'Rate-1'!I12</f>
        <v>0</v>
      </c>
      <c r="E55" s="1556">
        <f>IF(D55=0,0,($D55/8*2+0.75))</f>
        <v>0</v>
      </c>
      <c r="F55" s="1547"/>
      <c r="G55" s="1558">
        <f>IF(D55=0,0,$E55*$H$49/6000*100/D55)</f>
        <v>0</v>
      </c>
      <c r="H55" s="1558">
        <f>IF(D55=0,0,$E55*$H$49/4000*100/D55)</f>
        <v>0</v>
      </c>
      <c r="I55" s="1547"/>
    </row>
    <row r="56" spans="1:9">
      <c r="A56" s="1547"/>
      <c r="B56" s="1552" t="s">
        <v>2707</v>
      </c>
      <c r="C56" s="1547"/>
      <c r="D56" s="1557">
        <f>+'Rate-1'!I13</f>
        <v>0</v>
      </c>
      <c r="E56" s="1557">
        <f>IF(D56=0,0,($D56/12*2+0.75))</f>
        <v>0</v>
      </c>
      <c r="F56" s="1547"/>
      <c r="G56" s="1558">
        <f>IF(D56=0,0,$E56*$H$49/6000*100/D56)</f>
        <v>0</v>
      </c>
      <c r="H56" s="1558">
        <f>IF(D56=0,0,$E56*$H$49/4000*100/D56)</f>
        <v>0</v>
      </c>
      <c r="I56" s="1547"/>
    </row>
    <row r="57" spans="1:9">
      <c r="A57" s="1547"/>
      <c r="B57" s="1552" t="s">
        <v>2708</v>
      </c>
      <c r="C57" s="1547"/>
      <c r="D57" s="1557">
        <f>+'Rate-1'!I14</f>
        <v>0</v>
      </c>
      <c r="E57" s="1557">
        <f>IF(D57=0,0,($D57/20*2+0.75))</f>
        <v>0</v>
      </c>
      <c r="F57" s="1547"/>
      <c r="G57" s="1558">
        <f>IF(D57=0,0,$E57*$H$49/6000*100/$D57)</f>
        <v>0</v>
      </c>
      <c r="H57" s="1558">
        <f>IF(D57=0,0,$E57*$H$49/4000*100/D57)</f>
        <v>0</v>
      </c>
      <c r="I57" s="1547"/>
    </row>
    <row r="58" spans="1:9">
      <c r="A58" s="1547"/>
      <c r="B58" s="1547"/>
      <c r="C58" s="1547"/>
      <c r="D58" s="1547"/>
      <c r="E58" s="1547"/>
      <c r="F58" s="1547"/>
      <c r="I58" s="1547"/>
    </row>
    <row r="59" spans="1:9">
      <c r="C59" s="1552"/>
      <c r="I59" s="1547"/>
    </row>
    <row r="60" spans="1:9">
      <c r="C60" s="1552"/>
      <c r="I60" s="1547"/>
    </row>
    <row r="61" spans="1:9">
      <c r="C61" s="1552"/>
      <c r="I61" s="1547"/>
    </row>
    <row r="62" spans="1:9">
      <c r="C62" s="1552"/>
      <c r="I62" s="1547"/>
    </row>
    <row r="63" spans="1:9">
      <c r="A63" s="1547"/>
      <c r="I63" s="1547"/>
    </row>
    <row r="64" spans="1:9">
      <c r="A64" s="1547"/>
      <c r="I64" s="1547"/>
    </row>
  </sheetData>
  <mergeCells count="4">
    <mergeCell ref="B1:H1"/>
    <mergeCell ref="B2:H2"/>
    <mergeCell ref="B3:H3"/>
    <mergeCell ref="G53:H53"/>
  </mergeCells>
  <pageMargins left="0.75" right="0.46" top="0.8" bottom="0.76" header="0.5" footer="0.5"/>
  <pageSetup paperSize="9" orientation="portrait" verticalDpi="300" r:id="rId1"/>
  <headerFooter alignWithMargins="0">
    <oddFooter>&amp;LEstimated by&amp;RApproved by</oddFooter>
  </headerFooter>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J27"/>
  <sheetViews>
    <sheetView workbookViewId="0"/>
  </sheetViews>
  <sheetFormatPr defaultColWidth="8.85546875" defaultRowHeight="12.75"/>
  <cols>
    <col min="1" max="1" width="6.5703125" style="536" customWidth="1"/>
    <col min="2" max="2" width="40.140625" style="536" customWidth="1"/>
    <col min="3" max="3" width="8.85546875" style="536"/>
    <col min="4" max="5" width="10" style="536" customWidth="1"/>
    <col min="6" max="6" width="9" style="536" customWidth="1"/>
    <col min="7" max="21" width="8.85546875" style="536"/>
    <col min="22" max="29" width="9.28515625" style="536" bestFit="1" customWidth="1"/>
    <col min="30" max="36" width="9.5703125" style="536" bestFit="1" customWidth="1"/>
    <col min="37" max="16384" width="8.85546875" style="536"/>
  </cols>
  <sheetData>
    <row r="1" spans="1:36" ht="20.25">
      <c r="A1" s="1559" t="s">
        <v>2709</v>
      </c>
      <c r="N1" s="1560"/>
      <c r="O1" s="1560"/>
      <c r="P1" s="1560"/>
    </row>
    <row r="2" spans="1:36" ht="20.25">
      <c r="A2" s="1561" t="s">
        <v>2710</v>
      </c>
      <c r="N2" s="1560"/>
      <c r="O2" s="1560"/>
      <c r="P2" s="1560"/>
    </row>
    <row r="3" spans="1:36" ht="16.5" thickBot="1">
      <c r="A3" s="1562"/>
      <c r="B3" s="1563"/>
      <c r="C3" s="1563"/>
      <c r="D3" s="1563"/>
      <c r="E3" s="1563"/>
      <c r="F3" s="744"/>
      <c r="G3" s="1562"/>
    </row>
    <row r="4" spans="1:36" ht="19.5" thickTop="1">
      <c r="A4" s="1564" t="s">
        <v>961</v>
      </c>
      <c r="B4" s="1565" t="s">
        <v>1423</v>
      </c>
      <c r="C4" s="1565" t="s">
        <v>1035</v>
      </c>
      <c r="D4" s="1565" t="s">
        <v>1309</v>
      </c>
      <c r="E4" s="1565"/>
      <c r="F4" s="1566">
        <v>1</v>
      </c>
      <c r="G4" s="1566">
        <v>2</v>
      </c>
      <c r="H4" s="1566">
        <v>3</v>
      </c>
      <c r="I4" s="1566">
        <v>4</v>
      </c>
      <c r="J4" s="1566">
        <v>5</v>
      </c>
      <c r="K4" s="1566">
        <v>6</v>
      </c>
      <c r="L4" s="1566">
        <v>7</v>
      </c>
      <c r="M4" s="1566">
        <v>8</v>
      </c>
      <c r="N4" s="1566">
        <v>9</v>
      </c>
      <c r="O4" s="1566">
        <v>10</v>
      </c>
      <c r="P4" s="1566">
        <v>12</v>
      </c>
      <c r="Q4" s="1566">
        <v>14</v>
      </c>
      <c r="R4" s="1566">
        <v>16</v>
      </c>
      <c r="S4" s="1566">
        <v>18</v>
      </c>
      <c r="T4" s="1566">
        <v>20</v>
      </c>
      <c r="V4" s="1567" t="s">
        <v>2711</v>
      </c>
      <c r="W4" s="1565" t="s">
        <v>2712</v>
      </c>
      <c r="X4" s="1565" t="s">
        <v>2713</v>
      </c>
      <c r="Y4" s="1565" t="s">
        <v>2714</v>
      </c>
      <c r="Z4" s="1565" t="s">
        <v>2715</v>
      </c>
      <c r="AA4" s="1565" t="s">
        <v>2716</v>
      </c>
      <c r="AB4" s="1565" t="s">
        <v>2717</v>
      </c>
      <c r="AC4" s="1565" t="s">
        <v>2718</v>
      </c>
      <c r="AD4" s="1565" t="s">
        <v>2719</v>
      </c>
      <c r="AE4" s="1565" t="s">
        <v>2720</v>
      </c>
      <c r="AF4" s="1565" t="s">
        <v>2721</v>
      </c>
      <c r="AG4" s="1565" t="s">
        <v>2722</v>
      </c>
      <c r="AH4" s="1565" t="s">
        <v>2723</v>
      </c>
      <c r="AI4" s="1565" t="s">
        <v>2724</v>
      </c>
      <c r="AJ4" s="1568" t="s">
        <v>2725</v>
      </c>
    </row>
    <row r="5" spans="1:36" ht="15.75">
      <c r="A5" s="1569">
        <v>1</v>
      </c>
      <c r="B5" s="1570" t="s">
        <v>129</v>
      </c>
      <c r="C5" s="1571" t="s">
        <v>47</v>
      </c>
      <c r="D5" s="1572">
        <f>+Rates!$F$7</f>
        <v>149.5</v>
      </c>
      <c r="E5" s="1572">
        <v>35</v>
      </c>
      <c r="F5" s="1571">
        <v>24</v>
      </c>
      <c r="G5" s="1573">
        <v>24</v>
      </c>
      <c r="H5" s="1574">
        <v>24</v>
      </c>
      <c r="I5" s="1574">
        <v>24</v>
      </c>
      <c r="J5" s="1574">
        <v>35</v>
      </c>
      <c r="K5" s="1574">
        <v>35</v>
      </c>
      <c r="L5" s="1574">
        <v>35</v>
      </c>
      <c r="M5" s="1574">
        <v>35</v>
      </c>
      <c r="N5" s="1574">
        <v>35</v>
      </c>
      <c r="O5" s="1574">
        <v>35</v>
      </c>
      <c r="P5" s="1574">
        <v>35</v>
      </c>
      <c r="Q5" s="1571">
        <v>48</v>
      </c>
      <c r="R5" s="1574">
        <v>48</v>
      </c>
      <c r="S5" s="1575">
        <v>48</v>
      </c>
      <c r="T5" s="1576">
        <v>48</v>
      </c>
      <c r="V5" s="1577">
        <f t="shared" ref="V5:AJ21" si="0">+$D5*F5</f>
        <v>3588</v>
      </c>
      <c r="W5" s="1578">
        <f t="shared" si="0"/>
        <v>3588</v>
      </c>
      <c r="X5" s="1578">
        <f t="shared" si="0"/>
        <v>3588</v>
      </c>
      <c r="Y5" s="1578">
        <f t="shared" si="0"/>
        <v>3588</v>
      </c>
      <c r="Z5" s="1578">
        <f t="shared" si="0"/>
        <v>5232.5</v>
      </c>
      <c r="AA5" s="1578">
        <f t="shared" si="0"/>
        <v>5232.5</v>
      </c>
      <c r="AB5" s="1578">
        <f t="shared" si="0"/>
        <v>5232.5</v>
      </c>
      <c r="AC5" s="1578">
        <f t="shared" si="0"/>
        <v>5232.5</v>
      </c>
      <c r="AD5" s="1578">
        <f t="shared" si="0"/>
        <v>5232.5</v>
      </c>
      <c r="AE5" s="1578">
        <f t="shared" si="0"/>
        <v>5232.5</v>
      </c>
      <c r="AF5" s="1578">
        <f t="shared" si="0"/>
        <v>5232.5</v>
      </c>
      <c r="AG5" s="1578">
        <f t="shared" si="0"/>
        <v>7176</v>
      </c>
      <c r="AH5" s="1578">
        <f t="shared" si="0"/>
        <v>7176</v>
      </c>
      <c r="AI5" s="1578">
        <f t="shared" si="0"/>
        <v>7176</v>
      </c>
      <c r="AJ5" s="1579">
        <f t="shared" si="0"/>
        <v>7176</v>
      </c>
    </row>
    <row r="6" spans="1:36" ht="31.5">
      <c r="A6" s="1569">
        <v>2</v>
      </c>
      <c r="B6" s="1580" t="s">
        <v>2726</v>
      </c>
      <c r="C6" s="1571" t="s">
        <v>29</v>
      </c>
      <c r="D6" s="1572">
        <f>+Rates!$F$10</f>
        <v>1883.36</v>
      </c>
      <c r="E6" s="1572">
        <v>21.8</v>
      </c>
      <c r="F6" s="1571">
        <v>9.36</v>
      </c>
      <c r="G6" s="1573">
        <v>13.13</v>
      </c>
      <c r="H6" s="1574">
        <v>14.52</v>
      </c>
      <c r="I6" s="1574">
        <v>17.57</v>
      </c>
      <c r="J6" s="1574">
        <v>19.16</v>
      </c>
      <c r="K6" s="1574">
        <v>21.8</v>
      </c>
      <c r="L6" s="1574">
        <v>23.78</v>
      </c>
      <c r="M6" s="1574">
        <v>26.42</v>
      </c>
      <c r="N6" s="1574">
        <v>26.59</v>
      </c>
      <c r="O6" s="1574">
        <v>29.08</v>
      </c>
      <c r="P6" s="1574">
        <v>33.229999999999997</v>
      </c>
      <c r="Q6" s="1571">
        <v>36.01</v>
      </c>
      <c r="R6" s="1574">
        <v>40.090000000000003</v>
      </c>
      <c r="S6" s="1575">
        <v>41.5</v>
      </c>
      <c r="T6" s="1576">
        <v>45.19</v>
      </c>
      <c r="V6" s="1577">
        <f t="shared" si="0"/>
        <v>17628.249599999999</v>
      </c>
      <c r="W6" s="1578">
        <f t="shared" si="0"/>
        <v>24728.516800000001</v>
      </c>
      <c r="X6" s="1578">
        <f t="shared" si="0"/>
        <v>27346.387199999997</v>
      </c>
      <c r="Y6" s="1578">
        <f t="shared" si="0"/>
        <v>33090.635199999997</v>
      </c>
      <c r="Z6" s="1578">
        <f t="shared" si="0"/>
        <v>36085.177599999995</v>
      </c>
      <c r="AA6" s="1578">
        <f t="shared" si="0"/>
        <v>41057.248</v>
      </c>
      <c r="AB6" s="1578">
        <f t="shared" si="0"/>
        <v>44786.300799999997</v>
      </c>
      <c r="AC6" s="1578">
        <f t="shared" si="0"/>
        <v>49758.371200000001</v>
      </c>
      <c r="AD6" s="1578">
        <f t="shared" si="0"/>
        <v>50078.542399999998</v>
      </c>
      <c r="AE6" s="1578">
        <f t="shared" si="0"/>
        <v>54768.108799999995</v>
      </c>
      <c r="AF6" s="1578">
        <f t="shared" si="0"/>
        <v>62584.05279999999</v>
      </c>
      <c r="AG6" s="1578">
        <f t="shared" si="0"/>
        <v>67819.79359999999</v>
      </c>
      <c r="AH6" s="1578">
        <f t="shared" si="0"/>
        <v>75503.902400000006</v>
      </c>
      <c r="AI6" s="1578">
        <f t="shared" si="0"/>
        <v>78159.44</v>
      </c>
      <c r="AJ6" s="1579">
        <f t="shared" si="0"/>
        <v>85109.03839999999</v>
      </c>
    </row>
    <row r="7" spans="1:36" ht="15.75">
      <c r="A7" s="1569">
        <v>3</v>
      </c>
      <c r="B7" s="1580" t="s">
        <v>2727</v>
      </c>
      <c r="C7" s="1571" t="s">
        <v>29</v>
      </c>
      <c r="D7" s="1572">
        <f>+Rates!$F$16</f>
        <v>710.7</v>
      </c>
      <c r="E7" s="1572">
        <v>7.1</v>
      </c>
      <c r="F7" s="1571">
        <v>1.66</v>
      </c>
      <c r="G7" s="1573">
        <v>4.43</v>
      </c>
      <c r="H7" s="1574">
        <v>4.03</v>
      </c>
      <c r="I7" s="1574">
        <v>6.04</v>
      </c>
      <c r="J7" s="1574">
        <v>5.52</v>
      </c>
      <c r="K7" s="1574">
        <v>7.1</v>
      </c>
      <c r="L7" s="1574">
        <v>8.2899999999999991</v>
      </c>
      <c r="M7" s="1574">
        <v>9.86</v>
      </c>
      <c r="N7" s="1574">
        <v>8.17</v>
      </c>
      <c r="O7" s="1574">
        <v>9.52</v>
      </c>
      <c r="P7" s="1574">
        <v>11.79</v>
      </c>
      <c r="Q7" s="1571">
        <v>11.27</v>
      </c>
      <c r="R7" s="1574">
        <v>13.33</v>
      </c>
      <c r="S7" s="1575">
        <v>12</v>
      </c>
      <c r="T7" s="1576">
        <v>13.72</v>
      </c>
      <c r="V7" s="1577">
        <f t="shared" si="0"/>
        <v>1179.7619999999999</v>
      </c>
      <c r="W7" s="1578">
        <f t="shared" si="0"/>
        <v>3148.4009999999998</v>
      </c>
      <c r="X7" s="1578">
        <f t="shared" si="0"/>
        <v>2864.1210000000005</v>
      </c>
      <c r="Y7" s="1578">
        <f t="shared" si="0"/>
        <v>4292.6280000000006</v>
      </c>
      <c r="Z7" s="1578">
        <f t="shared" si="0"/>
        <v>3923.0639999999999</v>
      </c>
      <c r="AA7" s="1578">
        <f t="shared" si="0"/>
        <v>5045.97</v>
      </c>
      <c r="AB7" s="1578">
        <f t="shared" si="0"/>
        <v>5891.7029999999995</v>
      </c>
      <c r="AC7" s="1578">
        <f t="shared" si="0"/>
        <v>7007.5020000000004</v>
      </c>
      <c r="AD7" s="1578">
        <f t="shared" si="0"/>
        <v>5806.4189999999999</v>
      </c>
      <c r="AE7" s="1578">
        <f t="shared" si="0"/>
        <v>6765.8640000000005</v>
      </c>
      <c r="AF7" s="1578">
        <f t="shared" si="0"/>
        <v>8379.1530000000002</v>
      </c>
      <c r="AG7" s="1578">
        <f t="shared" si="0"/>
        <v>8009.5889999999999</v>
      </c>
      <c r="AH7" s="1578">
        <f t="shared" si="0"/>
        <v>9473.6310000000012</v>
      </c>
      <c r="AI7" s="1578">
        <f t="shared" si="0"/>
        <v>8528.4000000000015</v>
      </c>
      <c r="AJ7" s="1579">
        <f t="shared" si="0"/>
        <v>9750.8040000000019</v>
      </c>
    </row>
    <row r="8" spans="1:36" ht="15.75">
      <c r="A8" s="1569">
        <v>4</v>
      </c>
      <c r="B8" s="1570" t="s">
        <v>2728</v>
      </c>
      <c r="C8" s="1571" t="s">
        <v>29</v>
      </c>
      <c r="D8" s="1572">
        <f>+Rates!$F$19</f>
        <v>5523.35</v>
      </c>
      <c r="E8" s="1572">
        <v>1.75</v>
      </c>
      <c r="F8" s="1571">
        <v>0.93</v>
      </c>
      <c r="G8" s="1573">
        <v>0.93</v>
      </c>
      <c r="H8" s="1574">
        <v>1.3</v>
      </c>
      <c r="I8" s="1574">
        <v>1.3</v>
      </c>
      <c r="J8" s="1574">
        <v>1.75</v>
      </c>
      <c r="K8" s="1574">
        <v>1.75</v>
      </c>
      <c r="L8" s="1574">
        <v>1.75</v>
      </c>
      <c r="M8" s="1574">
        <v>1.75</v>
      </c>
      <c r="N8" s="1574">
        <v>2.2799999999999998</v>
      </c>
      <c r="O8" s="1574">
        <v>2.2799999999999998</v>
      </c>
      <c r="P8" s="1574">
        <v>2.2799999999999998</v>
      </c>
      <c r="Q8" s="1571">
        <v>2.88</v>
      </c>
      <c r="R8" s="1574">
        <v>2.88</v>
      </c>
      <c r="S8" s="1575">
        <v>3.56</v>
      </c>
      <c r="T8" s="1576">
        <v>3.56</v>
      </c>
      <c r="V8" s="1577">
        <f t="shared" si="0"/>
        <v>5136.7155000000002</v>
      </c>
      <c r="W8" s="1578">
        <f t="shared" si="0"/>
        <v>5136.7155000000002</v>
      </c>
      <c r="X8" s="1578">
        <f t="shared" si="0"/>
        <v>7180.3550000000005</v>
      </c>
      <c r="Y8" s="1578">
        <f t="shared" si="0"/>
        <v>7180.3550000000005</v>
      </c>
      <c r="Z8" s="1578">
        <f t="shared" si="0"/>
        <v>9665.8625000000011</v>
      </c>
      <c r="AA8" s="1578">
        <f t="shared" si="0"/>
        <v>9665.8625000000011</v>
      </c>
      <c r="AB8" s="1578">
        <f t="shared" si="0"/>
        <v>9665.8625000000011</v>
      </c>
      <c r="AC8" s="1578">
        <f t="shared" si="0"/>
        <v>9665.8625000000011</v>
      </c>
      <c r="AD8" s="1578">
        <f t="shared" si="0"/>
        <v>12593.237999999999</v>
      </c>
      <c r="AE8" s="1578">
        <f t="shared" si="0"/>
        <v>12593.237999999999</v>
      </c>
      <c r="AF8" s="1578">
        <f t="shared" si="0"/>
        <v>12593.237999999999</v>
      </c>
      <c r="AG8" s="1578">
        <f t="shared" si="0"/>
        <v>15907.248</v>
      </c>
      <c r="AH8" s="1578">
        <f t="shared" si="0"/>
        <v>15907.248</v>
      </c>
      <c r="AI8" s="1578">
        <f t="shared" si="0"/>
        <v>19663.126</v>
      </c>
      <c r="AJ8" s="1579">
        <f t="shared" si="0"/>
        <v>19663.126</v>
      </c>
    </row>
    <row r="9" spans="1:36" ht="15.75">
      <c r="A9" s="1569">
        <v>5</v>
      </c>
      <c r="B9" s="1570" t="s">
        <v>2729</v>
      </c>
      <c r="C9" s="1571" t="s">
        <v>29</v>
      </c>
      <c r="D9" s="1572">
        <f>+Rates!$F$25</f>
        <v>14917.39</v>
      </c>
      <c r="E9" s="1572">
        <v>2.0099999999999998</v>
      </c>
      <c r="F9" s="1571">
        <v>2.0099999999999998</v>
      </c>
      <c r="G9" s="1573">
        <v>2.0099999999999998</v>
      </c>
      <c r="H9" s="1574">
        <v>2.0099999999999998</v>
      </c>
      <c r="I9" s="1574">
        <v>2.0099999999999998</v>
      </c>
      <c r="J9" s="1574">
        <v>2.0099999999999998</v>
      </c>
      <c r="K9" s="1574">
        <v>2.0099999999999998</v>
      </c>
      <c r="L9" s="1574">
        <v>2.0099999999999998</v>
      </c>
      <c r="M9" s="1574">
        <v>2.0099999999999998</v>
      </c>
      <c r="N9" s="1574">
        <v>2.0099999999999998</v>
      </c>
      <c r="O9" s="1574">
        <v>2.0099999999999998</v>
      </c>
      <c r="P9" s="1574">
        <v>2.0099999999999998</v>
      </c>
      <c r="Q9" s="1571">
        <v>2.0099999999999998</v>
      </c>
      <c r="R9" s="1574">
        <v>2.0099999999999998</v>
      </c>
      <c r="S9" s="1575">
        <v>2.0099999999999998</v>
      </c>
      <c r="T9" s="1576">
        <v>2.0099999999999998</v>
      </c>
      <c r="V9" s="1577">
        <f t="shared" si="0"/>
        <v>29983.953899999997</v>
      </c>
      <c r="W9" s="1578">
        <f t="shared" si="0"/>
        <v>29983.953899999997</v>
      </c>
      <c r="X9" s="1578">
        <f t="shared" si="0"/>
        <v>29983.953899999997</v>
      </c>
      <c r="Y9" s="1578">
        <f t="shared" si="0"/>
        <v>29983.953899999997</v>
      </c>
      <c r="Z9" s="1578">
        <f t="shared" si="0"/>
        <v>29983.953899999997</v>
      </c>
      <c r="AA9" s="1578">
        <f t="shared" si="0"/>
        <v>29983.953899999997</v>
      </c>
      <c r="AB9" s="1578">
        <f t="shared" si="0"/>
        <v>29983.953899999997</v>
      </c>
      <c r="AC9" s="1578">
        <f t="shared" si="0"/>
        <v>29983.953899999997</v>
      </c>
      <c r="AD9" s="1578">
        <f t="shared" si="0"/>
        <v>29983.953899999997</v>
      </c>
      <c r="AE9" s="1578">
        <f t="shared" si="0"/>
        <v>29983.953899999997</v>
      </c>
      <c r="AF9" s="1578">
        <f t="shared" si="0"/>
        <v>29983.953899999997</v>
      </c>
      <c r="AG9" s="1578">
        <f t="shared" si="0"/>
        <v>29983.953899999997</v>
      </c>
      <c r="AH9" s="1578">
        <f t="shared" si="0"/>
        <v>29983.953899999997</v>
      </c>
      <c r="AI9" s="1578">
        <f t="shared" si="0"/>
        <v>29983.953899999997</v>
      </c>
      <c r="AJ9" s="1579">
        <f t="shared" si="0"/>
        <v>29983.953899999997</v>
      </c>
    </row>
    <row r="10" spans="1:36" ht="15.75">
      <c r="A10" s="1569">
        <v>6</v>
      </c>
      <c r="B10" s="1570" t="s">
        <v>2730</v>
      </c>
      <c r="C10" s="1571" t="s">
        <v>29</v>
      </c>
      <c r="D10" s="1572">
        <f>+Rates!$F$32</f>
        <v>16022.87</v>
      </c>
      <c r="E10" s="1572">
        <v>0.39500000000000002</v>
      </c>
      <c r="F10" s="1581">
        <v>0.39500000000000002</v>
      </c>
      <c r="G10" s="1582">
        <v>0.39500000000000002</v>
      </c>
      <c r="H10" s="1574">
        <v>0.39500000000000002</v>
      </c>
      <c r="I10" s="1574">
        <v>0.39500000000000002</v>
      </c>
      <c r="J10" s="1574">
        <v>0.39500000000000002</v>
      </c>
      <c r="K10" s="1574">
        <v>0.39500000000000002</v>
      </c>
      <c r="L10" s="1574">
        <v>0.39500000000000002</v>
      </c>
      <c r="M10" s="1574">
        <v>0.39500000000000002</v>
      </c>
      <c r="N10" s="1574">
        <v>0.39500000000000002</v>
      </c>
      <c r="O10" s="1574">
        <v>0.39500000000000002</v>
      </c>
      <c r="P10" s="1574">
        <v>0.39500000000000002</v>
      </c>
      <c r="Q10" s="1581">
        <v>0.39500000000000002</v>
      </c>
      <c r="R10" s="1574">
        <v>0.39500000000000002</v>
      </c>
      <c r="S10" s="1575">
        <v>0.39500000000000002</v>
      </c>
      <c r="T10" s="1576">
        <v>0.39500000000000002</v>
      </c>
      <c r="V10" s="1577">
        <f t="shared" si="0"/>
        <v>6329.0336500000003</v>
      </c>
      <c r="W10" s="1578">
        <f t="shared" si="0"/>
        <v>6329.0336500000003</v>
      </c>
      <c r="X10" s="1578">
        <f t="shared" si="0"/>
        <v>6329.0336500000003</v>
      </c>
      <c r="Y10" s="1578">
        <f t="shared" si="0"/>
        <v>6329.0336500000003</v>
      </c>
      <c r="Z10" s="1578">
        <f t="shared" si="0"/>
        <v>6329.0336500000003</v>
      </c>
      <c r="AA10" s="1578">
        <f t="shared" si="0"/>
        <v>6329.0336500000003</v>
      </c>
      <c r="AB10" s="1578">
        <f t="shared" si="0"/>
        <v>6329.0336500000003</v>
      </c>
      <c r="AC10" s="1578">
        <f t="shared" si="0"/>
        <v>6329.0336500000003</v>
      </c>
      <c r="AD10" s="1578">
        <f t="shared" si="0"/>
        <v>6329.0336500000003</v>
      </c>
      <c r="AE10" s="1578">
        <f t="shared" si="0"/>
        <v>6329.0336500000003</v>
      </c>
      <c r="AF10" s="1578">
        <f t="shared" si="0"/>
        <v>6329.0336500000003</v>
      </c>
      <c r="AG10" s="1578">
        <f t="shared" si="0"/>
        <v>6329.0336500000003</v>
      </c>
      <c r="AH10" s="1578">
        <f t="shared" si="0"/>
        <v>6329.0336500000003</v>
      </c>
      <c r="AI10" s="1578">
        <f t="shared" si="0"/>
        <v>6329.0336500000003</v>
      </c>
      <c r="AJ10" s="1579">
        <f t="shared" si="0"/>
        <v>6329.0336500000003</v>
      </c>
    </row>
    <row r="11" spans="1:36" ht="15.75">
      <c r="A11" s="1569">
        <v>7</v>
      </c>
      <c r="B11" s="1570" t="s">
        <v>2731</v>
      </c>
      <c r="C11" s="1571" t="s">
        <v>29</v>
      </c>
      <c r="D11" s="1572">
        <f>+Rates!$F$33</f>
        <v>17163.13</v>
      </c>
      <c r="E11" s="1572">
        <v>0.77</v>
      </c>
      <c r="F11" s="1581">
        <v>0.318</v>
      </c>
      <c r="G11" s="1582">
        <v>0.318</v>
      </c>
      <c r="H11" s="1574">
        <v>0.51900000000000002</v>
      </c>
      <c r="I11" s="1574">
        <v>0.51900000000000002</v>
      </c>
      <c r="J11" s="1574">
        <v>0.77</v>
      </c>
      <c r="K11" s="1574">
        <v>0.77</v>
      </c>
      <c r="L11" s="1574">
        <v>0.77</v>
      </c>
      <c r="M11" s="1574">
        <v>0.77</v>
      </c>
      <c r="N11" s="1574">
        <v>1.069</v>
      </c>
      <c r="O11" s="1574">
        <v>1.069</v>
      </c>
      <c r="P11" s="1574">
        <v>1.069</v>
      </c>
      <c r="Q11" s="1581">
        <v>1.4179999999999999</v>
      </c>
      <c r="R11" s="1574">
        <v>1.4179999999999999</v>
      </c>
      <c r="S11" s="1575">
        <v>1.8149999999999999</v>
      </c>
      <c r="T11" s="1576">
        <v>1.8149999999999999</v>
      </c>
      <c r="V11" s="1577">
        <f t="shared" si="0"/>
        <v>5457.8753400000005</v>
      </c>
      <c r="W11" s="1578">
        <f t="shared" si="0"/>
        <v>5457.8753400000005</v>
      </c>
      <c r="X11" s="1578">
        <f t="shared" si="0"/>
        <v>8907.6644700000015</v>
      </c>
      <c r="Y11" s="1578">
        <f t="shared" si="0"/>
        <v>8907.6644700000015</v>
      </c>
      <c r="Z11" s="1578">
        <f t="shared" si="0"/>
        <v>13215.610100000002</v>
      </c>
      <c r="AA11" s="1578">
        <f t="shared" si="0"/>
        <v>13215.610100000002</v>
      </c>
      <c r="AB11" s="1578">
        <f t="shared" si="0"/>
        <v>13215.610100000002</v>
      </c>
      <c r="AC11" s="1578">
        <f t="shared" si="0"/>
        <v>13215.610100000002</v>
      </c>
      <c r="AD11" s="1578">
        <f t="shared" si="0"/>
        <v>18347.385969999999</v>
      </c>
      <c r="AE11" s="1578">
        <f t="shared" si="0"/>
        <v>18347.385969999999</v>
      </c>
      <c r="AF11" s="1578">
        <f t="shared" si="0"/>
        <v>18347.385969999999</v>
      </c>
      <c r="AG11" s="1578">
        <f t="shared" si="0"/>
        <v>24337.318340000002</v>
      </c>
      <c r="AH11" s="1578">
        <f t="shared" si="0"/>
        <v>24337.318340000002</v>
      </c>
      <c r="AI11" s="1578">
        <f t="shared" si="0"/>
        <v>31151.08095</v>
      </c>
      <c r="AJ11" s="1579">
        <f t="shared" si="0"/>
        <v>31151.08095</v>
      </c>
    </row>
    <row r="12" spans="1:36" ht="15.75">
      <c r="A12" s="1569">
        <v>8</v>
      </c>
      <c r="B12" s="1570" t="s">
        <v>1521</v>
      </c>
      <c r="C12" s="1571" t="s">
        <v>1034</v>
      </c>
      <c r="D12" s="1572">
        <f>+Rates!$F$39</f>
        <v>125.35</v>
      </c>
      <c r="E12" s="1572">
        <v>12.6</v>
      </c>
      <c r="F12" s="1571">
        <v>12.6</v>
      </c>
      <c r="G12" s="1571">
        <v>12.6</v>
      </c>
      <c r="H12" s="1571">
        <v>12.6</v>
      </c>
      <c r="I12" s="1571">
        <v>12.6</v>
      </c>
      <c r="J12" s="1571">
        <v>12.6</v>
      </c>
      <c r="K12" s="1571">
        <v>12.6</v>
      </c>
      <c r="L12" s="1571">
        <v>12.6</v>
      </c>
      <c r="M12" s="1571">
        <v>12.6</v>
      </c>
      <c r="N12" s="1571">
        <v>12.6</v>
      </c>
      <c r="O12" s="1571">
        <v>12.6</v>
      </c>
      <c r="P12" s="1571">
        <v>12.6</v>
      </c>
      <c r="Q12" s="1571">
        <v>12.6</v>
      </c>
      <c r="R12" s="1571">
        <v>12.6</v>
      </c>
      <c r="S12" s="1571">
        <v>12.6</v>
      </c>
      <c r="T12" s="1571">
        <v>12.6</v>
      </c>
      <c r="V12" s="1577">
        <f t="shared" si="0"/>
        <v>1579.4099999999999</v>
      </c>
      <c r="W12" s="1578">
        <f t="shared" si="0"/>
        <v>1579.4099999999999</v>
      </c>
      <c r="X12" s="1578">
        <f t="shared" si="0"/>
        <v>1579.4099999999999</v>
      </c>
      <c r="Y12" s="1578">
        <f t="shared" si="0"/>
        <v>1579.4099999999999</v>
      </c>
      <c r="Z12" s="1578">
        <f t="shared" si="0"/>
        <v>1579.4099999999999</v>
      </c>
      <c r="AA12" s="1578">
        <f t="shared" si="0"/>
        <v>1579.4099999999999</v>
      </c>
      <c r="AB12" s="1578">
        <f t="shared" si="0"/>
        <v>1579.4099999999999</v>
      </c>
      <c r="AC12" s="1578">
        <f t="shared" si="0"/>
        <v>1579.4099999999999</v>
      </c>
      <c r="AD12" s="1578">
        <f t="shared" si="0"/>
        <v>1579.4099999999999</v>
      </c>
      <c r="AE12" s="1578">
        <f t="shared" si="0"/>
        <v>1579.4099999999999</v>
      </c>
      <c r="AF12" s="1578">
        <f t="shared" si="0"/>
        <v>1579.4099999999999</v>
      </c>
      <c r="AG12" s="1578">
        <f t="shared" si="0"/>
        <v>1579.4099999999999</v>
      </c>
      <c r="AH12" s="1578">
        <f t="shared" si="0"/>
        <v>1579.4099999999999</v>
      </c>
      <c r="AI12" s="1578">
        <f t="shared" si="0"/>
        <v>1579.4099999999999</v>
      </c>
      <c r="AJ12" s="1579">
        <f t="shared" si="0"/>
        <v>1579.4099999999999</v>
      </c>
    </row>
    <row r="13" spans="1:36" ht="15.75">
      <c r="A13" s="1569">
        <v>9</v>
      </c>
      <c r="B13" s="1570" t="s">
        <v>2732</v>
      </c>
      <c r="C13" s="1571" t="s">
        <v>47</v>
      </c>
      <c r="D13" s="1572">
        <f>+Rates!$F$40</f>
        <v>1322.68</v>
      </c>
      <c r="E13" s="1572">
        <v>1.1599999999999999</v>
      </c>
      <c r="F13" s="1571">
        <v>1.1599999999999999</v>
      </c>
      <c r="G13" s="1573">
        <v>1.1599999999999999</v>
      </c>
      <c r="H13" s="1574">
        <v>1.1599999999999999</v>
      </c>
      <c r="I13" s="1574">
        <v>1.1599999999999999</v>
      </c>
      <c r="J13" s="1574">
        <v>1.1599999999999999</v>
      </c>
      <c r="K13" s="1574">
        <v>1.1599999999999999</v>
      </c>
      <c r="L13" s="1574">
        <v>1.1599999999999999</v>
      </c>
      <c r="M13" s="1574">
        <v>1.1599999999999999</v>
      </c>
      <c r="N13" s="1574">
        <v>1.1599999999999999</v>
      </c>
      <c r="O13" s="1574">
        <v>1.1599999999999999</v>
      </c>
      <c r="P13" s="1574">
        <v>1.1599999999999999</v>
      </c>
      <c r="Q13" s="1571">
        <v>1.1599999999999999</v>
      </c>
      <c r="R13" s="1574">
        <v>1.1599999999999999</v>
      </c>
      <c r="S13" s="1575">
        <v>1.1599999999999999</v>
      </c>
      <c r="T13" s="1576">
        <v>1.1599999999999999</v>
      </c>
      <c r="V13" s="1577">
        <f t="shared" si="0"/>
        <v>1534.3088</v>
      </c>
      <c r="W13" s="1578">
        <f t="shared" si="0"/>
        <v>1534.3088</v>
      </c>
      <c r="X13" s="1578">
        <f t="shared" si="0"/>
        <v>1534.3088</v>
      </c>
      <c r="Y13" s="1578">
        <f t="shared" si="0"/>
        <v>1534.3088</v>
      </c>
      <c r="Z13" s="1578">
        <f t="shared" si="0"/>
        <v>1534.3088</v>
      </c>
      <c r="AA13" s="1578">
        <f t="shared" si="0"/>
        <v>1534.3088</v>
      </c>
      <c r="AB13" s="1578">
        <f t="shared" si="0"/>
        <v>1534.3088</v>
      </c>
      <c r="AC13" s="1578">
        <f t="shared" si="0"/>
        <v>1534.3088</v>
      </c>
      <c r="AD13" s="1578">
        <f t="shared" si="0"/>
        <v>1534.3088</v>
      </c>
      <c r="AE13" s="1578">
        <f t="shared" si="0"/>
        <v>1534.3088</v>
      </c>
      <c r="AF13" s="1578">
        <f t="shared" si="0"/>
        <v>1534.3088</v>
      </c>
      <c r="AG13" s="1578">
        <f t="shared" si="0"/>
        <v>1534.3088</v>
      </c>
      <c r="AH13" s="1578">
        <f t="shared" si="0"/>
        <v>1534.3088</v>
      </c>
      <c r="AI13" s="1578">
        <f t="shared" si="0"/>
        <v>1534.3088</v>
      </c>
      <c r="AJ13" s="1579">
        <f t="shared" si="0"/>
        <v>1534.3088</v>
      </c>
    </row>
    <row r="14" spans="1:36" ht="15.75">
      <c r="A14" s="1569">
        <v>10</v>
      </c>
      <c r="B14" s="1570" t="s">
        <v>2733</v>
      </c>
      <c r="C14" s="1571" t="s">
        <v>47</v>
      </c>
      <c r="D14" s="1572">
        <f>+Rates!$F$42</f>
        <v>490.15</v>
      </c>
      <c r="E14" s="1572">
        <v>17.38</v>
      </c>
      <c r="F14" s="1571">
        <v>6.3</v>
      </c>
      <c r="G14" s="1573">
        <v>8.75</v>
      </c>
      <c r="H14" s="1574">
        <v>11.29</v>
      </c>
      <c r="I14" s="1574">
        <v>13.23</v>
      </c>
      <c r="J14" s="1574">
        <v>15.78</v>
      </c>
      <c r="K14" s="1574">
        <v>17.38</v>
      </c>
      <c r="L14" s="1574">
        <v>18.59</v>
      </c>
      <c r="M14" s="1574">
        <v>20.2</v>
      </c>
      <c r="N14" s="1574">
        <v>22.25</v>
      </c>
      <c r="O14" s="1574">
        <v>23.69</v>
      </c>
      <c r="P14" s="1574">
        <v>26.1</v>
      </c>
      <c r="Q14" s="1571">
        <v>29.78</v>
      </c>
      <c r="R14" s="1574">
        <v>32.020000000000003</v>
      </c>
      <c r="S14" s="1575">
        <v>35.200000000000003</v>
      </c>
      <c r="T14" s="1576">
        <v>37.11</v>
      </c>
      <c r="V14" s="1577">
        <f t="shared" si="0"/>
        <v>3087.9449999999997</v>
      </c>
      <c r="W14" s="1578">
        <f t="shared" si="0"/>
        <v>4288.8125</v>
      </c>
      <c r="X14" s="1578">
        <f t="shared" si="0"/>
        <v>5533.7934999999998</v>
      </c>
      <c r="Y14" s="1578">
        <f t="shared" si="0"/>
        <v>6484.6845000000003</v>
      </c>
      <c r="Z14" s="1578">
        <f t="shared" si="0"/>
        <v>7734.5669999999991</v>
      </c>
      <c r="AA14" s="1578">
        <f t="shared" si="0"/>
        <v>8518.8069999999989</v>
      </c>
      <c r="AB14" s="1578">
        <f t="shared" si="0"/>
        <v>9111.8884999999991</v>
      </c>
      <c r="AC14" s="1578">
        <f t="shared" si="0"/>
        <v>9901.0299999999988</v>
      </c>
      <c r="AD14" s="1578">
        <f t="shared" si="0"/>
        <v>10905.8375</v>
      </c>
      <c r="AE14" s="1578">
        <f t="shared" si="0"/>
        <v>11611.6535</v>
      </c>
      <c r="AF14" s="1578">
        <f t="shared" si="0"/>
        <v>12792.915000000001</v>
      </c>
      <c r="AG14" s="1578">
        <f t="shared" si="0"/>
        <v>14596.666999999999</v>
      </c>
      <c r="AH14" s="1578">
        <f t="shared" si="0"/>
        <v>15694.603000000001</v>
      </c>
      <c r="AI14" s="1578">
        <f t="shared" si="0"/>
        <v>17253.28</v>
      </c>
      <c r="AJ14" s="1579">
        <f t="shared" si="0"/>
        <v>18189.466499999999</v>
      </c>
    </row>
    <row r="15" spans="1:36" ht="31.5">
      <c r="A15" s="1569">
        <v>11</v>
      </c>
      <c r="B15" s="1580" t="s">
        <v>2734</v>
      </c>
      <c r="C15" s="1571" t="s">
        <v>47</v>
      </c>
      <c r="D15" s="1572">
        <f>+Rates!$F$43</f>
        <v>1246.28</v>
      </c>
      <c r="E15" s="1572">
        <v>17.38</v>
      </c>
      <c r="F15" s="1571">
        <v>6.3</v>
      </c>
      <c r="G15" s="1573">
        <v>8.75</v>
      </c>
      <c r="H15" s="1574">
        <v>11.29</v>
      </c>
      <c r="I15" s="1574">
        <v>13.23</v>
      </c>
      <c r="J15" s="1574">
        <v>15.78</v>
      </c>
      <c r="K15" s="1574">
        <v>17.38</v>
      </c>
      <c r="L15" s="1574">
        <v>18.59</v>
      </c>
      <c r="M15" s="1574">
        <v>20.2</v>
      </c>
      <c r="N15" s="1574">
        <v>22.25</v>
      </c>
      <c r="O15" s="1574">
        <v>23.69</v>
      </c>
      <c r="P15" s="1574">
        <v>26.1</v>
      </c>
      <c r="Q15" s="1571">
        <v>29.78</v>
      </c>
      <c r="R15" s="1574">
        <v>32.020000000000003</v>
      </c>
      <c r="S15" s="1575">
        <v>35.200000000000003</v>
      </c>
      <c r="T15" s="1576">
        <v>37.11</v>
      </c>
      <c r="V15" s="1577">
        <f t="shared" si="0"/>
        <v>7851.5639999999994</v>
      </c>
      <c r="W15" s="1578">
        <f t="shared" si="0"/>
        <v>10904.949999999999</v>
      </c>
      <c r="X15" s="1578">
        <f t="shared" si="0"/>
        <v>14070.501199999999</v>
      </c>
      <c r="Y15" s="1578">
        <f t="shared" si="0"/>
        <v>16488.2844</v>
      </c>
      <c r="Z15" s="1578">
        <f t="shared" si="0"/>
        <v>19666.2984</v>
      </c>
      <c r="AA15" s="1578">
        <f t="shared" si="0"/>
        <v>21660.346399999999</v>
      </c>
      <c r="AB15" s="1578">
        <f t="shared" si="0"/>
        <v>23168.3452</v>
      </c>
      <c r="AC15" s="1578">
        <f t="shared" si="0"/>
        <v>25174.856</v>
      </c>
      <c r="AD15" s="1578">
        <f t="shared" si="0"/>
        <v>27729.73</v>
      </c>
      <c r="AE15" s="1578">
        <f t="shared" si="0"/>
        <v>29524.373200000002</v>
      </c>
      <c r="AF15" s="1578">
        <f t="shared" si="0"/>
        <v>32527.907999999999</v>
      </c>
      <c r="AG15" s="1578">
        <f t="shared" si="0"/>
        <v>37114.218399999998</v>
      </c>
      <c r="AH15" s="1578">
        <f t="shared" si="0"/>
        <v>39905.885600000001</v>
      </c>
      <c r="AI15" s="1578">
        <f t="shared" si="0"/>
        <v>43869.056000000004</v>
      </c>
      <c r="AJ15" s="1579">
        <f t="shared" si="0"/>
        <v>46249.450799999999</v>
      </c>
    </row>
    <row r="16" spans="1:36" ht="15.75">
      <c r="A16" s="1569">
        <v>12</v>
      </c>
      <c r="B16" s="1570" t="s">
        <v>2735</v>
      </c>
      <c r="C16" s="1571" t="s">
        <v>47</v>
      </c>
      <c r="D16" s="1572">
        <f>+Rates!$F$58</f>
        <v>547.54999999999995</v>
      </c>
      <c r="E16" s="1572">
        <v>69.540000000000006</v>
      </c>
      <c r="F16" s="1571">
        <v>25.18</v>
      </c>
      <c r="G16" s="1573">
        <v>34.979999999999997</v>
      </c>
      <c r="H16" s="1574">
        <v>45.11</v>
      </c>
      <c r="I16" s="1574">
        <v>52.88</v>
      </c>
      <c r="J16" s="1574">
        <v>63.11</v>
      </c>
      <c r="K16" s="1574">
        <v>69.540000000000006</v>
      </c>
      <c r="L16" s="1574">
        <v>74.37</v>
      </c>
      <c r="M16" s="1574">
        <v>80.8</v>
      </c>
      <c r="N16" s="1574">
        <v>88.97</v>
      </c>
      <c r="O16" s="1574">
        <v>94.74</v>
      </c>
      <c r="P16" s="1574">
        <v>104.35</v>
      </c>
      <c r="Q16" s="1571">
        <v>119.1</v>
      </c>
      <c r="R16" s="1574">
        <v>128.05000000000001</v>
      </c>
      <c r="S16" s="1575">
        <v>140.75</v>
      </c>
      <c r="T16" s="1576">
        <v>148.41</v>
      </c>
      <c r="V16" s="1577">
        <f t="shared" si="0"/>
        <v>13787.308999999999</v>
      </c>
      <c r="W16" s="1578">
        <f t="shared" si="0"/>
        <v>19153.298999999995</v>
      </c>
      <c r="X16" s="1578">
        <f t="shared" si="0"/>
        <v>24699.980499999998</v>
      </c>
      <c r="Y16" s="1578">
        <f t="shared" si="0"/>
        <v>28954.444</v>
      </c>
      <c r="Z16" s="1578">
        <f t="shared" si="0"/>
        <v>34555.880499999999</v>
      </c>
      <c r="AA16" s="1578">
        <f t="shared" si="0"/>
        <v>38076.627</v>
      </c>
      <c r="AB16" s="1578">
        <f t="shared" si="0"/>
        <v>40721.2935</v>
      </c>
      <c r="AC16" s="1578">
        <f t="shared" si="0"/>
        <v>44242.039999999994</v>
      </c>
      <c r="AD16" s="1578">
        <f t="shared" si="0"/>
        <v>48715.523499999996</v>
      </c>
      <c r="AE16" s="1578">
        <f t="shared" si="0"/>
        <v>51874.886999999995</v>
      </c>
      <c r="AF16" s="1578">
        <f t="shared" si="0"/>
        <v>57136.842499999992</v>
      </c>
      <c r="AG16" s="1578">
        <f t="shared" si="0"/>
        <v>65213.204999999994</v>
      </c>
      <c r="AH16" s="1578">
        <f t="shared" si="0"/>
        <v>70113.777499999997</v>
      </c>
      <c r="AI16" s="1578">
        <f t="shared" si="0"/>
        <v>77067.662499999991</v>
      </c>
      <c r="AJ16" s="1579">
        <f t="shared" si="0"/>
        <v>81261.895499999984</v>
      </c>
    </row>
    <row r="17" spans="1:36" ht="15.75">
      <c r="A17" s="1569">
        <v>13</v>
      </c>
      <c r="B17" s="1570" t="s">
        <v>2736</v>
      </c>
      <c r="C17" s="1571" t="s">
        <v>47</v>
      </c>
      <c r="D17" s="1572">
        <f>+Rates!$F$59</f>
        <v>509.41</v>
      </c>
      <c r="E17" s="1572">
        <v>4.91</v>
      </c>
      <c r="F17" s="1571">
        <v>1.77</v>
      </c>
      <c r="G17" s="1573">
        <v>1.77</v>
      </c>
      <c r="H17" s="1574">
        <v>3.14</v>
      </c>
      <c r="I17" s="1574">
        <v>3.14</v>
      </c>
      <c r="J17" s="1574">
        <v>4.91</v>
      </c>
      <c r="K17" s="1574">
        <v>4.91</v>
      </c>
      <c r="L17" s="1574">
        <v>4.91</v>
      </c>
      <c r="M17" s="1574">
        <v>4.91</v>
      </c>
      <c r="N17" s="1574">
        <v>7.07</v>
      </c>
      <c r="O17" s="1574">
        <v>7.07</v>
      </c>
      <c r="P17" s="1574">
        <v>7.07</v>
      </c>
      <c r="Q17" s="1571">
        <v>9.6199999999999992</v>
      </c>
      <c r="R17" s="1574">
        <v>9.6199999999999992</v>
      </c>
      <c r="S17" s="1575">
        <v>12.57</v>
      </c>
      <c r="T17" s="1576">
        <v>12.57</v>
      </c>
      <c r="V17" s="1577">
        <f t="shared" si="0"/>
        <v>901.65570000000002</v>
      </c>
      <c r="W17" s="1578">
        <f t="shared" si="0"/>
        <v>901.65570000000002</v>
      </c>
      <c r="X17" s="1578">
        <f t="shared" si="0"/>
        <v>1599.5474000000002</v>
      </c>
      <c r="Y17" s="1578">
        <f t="shared" si="0"/>
        <v>1599.5474000000002</v>
      </c>
      <c r="Z17" s="1578">
        <f t="shared" si="0"/>
        <v>2501.2031000000002</v>
      </c>
      <c r="AA17" s="1578">
        <f t="shared" si="0"/>
        <v>2501.2031000000002</v>
      </c>
      <c r="AB17" s="1578">
        <f t="shared" si="0"/>
        <v>2501.2031000000002</v>
      </c>
      <c r="AC17" s="1578">
        <f t="shared" si="0"/>
        <v>2501.2031000000002</v>
      </c>
      <c r="AD17" s="1578">
        <f t="shared" si="0"/>
        <v>3601.5287000000003</v>
      </c>
      <c r="AE17" s="1578">
        <f t="shared" si="0"/>
        <v>3601.5287000000003</v>
      </c>
      <c r="AF17" s="1578">
        <f t="shared" si="0"/>
        <v>3601.5287000000003</v>
      </c>
      <c r="AG17" s="1578">
        <f t="shared" si="0"/>
        <v>4900.5241999999998</v>
      </c>
      <c r="AH17" s="1578">
        <f t="shared" si="0"/>
        <v>4900.5241999999998</v>
      </c>
      <c r="AI17" s="1578">
        <f t="shared" si="0"/>
        <v>6403.2837000000009</v>
      </c>
      <c r="AJ17" s="1579">
        <f t="shared" si="0"/>
        <v>6403.2837000000009</v>
      </c>
    </row>
    <row r="18" spans="1:36" ht="15.75">
      <c r="A18" s="1569">
        <v>14</v>
      </c>
      <c r="B18" s="1570" t="s">
        <v>2737</v>
      </c>
      <c r="C18" s="1571" t="s">
        <v>47</v>
      </c>
      <c r="D18" s="1572">
        <f>+Rates!$F$60</f>
        <v>503.61</v>
      </c>
      <c r="E18" s="1572">
        <v>4.9400000000000004</v>
      </c>
      <c r="F18" s="1571">
        <v>4.9400000000000004</v>
      </c>
      <c r="G18" s="1573">
        <v>4.9400000000000004</v>
      </c>
      <c r="H18" s="1574">
        <v>4.9400000000000004</v>
      </c>
      <c r="I18" s="1574">
        <v>4.9400000000000004</v>
      </c>
      <c r="J18" s="1574">
        <v>4.9400000000000004</v>
      </c>
      <c r="K18" s="1574">
        <v>4.9400000000000004</v>
      </c>
      <c r="L18" s="1574">
        <v>4.9400000000000004</v>
      </c>
      <c r="M18" s="1574">
        <v>4.9400000000000004</v>
      </c>
      <c r="N18" s="1574">
        <v>4.9400000000000004</v>
      </c>
      <c r="O18" s="1574">
        <v>4.9400000000000004</v>
      </c>
      <c r="P18" s="1574">
        <v>4.9400000000000004</v>
      </c>
      <c r="Q18" s="1571">
        <v>4.9400000000000004</v>
      </c>
      <c r="R18" s="1574">
        <v>4.9400000000000004</v>
      </c>
      <c r="S18" s="1575">
        <v>4.9400000000000004</v>
      </c>
      <c r="T18" s="1576">
        <v>4.9400000000000004</v>
      </c>
      <c r="V18" s="1577">
        <f t="shared" si="0"/>
        <v>2487.8334000000004</v>
      </c>
      <c r="W18" s="1578">
        <f t="shared" si="0"/>
        <v>2487.8334000000004</v>
      </c>
      <c r="X18" s="1578">
        <f t="shared" si="0"/>
        <v>2487.8334000000004</v>
      </c>
      <c r="Y18" s="1578">
        <f t="shared" si="0"/>
        <v>2487.8334000000004</v>
      </c>
      <c r="Z18" s="1578">
        <f t="shared" si="0"/>
        <v>2487.8334000000004</v>
      </c>
      <c r="AA18" s="1578">
        <f t="shared" si="0"/>
        <v>2487.8334000000004</v>
      </c>
      <c r="AB18" s="1578">
        <f t="shared" si="0"/>
        <v>2487.8334000000004</v>
      </c>
      <c r="AC18" s="1578">
        <f t="shared" si="0"/>
        <v>2487.8334000000004</v>
      </c>
      <c r="AD18" s="1578">
        <f t="shared" si="0"/>
        <v>2487.8334000000004</v>
      </c>
      <c r="AE18" s="1578">
        <f t="shared" si="0"/>
        <v>2487.8334000000004</v>
      </c>
      <c r="AF18" s="1578">
        <f t="shared" si="0"/>
        <v>2487.8334000000004</v>
      </c>
      <c r="AG18" s="1578">
        <f t="shared" si="0"/>
        <v>2487.8334000000004</v>
      </c>
      <c r="AH18" s="1578">
        <f t="shared" si="0"/>
        <v>2487.8334000000004</v>
      </c>
      <c r="AI18" s="1578">
        <f t="shared" si="0"/>
        <v>2487.8334000000004</v>
      </c>
      <c r="AJ18" s="1579">
        <f t="shared" si="0"/>
        <v>2487.8334000000004</v>
      </c>
    </row>
    <row r="19" spans="1:36" ht="15.75">
      <c r="A19" s="1569">
        <v>15</v>
      </c>
      <c r="B19" s="1570" t="s">
        <v>2738</v>
      </c>
      <c r="C19" s="1571" t="s">
        <v>47</v>
      </c>
      <c r="D19" s="1572">
        <f>+Rates!$F$67</f>
        <v>346.26</v>
      </c>
      <c r="E19" s="1572">
        <v>16.690000000000001</v>
      </c>
      <c r="F19" s="1571">
        <v>6.01</v>
      </c>
      <c r="G19" s="1573">
        <v>8.3699999999999992</v>
      </c>
      <c r="H19" s="1574">
        <v>10.68</v>
      </c>
      <c r="I19" s="1574">
        <v>12.56</v>
      </c>
      <c r="J19" s="1574">
        <v>15.12</v>
      </c>
      <c r="K19" s="1574">
        <v>16.690000000000001</v>
      </c>
      <c r="L19" s="1574">
        <v>17.87</v>
      </c>
      <c r="M19" s="1574">
        <v>19.440000000000001</v>
      </c>
      <c r="N19" s="1574">
        <v>21.21</v>
      </c>
      <c r="O19" s="1574">
        <v>22.62</v>
      </c>
      <c r="P19" s="1574">
        <v>24.98</v>
      </c>
      <c r="Q19" s="1571">
        <v>28.31</v>
      </c>
      <c r="R19" s="1574">
        <v>30.51</v>
      </c>
      <c r="S19" s="1575">
        <v>33.299999999999997</v>
      </c>
      <c r="T19" s="1576">
        <v>35.19</v>
      </c>
      <c r="V19" s="1577">
        <f t="shared" si="0"/>
        <v>2081.0225999999998</v>
      </c>
      <c r="W19" s="1578">
        <f t="shared" si="0"/>
        <v>2898.1961999999999</v>
      </c>
      <c r="X19" s="1578">
        <f t="shared" si="0"/>
        <v>3698.0567999999998</v>
      </c>
      <c r="Y19" s="1578">
        <f t="shared" si="0"/>
        <v>4349.0255999999999</v>
      </c>
      <c r="Z19" s="1578">
        <f t="shared" si="0"/>
        <v>5235.4511999999995</v>
      </c>
      <c r="AA19" s="1578">
        <f t="shared" si="0"/>
        <v>5779.0794000000005</v>
      </c>
      <c r="AB19" s="1578">
        <f t="shared" si="0"/>
        <v>6187.6662000000006</v>
      </c>
      <c r="AC19" s="1578">
        <f t="shared" si="0"/>
        <v>6731.2944000000007</v>
      </c>
      <c r="AD19" s="1578">
        <f t="shared" si="0"/>
        <v>7344.1746000000003</v>
      </c>
      <c r="AE19" s="1578">
        <f t="shared" si="0"/>
        <v>7832.4012000000002</v>
      </c>
      <c r="AF19" s="1578">
        <f t="shared" si="0"/>
        <v>8649.5748000000003</v>
      </c>
      <c r="AG19" s="1578">
        <f t="shared" si="0"/>
        <v>9802.6206000000002</v>
      </c>
      <c r="AH19" s="1578">
        <f t="shared" si="0"/>
        <v>10564.392600000001</v>
      </c>
      <c r="AI19" s="1578">
        <f t="shared" si="0"/>
        <v>11530.457999999999</v>
      </c>
      <c r="AJ19" s="1579">
        <f t="shared" si="0"/>
        <v>12184.889399999998</v>
      </c>
    </row>
    <row r="20" spans="1:36" ht="15.75">
      <c r="A20" s="1569">
        <v>16</v>
      </c>
      <c r="B20" s="1570" t="s">
        <v>2739</v>
      </c>
      <c r="C20" s="1571" t="s">
        <v>47</v>
      </c>
      <c r="D20" s="1572">
        <f>+Rates!$F$72</f>
        <v>103.35</v>
      </c>
      <c r="E20" s="1572">
        <v>8.98</v>
      </c>
      <c r="F20" s="1571">
        <v>2.5099999999999998</v>
      </c>
      <c r="G20" s="1573">
        <v>5.03</v>
      </c>
      <c r="H20" s="1574">
        <v>5.28</v>
      </c>
      <c r="I20" s="1574">
        <v>7.26</v>
      </c>
      <c r="J20" s="1574">
        <v>7.35</v>
      </c>
      <c r="K20" s="1574">
        <v>8.98</v>
      </c>
      <c r="L20" s="1574">
        <v>10.210000000000001</v>
      </c>
      <c r="M20" s="1574">
        <v>11.84</v>
      </c>
      <c r="N20" s="1574">
        <v>10.71</v>
      </c>
      <c r="O20" s="1574">
        <v>12.17</v>
      </c>
      <c r="P20" s="1574">
        <v>14.61</v>
      </c>
      <c r="Q20" s="1571">
        <v>14.7</v>
      </c>
      <c r="R20" s="1574">
        <v>16.96</v>
      </c>
      <c r="S20" s="1575">
        <v>16.100000000000001</v>
      </c>
      <c r="T20" s="1576">
        <v>18.03</v>
      </c>
      <c r="V20" s="1577">
        <f t="shared" si="0"/>
        <v>259.40849999999995</v>
      </c>
      <c r="W20" s="1578">
        <f t="shared" si="0"/>
        <v>519.85050000000001</v>
      </c>
      <c r="X20" s="1578">
        <f t="shared" si="0"/>
        <v>545.68799999999999</v>
      </c>
      <c r="Y20" s="1578">
        <f t="shared" si="0"/>
        <v>750.32099999999991</v>
      </c>
      <c r="Z20" s="1578">
        <f t="shared" si="0"/>
        <v>759.62249999999995</v>
      </c>
      <c r="AA20" s="1578">
        <f t="shared" si="0"/>
        <v>928.08299999999997</v>
      </c>
      <c r="AB20" s="1578">
        <f t="shared" si="0"/>
        <v>1055.2035000000001</v>
      </c>
      <c r="AC20" s="1578">
        <f t="shared" si="0"/>
        <v>1223.664</v>
      </c>
      <c r="AD20" s="1578">
        <f t="shared" si="0"/>
        <v>1106.8785</v>
      </c>
      <c r="AE20" s="1578">
        <f t="shared" si="0"/>
        <v>1257.7694999999999</v>
      </c>
      <c r="AF20" s="1578">
        <f t="shared" si="0"/>
        <v>1509.9434999999999</v>
      </c>
      <c r="AG20" s="1578">
        <f t="shared" si="0"/>
        <v>1519.2449999999999</v>
      </c>
      <c r="AH20" s="1578">
        <f t="shared" si="0"/>
        <v>1752.816</v>
      </c>
      <c r="AI20" s="1578">
        <f t="shared" si="0"/>
        <v>1663.9349999999999</v>
      </c>
      <c r="AJ20" s="1579">
        <f t="shared" si="0"/>
        <v>1863.4005</v>
      </c>
    </row>
    <row r="21" spans="1:36" ht="15.75">
      <c r="A21" s="1569">
        <v>17</v>
      </c>
      <c r="B21" s="1570" t="s">
        <v>2740</v>
      </c>
      <c r="C21" s="1571" t="s">
        <v>47</v>
      </c>
      <c r="D21" s="1572">
        <f>+Rates!$F$71</f>
        <v>213.84</v>
      </c>
      <c r="E21" s="1572">
        <v>9.08</v>
      </c>
      <c r="F21" s="1571">
        <v>4.3099999999999996</v>
      </c>
      <c r="G21" s="1573">
        <v>4.3099999999999996</v>
      </c>
      <c r="H21" s="1574">
        <v>6.61</v>
      </c>
      <c r="I21" s="1574">
        <v>6.61</v>
      </c>
      <c r="J21" s="1574">
        <v>9.08</v>
      </c>
      <c r="K21" s="1574">
        <v>9.08</v>
      </c>
      <c r="L21" s="1574">
        <v>9.08</v>
      </c>
      <c r="M21" s="1574">
        <v>9.08</v>
      </c>
      <c r="N21" s="1574">
        <v>12.23</v>
      </c>
      <c r="O21" s="1574">
        <v>12.23</v>
      </c>
      <c r="P21" s="1574">
        <v>12.23</v>
      </c>
      <c r="Q21" s="1571">
        <v>15.83</v>
      </c>
      <c r="R21" s="1574">
        <v>15.83</v>
      </c>
      <c r="S21" s="1575">
        <v>19.88</v>
      </c>
      <c r="T21" s="1576">
        <v>19.88</v>
      </c>
      <c r="V21" s="1577">
        <f t="shared" si="0"/>
        <v>921.65039999999988</v>
      </c>
      <c r="W21" s="1578">
        <f t="shared" si="0"/>
        <v>921.65039999999988</v>
      </c>
      <c r="X21" s="1578">
        <f t="shared" si="0"/>
        <v>1413.4824000000001</v>
      </c>
      <c r="Y21" s="1578">
        <f t="shared" si="0"/>
        <v>1413.4824000000001</v>
      </c>
      <c r="Z21" s="1578">
        <f t="shared" si="0"/>
        <v>1941.6672000000001</v>
      </c>
      <c r="AA21" s="1578">
        <f t="shared" si="0"/>
        <v>1941.6672000000001</v>
      </c>
      <c r="AB21" s="1578">
        <f t="shared" si="0"/>
        <v>1941.6672000000001</v>
      </c>
      <c r="AC21" s="1578">
        <f t="shared" si="0"/>
        <v>1941.6672000000001</v>
      </c>
      <c r="AD21" s="1578">
        <f t="shared" si="0"/>
        <v>2615.2632000000003</v>
      </c>
      <c r="AE21" s="1578">
        <f t="shared" si="0"/>
        <v>2615.2632000000003</v>
      </c>
      <c r="AF21" s="1578">
        <f t="shared" si="0"/>
        <v>2615.2632000000003</v>
      </c>
      <c r="AG21" s="1578">
        <f t="shared" si="0"/>
        <v>3385.0871999999999</v>
      </c>
      <c r="AH21" s="1578">
        <f t="shared" si="0"/>
        <v>3385.0871999999999</v>
      </c>
      <c r="AI21" s="1578">
        <f t="shared" si="0"/>
        <v>4251.1391999999996</v>
      </c>
      <c r="AJ21" s="1579">
        <f t="shared" si="0"/>
        <v>4251.1391999999996</v>
      </c>
    </row>
    <row r="22" spans="1:36" ht="15.75">
      <c r="A22" s="1569">
        <v>18</v>
      </c>
      <c r="B22" s="1583" t="s">
        <v>2741</v>
      </c>
      <c r="C22" s="1571" t="s">
        <v>1038</v>
      </c>
      <c r="D22" s="1572">
        <v>1000</v>
      </c>
      <c r="E22" s="1572">
        <v>2</v>
      </c>
      <c r="F22" s="1571">
        <v>2</v>
      </c>
      <c r="G22" s="1573">
        <v>2</v>
      </c>
      <c r="H22" s="1574">
        <v>2</v>
      </c>
      <c r="I22" s="1574">
        <v>2</v>
      </c>
      <c r="J22" s="1574">
        <v>2</v>
      </c>
      <c r="K22" s="1574">
        <v>2</v>
      </c>
      <c r="L22" s="1574">
        <v>2</v>
      </c>
      <c r="M22" s="1574">
        <v>2</v>
      </c>
      <c r="N22" s="1574">
        <v>2</v>
      </c>
      <c r="O22" s="1574">
        <v>2</v>
      </c>
      <c r="P22" s="1574">
        <v>2</v>
      </c>
      <c r="Q22" s="1571">
        <v>2</v>
      </c>
      <c r="R22" s="1574">
        <v>2</v>
      </c>
      <c r="S22" s="1575">
        <v>2</v>
      </c>
      <c r="T22" s="1576">
        <v>2</v>
      </c>
      <c r="V22" s="1577">
        <f t="shared" ref="V22:AJ25" si="1">+$D22*F22</f>
        <v>2000</v>
      </c>
      <c r="W22" s="1578">
        <f t="shared" si="1"/>
        <v>2000</v>
      </c>
      <c r="X22" s="1578">
        <f t="shared" si="1"/>
        <v>2000</v>
      </c>
      <c r="Y22" s="1578">
        <f t="shared" si="1"/>
        <v>2000</v>
      </c>
      <c r="Z22" s="1578">
        <f t="shared" si="1"/>
        <v>2000</v>
      </c>
      <c r="AA22" s="1578">
        <f t="shared" si="1"/>
        <v>2000</v>
      </c>
      <c r="AB22" s="1578">
        <f t="shared" si="1"/>
        <v>2000</v>
      </c>
      <c r="AC22" s="1578">
        <f t="shared" si="1"/>
        <v>2000</v>
      </c>
      <c r="AD22" s="1578">
        <f t="shared" si="1"/>
        <v>2000</v>
      </c>
      <c r="AE22" s="1578">
        <f t="shared" si="1"/>
        <v>2000</v>
      </c>
      <c r="AF22" s="1578">
        <f t="shared" si="1"/>
        <v>2000</v>
      </c>
      <c r="AG22" s="1578">
        <f t="shared" si="1"/>
        <v>2000</v>
      </c>
      <c r="AH22" s="1578">
        <f t="shared" si="1"/>
        <v>2000</v>
      </c>
      <c r="AI22" s="1578">
        <f t="shared" si="1"/>
        <v>2000</v>
      </c>
      <c r="AJ22" s="1579">
        <f t="shared" si="1"/>
        <v>2000</v>
      </c>
    </row>
    <row r="23" spans="1:36" ht="15.75">
      <c r="A23" s="1569">
        <v>19</v>
      </c>
      <c r="B23" s="1584" t="s">
        <v>1700</v>
      </c>
      <c r="C23" s="1571" t="s">
        <v>1154</v>
      </c>
      <c r="D23" s="1572">
        <v>500</v>
      </c>
      <c r="E23" s="1572">
        <v>1</v>
      </c>
      <c r="F23" s="1571">
        <v>1</v>
      </c>
      <c r="G23" s="1573">
        <v>1</v>
      </c>
      <c r="H23" s="1574">
        <v>1</v>
      </c>
      <c r="I23" s="1574">
        <v>1</v>
      </c>
      <c r="J23" s="1574">
        <v>1</v>
      </c>
      <c r="K23" s="1574">
        <v>1</v>
      </c>
      <c r="L23" s="1574">
        <v>1</v>
      </c>
      <c r="M23" s="1574">
        <v>1</v>
      </c>
      <c r="N23" s="1574">
        <v>1</v>
      </c>
      <c r="O23" s="1574">
        <v>1</v>
      </c>
      <c r="P23" s="1574">
        <v>1</v>
      </c>
      <c r="Q23" s="1571">
        <v>1</v>
      </c>
      <c r="R23" s="1574">
        <v>1</v>
      </c>
      <c r="S23" s="1575">
        <v>1</v>
      </c>
      <c r="T23" s="1576">
        <v>1</v>
      </c>
      <c r="V23" s="1577">
        <f t="shared" si="1"/>
        <v>500</v>
      </c>
      <c r="W23" s="1578">
        <f t="shared" si="1"/>
        <v>500</v>
      </c>
      <c r="X23" s="1578">
        <f t="shared" si="1"/>
        <v>500</v>
      </c>
      <c r="Y23" s="1578">
        <f t="shared" si="1"/>
        <v>500</v>
      </c>
      <c r="Z23" s="1578">
        <f t="shared" si="1"/>
        <v>500</v>
      </c>
      <c r="AA23" s="1578">
        <f t="shared" si="1"/>
        <v>500</v>
      </c>
      <c r="AB23" s="1578">
        <f t="shared" si="1"/>
        <v>500</v>
      </c>
      <c r="AC23" s="1578">
        <f t="shared" si="1"/>
        <v>500</v>
      </c>
      <c r="AD23" s="1578">
        <f t="shared" si="1"/>
        <v>500</v>
      </c>
      <c r="AE23" s="1578">
        <f t="shared" si="1"/>
        <v>500</v>
      </c>
      <c r="AF23" s="1578">
        <f t="shared" si="1"/>
        <v>500</v>
      </c>
      <c r="AG23" s="1578">
        <f t="shared" si="1"/>
        <v>500</v>
      </c>
      <c r="AH23" s="1578">
        <f t="shared" si="1"/>
        <v>500</v>
      </c>
      <c r="AI23" s="1578">
        <f t="shared" si="1"/>
        <v>500</v>
      </c>
      <c r="AJ23" s="1579">
        <f t="shared" si="1"/>
        <v>500</v>
      </c>
    </row>
    <row r="24" spans="1:36" ht="15.75">
      <c r="A24" s="1569">
        <v>20</v>
      </c>
      <c r="B24" s="1585" t="s">
        <v>1688</v>
      </c>
      <c r="C24" s="1571" t="s">
        <v>965</v>
      </c>
      <c r="D24" s="1572">
        <f>'bar+gate'!J18</f>
        <v>2472.44</v>
      </c>
      <c r="E24" s="1572">
        <v>21</v>
      </c>
      <c r="F24" s="1571">
        <v>18</v>
      </c>
      <c r="G24" s="1573">
        <v>18</v>
      </c>
      <c r="H24" s="1574">
        <v>18</v>
      </c>
      <c r="I24" s="1574">
        <v>18</v>
      </c>
      <c r="J24" s="1574">
        <v>21</v>
      </c>
      <c r="K24" s="1574">
        <v>21</v>
      </c>
      <c r="L24" s="1574">
        <v>21</v>
      </c>
      <c r="M24" s="1574">
        <v>21</v>
      </c>
      <c r="N24" s="1574">
        <v>21</v>
      </c>
      <c r="O24" s="1574">
        <v>24</v>
      </c>
      <c r="P24" s="1574">
        <v>24</v>
      </c>
      <c r="Q24" s="1571">
        <v>24</v>
      </c>
      <c r="R24" s="1574">
        <v>24</v>
      </c>
      <c r="S24" s="1575">
        <v>24</v>
      </c>
      <c r="T24" s="1576">
        <v>24</v>
      </c>
      <c r="V24" s="1577">
        <f t="shared" si="1"/>
        <v>44503.92</v>
      </c>
      <c r="W24" s="1578">
        <f t="shared" si="1"/>
        <v>44503.92</v>
      </c>
      <c r="X24" s="1578">
        <f t="shared" si="1"/>
        <v>44503.92</v>
      </c>
      <c r="Y24" s="1578">
        <f t="shared" si="1"/>
        <v>44503.92</v>
      </c>
      <c r="Z24" s="1578">
        <f t="shared" si="1"/>
        <v>51921.24</v>
      </c>
      <c r="AA24" s="1578">
        <f t="shared" si="1"/>
        <v>51921.24</v>
      </c>
      <c r="AB24" s="1578">
        <f t="shared" si="1"/>
        <v>51921.24</v>
      </c>
      <c r="AC24" s="1578">
        <f t="shared" si="1"/>
        <v>51921.24</v>
      </c>
      <c r="AD24" s="1578">
        <f t="shared" si="1"/>
        <v>51921.24</v>
      </c>
      <c r="AE24" s="1578">
        <f t="shared" si="1"/>
        <v>59338.559999999998</v>
      </c>
      <c r="AF24" s="1578">
        <f t="shared" si="1"/>
        <v>59338.559999999998</v>
      </c>
      <c r="AG24" s="1578">
        <f t="shared" si="1"/>
        <v>59338.559999999998</v>
      </c>
      <c r="AH24" s="1578">
        <f t="shared" si="1"/>
        <v>59338.559999999998</v>
      </c>
      <c r="AI24" s="1578">
        <f t="shared" si="1"/>
        <v>59338.559999999998</v>
      </c>
      <c r="AJ24" s="1579">
        <f t="shared" si="1"/>
        <v>59338.559999999998</v>
      </c>
    </row>
    <row r="25" spans="1:36" ht="32.25" thickBot="1">
      <c r="A25" s="1569">
        <v>21</v>
      </c>
      <c r="B25" s="1583" t="s">
        <v>1689</v>
      </c>
      <c r="C25" s="1571" t="s">
        <v>973</v>
      </c>
      <c r="D25" s="1572">
        <f>+'bar+gate'!$J$37</f>
        <v>0</v>
      </c>
      <c r="E25" s="1572">
        <v>1</v>
      </c>
      <c r="F25" s="1571">
        <v>1</v>
      </c>
      <c r="G25" s="1573">
        <v>1</v>
      </c>
      <c r="H25" s="1574">
        <v>1</v>
      </c>
      <c r="I25" s="1574">
        <v>1</v>
      </c>
      <c r="J25" s="1574">
        <v>1</v>
      </c>
      <c r="K25" s="1574">
        <v>1</v>
      </c>
      <c r="L25" s="1574">
        <v>1</v>
      </c>
      <c r="M25" s="1574">
        <v>1</v>
      </c>
      <c r="N25" s="1574">
        <v>1</v>
      </c>
      <c r="O25" s="1574">
        <v>1</v>
      </c>
      <c r="P25" s="1574">
        <v>1</v>
      </c>
      <c r="Q25" s="1571">
        <v>1</v>
      </c>
      <c r="R25" s="1574">
        <v>1</v>
      </c>
      <c r="S25" s="1575">
        <v>1</v>
      </c>
      <c r="T25" s="1576">
        <v>1</v>
      </c>
      <c r="V25" s="1586">
        <f t="shared" si="1"/>
        <v>0</v>
      </c>
      <c r="W25" s="1587">
        <f t="shared" si="1"/>
        <v>0</v>
      </c>
      <c r="X25" s="1587">
        <f t="shared" si="1"/>
        <v>0</v>
      </c>
      <c r="Y25" s="1587">
        <f t="shared" si="1"/>
        <v>0</v>
      </c>
      <c r="Z25" s="1587">
        <f t="shared" si="1"/>
        <v>0</v>
      </c>
      <c r="AA25" s="1587">
        <f t="shared" si="1"/>
        <v>0</v>
      </c>
      <c r="AB25" s="1587">
        <f t="shared" si="1"/>
        <v>0</v>
      </c>
      <c r="AC25" s="1587">
        <f t="shared" si="1"/>
        <v>0</v>
      </c>
      <c r="AD25" s="1587">
        <f t="shared" si="1"/>
        <v>0</v>
      </c>
      <c r="AE25" s="1587">
        <f t="shared" si="1"/>
        <v>0</v>
      </c>
      <c r="AF25" s="1587">
        <f t="shared" si="1"/>
        <v>0</v>
      </c>
      <c r="AG25" s="1587">
        <f t="shared" si="1"/>
        <v>0</v>
      </c>
      <c r="AH25" s="1587">
        <f t="shared" si="1"/>
        <v>0</v>
      </c>
      <c r="AI25" s="1587">
        <f t="shared" si="1"/>
        <v>0</v>
      </c>
      <c r="AJ25" s="1588">
        <f t="shared" si="1"/>
        <v>0</v>
      </c>
    </row>
    <row r="26" spans="1:36" ht="17.25" thickTop="1" thickBot="1">
      <c r="A26" s="1589"/>
      <c r="B26" s="1590"/>
      <c r="C26" s="1591"/>
      <c r="D26" s="1591"/>
      <c r="E26" s="1591"/>
      <c r="F26" s="1592"/>
      <c r="G26" s="1593">
        <f>SUMPRODUCT($D5:$D25,G5:G25)</f>
        <v>170566.38269</v>
      </c>
      <c r="H26" s="1594"/>
      <c r="I26" s="1594"/>
      <c r="J26" s="1594"/>
      <c r="K26" s="1594"/>
      <c r="L26" s="1594"/>
      <c r="M26" s="1594"/>
      <c r="N26" s="1594"/>
      <c r="O26" s="1594"/>
      <c r="P26" s="1594"/>
      <c r="Q26" s="1594"/>
      <c r="R26" s="1594"/>
      <c r="S26" s="1595"/>
      <c r="T26" s="1596"/>
      <c r="V26" s="654">
        <f>SUM(V5:V25)</f>
        <v>150799.61738999997</v>
      </c>
      <c r="W26" s="654">
        <f t="shared" ref="W26:AJ26" si="2">SUM(W5:W25)</f>
        <v>170566.38269</v>
      </c>
      <c r="X26" s="654">
        <f t="shared" si="2"/>
        <v>190366.03722</v>
      </c>
      <c r="Y26" s="654">
        <f t="shared" si="2"/>
        <v>206017.53172000003</v>
      </c>
      <c r="Z26" s="654">
        <f t="shared" si="2"/>
        <v>236852.68385</v>
      </c>
      <c r="AA26" s="654">
        <f t="shared" si="2"/>
        <v>249958.78345000002</v>
      </c>
      <c r="AB26" s="654">
        <f t="shared" si="2"/>
        <v>259815.02335</v>
      </c>
      <c r="AC26" s="654">
        <f t="shared" si="2"/>
        <v>272931.38024999999</v>
      </c>
      <c r="AD26" s="654">
        <f t="shared" si="2"/>
        <v>290412.80111999996</v>
      </c>
      <c r="AE26" s="654">
        <f t="shared" si="2"/>
        <v>309778.07281999988</v>
      </c>
      <c r="AF26" s="654">
        <f t="shared" si="2"/>
        <v>329723.40521999996</v>
      </c>
      <c r="AG26" s="654">
        <f t="shared" si="2"/>
        <v>363534.61608999997</v>
      </c>
      <c r="AH26" s="654">
        <f t="shared" si="2"/>
        <v>382468.28558999998</v>
      </c>
      <c r="AI26" s="654">
        <f t="shared" si="2"/>
        <v>410469.96110000001</v>
      </c>
      <c r="AJ26" s="654">
        <f t="shared" si="2"/>
        <v>427006.67469999997</v>
      </c>
    </row>
    <row r="27" spans="1:36" ht="13.5" thickTop="1"/>
  </sheetData>
  <pageMargins left="0.6" right="0.43" top="0.56000000000000005" bottom="0.25" header="0.38" footer="0.5"/>
  <pageSetup paperSize="9" orientation="landscape" horizontalDpi="120" verticalDpi="144"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FF0000"/>
  </sheetPr>
  <dimension ref="A1:W89"/>
  <sheetViews>
    <sheetView workbookViewId="0"/>
  </sheetViews>
  <sheetFormatPr defaultColWidth="8.85546875" defaultRowHeight="12.75"/>
  <cols>
    <col min="1" max="1" width="9" style="536" customWidth="1"/>
    <col min="2" max="2" width="10.7109375" style="536" customWidth="1"/>
    <col min="3" max="3" width="12.42578125" style="536" bestFit="1" customWidth="1"/>
    <col min="4" max="4" width="8.140625" style="536" customWidth="1"/>
    <col min="5" max="5" width="9.5703125" style="536" customWidth="1"/>
    <col min="6" max="16384" width="8.85546875" style="536"/>
  </cols>
  <sheetData>
    <row r="1" spans="1:23">
      <c r="A1" s="655"/>
      <c r="B1" s="655"/>
      <c r="C1" s="655"/>
      <c r="D1" s="655"/>
      <c r="E1" s="655"/>
      <c r="F1" s="655"/>
      <c r="G1" s="655"/>
      <c r="H1" s="655"/>
      <c r="I1" s="655"/>
      <c r="J1" s="655"/>
      <c r="K1" s="655"/>
      <c r="L1" s="655"/>
      <c r="M1" s="655"/>
      <c r="N1" s="655"/>
      <c r="O1" s="655"/>
      <c r="P1" s="655"/>
      <c r="Q1" s="655"/>
      <c r="R1" s="655"/>
      <c r="S1" s="655"/>
      <c r="T1" s="655"/>
      <c r="U1" s="655"/>
      <c r="V1" s="655"/>
      <c r="W1" s="655"/>
    </row>
    <row r="2" spans="1:23">
      <c r="A2" s="615" t="s">
        <v>2742</v>
      </c>
      <c r="B2" s="655"/>
      <c r="C2" s="655"/>
      <c r="D2" s="679"/>
      <c r="E2" s="655"/>
      <c r="F2" s="615" t="s">
        <v>2743</v>
      </c>
      <c r="G2" s="655"/>
      <c r="H2" s="655"/>
      <c r="I2" s="655"/>
      <c r="J2" s="655"/>
      <c r="K2" s="655"/>
      <c r="L2" s="655"/>
      <c r="M2" s="655"/>
      <c r="N2" s="655"/>
      <c r="O2" s="655"/>
      <c r="P2" s="655"/>
      <c r="Q2" s="655"/>
      <c r="R2" s="655"/>
      <c r="S2" s="655"/>
      <c r="T2" s="655"/>
      <c r="U2" s="655"/>
      <c r="V2" s="655"/>
      <c r="W2" s="655"/>
    </row>
    <row r="3" spans="1:23" ht="24" customHeight="1">
      <c r="A3" s="1597"/>
      <c r="B3" s="1598"/>
      <c r="C3" s="1599" t="s">
        <v>2744</v>
      </c>
      <c r="D3" s="1600" t="s">
        <v>2745</v>
      </c>
      <c r="F3" s="1601" t="s">
        <v>2746</v>
      </c>
      <c r="G3" s="1601" t="s">
        <v>2747</v>
      </c>
      <c r="H3" s="1601" t="s">
        <v>2748</v>
      </c>
      <c r="I3" s="1601" t="s">
        <v>2749</v>
      </c>
      <c r="J3" s="1602" t="s">
        <v>2750</v>
      </c>
      <c r="K3" s="1603"/>
      <c r="M3" s="1604"/>
    </row>
    <row r="4" spans="1:23">
      <c r="A4" s="1605">
        <v>15</v>
      </c>
      <c r="B4" s="716" t="s">
        <v>2751</v>
      </c>
      <c r="C4" s="655">
        <v>1.284</v>
      </c>
      <c r="D4" s="1606">
        <v>172</v>
      </c>
      <c r="F4" s="1607">
        <v>1</v>
      </c>
      <c r="G4" s="1607">
        <v>0.3</v>
      </c>
      <c r="H4" s="1607">
        <v>0.9</v>
      </c>
      <c r="I4" s="1607">
        <v>1.5</v>
      </c>
      <c r="J4" s="1608">
        <v>18</v>
      </c>
      <c r="K4" s="1607"/>
      <c r="L4" s="654"/>
      <c r="M4" s="655"/>
    </row>
    <row r="5" spans="1:23" ht="15">
      <c r="A5" s="1605">
        <v>20</v>
      </c>
      <c r="B5" s="716" t="s">
        <v>2751</v>
      </c>
      <c r="C5" s="655">
        <v>1.6579999999999999</v>
      </c>
      <c r="D5" s="1609">
        <v>220</v>
      </c>
      <c r="F5" s="1607">
        <v>2</v>
      </c>
      <c r="G5" s="1607">
        <v>0.3</v>
      </c>
      <c r="H5" s="1607">
        <v>1.4</v>
      </c>
      <c r="I5" s="1607">
        <v>1.5</v>
      </c>
      <c r="J5" s="1608">
        <v>18</v>
      </c>
      <c r="K5" s="1607"/>
      <c r="L5" s="654"/>
      <c r="M5" s="655"/>
    </row>
    <row r="6" spans="1:23" ht="15">
      <c r="A6" s="1605">
        <v>25</v>
      </c>
      <c r="B6" s="716" t="s">
        <v>2751</v>
      </c>
      <c r="C6" s="655">
        <v>2.5299999999999998</v>
      </c>
      <c r="D6" s="1609">
        <v>328</v>
      </c>
      <c r="F6" s="1607">
        <v>3</v>
      </c>
      <c r="G6" s="1607">
        <v>0.4</v>
      </c>
      <c r="H6" s="1607">
        <v>1.2</v>
      </c>
      <c r="I6" s="1607">
        <v>2</v>
      </c>
      <c r="J6" s="1608">
        <v>18</v>
      </c>
      <c r="K6" s="1607"/>
      <c r="L6" s="654"/>
      <c r="M6" s="655"/>
    </row>
    <row r="7" spans="1:23" ht="15">
      <c r="A7" s="1605">
        <v>32</v>
      </c>
      <c r="B7" s="716" t="s">
        <v>2751</v>
      </c>
      <c r="C7" s="655">
        <v>3.2789999999999999</v>
      </c>
      <c r="D7" s="1609">
        <v>427</v>
      </c>
      <c r="F7" s="1607">
        <v>4</v>
      </c>
      <c r="G7" s="1607">
        <v>0.4</v>
      </c>
      <c r="H7" s="1607">
        <v>1.5</v>
      </c>
      <c r="I7" s="1607">
        <v>2</v>
      </c>
      <c r="J7" s="1608">
        <v>18</v>
      </c>
      <c r="K7" s="1610"/>
      <c r="L7" s="654"/>
      <c r="M7" s="655"/>
    </row>
    <row r="8" spans="1:23" ht="15">
      <c r="A8" s="1605">
        <v>40</v>
      </c>
      <c r="B8" s="716" t="s">
        <v>2751</v>
      </c>
      <c r="C8" s="655">
        <v>3.7879999999999998</v>
      </c>
      <c r="D8" s="1609">
        <v>490</v>
      </c>
      <c r="F8" s="1607">
        <v>5</v>
      </c>
      <c r="G8" s="1607">
        <v>0.4</v>
      </c>
      <c r="H8" s="1607">
        <v>1.3</v>
      </c>
      <c r="I8" s="1607">
        <v>2.5</v>
      </c>
      <c r="J8" s="1608">
        <v>21</v>
      </c>
      <c r="K8" s="1610"/>
      <c r="L8" s="654"/>
      <c r="M8" s="655"/>
    </row>
    <row r="9" spans="1:23" ht="15">
      <c r="A9" s="1605">
        <v>50</v>
      </c>
      <c r="B9" s="716" t="s">
        <v>2751</v>
      </c>
      <c r="C9" s="655">
        <v>5.319</v>
      </c>
      <c r="D9" s="1609">
        <v>670</v>
      </c>
      <c r="F9" s="1607">
        <v>6</v>
      </c>
      <c r="G9" s="1607">
        <v>0.4</v>
      </c>
      <c r="H9" s="1607">
        <v>1.5</v>
      </c>
      <c r="I9" s="1607">
        <v>2.5</v>
      </c>
      <c r="J9" s="1608">
        <v>21</v>
      </c>
      <c r="K9" s="1610"/>
      <c r="L9" s="654"/>
      <c r="M9" s="655"/>
    </row>
    <row r="10" spans="1:23">
      <c r="A10" s="1605">
        <v>65</v>
      </c>
      <c r="B10" s="716" t="s">
        <v>2751</v>
      </c>
      <c r="C10" s="655">
        <v>6.3490000000000002</v>
      </c>
      <c r="D10" s="1606">
        <v>855</v>
      </c>
      <c r="F10" s="1607">
        <v>7</v>
      </c>
      <c r="G10" s="1607">
        <v>0.4</v>
      </c>
      <c r="H10" s="1607">
        <v>1.65</v>
      </c>
      <c r="I10" s="1607">
        <v>2.5</v>
      </c>
      <c r="J10" s="1608">
        <v>21</v>
      </c>
      <c r="K10" s="1610"/>
      <c r="L10" s="654"/>
      <c r="M10" s="655"/>
    </row>
    <row r="11" spans="1:23">
      <c r="A11" s="1605">
        <v>80</v>
      </c>
      <c r="B11" s="716" t="s">
        <v>2751</v>
      </c>
      <c r="C11" s="655">
        <v>8.85</v>
      </c>
      <c r="D11" s="1606">
        <v>1060</v>
      </c>
      <c r="F11" s="1607">
        <v>8</v>
      </c>
      <c r="G11" s="1607">
        <v>0.4</v>
      </c>
      <c r="H11" s="1607">
        <v>1.85</v>
      </c>
      <c r="I11" s="1607">
        <v>2.5</v>
      </c>
      <c r="J11" s="1608">
        <v>21</v>
      </c>
      <c r="K11" s="1610"/>
      <c r="L11" s="654"/>
      <c r="M11" s="655"/>
    </row>
    <row r="12" spans="1:23">
      <c r="A12" s="1605">
        <v>100</v>
      </c>
      <c r="B12" s="716" t="s">
        <v>2751</v>
      </c>
      <c r="C12" s="655">
        <v>12.99</v>
      </c>
      <c r="D12" s="1606">
        <v>1573</v>
      </c>
      <c r="F12" s="1607">
        <v>9</v>
      </c>
      <c r="G12" s="1607">
        <v>0.5</v>
      </c>
      <c r="H12" s="1607">
        <v>1.5</v>
      </c>
      <c r="I12" s="1607">
        <v>3</v>
      </c>
      <c r="J12" s="1608">
        <v>21</v>
      </c>
      <c r="K12" s="1610"/>
      <c r="L12" s="654"/>
      <c r="M12" s="655"/>
    </row>
    <row r="13" spans="1:23">
      <c r="A13" s="1605">
        <v>125</v>
      </c>
      <c r="B13" s="716" t="s">
        <v>2751</v>
      </c>
      <c r="C13" s="655">
        <v>16.95</v>
      </c>
      <c r="D13" s="1606">
        <v>2180</v>
      </c>
      <c r="F13" s="1607">
        <v>10</v>
      </c>
      <c r="G13" s="1607">
        <v>0.5</v>
      </c>
      <c r="H13" s="1607">
        <v>1.65</v>
      </c>
      <c r="I13" s="1607">
        <v>3</v>
      </c>
      <c r="J13" s="1608">
        <v>24</v>
      </c>
      <c r="K13" s="1610"/>
      <c r="L13" s="654"/>
      <c r="M13" s="655"/>
    </row>
    <row r="14" spans="1:23">
      <c r="A14" s="1605">
        <v>150</v>
      </c>
      <c r="B14" s="716" t="s">
        <v>2751</v>
      </c>
      <c r="C14" s="656">
        <v>20</v>
      </c>
      <c r="D14" s="1606">
        <v>2633</v>
      </c>
      <c r="F14" s="1607">
        <v>12</v>
      </c>
      <c r="G14" s="1607">
        <v>0.5</v>
      </c>
      <c r="H14" s="1607">
        <v>1.9</v>
      </c>
      <c r="I14" s="1607">
        <v>3</v>
      </c>
      <c r="J14" s="1608">
        <v>24</v>
      </c>
      <c r="K14" s="1610"/>
      <c r="L14" s="654"/>
      <c r="M14" s="655"/>
    </row>
    <row r="15" spans="1:23">
      <c r="A15" s="1605"/>
      <c r="B15" s="1611"/>
      <c r="C15" s="655"/>
      <c r="D15" s="1612"/>
      <c r="F15" s="1607">
        <v>14</v>
      </c>
      <c r="G15" s="1607">
        <v>0.6</v>
      </c>
      <c r="H15" s="1607">
        <v>1.7</v>
      </c>
      <c r="I15" s="1607">
        <v>3.5</v>
      </c>
      <c r="J15" s="1608">
        <v>24</v>
      </c>
      <c r="L15" s="654"/>
      <c r="M15" s="655"/>
    </row>
    <row r="16" spans="1:23">
      <c r="A16" s="1613"/>
      <c r="D16" s="1614"/>
      <c r="F16" s="1607">
        <v>16</v>
      </c>
      <c r="G16" s="1607">
        <v>0.6</v>
      </c>
      <c r="H16" s="1607">
        <v>1.9</v>
      </c>
      <c r="I16" s="1607">
        <v>3.5</v>
      </c>
      <c r="J16" s="1608">
        <v>24</v>
      </c>
      <c r="L16" s="654"/>
      <c r="M16" s="655"/>
    </row>
    <row r="17" spans="1:13">
      <c r="A17" s="1605">
        <v>15</v>
      </c>
      <c r="B17" s="716" t="s">
        <v>1411</v>
      </c>
      <c r="C17" s="655">
        <v>1.5129999999999999</v>
      </c>
      <c r="D17" s="1615">
        <v>203</v>
      </c>
      <c r="F17" s="1607">
        <v>18</v>
      </c>
      <c r="G17" s="1607">
        <v>0.7</v>
      </c>
      <c r="H17" s="1607">
        <v>1.65</v>
      </c>
      <c r="I17" s="1607">
        <v>4</v>
      </c>
      <c r="J17" s="1608">
        <v>24</v>
      </c>
      <c r="L17" s="654"/>
      <c r="M17" s="655"/>
    </row>
    <row r="18" spans="1:13">
      <c r="A18" s="1605">
        <v>20</v>
      </c>
      <c r="B18" s="716" t="s">
        <v>1411</v>
      </c>
      <c r="C18" s="655">
        <v>1.9690000000000001</v>
      </c>
      <c r="D18" s="1615">
        <v>257</v>
      </c>
      <c r="F18" s="1616">
        <v>20</v>
      </c>
      <c r="G18" s="1616">
        <v>0.7</v>
      </c>
      <c r="H18" s="1616">
        <v>1.8</v>
      </c>
      <c r="I18" s="1616">
        <v>4</v>
      </c>
      <c r="J18" s="1617">
        <v>24</v>
      </c>
      <c r="L18" s="654"/>
      <c r="M18" s="655"/>
    </row>
    <row r="19" spans="1:13">
      <c r="A19" s="1605">
        <v>25</v>
      </c>
      <c r="B19" s="716" t="s">
        <v>1411</v>
      </c>
      <c r="C19" s="655">
        <v>3.077</v>
      </c>
      <c r="D19" s="1615">
        <v>383</v>
      </c>
      <c r="F19" s="1618"/>
      <c r="G19" s="1618"/>
      <c r="H19" s="1618"/>
      <c r="I19" s="1618"/>
      <c r="J19" s="1056"/>
      <c r="L19" s="654"/>
      <c r="M19" s="655"/>
    </row>
    <row r="20" spans="1:13">
      <c r="A20" s="1605">
        <v>32</v>
      </c>
      <c r="B20" s="716" t="s">
        <v>1411</v>
      </c>
      <c r="C20" s="655">
        <v>3.968</v>
      </c>
      <c r="D20" s="1615">
        <v>490</v>
      </c>
      <c r="F20" s="1618"/>
      <c r="G20" s="1618"/>
      <c r="H20" s="1618"/>
      <c r="I20" s="1618"/>
      <c r="J20" s="1056"/>
    </row>
    <row r="21" spans="1:13">
      <c r="A21" s="1605">
        <v>40</v>
      </c>
      <c r="B21" s="716" t="s">
        <v>1411</v>
      </c>
      <c r="C21" s="655">
        <v>4.5869999999999997</v>
      </c>
      <c r="D21" s="1615">
        <v>565</v>
      </c>
    </row>
    <row r="22" spans="1:13">
      <c r="A22" s="1605">
        <v>50</v>
      </c>
      <c r="B22" s="716" t="s">
        <v>1411</v>
      </c>
      <c r="C22" s="655">
        <v>6.3689999999999998</v>
      </c>
      <c r="D22" s="1615">
        <v>823</v>
      </c>
    </row>
    <row r="23" spans="1:13">
      <c r="A23" s="1605">
        <v>65</v>
      </c>
      <c r="B23" s="716" t="s">
        <v>1411</v>
      </c>
      <c r="C23" s="655">
        <v>8.1969999999999992</v>
      </c>
      <c r="D23" s="1615">
        <v>1032</v>
      </c>
    </row>
    <row r="24" spans="1:13">
      <c r="A24" s="1605">
        <v>80</v>
      </c>
      <c r="B24" s="716" t="s">
        <v>1411</v>
      </c>
      <c r="C24" s="655">
        <v>10.417</v>
      </c>
      <c r="D24" s="1615">
        <v>1215</v>
      </c>
    </row>
    <row r="25" spans="1:13">
      <c r="A25" s="1605">
        <v>100</v>
      </c>
      <c r="B25" s="716" t="s">
        <v>1411</v>
      </c>
      <c r="C25" s="655">
        <v>15.436</v>
      </c>
      <c r="D25" s="1615">
        <v>1883</v>
      </c>
    </row>
    <row r="26" spans="1:13">
      <c r="A26" s="1605">
        <v>125</v>
      </c>
      <c r="B26" s="716" t="s">
        <v>1411</v>
      </c>
      <c r="C26" s="655">
        <v>18.52</v>
      </c>
      <c r="D26" s="1615">
        <v>2440</v>
      </c>
    </row>
    <row r="27" spans="1:13">
      <c r="A27" s="1619">
        <v>150</v>
      </c>
      <c r="B27" s="1620" t="s">
        <v>1411</v>
      </c>
      <c r="C27" s="1621">
        <v>22.22</v>
      </c>
      <c r="D27" s="1622">
        <v>2767</v>
      </c>
    </row>
    <row r="28" spans="1:13">
      <c r="A28" s="1623"/>
      <c r="B28" s="1611"/>
      <c r="C28" s="655"/>
    </row>
    <row r="29" spans="1:13">
      <c r="A29" s="536" t="s">
        <v>2752</v>
      </c>
    </row>
    <row r="30" spans="1:13">
      <c r="A30" s="642" t="s">
        <v>2753</v>
      </c>
      <c r="B30" s="642" t="s">
        <v>2754</v>
      </c>
      <c r="C30" s="1624" t="s">
        <v>2755</v>
      </c>
      <c r="D30" s="642" t="s">
        <v>2756</v>
      </c>
      <c r="E30" s="642" t="s">
        <v>2757</v>
      </c>
    </row>
    <row r="31" spans="1:13">
      <c r="A31" s="642">
        <f t="shared" ref="A31:A89" si="0">B31+C31</f>
        <v>26</v>
      </c>
      <c r="B31" s="1625">
        <v>16</v>
      </c>
      <c r="C31" s="1626">
        <v>10</v>
      </c>
      <c r="D31" s="1627">
        <v>9.1999999999999998E-2</v>
      </c>
      <c r="E31" s="1628">
        <f>ROUND(SQRT(B31^2-4000000*D31/PI()/959),1)</f>
        <v>11.6</v>
      </c>
    </row>
    <row r="32" spans="1:13">
      <c r="A32" s="642">
        <f t="shared" si="0"/>
        <v>30</v>
      </c>
      <c r="B32" s="1625">
        <v>20</v>
      </c>
      <c r="C32" s="1626">
        <v>10</v>
      </c>
      <c r="D32" s="1627">
        <v>0.13400000000000001</v>
      </c>
      <c r="E32" s="1628">
        <f t="shared" ref="E32:E89" si="1">ROUND(SQRT(B32^2-4000000*D32/PI()/959),1)</f>
        <v>14.9</v>
      </c>
    </row>
    <row r="33" spans="1:5">
      <c r="A33" s="642">
        <f t="shared" si="0"/>
        <v>35</v>
      </c>
      <c r="B33" s="1625">
        <v>25</v>
      </c>
      <c r="C33" s="1626">
        <v>10</v>
      </c>
      <c r="D33" s="1627">
        <v>0.20200000000000001</v>
      </c>
      <c r="E33" s="1628">
        <f t="shared" si="1"/>
        <v>18.899999999999999</v>
      </c>
    </row>
    <row r="34" spans="1:5">
      <c r="A34" s="642">
        <f t="shared" si="0"/>
        <v>38</v>
      </c>
      <c r="B34" s="1625">
        <v>32</v>
      </c>
      <c r="C34" s="1626">
        <v>6</v>
      </c>
      <c r="D34" s="1627">
        <v>0.22600000000000001</v>
      </c>
      <c r="E34" s="1628">
        <f t="shared" si="1"/>
        <v>26.9</v>
      </c>
    </row>
    <row r="35" spans="1:5">
      <c r="A35" s="642">
        <f t="shared" si="0"/>
        <v>42</v>
      </c>
      <c r="B35" s="1625">
        <v>32</v>
      </c>
      <c r="C35" s="1626">
        <v>10</v>
      </c>
      <c r="D35" s="1627">
        <v>0.33400000000000002</v>
      </c>
      <c r="E35" s="1628">
        <f t="shared" si="1"/>
        <v>24.1</v>
      </c>
    </row>
    <row r="36" spans="1:5">
      <c r="A36" s="642">
        <f t="shared" si="0"/>
        <v>44</v>
      </c>
      <c r="B36" s="1625">
        <v>40</v>
      </c>
      <c r="C36" s="1626">
        <v>4</v>
      </c>
      <c r="D36" s="1627">
        <v>0.251</v>
      </c>
      <c r="E36" s="1628">
        <f t="shared" si="1"/>
        <v>35.6</v>
      </c>
    </row>
    <row r="37" spans="1:5">
      <c r="A37" s="642">
        <f t="shared" si="0"/>
        <v>46</v>
      </c>
      <c r="B37" s="1625">
        <v>40</v>
      </c>
      <c r="C37" s="1626">
        <v>6</v>
      </c>
      <c r="D37" s="1627">
        <v>0.35</v>
      </c>
      <c r="E37" s="1628">
        <f t="shared" si="1"/>
        <v>33.700000000000003</v>
      </c>
    </row>
    <row r="38" spans="1:5">
      <c r="A38" s="642">
        <f t="shared" si="0"/>
        <v>50</v>
      </c>
      <c r="B38" s="1625">
        <v>40</v>
      </c>
      <c r="C38" s="1626">
        <v>10</v>
      </c>
      <c r="D38" s="1627">
        <v>0.51400000000000001</v>
      </c>
      <c r="E38" s="1628">
        <f t="shared" si="1"/>
        <v>30.3</v>
      </c>
    </row>
    <row r="39" spans="1:5">
      <c r="A39" s="642">
        <f t="shared" si="0"/>
        <v>54</v>
      </c>
      <c r="B39" s="1625">
        <v>50</v>
      </c>
      <c r="C39" s="1626">
        <v>4</v>
      </c>
      <c r="D39" s="1627">
        <v>0.378</v>
      </c>
      <c r="E39" s="1628">
        <f t="shared" si="1"/>
        <v>44.7</v>
      </c>
    </row>
    <row r="40" spans="1:5">
      <c r="A40" s="642">
        <f t="shared" si="0"/>
        <v>56</v>
      </c>
      <c r="B40" s="1625">
        <v>50</v>
      </c>
      <c r="C40" s="1626">
        <v>6</v>
      </c>
      <c r="D40" s="1627">
        <v>0.54200000000000004</v>
      </c>
      <c r="E40" s="1628">
        <f t="shared" si="1"/>
        <v>42.2</v>
      </c>
    </row>
    <row r="41" spans="1:5">
      <c r="A41" s="642">
        <f t="shared" si="0"/>
        <v>60</v>
      </c>
      <c r="B41" s="1625">
        <v>50</v>
      </c>
      <c r="C41" s="1626">
        <v>10</v>
      </c>
      <c r="D41" s="1627">
        <v>0.79600000000000004</v>
      </c>
      <c r="E41" s="1628">
        <f t="shared" si="1"/>
        <v>38</v>
      </c>
    </row>
    <row r="42" spans="1:5">
      <c r="A42" s="642">
        <f t="shared" si="0"/>
        <v>65.5</v>
      </c>
      <c r="B42" s="1625">
        <v>63</v>
      </c>
      <c r="C42" s="1626">
        <v>2.5</v>
      </c>
      <c r="D42" s="1627">
        <v>0.40300000000000002</v>
      </c>
      <c r="E42" s="1628">
        <f t="shared" si="1"/>
        <v>58.6</v>
      </c>
    </row>
    <row r="43" spans="1:5">
      <c r="A43" s="642">
        <f t="shared" si="0"/>
        <v>67</v>
      </c>
      <c r="B43" s="1625">
        <v>63</v>
      </c>
      <c r="C43" s="1626">
        <v>4</v>
      </c>
      <c r="D43" s="1627">
        <v>0.58499999999999996</v>
      </c>
      <c r="E43" s="1628">
        <f t="shared" si="1"/>
        <v>56.5</v>
      </c>
    </row>
    <row r="44" spans="1:5">
      <c r="A44" s="642">
        <f t="shared" si="0"/>
        <v>69</v>
      </c>
      <c r="B44" s="1625">
        <v>63</v>
      </c>
      <c r="C44" s="1626">
        <v>6</v>
      </c>
      <c r="D44" s="1627">
        <v>0.85</v>
      </c>
      <c r="E44" s="1628">
        <f t="shared" si="1"/>
        <v>53.3</v>
      </c>
    </row>
    <row r="45" spans="1:5">
      <c r="A45" s="642">
        <f t="shared" si="0"/>
        <v>73</v>
      </c>
      <c r="B45" s="1625">
        <v>63</v>
      </c>
      <c r="C45" s="1626">
        <v>10</v>
      </c>
      <c r="D45" s="1627">
        <v>1.2689999999999999</v>
      </c>
      <c r="E45" s="1628">
        <f t="shared" si="1"/>
        <v>47.8</v>
      </c>
    </row>
    <row r="46" spans="1:5">
      <c r="A46" s="642">
        <f t="shared" si="0"/>
        <v>77.5</v>
      </c>
      <c r="B46" s="1625">
        <v>75</v>
      </c>
      <c r="C46" s="1626">
        <v>2.5</v>
      </c>
      <c r="D46" s="1627">
        <v>0.55700000000000005</v>
      </c>
      <c r="E46" s="1628">
        <f t="shared" si="1"/>
        <v>69.900000000000006</v>
      </c>
    </row>
    <row r="47" spans="1:5">
      <c r="A47" s="642">
        <f t="shared" si="0"/>
        <v>79</v>
      </c>
      <c r="B47" s="1625">
        <v>75</v>
      </c>
      <c r="C47" s="1626">
        <v>4</v>
      </c>
      <c r="D47" s="1627">
        <v>0.84599999999999997</v>
      </c>
      <c r="E47" s="1628">
        <f t="shared" si="1"/>
        <v>67.099999999999994</v>
      </c>
    </row>
    <row r="48" spans="1:5">
      <c r="A48" s="642">
        <f t="shared" si="0"/>
        <v>81</v>
      </c>
      <c r="B48" s="1625">
        <v>75</v>
      </c>
      <c r="C48" s="1626">
        <v>6</v>
      </c>
      <c r="D48" s="1627">
        <v>1.1910000000000001</v>
      </c>
      <c r="E48" s="1628">
        <f t="shared" si="1"/>
        <v>63.6</v>
      </c>
    </row>
    <row r="49" spans="1:5">
      <c r="A49" s="642">
        <f t="shared" si="0"/>
        <v>85</v>
      </c>
      <c r="B49" s="1625">
        <v>75</v>
      </c>
      <c r="C49" s="1626">
        <v>10</v>
      </c>
      <c r="D49" s="1627">
        <v>1.782</v>
      </c>
      <c r="E49" s="1628">
        <f t="shared" si="1"/>
        <v>57.1</v>
      </c>
    </row>
    <row r="50" spans="1:5">
      <c r="A50" s="642">
        <f t="shared" si="0"/>
        <v>92.5</v>
      </c>
      <c r="B50" s="1625">
        <v>90</v>
      </c>
      <c r="C50" s="1626">
        <v>2.5</v>
      </c>
      <c r="D50" s="1627">
        <v>0.79900000000000004</v>
      </c>
      <c r="E50" s="1628">
        <f t="shared" si="1"/>
        <v>83.9</v>
      </c>
    </row>
    <row r="51" spans="1:5">
      <c r="A51" s="642">
        <f t="shared" si="0"/>
        <v>94</v>
      </c>
      <c r="B51" s="1625">
        <v>90</v>
      </c>
      <c r="C51" s="1626">
        <v>4</v>
      </c>
      <c r="D51" s="1627">
        <v>1.22</v>
      </c>
      <c r="E51" s="1628">
        <f t="shared" si="1"/>
        <v>80.5</v>
      </c>
    </row>
    <row r="52" spans="1:5">
      <c r="A52" s="642">
        <f t="shared" si="0"/>
        <v>96</v>
      </c>
      <c r="B52" s="1625">
        <v>90</v>
      </c>
      <c r="C52" s="1626">
        <v>6</v>
      </c>
      <c r="D52" s="1627">
        <v>1.7150000000000001</v>
      </c>
      <c r="E52" s="1628">
        <f t="shared" si="1"/>
        <v>76.3</v>
      </c>
    </row>
    <row r="53" spans="1:5">
      <c r="A53" s="642">
        <f t="shared" si="0"/>
        <v>100</v>
      </c>
      <c r="B53" s="1625">
        <v>90</v>
      </c>
      <c r="C53" s="1626">
        <v>10</v>
      </c>
      <c r="D53" s="1627">
        <v>2.5680000000000001</v>
      </c>
      <c r="E53" s="1628">
        <f t="shared" si="1"/>
        <v>68.5</v>
      </c>
    </row>
    <row r="54" spans="1:5">
      <c r="A54" s="642">
        <f t="shared" si="0"/>
        <v>112.5</v>
      </c>
      <c r="B54" s="1625">
        <v>110</v>
      </c>
      <c r="C54" s="1626">
        <v>2.5</v>
      </c>
      <c r="D54" s="1627">
        <v>1.1850000000000001</v>
      </c>
      <c r="E54" s="1628">
        <f t="shared" si="1"/>
        <v>102.6</v>
      </c>
    </row>
    <row r="55" spans="1:5">
      <c r="A55" s="642">
        <f t="shared" si="0"/>
        <v>114</v>
      </c>
      <c r="B55" s="1625">
        <v>110</v>
      </c>
      <c r="C55" s="1626">
        <v>4</v>
      </c>
      <c r="D55" s="1627">
        <v>1.7030000000000001</v>
      </c>
      <c r="E55" s="1628">
        <f t="shared" si="1"/>
        <v>99.2</v>
      </c>
    </row>
    <row r="56" spans="1:5">
      <c r="A56" s="642">
        <f t="shared" si="0"/>
        <v>116</v>
      </c>
      <c r="B56" s="1625">
        <v>110</v>
      </c>
      <c r="C56" s="1626">
        <v>6</v>
      </c>
      <c r="D56" s="1627">
        <v>2.5449999999999999</v>
      </c>
      <c r="E56" s="1628">
        <f t="shared" si="1"/>
        <v>93.4</v>
      </c>
    </row>
    <row r="57" spans="1:5">
      <c r="A57" s="642">
        <f t="shared" si="0"/>
        <v>120</v>
      </c>
      <c r="B57" s="1625">
        <v>110</v>
      </c>
      <c r="C57" s="1626">
        <v>10</v>
      </c>
      <c r="D57" s="1627">
        <v>3.8010000000000002</v>
      </c>
      <c r="E57" s="1628">
        <f t="shared" si="1"/>
        <v>84</v>
      </c>
    </row>
    <row r="58" spans="1:5">
      <c r="A58" s="642">
        <f t="shared" si="0"/>
        <v>127.5</v>
      </c>
      <c r="B58" s="1625">
        <v>125</v>
      </c>
      <c r="C58" s="1626">
        <v>2.5</v>
      </c>
      <c r="D58" s="1627">
        <v>1.53</v>
      </c>
      <c r="E58" s="1628">
        <f t="shared" si="1"/>
        <v>116.6</v>
      </c>
    </row>
    <row r="59" spans="1:5">
      <c r="A59" s="642">
        <f t="shared" si="0"/>
        <v>129</v>
      </c>
      <c r="B59" s="1625">
        <v>125</v>
      </c>
      <c r="C59" s="1626">
        <v>4</v>
      </c>
      <c r="D59" s="1627">
        <v>2.2890000000000001</v>
      </c>
      <c r="E59" s="1628">
        <f t="shared" si="1"/>
        <v>112.2</v>
      </c>
    </row>
    <row r="60" spans="1:5">
      <c r="A60" s="642">
        <f t="shared" si="0"/>
        <v>131</v>
      </c>
      <c r="B60" s="1625">
        <v>125</v>
      </c>
      <c r="C60" s="1626">
        <v>6</v>
      </c>
      <c r="D60" s="1627">
        <v>3.2930000000000001</v>
      </c>
      <c r="E60" s="1628">
        <f t="shared" si="1"/>
        <v>106.1</v>
      </c>
    </row>
    <row r="61" spans="1:5">
      <c r="A61" s="642">
        <f t="shared" si="0"/>
        <v>135</v>
      </c>
      <c r="B61" s="1625">
        <v>125</v>
      </c>
      <c r="C61" s="1626">
        <v>10</v>
      </c>
      <c r="D61" s="1627">
        <v>4.9619999999999997</v>
      </c>
      <c r="E61" s="1628">
        <f t="shared" si="1"/>
        <v>95.1</v>
      </c>
    </row>
    <row r="62" spans="1:5">
      <c r="A62" s="642">
        <f t="shared" si="0"/>
        <v>142.5</v>
      </c>
      <c r="B62" s="1625">
        <v>140</v>
      </c>
      <c r="C62" s="1626">
        <v>2.5</v>
      </c>
      <c r="D62" s="1627">
        <v>1.897</v>
      </c>
      <c r="E62" s="1628">
        <f t="shared" si="1"/>
        <v>130.69999999999999</v>
      </c>
    </row>
    <row r="63" spans="1:5">
      <c r="A63" s="642">
        <f t="shared" si="0"/>
        <v>144</v>
      </c>
      <c r="B63" s="1625">
        <v>140</v>
      </c>
      <c r="C63" s="1626">
        <v>4</v>
      </c>
      <c r="D63" s="1627">
        <v>2.9009999999999998</v>
      </c>
      <c r="E63" s="1628">
        <f t="shared" si="1"/>
        <v>125.5</v>
      </c>
    </row>
    <row r="64" spans="1:5">
      <c r="A64" s="642">
        <f t="shared" si="0"/>
        <v>146</v>
      </c>
      <c r="B64" s="1625">
        <v>140</v>
      </c>
      <c r="C64" s="1626">
        <v>6</v>
      </c>
      <c r="D64" s="1627">
        <v>4.1500000000000004</v>
      </c>
      <c r="E64" s="1628">
        <f t="shared" si="1"/>
        <v>118.7</v>
      </c>
    </row>
    <row r="65" spans="1:5">
      <c r="A65" s="642">
        <f t="shared" si="0"/>
        <v>150</v>
      </c>
      <c r="B65" s="1625">
        <v>140</v>
      </c>
      <c r="C65" s="1626">
        <v>10</v>
      </c>
      <c r="D65" s="1627">
        <v>6.2089999999999996</v>
      </c>
      <c r="E65" s="1628">
        <f t="shared" si="1"/>
        <v>106.6</v>
      </c>
    </row>
    <row r="66" spans="1:5">
      <c r="A66" s="642">
        <f t="shared" si="0"/>
        <v>162.5</v>
      </c>
      <c r="B66" s="1625">
        <v>160</v>
      </c>
      <c r="C66" s="1626">
        <v>2.5</v>
      </c>
      <c r="D66" s="1627">
        <v>2.4529999999999998</v>
      </c>
      <c r="E66" s="1628">
        <f t="shared" si="1"/>
        <v>149.5</v>
      </c>
    </row>
    <row r="67" spans="1:5">
      <c r="A67" s="642">
        <f t="shared" si="0"/>
        <v>164</v>
      </c>
      <c r="B67" s="1625">
        <v>160</v>
      </c>
      <c r="C67" s="1626">
        <v>4</v>
      </c>
      <c r="D67" s="1627">
        <v>3.7730000000000001</v>
      </c>
      <c r="E67" s="1628">
        <f t="shared" si="1"/>
        <v>143.5</v>
      </c>
    </row>
    <row r="68" spans="1:5">
      <c r="A68" s="642">
        <f t="shared" si="0"/>
        <v>166</v>
      </c>
      <c r="B68" s="1625">
        <v>160</v>
      </c>
      <c r="C68" s="1626">
        <v>6</v>
      </c>
      <c r="D68" s="1627">
        <v>5.3550000000000004</v>
      </c>
      <c r="E68" s="1628">
        <f t="shared" si="1"/>
        <v>136</v>
      </c>
    </row>
    <row r="69" spans="1:5">
      <c r="A69" s="642">
        <f t="shared" si="0"/>
        <v>170</v>
      </c>
      <c r="B69" s="1625">
        <v>160</v>
      </c>
      <c r="C69" s="1626">
        <v>10</v>
      </c>
      <c r="D69" s="1627">
        <v>8.0790000000000006</v>
      </c>
      <c r="E69" s="1628">
        <f t="shared" si="1"/>
        <v>122</v>
      </c>
    </row>
    <row r="70" spans="1:5">
      <c r="A70" s="642">
        <f t="shared" si="0"/>
        <v>182.5</v>
      </c>
      <c r="B70" s="1625">
        <v>180</v>
      </c>
      <c r="C70" s="1626">
        <v>2.5</v>
      </c>
      <c r="D70" s="1627">
        <v>3.1480000000000001</v>
      </c>
      <c r="E70" s="1628">
        <f t="shared" si="1"/>
        <v>168</v>
      </c>
    </row>
    <row r="71" spans="1:5">
      <c r="A71" s="642">
        <f t="shared" si="0"/>
        <v>184</v>
      </c>
      <c r="B71" s="1625">
        <v>180</v>
      </c>
      <c r="C71" s="1626">
        <v>4</v>
      </c>
      <c r="D71" s="1627">
        <v>4.7619999999999996</v>
      </c>
      <c r="E71" s="1628">
        <f t="shared" si="1"/>
        <v>161.5</v>
      </c>
    </row>
    <row r="72" spans="1:5">
      <c r="A72" s="642">
        <f t="shared" si="0"/>
        <v>186</v>
      </c>
      <c r="B72" s="1625">
        <v>180</v>
      </c>
      <c r="C72" s="1626">
        <v>6</v>
      </c>
      <c r="D72" s="1627">
        <v>6.8</v>
      </c>
      <c r="E72" s="1628">
        <f t="shared" si="1"/>
        <v>152.9</v>
      </c>
    </row>
    <row r="73" spans="1:5">
      <c r="A73" s="642">
        <f t="shared" si="0"/>
        <v>190</v>
      </c>
      <c r="B73" s="1625">
        <v>180</v>
      </c>
      <c r="C73" s="1626">
        <v>10</v>
      </c>
      <c r="D73" s="1627">
        <v>10.256</v>
      </c>
      <c r="E73" s="1628">
        <f t="shared" si="1"/>
        <v>137.1</v>
      </c>
    </row>
    <row r="74" spans="1:5">
      <c r="A74" s="642">
        <f t="shared" si="0"/>
        <v>202.5</v>
      </c>
      <c r="B74" s="1625">
        <v>200</v>
      </c>
      <c r="C74" s="1626">
        <v>2.5</v>
      </c>
      <c r="D74" s="1627">
        <v>3.875</v>
      </c>
      <c r="E74" s="1628">
        <f t="shared" si="1"/>
        <v>186.7</v>
      </c>
    </row>
    <row r="75" spans="1:5">
      <c r="A75" s="642">
        <f t="shared" si="0"/>
        <v>204</v>
      </c>
      <c r="B75" s="1625">
        <v>200</v>
      </c>
      <c r="C75" s="1626">
        <v>4</v>
      </c>
      <c r="D75" s="1627">
        <v>5.89</v>
      </c>
      <c r="E75" s="1628">
        <f t="shared" si="1"/>
        <v>179.4</v>
      </c>
    </row>
    <row r="76" spans="1:5">
      <c r="A76" s="642">
        <f t="shared" si="0"/>
        <v>206</v>
      </c>
      <c r="B76" s="1625">
        <v>200</v>
      </c>
      <c r="C76" s="1626">
        <v>6</v>
      </c>
      <c r="D76" s="1627">
        <v>8.391</v>
      </c>
      <c r="E76" s="1628">
        <f t="shared" si="1"/>
        <v>169.9</v>
      </c>
    </row>
    <row r="77" spans="1:5">
      <c r="A77" s="642">
        <f t="shared" si="0"/>
        <v>210</v>
      </c>
      <c r="B77" s="1625">
        <v>200</v>
      </c>
      <c r="C77" s="1626">
        <v>10</v>
      </c>
      <c r="D77" s="1627">
        <v>12.62</v>
      </c>
      <c r="E77" s="1628">
        <f t="shared" si="1"/>
        <v>152.5</v>
      </c>
    </row>
    <row r="78" spans="1:5">
      <c r="A78" s="642">
        <f t="shared" si="0"/>
        <v>227.5</v>
      </c>
      <c r="B78" s="1625">
        <v>225</v>
      </c>
      <c r="C78" s="1626">
        <v>2.5</v>
      </c>
      <c r="D78" s="1627">
        <v>4.8220000000000001</v>
      </c>
      <c r="E78" s="1628">
        <f t="shared" si="1"/>
        <v>210.3</v>
      </c>
    </row>
    <row r="79" spans="1:5">
      <c r="A79" s="642">
        <f t="shared" si="0"/>
        <v>229</v>
      </c>
      <c r="B79" s="1625">
        <v>225</v>
      </c>
      <c r="C79" s="1626">
        <v>4</v>
      </c>
      <c r="D79" s="1627">
        <v>7.4450000000000003</v>
      </c>
      <c r="E79" s="1628">
        <f t="shared" si="1"/>
        <v>201.8</v>
      </c>
    </row>
    <row r="80" spans="1:5">
      <c r="A80" s="642">
        <f t="shared" si="0"/>
        <v>231</v>
      </c>
      <c r="B80" s="1625">
        <v>225</v>
      </c>
      <c r="C80" s="1626">
        <v>6</v>
      </c>
      <c r="D80" s="1627">
        <v>10.544</v>
      </c>
      <c r="E80" s="1628">
        <f t="shared" si="1"/>
        <v>191.4</v>
      </c>
    </row>
    <row r="81" spans="1:5">
      <c r="A81" s="642">
        <f t="shared" si="0"/>
        <v>235</v>
      </c>
      <c r="B81" s="1625">
        <v>225</v>
      </c>
      <c r="C81" s="1626">
        <v>10</v>
      </c>
      <c r="D81" s="1627">
        <v>16.013999999999999</v>
      </c>
      <c r="E81" s="1628">
        <f t="shared" si="1"/>
        <v>171.4</v>
      </c>
    </row>
    <row r="82" spans="1:5">
      <c r="A82" s="642">
        <f t="shared" si="0"/>
        <v>252.5</v>
      </c>
      <c r="B82" s="1625">
        <v>250</v>
      </c>
      <c r="C82" s="1626">
        <v>2.5</v>
      </c>
      <c r="D82" s="1627">
        <v>6.0119999999999996</v>
      </c>
      <c r="E82" s="1628">
        <f t="shared" si="1"/>
        <v>233.5</v>
      </c>
    </row>
    <row r="83" spans="1:5">
      <c r="A83" s="642">
        <f t="shared" si="0"/>
        <v>254</v>
      </c>
      <c r="B83" s="1625">
        <v>250</v>
      </c>
      <c r="C83" s="1626">
        <v>4</v>
      </c>
      <c r="D83" s="1627">
        <v>9.1869999999999994</v>
      </c>
      <c r="E83" s="1628">
        <f t="shared" si="1"/>
        <v>224.3</v>
      </c>
    </row>
    <row r="84" spans="1:5">
      <c r="A84" s="642">
        <f t="shared" si="0"/>
        <v>256</v>
      </c>
      <c r="B84" s="1625">
        <v>250</v>
      </c>
      <c r="C84" s="1626">
        <v>6</v>
      </c>
      <c r="D84" s="1627">
        <v>13.041</v>
      </c>
      <c r="E84" s="1628">
        <f t="shared" si="1"/>
        <v>212.6</v>
      </c>
    </row>
    <row r="85" spans="1:5">
      <c r="A85" s="642">
        <f t="shared" si="0"/>
        <v>260</v>
      </c>
      <c r="B85" s="1625">
        <v>250</v>
      </c>
      <c r="C85" s="1626">
        <v>10</v>
      </c>
      <c r="D85" s="1627">
        <v>19.757000000000001</v>
      </c>
      <c r="E85" s="1628">
        <f t="shared" si="1"/>
        <v>190.4</v>
      </c>
    </row>
    <row r="86" spans="1:5">
      <c r="A86" s="642">
        <f t="shared" si="0"/>
        <v>282.5</v>
      </c>
      <c r="B86" s="1625">
        <v>280</v>
      </c>
      <c r="C86" s="1626">
        <v>2.5</v>
      </c>
      <c r="D86" s="1627">
        <v>7.4710000000000001</v>
      </c>
      <c r="E86" s="1628">
        <f t="shared" si="1"/>
        <v>261.7</v>
      </c>
    </row>
    <row r="87" spans="1:5">
      <c r="A87" s="642">
        <f t="shared" si="0"/>
        <v>284</v>
      </c>
      <c r="B87" s="1625">
        <v>280</v>
      </c>
      <c r="C87" s="1626">
        <v>4</v>
      </c>
      <c r="D87" s="1627">
        <v>11.455</v>
      </c>
      <c r="E87" s="1628">
        <f t="shared" si="1"/>
        <v>251.4</v>
      </c>
    </row>
    <row r="88" spans="1:5">
      <c r="A88" s="642">
        <f t="shared" si="0"/>
        <v>286</v>
      </c>
      <c r="B88" s="1625">
        <v>280</v>
      </c>
      <c r="C88" s="1626">
        <v>6</v>
      </c>
      <c r="D88" s="1627">
        <v>16.327000000000002</v>
      </c>
      <c r="E88" s="1628">
        <f t="shared" si="1"/>
        <v>238.2</v>
      </c>
    </row>
    <row r="89" spans="1:5">
      <c r="A89" s="642">
        <f t="shared" si="0"/>
        <v>290</v>
      </c>
      <c r="B89" s="1625">
        <v>280</v>
      </c>
      <c r="C89" s="1626">
        <v>10</v>
      </c>
      <c r="D89" s="1627">
        <v>24.707999999999998</v>
      </c>
      <c r="E89" s="1628">
        <f t="shared" si="1"/>
        <v>213.5</v>
      </c>
    </row>
  </sheetData>
  <pageMargins left="0.75" right="0.75" top="1" bottom="1" header="0.5" footer="0.5"/>
  <pageSetup paperSize="9" orientation="portrait" horizontalDpi="4294967292" verticalDpi="300"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2:G34"/>
  <sheetViews>
    <sheetView view="pageLayout" topLeftCell="A43" workbookViewId="0">
      <selection activeCell="F52" sqref="F52"/>
    </sheetView>
  </sheetViews>
  <sheetFormatPr defaultRowHeight="12.75"/>
  <cols>
    <col min="1" max="1" width="9" bestFit="1" customWidth="1"/>
    <col min="2" max="2" width="23.42578125" customWidth="1"/>
    <col min="4" max="5" width="9" bestFit="1" customWidth="1"/>
    <col min="6" max="6" width="14.5703125" style="2739" bestFit="1" customWidth="1"/>
  </cols>
  <sheetData>
    <row r="2" spans="1:7">
      <c r="A2" s="2907" t="s">
        <v>3580</v>
      </c>
      <c r="B2" s="2907"/>
      <c r="C2" s="2907"/>
      <c r="D2" s="2907"/>
      <c r="E2" s="2907"/>
      <c r="F2" s="2907"/>
      <c r="G2" s="2907"/>
    </row>
    <row r="4" spans="1:7">
      <c r="A4" s="1781" t="s">
        <v>3553</v>
      </c>
      <c r="B4" s="1781" t="s">
        <v>962</v>
      </c>
      <c r="C4" s="1781" t="s">
        <v>1035</v>
      </c>
      <c r="D4" s="1781" t="s">
        <v>964</v>
      </c>
      <c r="E4" s="1781" t="s">
        <v>1621</v>
      </c>
      <c r="F4" s="2815" t="s">
        <v>52</v>
      </c>
      <c r="G4" s="1781" t="s">
        <v>1055</v>
      </c>
    </row>
    <row r="5" spans="1:7">
      <c r="A5" s="1770">
        <v>1</v>
      </c>
      <c r="B5" s="1770" t="s">
        <v>3554</v>
      </c>
      <c r="C5" s="1770" t="s">
        <v>2389</v>
      </c>
      <c r="D5" s="1770">
        <v>3</v>
      </c>
      <c r="E5" s="1770">
        <v>2400</v>
      </c>
      <c r="F5" s="2738">
        <f>E5*D5</f>
        <v>7200</v>
      </c>
      <c r="G5" s="1770"/>
    </row>
    <row r="6" spans="1:7">
      <c r="A6" s="1770">
        <f>A5+1</f>
        <v>2</v>
      </c>
      <c r="B6" s="1770" t="s">
        <v>3555</v>
      </c>
      <c r="C6" s="1770" t="s">
        <v>2389</v>
      </c>
      <c r="D6" s="1770">
        <v>4</v>
      </c>
      <c r="E6" s="1770">
        <v>925</v>
      </c>
      <c r="F6" s="2738">
        <f t="shared" ref="F6:F29" si="0">E6*D6</f>
        <v>3700</v>
      </c>
      <c r="G6" s="1770"/>
    </row>
    <row r="7" spans="1:7">
      <c r="A7" s="1770">
        <f t="shared" ref="A7:A29" si="1">A6+1</f>
        <v>3</v>
      </c>
      <c r="B7" s="1770" t="s">
        <v>3556</v>
      </c>
      <c r="C7" s="1770" t="s">
        <v>2389</v>
      </c>
      <c r="D7" s="1770">
        <v>3</v>
      </c>
      <c r="E7" s="1770">
        <v>14000</v>
      </c>
      <c r="F7" s="2738">
        <f t="shared" si="0"/>
        <v>42000</v>
      </c>
      <c r="G7" s="1770"/>
    </row>
    <row r="8" spans="1:7">
      <c r="A8" s="1770">
        <f t="shared" si="1"/>
        <v>4</v>
      </c>
      <c r="B8" s="1770" t="s">
        <v>3557</v>
      </c>
      <c r="C8" s="1770" t="s">
        <v>2389</v>
      </c>
      <c r="D8" s="1770">
        <v>4</v>
      </c>
      <c r="E8" s="1770">
        <v>500</v>
      </c>
      <c r="F8" s="2738">
        <f t="shared" si="0"/>
        <v>2000</v>
      </c>
      <c r="G8" s="1770"/>
    </row>
    <row r="9" spans="1:7">
      <c r="A9" s="1770">
        <f t="shared" si="1"/>
        <v>5</v>
      </c>
      <c r="B9" s="1770" t="s">
        <v>3558</v>
      </c>
      <c r="C9" s="1770" t="s">
        <v>2389</v>
      </c>
      <c r="D9" s="1770">
        <v>9</v>
      </c>
      <c r="E9" s="1770">
        <v>850</v>
      </c>
      <c r="F9" s="2738">
        <f t="shared" si="0"/>
        <v>7650</v>
      </c>
      <c r="G9" s="1770"/>
    </row>
    <row r="10" spans="1:7">
      <c r="A10" s="1770">
        <f t="shared" si="1"/>
        <v>6</v>
      </c>
      <c r="B10" s="1770" t="s">
        <v>3559</v>
      </c>
      <c r="C10" s="1770" t="s">
        <v>2389</v>
      </c>
      <c r="D10" s="1770">
        <v>5</v>
      </c>
      <c r="E10" s="1770">
        <v>500</v>
      </c>
      <c r="F10" s="2738">
        <f t="shared" si="0"/>
        <v>2500</v>
      </c>
      <c r="G10" s="1770"/>
    </row>
    <row r="11" spans="1:7">
      <c r="A11" s="1770">
        <f t="shared" si="1"/>
        <v>7</v>
      </c>
      <c r="B11" s="1770" t="s">
        <v>3560</v>
      </c>
      <c r="C11" s="1770" t="s">
        <v>2389</v>
      </c>
      <c r="D11" s="1770">
        <v>5</v>
      </c>
      <c r="E11" s="1770">
        <v>525</v>
      </c>
      <c r="F11" s="2738">
        <f t="shared" si="0"/>
        <v>2625</v>
      </c>
      <c r="G11" s="1770"/>
    </row>
    <row r="12" spans="1:7">
      <c r="A12" s="1770">
        <f t="shared" si="1"/>
        <v>8</v>
      </c>
      <c r="B12" s="1770" t="s">
        <v>3561</v>
      </c>
      <c r="C12" s="1770" t="s">
        <v>2389</v>
      </c>
      <c r="D12" s="1770">
        <v>5</v>
      </c>
      <c r="E12" s="1770">
        <v>360</v>
      </c>
      <c r="F12" s="2738">
        <f t="shared" si="0"/>
        <v>1800</v>
      </c>
      <c r="G12" s="1770"/>
    </row>
    <row r="13" spans="1:7">
      <c r="A13" s="1770">
        <f t="shared" si="1"/>
        <v>9</v>
      </c>
      <c r="B13" s="1770" t="s">
        <v>3562</v>
      </c>
      <c r="C13" s="1770" t="s">
        <v>2389</v>
      </c>
      <c r="D13" s="1770">
        <v>5</v>
      </c>
      <c r="E13" s="1770">
        <v>200</v>
      </c>
      <c r="F13" s="2738">
        <f t="shared" si="0"/>
        <v>1000</v>
      </c>
      <c r="G13" s="1770"/>
    </row>
    <row r="14" spans="1:7">
      <c r="A14" s="1770">
        <f t="shared" si="1"/>
        <v>10</v>
      </c>
      <c r="B14" s="1770" t="s">
        <v>3563</v>
      </c>
      <c r="C14" s="1770" t="s">
        <v>2389</v>
      </c>
      <c r="D14" s="1770">
        <v>3</v>
      </c>
      <c r="E14" s="1770">
        <v>50</v>
      </c>
      <c r="F14" s="2738">
        <f t="shared" si="0"/>
        <v>150</v>
      </c>
      <c r="G14" s="1770"/>
    </row>
    <row r="15" spans="1:7">
      <c r="A15" s="1770">
        <f t="shared" si="1"/>
        <v>11</v>
      </c>
      <c r="B15" s="1770" t="s">
        <v>3564</v>
      </c>
      <c r="C15" s="1770" t="s">
        <v>2389</v>
      </c>
      <c r="D15" s="1770">
        <v>3</v>
      </c>
      <c r="E15" s="1770">
        <v>150</v>
      </c>
      <c r="F15" s="2738">
        <f t="shared" si="0"/>
        <v>450</v>
      </c>
      <c r="G15" s="1770"/>
    </row>
    <row r="16" spans="1:7">
      <c r="A16" s="1770">
        <f t="shared" si="1"/>
        <v>12</v>
      </c>
      <c r="B16" s="1770" t="s">
        <v>3565</v>
      </c>
      <c r="C16" s="1770" t="s">
        <v>2389</v>
      </c>
      <c r="D16" s="1770">
        <v>6</v>
      </c>
      <c r="E16" s="1770">
        <v>60</v>
      </c>
      <c r="F16" s="2738">
        <f t="shared" si="0"/>
        <v>360</v>
      </c>
      <c r="G16" s="1770"/>
    </row>
    <row r="17" spans="1:7">
      <c r="A17" s="1770">
        <f t="shared" si="1"/>
        <v>13</v>
      </c>
      <c r="B17" s="1770" t="s">
        <v>3566</v>
      </c>
      <c r="C17" s="1770" t="s">
        <v>2389</v>
      </c>
      <c r="D17" s="1770">
        <v>3</v>
      </c>
      <c r="E17" s="1770">
        <v>157</v>
      </c>
      <c r="F17" s="2738">
        <f t="shared" si="0"/>
        <v>471</v>
      </c>
      <c r="G17" s="1770"/>
    </row>
    <row r="18" spans="1:7">
      <c r="A18" s="1770">
        <f t="shared" si="1"/>
        <v>14</v>
      </c>
      <c r="B18" s="1770" t="s">
        <v>3567</v>
      </c>
      <c r="C18" s="1770" t="s">
        <v>2389</v>
      </c>
      <c r="D18" s="1770">
        <v>3</v>
      </c>
      <c r="E18" s="1770">
        <v>1050</v>
      </c>
      <c r="F18" s="2738">
        <f t="shared" si="0"/>
        <v>3150</v>
      </c>
      <c r="G18" s="1770"/>
    </row>
    <row r="19" spans="1:7">
      <c r="A19" s="1770">
        <f t="shared" si="1"/>
        <v>15</v>
      </c>
      <c r="B19" s="1770" t="s">
        <v>3568</v>
      </c>
      <c r="C19" s="1770" t="s">
        <v>2389</v>
      </c>
      <c r="D19" s="1770">
        <v>7</v>
      </c>
      <c r="E19" s="1770">
        <v>64</v>
      </c>
      <c r="F19" s="2738">
        <f t="shared" si="0"/>
        <v>448</v>
      </c>
      <c r="G19" s="1770"/>
    </row>
    <row r="20" spans="1:7">
      <c r="A20" s="1770">
        <f t="shared" si="1"/>
        <v>16</v>
      </c>
      <c r="B20" s="1770" t="s">
        <v>3569</v>
      </c>
      <c r="C20" s="1770" t="s">
        <v>2389</v>
      </c>
      <c r="D20" s="1770">
        <v>2</v>
      </c>
      <c r="E20" s="1770">
        <v>100</v>
      </c>
      <c r="F20" s="2738">
        <f t="shared" si="0"/>
        <v>200</v>
      </c>
      <c r="G20" s="1770"/>
    </row>
    <row r="21" spans="1:7">
      <c r="A21" s="1770">
        <f t="shared" si="1"/>
        <v>17</v>
      </c>
      <c r="B21" s="1770" t="s">
        <v>3571</v>
      </c>
      <c r="C21" s="1770" t="s">
        <v>2389</v>
      </c>
      <c r="D21" s="1770">
        <v>3</v>
      </c>
      <c r="E21" s="1770">
        <v>10712</v>
      </c>
      <c r="F21" s="2738">
        <f t="shared" si="0"/>
        <v>32136</v>
      </c>
      <c r="G21" s="1770"/>
    </row>
    <row r="22" spans="1:7">
      <c r="A22" s="1770">
        <f t="shared" si="1"/>
        <v>18</v>
      </c>
      <c r="B22" s="1770" t="s">
        <v>3570</v>
      </c>
      <c r="C22" s="1770" t="s">
        <v>2389</v>
      </c>
      <c r="D22" s="1770">
        <v>4</v>
      </c>
      <c r="E22" s="1770">
        <v>3113</v>
      </c>
      <c r="F22" s="2738">
        <f t="shared" si="0"/>
        <v>12452</v>
      </c>
      <c r="G22" s="1770"/>
    </row>
    <row r="23" spans="1:7">
      <c r="A23" s="1770">
        <f t="shared" si="1"/>
        <v>19</v>
      </c>
      <c r="B23" s="1770" t="s">
        <v>3572</v>
      </c>
      <c r="C23" s="1770" t="s">
        <v>2389</v>
      </c>
      <c r="D23" s="1770">
        <v>1</v>
      </c>
      <c r="E23" s="1770">
        <v>7452</v>
      </c>
      <c r="F23" s="2738">
        <f t="shared" si="0"/>
        <v>7452</v>
      </c>
      <c r="G23" s="1770"/>
    </row>
    <row r="24" spans="1:7">
      <c r="A24" s="1770">
        <f t="shared" si="1"/>
        <v>20</v>
      </c>
      <c r="B24" s="1770" t="s">
        <v>3573</v>
      </c>
      <c r="C24" s="1770" t="s">
        <v>2389</v>
      </c>
      <c r="D24" s="1770">
        <v>9</v>
      </c>
      <c r="E24" s="1770">
        <v>480</v>
      </c>
      <c r="F24" s="2738">
        <f t="shared" si="0"/>
        <v>4320</v>
      </c>
      <c r="G24" s="1770"/>
    </row>
    <row r="25" spans="1:7">
      <c r="A25" s="1770">
        <f t="shared" si="1"/>
        <v>21</v>
      </c>
      <c r="B25" s="1770" t="s">
        <v>3572</v>
      </c>
      <c r="C25" s="1770" t="s">
        <v>2389</v>
      </c>
      <c r="D25" s="1770">
        <v>1</v>
      </c>
      <c r="E25" s="1770">
        <v>7452</v>
      </c>
      <c r="F25" s="2738">
        <f t="shared" si="0"/>
        <v>7452</v>
      </c>
      <c r="G25" s="1770"/>
    </row>
    <row r="26" spans="1:7">
      <c r="A26" s="1770">
        <f t="shared" si="1"/>
        <v>22</v>
      </c>
      <c r="B26" s="1770" t="s">
        <v>3574</v>
      </c>
      <c r="C26" s="1770" t="s">
        <v>2389</v>
      </c>
      <c r="D26" s="1770">
        <v>2</v>
      </c>
      <c r="E26" s="1770">
        <v>5818</v>
      </c>
      <c r="F26" s="2738">
        <f t="shared" si="0"/>
        <v>11636</v>
      </c>
      <c r="G26" s="1770"/>
    </row>
    <row r="27" spans="1:7">
      <c r="A27" s="1770">
        <f t="shared" si="1"/>
        <v>23</v>
      </c>
      <c r="B27" s="1770" t="s">
        <v>3575</v>
      </c>
      <c r="C27" s="1770" t="s">
        <v>2389</v>
      </c>
      <c r="D27" s="1770">
        <v>2</v>
      </c>
      <c r="E27" s="1770">
        <v>4556</v>
      </c>
      <c r="F27" s="2738">
        <f t="shared" si="0"/>
        <v>9112</v>
      </c>
      <c r="G27" s="1770"/>
    </row>
    <row r="28" spans="1:7">
      <c r="A28" s="1770">
        <f t="shared" si="1"/>
        <v>24</v>
      </c>
      <c r="B28" s="1770" t="s">
        <v>3576</v>
      </c>
      <c r="C28" s="1770" t="s">
        <v>2389</v>
      </c>
      <c r="D28" s="1770">
        <v>2</v>
      </c>
      <c r="E28" s="1770">
        <v>1490</v>
      </c>
      <c r="F28" s="2738">
        <f t="shared" si="0"/>
        <v>2980</v>
      </c>
      <c r="G28" s="1770"/>
    </row>
    <row r="29" spans="1:7">
      <c r="A29" s="1770">
        <f t="shared" si="1"/>
        <v>25</v>
      </c>
      <c r="B29" s="1770" t="s">
        <v>3577</v>
      </c>
      <c r="C29" s="1770" t="s">
        <v>2389</v>
      </c>
      <c r="D29" s="1770">
        <v>6</v>
      </c>
      <c r="E29" s="1770">
        <v>2235</v>
      </c>
      <c r="F29" s="2738">
        <f t="shared" si="0"/>
        <v>13410</v>
      </c>
      <c r="G29" s="1770"/>
    </row>
    <row r="30" spans="1:7">
      <c r="A30" s="1770"/>
      <c r="B30" s="1770"/>
      <c r="C30" s="1770"/>
      <c r="D30" s="1770"/>
      <c r="E30" s="2755" t="s">
        <v>1108</v>
      </c>
      <c r="F30" s="2754">
        <f>SUM(F5:F29)</f>
        <v>176654</v>
      </c>
      <c r="G30" s="2753" t="s">
        <v>1451</v>
      </c>
    </row>
    <row r="31" spans="1:7">
      <c r="A31" s="1770"/>
      <c r="B31" s="1770"/>
      <c r="C31" s="1770"/>
      <c r="D31" s="1770"/>
      <c r="E31" s="2755" t="s">
        <v>3578</v>
      </c>
      <c r="F31" s="2754">
        <f>F30*0.13</f>
        <v>22965.02</v>
      </c>
      <c r="G31" s="2753" t="s">
        <v>1451</v>
      </c>
    </row>
    <row r="32" spans="1:7">
      <c r="A32" s="1770"/>
      <c r="B32" s="1770"/>
      <c r="C32" s="1770"/>
      <c r="D32" s="1770"/>
      <c r="E32" s="2755" t="s">
        <v>3579</v>
      </c>
      <c r="F32" s="2754">
        <f>SUM(F30:F31)</f>
        <v>199619.02</v>
      </c>
      <c r="G32" s="2753" t="s">
        <v>1451</v>
      </c>
    </row>
    <row r="33" spans="1:7" ht="25.5">
      <c r="A33" s="1770"/>
      <c r="B33" s="2734" t="s">
        <v>3581</v>
      </c>
      <c r="C33" s="1770"/>
      <c r="D33" s="1770"/>
      <c r="E33" s="1752"/>
      <c r="F33" s="2816">
        <f>'[65]thekka bill'!$H$84</f>
        <v>35494</v>
      </c>
      <c r="G33" s="1752" t="s">
        <v>1451</v>
      </c>
    </row>
    <row r="34" spans="1:7">
      <c r="A34" s="1770"/>
      <c r="B34" s="1770"/>
      <c r="C34" s="1770"/>
      <c r="D34" s="1770"/>
      <c r="E34" s="2755" t="s">
        <v>2626</v>
      </c>
      <c r="F34" s="2754">
        <f>SUM(F32:F33)</f>
        <v>235113.02</v>
      </c>
      <c r="G34" s="2753" t="s">
        <v>1451</v>
      </c>
    </row>
  </sheetData>
  <mergeCells count="1">
    <mergeCell ref="A2:G2"/>
  </mergeCells>
  <pageMargins left="0.7" right="0.7" top="0.75" bottom="0.75" header="0.3" footer="0.3"/>
  <pageSetup paperSize="9" orientation="portrait" r:id="rId1"/>
  <headerFooter>
    <oddFooter>&amp;LPrepared By:&amp;CChecked By: 
Er. Bal Krishna Manandhar&amp;RApproved By:
Er. Prakash Singh Saud</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O94"/>
  <sheetViews>
    <sheetView view="pageLayout" workbookViewId="0">
      <selection activeCell="J13" sqref="J13"/>
    </sheetView>
  </sheetViews>
  <sheetFormatPr defaultRowHeight="12.75"/>
  <cols>
    <col min="2" max="2" width="33.85546875" customWidth="1"/>
    <col min="4" max="4" width="16.42578125" bestFit="1" customWidth="1"/>
    <col min="5" max="5" width="12.85546875" bestFit="1" customWidth="1"/>
    <col min="6" max="6" width="13.7109375" bestFit="1" customWidth="1"/>
    <col min="7" max="7" width="9.7109375" bestFit="1" customWidth="1"/>
    <col min="8" max="8" width="12.7109375" bestFit="1" customWidth="1"/>
    <col min="9" max="9" width="9.7109375" bestFit="1" customWidth="1"/>
    <col min="10" max="10" width="16.140625" style="2739" bestFit="1" customWidth="1"/>
    <col min="11" max="11" width="11.85546875" customWidth="1"/>
    <col min="12" max="12" width="18" style="2739" bestFit="1" customWidth="1"/>
  </cols>
  <sheetData>
    <row r="1" spans="1:15">
      <c r="A1" s="3038" t="s">
        <v>3158</v>
      </c>
      <c r="B1" s="3038"/>
      <c r="C1" s="3038"/>
      <c r="D1" s="3038"/>
      <c r="E1" s="3038"/>
      <c r="F1" s="3038"/>
      <c r="G1" s="3038"/>
      <c r="H1" s="3038"/>
      <c r="I1" s="3038"/>
      <c r="J1" s="3038"/>
      <c r="K1" s="3038"/>
      <c r="L1" s="3038"/>
      <c r="M1" s="3038"/>
      <c r="N1" s="2800"/>
    </row>
    <row r="2" spans="1:15" ht="15">
      <c r="A2" s="3039" t="s">
        <v>3159</v>
      </c>
      <c r="B2" s="3039"/>
      <c r="C2" s="3039"/>
      <c r="D2" s="3039"/>
      <c r="E2" s="3039"/>
      <c r="F2" s="3039"/>
      <c r="G2" s="3039"/>
      <c r="H2" s="3039"/>
      <c r="I2" s="3039"/>
      <c r="J2" s="3039"/>
      <c r="K2" s="3039"/>
      <c r="L2" s="3039"/>
      <c r="M2" s="3039"/>
      <c r="N2" s="2801"/>
    </row>
    <row r="3" spans="1:15">
      <c r="A3" s="3040" t="s">
        <v>3160</v>
      </c>
      <c r="B3" s="3040"/>
      <c r="C3" s="3040"/>
      <c r="D3" s="3040"/>
      <c r="E3" s="3040"/>
      <c r="F3" s="3040"/>
      <c r="G3" s="3040"/>
      <c r="H3" s="3040"/>
      <c r="I3" s="3040"/>
      <c r="J3" s="3040"/>
      <c r="K3" s="3040"/>
      <c r="L3" s="3040"/>
      <c r="M3" s="3040"/>
      <c r="N3" s="2549"/>
    </row>
    <row r="4" spans="1:15">
      <c r="A4" s="3041" t="s">
        <v>3591</v>
      </c>
      <c r="B4" s="3041"/>
      <c r="C4" s="3041"/>
      <c r="D4" s="3041"/>
      <c r="E4" s="3041"/>
      <c r="F4" s="3041"/>
      <c r="G4" s="3041"/>
      <c r="H4" s="3041"/>
      <c r="I4" s="3041"/>
      <c r="J4" s="3041"/>
      <c r="K4" s="3041"/>
      <c r="L4" s="3041"/>
      <c r="M4" s="3041"/>
      <c r="N4" s="2538"/>
    </row>
    <row r="5" spans="1:15">
      <c r="A5" s="2536"/>
      <c r="B5" s="2537"/>
      <c r="C5" s="2538"/>
      <c r="D5" s="2539"/>
      <c r="E5" s="2539"/>
      <c r="F5" s="2539"/>
      <c r="G5" s="2539"/>
      <c r="H5" s="2539"/>
      <c r="I5" s="2539"/>
      <c r="J5" s="2827"/>
      <c r="K5" s="2538"/>
      <c r="L5" s="2835"/>
      <c r="M5" s="2538"/>
      <c r="N5" s="2538"/>
    </row>
    <row r="6" spans="1:15">
      <c r="B6" s="2540" t="s">
        <v>3253</v>
      </c>
      <c r="C6" s="2541" t="s">
        <v>3586</v>
      </c>
      <c r="D6" s="2542"/>
      <c r="E6" s="2543"/>
      <c r="I6" s="2544"/>
      <c r="J6" s="2828" t="s">
        <v>3254</v>
      </c>
      <c r="K6" s="2545"/>
      <c r="L6" s="2545">
        <v>2</v>
      </c>
      <c r="M6" s="2548"/>
      <c r="N6" s="2548"/>
    </row>
    <row r="7" spans="1:15">
      <c r="B7" s="2540" t="s">
        <v>3255</v>
      </c>
      <c r="C7" s="2546" t="s">
        <v>3587</v>
      </c>
      <c r="D7" s="2542"/>
      <c r="E7" s="2543"/>
      <c r="I7" s="2544"/>
      <c r="J7" s="2828" t="s">
        <v>3256</v>
      </c>
      <c r="K7" s="2545"/>
      <c r="L7" s="2547">
        <v>65511</v>
      </c>
      <c r="M7" s="2548"/>
      <c r="N7" s="2548"/>
    </row>
    <row r="8" spans="1:15">
      <c r="B8" s="2540" t="s">
        <v>3257</v>
      </c>
      <c r="C8" s="2546" t="s">
        <v>3588</v>
      </c>
      <c r="D8" s="2542"/>
      <c r="E8" s="2543"/>
      <c r="I8" s="2544"/>
      <c r="J8" s="2828" t="s">
        <v>3258</v>
      </c>
      <c r="K8" s="2545"/>
      <c r="L8" s="2547">
        <v>65449</v>
      </c>
      <c r="M8" s="2548"/>
      <c r="N8" s="2548"/>
    </row>
    <row r="9" spans="1:15">
      <c r="B9" s="2540" t="s">
        <v>3259</v>
      </c>
      <c r="C9" s="2546" t="s">
        <v>3589</v>
      </c>
      <c r="D9" s="2542"/>
      <c r="E9" s="2543"/>
      <c r="I9" s="2544"/>
      <c r="J9" s="2828" t="s">
        <v>3590</v>
      </c>
      <c r="K9" s="2545"/>
      <c r="L9" s="2837"/>
      <c r="M9" s="2548"/>
      <c r="N9" s="2548"/>
    </row>
    <row r="10" spans="1:15">
      <c r="B10" s="2540" t="s">
        <v>3262</v>
      </c>
      <c r="C10" s="2549"/>
      <c r="D10" s="2542"/>
      <c r="E10" s="2543"/>
      <c r="I10" s="2544"/>
      <c r="J10" s="2828" t="s">
        <v>3263</v>
      </c>
      <c r="K10" s="2545"/>
      <c r="L10" s="2838"/>
      <c r="M10" s="2802"/>
      <c r="N10" s="2802"/>
    </row>
    <row r="11" spans="1:15">
      <c r="A11" s="2545"/>
      <c r="B11" s="2545"/>
      <c r="C11" s="2549"/>
      <c r="D11" s="2542"/>
      <c r="E11" s="2543"/>
      <c r="F11" s="2550"/>
      <c r="G11" s="2550"/>
      <c r="H11" s="2550"/>
      <c r="I11" s="2550"/>
      <c r="J11" s="2829"/>
      <c r="K11" s="2545"/>
      <c r="L11" s="2836"/>
      <c r="M11" s="2551"/>
      <c r="N11" s="2545"/>
    </row>
    <row r="12" spans="1:15" ht="13.9" customHeight="1">
      <c r="A12" s="2803" t="s">
        <v>3264</v>
      </c>
      <c r="B12" s="2804" t="s">
        <v>909</v>
      </c>
      <c r="C12" s="2555" t="s">
        <v>1035</v>
      </c>
      <c r="D12" s="3128" t="s">
        <v>3265</v>
      </c>
      <c r="E12" s="3129"/>
      <c r="F12" s="3130"/>
      <c r="G12" s="3128" t="s">
        <v>3266</v>
      </c>
      <c r="H12" s="3130"/>
      <c r="I12" s="3128" t="s">
        <v>3267</v>
      </c>
      <c r="J12" s="3130"/>
      <c r="K12" s="3131" t="s">
        <v>3268</v>
      </c>
      <c r="L12" s="3132"/>
      <c r="M12" s="3133" t="s">
        <v>3269</v>
      </c>
      <c r="N12" s="2806"/>
    </row>
    <row r="13" spans="1:15">
      <c r="A13" s="2803"/>
      <c r="B13" s="2804"/>
      <c r="C13" s="2555"/>
      <c r="D13" s="2552" t="s">
        <v>3270</v>
      </c>
      <c r="E13" s="2553" t="s">
        <v>3271</v>
      </c>
      <c r="F13" s="2553" t="s">
        <v>3272</v>
      </c>
      <c r="G13" s="2553"/>
      <c r="H13" s="2553"/>
      <c r="I13" s="2555" t="str">
        <f>D13</f>
        <v>परिमाण</v>
      </c>
      <c r="J13" s="2830" t="str">
        <f>F13</f>
        <v>रकम</v>
      </c>
      <c r="K13" s="2554" t="s">
        <v>3270</v>
      </c>
      <c r="L13" s="2839" t="s">
        <v>3272</v>
      </c>
      <c r="M13" s="3134"/>
      <c r="N13" s="2806"/>
    </row>
    <row r="14" spans="1:15" ht="63">
      <c r="A14" s="2450">
        <v>1</v>
      </c>
      <c r="B14" s="2449" t="s">
        <v>3461</v>
      </c>
      <c r="C14" s="1752" t="s">
        <v>1182</v>
      </c>
      <c r="D14" s="2556">
        <v>870.8</v>
      </c>
      <c r="E14" s="2557">
        <v>80</v>
      </c>
      <c r="F14" s="2557">
        <f>D14*E14</f>
        <v>69664</v>
      </c>
      <c r="G14" s="2557">
        <f>Sheet1!D12-I14</f>
        <v>206.45309407993909</v>
      </c>
      <c r="H14" s="2557">
        <f>G14*E14</f>
        <v>16516.247526395127</v>
      </c>
      <c r="I14" s="2560">
        <f>'[65]abstract 1st'!D12</f>
        <v>702.79950497758148</v>
      </c>
      <c r="J14" s="2831">
        <f>I14*E14</f>
        <v>56223.960398206516</v>
      </c>
      <c r="K14" s="2559">
        <f>G14+I14</f>
        <v>909.25259905752057</v>
      </c>
      <c r="L14" s="2840">
        <f>J14+H14</f>
        <v>72740.207924601651</v>
      </c>
      <c r="M14" s="2560">
        <f t="shared" ref="M14:M22" si="0">K14-D14</f>
        <v>38.452599057520615</v>
      </c>
      <c r="N14" s="2822">
        <f t="shared" ref="N14:N23" si="1">M14/D14*100</f>
        <v>4.4157784861645171</v>
      </c>
    </row>
    <row r="15" spans="1:15" ht="60">
      <c r="A15" s="2450">
        <v>2</v>
      </c>
      <c r="B15" s="2515" t="s">
        <v>3452</v>
      </c>
      <c r="C15" s="1770" t="s">
        <v>1174</v>
      </c>
      <c r="D15" s="2562">
        <v>827.1</v>
      </c>
      <c r="E15" s="2557">
        <v>80</v>
      </c>
      <c r="F15" s="2557">
        <f t="shared" ref="F15:F76" si="2">D15*E15</f>
        <v>66168</v>
      </c>
      <c r="G15" s="2557">
        <f>Sheet1!D13-I15</f>
        <v>259.52661365173878</v>
      </c>
      <c r="H15" s="2557">
        <f t="shared" ref="H15:H76" si="3">G15*E15</f>
        <v>20762.129092139105</v>
      </c>
      <c r="I15" s="2560">
        <f>'[65]abstract 1st'!D13</f>
        <v>498.83582489508672</v>
      </c>
      <c r="J15" s="2831">
        <f t="shared" ref="J15:J76" si="4">I15*E15</f>
        <v>39906.865991606937</v>
      </c>
      <c r="K15" s="2559">
        <f t="shared" ref="K15:K76" si="5">G15+I15</f>
        <v>758.3624385468255</v>
      </c>
      <c r="L15" s="2840">
        <f t="shared" ref="L15:L76" si="6">J15+H15</f>
        <v>60668.995083746042</v>
      </c>
      <c r="M15" s="2560">
        <f t="shared" si="0"/>
        <v>-68.737561453174521</v>
      </c>
      <c r="N15" s="2822">
        <f t="shared" si="1"/>
        <v>-8.3106711949189371</v>
      </c>
    </row>
    <row r="16" spans="1:15" ht="63">
      <c r="A16" s="2450">
        <v>3</v>
      </c>
      <c r="B16" s="2449" t="s">
        <v>3453</v>
      </c>
      <c r="C16" s="1770" t="s">
        <v>1174</v>
      </c>
      <c r="D16" s="2562">
        <v>165.8</v>
      </c>
      <c r="E16" s="2557">
        <v>100</v>
      </c>
      <c r="F16" s="2557">
        <f t="shared" si="2"/>
        <v>16580</v>
      </c>
      <c r="G16" s="2557">
        <f>Sheet1!D14-I16</f>
        <v>29.755088363526937</v>
      </c>
      <c r="H16" s="2557">
        <f t="shared" si="3"/>
        <v>2975.5088363526938</v>
      </c>
      <c r="I16" s="2560">
        <f>'[65]abstract 1st'!D14</f>
        <v>67.516753116461658</v>
      </c>
      <c r="J16" s="2831">
        <f t="shared" si="4"/>
        <v>6751.6753116461659</v>
      </c>
      <c r="K16" s="2559">
        <f t="shared" si="5"/>
        <v>97.271841479988595</v>
      </c>
      <c r="L16" s="2840">
        <f t="shared" si="6"/>
        <v>9727.1841479988598</v>
      </c>
      <c r="M16" s="2560">
        <f t="shared" si="0"/>
        <v>-68.528158520011416</v>
      </c>
      <c r="N16" s="2822">
        <f t="shared" si="1"/>
        <v>-41.331820579017744</v>
      </c>
      <c r="O16" s="2513"/>
    </row>
    <row r="17" spans="1:14" ht="47.25">
      <c r="A17" s="2450">
        <v>4</v>
      </c>
      <c r="B17" s="2506" t="s">
        <v>3454</v>
      </c>
      <c r="C17" s="1770" t="s">
        <v>1174</v>
      </c>
      <c r="D17" s="2562">
        <v>101.26</v>
      </c>
      <c r="E17" s="2557">
        <v>3200</v>
      </c>
      <c r="F17" s="2557">
        <f t="shared" si="2"/>
        <v>324032</v>
      </c>
      <c r="G17" s="2557">
        <f>Sheet1!D15-I17</f>
        <v>17.119298486898487</v>
      </c>
      <c r="H17" s="2557">
        <f t="shared" si="3"/>
        <v>54781.755158075161</v>
      </c>
      <c r="I17" s="2560">
        <f>'[65]abstract 1st'!D15</f>
        <v>68.389443319344906</v>
      </c>
      <c r="J17" s="2831">
        <f t="shared" si="4"/>
        <v>218846.21862190371</v>
      </c>
      <c r="K17" s="2559">
        <f t="shared" si="5"/>
        <v>85.508741806243393</v>
      </c>
      <c r="L17" s="2840">
        <f t="shared" si="6"/>
        <v>273627.97377997887</v>
      </c>
      <c r="M17" s="2560">
        <f t="shared" si="0"/>
        <v>-15.751258193756613</v>
      </c>
      <c r="N17" s="2822">
        <f t="shared" si="1"/>
        <v>-15.555261893893551</v>
      </c>
    </row>
    <row r="18" spans="1:14" ht="63">
      <c r="A18" s="2450">
        <v>5</v>
      </c>
      <c r="B18" s="2507" t="s">
        <v>3455</v>
      </c>
      <c r="C18" s="1770" t="s">
        <v>1174</v>
      </c>
      <c r="D18" s="2562">
        <v>134.55000000000001</v>
      </c>
      <c r="E18" s="2557">
        <v>6000</v>
      </c>
      <c r="F18" s="2557">
        <f t="shared" si="2"/>
        <v>807300.00000000012</v>
      </c>
      <c r="G18" s="2557">
        <f>Sheet1!D16-I18</f>
        <v>-48.648750000000007</v>
      </c>
      <c r="H18" s="2557">
        <f t="shared" si="3"/>
        <v>-291892.50000000006</v>
      </c>
      <c r="I18" s="2560">
        <f>'[65]abstract 1st'!D16</f>
        <v>123.75</v>
      </c>
      <c r="J18" s="2831">
        <f t="shared" si="4"/>
        <v>742500</v>
      </c>
      <c r="K18" s="2559">
        <f t="shared" si="5"/>
        <v>75.101249999999993</v>
      </c>
      <c r="L18" s="2840">
        <f t="shared" si="6"/>
        <v>450607.49999999994</v>
      </c>
      <c r="M18" s="2560">
        <f t="shared" si="0"/>
        <v>-59.448750000000018</v>
      </c>
      <c r="N18" s="2822">
        <f t="shared" si="1"/>
        <v>-44.18338907469343</v>
      </c>
    </row>
    <row r="19" spans="1:14" ht="78.75">
      <c r="A19" s="2450">
        <v>6</v>
      </c>
      <c r="B19" s="2449" t="s">
        <v>3456</v>
      </c>
      <c r="C19" s="1770" t="s">
        <v>1174</v>
      </c>
      <c r="D19" s="2562">
        <v>42.8</v>
      </c>
      <c r="E19" s="2557">
        <v>6600</v>
      </c>
      <c r="F19" s="2557">
        <f t="shared" si="2"/>
        <v>282480</v>
      </c>
      <c r="G19" s="2557">
        <f>Sheet1!D17-I19</f>
        <v>8.9255751316061698</v>
      </c>
      <c r="H19" s="2557">
        <f t="shared" si="3"/>
        <v>58908.795868600719</v>
      </c>
      <c r="I19" s="2560">
        <f>'[65]abstract 1st'!D17</f>
        <v>26.596978441426781</v>
      </c>
      <c r="J19" s="2831">
        <f t="shared" si="4"/>
        <v>175540.05771341675</v>
      </c>
      <c r="K19" s="2559">
        <f t="shared" si="5"/>
        <v>35.522553573032951</v>
      </c>
      <c r="L19" s="2840">
        <f t="shared" si="6"/>
        <v>234448.85358201747</v>
      </c>
      <c r="M19" s="2560">
        <f t="shared" si="0"/>
        <v>-7.277446426967046</v>
      </c>
      <c r="N19" s="2822">
        <f t="shared" si="1"/>
        <v>-17.003379502259456</v>
      </c>
    </row>
    <row r="20" spans="1:14" ht="63">
      <c r="A20" s="2450">
        <v>7</v>
      </c>
      <c r="B20" s="2449" t="s">
        <v>3457</v>
      </c>
      <c r="C20" s="1770" t="s">
        <v>1174</v>
      </c>
      <c r="D20" s="2562">
        <v>13.98</v>
      </c>
      <c r="E20" s="2557">
        <v>8000</v>
      </c>
      <c r="F20" s="2557">
        <f t="shared" si="2"/>
        <v>111840</v>
      </c>
      <c r="G20" s="2557">
        <f>Sheet1!D18-I20</f>
        <v>-5.5297000000000009</v>
      </c>
      <c r="H20" s="2557">
        <f t="shared" si="3"/>
        <v>-44237.600000000006</v>
      </c>
      <c r="I20" s="2560">
        <f>'[65]abstract 1st'!D18</f>
        <v>12.39</v>
      </c>
      <c r="J20" s="2831">
        <f t="shared" si="4"/>
        <v>99120</v>
      </c>
      <c r="K20" s="2559">
        <f t="shared" si="5"/>
        <v>6.8602999999999996</v>
      </c>
      <c r="L20" s="2840">
        <f t="shared" si="6"/>
        <v>54882.399999999994</v>
      </c>
      <c r="M20" s="2560">
        <f t="shared" si="0"/>
        <v>-7.1197000000000008</v>
      </c>
      <c r="N20" s="2822">
        <f t="shared" si="1"/>
        <v>-50.927753934191713</v>
      </c>
    </row>
    <row r="21" spans="1:14" ht="78.75">
      <c r="A21" s="2450">
        <v>8</v>
      </c>
      <c r="B21" s="2449" t="s">
        <v>3458</v>
      </c>
      <c r="C21" s="1770" t="s">
        <v>1174</v>
      </c>
      <c r="D21" s="2562">
        <v>206.51</v>
      </c>
      <c r="E21" s="2557">
        <v>12800</v>
      </c>
      <c r="F21" s="2557">
        <f t="shared" si="2"/>
        <v>2643328</v>
      </c>
      <c r="G21" s="2557">
        <f>Sheet1!D19-I21</f>
        <v>99.324690055202296</v>
      </c>
      <c r="H21" s="2557">
        <f t="shared" si="3"/>
        <v>1271356.0327065894</v>
      </c>
      <c r="I21" s="2560">
        <f>'[65]abstract 1st'!D19</f>
        <v>137.95626538029487</v>
      </c>
      <c r="J21" s="2831">
        <f t="shared" si="4"/>
        <v>1765840.1968677742</v>
      </c>
      <c r="K21" s="2559">
        <f t="shared" si="5"/>
        <v>237.28095543549716</v>
      </c>
      <c r="L21" s="2840">
        <f t="shared" si="6"/>
        <v>3037196.2295743637</v>
      </c>
      <c r="M21" s="2560">
        <f t="shared" si="0"/>
        <v>30.770955435497171</v>
      </c>
      <c r="N21" s="2822">
        <f t="shared" si="1"/>
        <v>14.900467500603929</v>
      </c>
    </row>
    <row r="22" spans="1:14" ht="63">
      <c r="A22" s="2450">
        <v>9</v>
      </c>
      <c r="B22" s="2449" t="s">
        <v>3459</v>
      </c>
      <c r="C22" s="1770" t="s">
        <v>1182</v>
      </c>
      <c r="D22" s="2562">
        <v>1260.3699999999999</v>
      </c>
      <c r="E22" s="2557">
        <v>250</v>
      </c>
      <c r="F22" s="2557">
        <f t="shared" si="2"/>
        <v>315092.5</v>
      </c>
      <c r="G22" s="2557">
        <f>Sheet1!D20-I22</f>
        <v>958.2987387704236</v>
      </c>
      <c r="H22" s="2557">
        <f t="shared" si="3"/>
        <v>239574.68469260589</v>
      </c>
      <c r="I22" s="2560">
        <f>'[65]abstract 1st'!D20</f>
        <v>429.34201408894114</v>
      </c>
      <c r="J22" s="2831">
        <f t="shared" si="4"/>
        <v>107335.50352223529</v>
      </c>
      <c r="K22" s="2559">
        <f t="shared" si="5"/>
        <v>1387.6407528593647</v>
      </c>
      <c r="L22" s="2840">
        <f t="shared" si="6"/>
        <v>346910.18821484118</v>
      </c>
      <c r="M22" s="2560">
        <f t="shared" si="0"/>
        <v>127.27075285936485</v>
      </c>
      <c r="N22" s="2822">
        <f t="shared" si="1"/>
        <v>10.09788814866784</v>
      </c>
    </row>
    <row r="23" spans="1:14" ht="45">
      <c r="A23" s="2450">
        <v>10</v>
      </c>
      <c r="B23" s="2823" t="s">
        <v>3460</v>
      </c>
      <c r="C23" s="1770" t="s">
        <v>3168</v>
      </c>
      <c r="D23" s="2562">
        <v>3</v>
      </c>
      <c r="E23" s="2557">
        <v>10000</v>
      </c>
      <c r="F23" s="2557">
        <f t="shared" si="2"/>
        <v>30000</v>
      </c>
      <c r="G23" s="2557">
        <f>Sheet1!D21-I23</f>
        <v>2</v>
      </c>
      <c r="H23" s="2557">
        <f t="shared" si="3"/>
        <v>20000</v>
      </c>
      <c r="I23" s="2560">
        <f>'[65]abstract 1st'!D21</f>
        <v>1</v>
      </c>
      <c r="J23" s="2831">
        <f t="shared" si="4"/>
        <v>10000</v>
      </c>
      <c r="K23" s="2559">
        <f t="shared" si="5"/>
        <v>3</v>
      </c>
      <c r="L23" s="2840">
        <f t="shared" si="6"/>
        <v>30000</v>
      </c>
      <c r="M23" s="2560">
        <f t="shared" ref="M23:M76" si="7">K23-D23</f>
        <v>0</v>
      </c>
      <c r="N23" s="2822">
        <f t="shared" si="1"/>
        <v>0</v>
      </c>
    </row>
    <row r="24" spans="1:14" ht="135">
      <c r="A24" s="2450">
        <v>11</v>
      </c>
      <c r="B24" s="2823" t="s">
        <v>3462</v>
      </c>
      <c r="C24" s="1770" t="s">
        <v>1034</v>
      </c>
      <c r="D24" s="2562">
        <v>27572.68</v>
      </c>
      <c r="E24" s="2557">
        <v>110</v>
      </c>
      <c r="F24" s="2557">
        <f t="shared" si="2"/>
        <v>3032994.8</v>
      </c>
      <c r="G24" s="2557">
        <f>Sheet1!D22-I24</f>
        <v>12036.908743256321</v>
      </c>
      <c r="H24" s="2557">
        <f t="shared" si="3"/>
        <v>1324059.9617581954</v>
      </c>
      <c r="I24" s="2560">
        <f>'[65]abstract 1st'!D22</f>
        <v>15197.43411220764</v>
      </c>
      <c r="J24" s="2831">
        <f t="shared" si="4"/>
        <v>1671717.7523428404</v>
      </c>
      <c r="K24" s="2559">
        <f t="shared" si="5"/>
        <v>27234.342855463961</v>
      </c>
      <c r="L24" s="2840">
        <f t="shared" si="6"/>
        <v>2995777.7141010361</v>
      </c>
      <c r="M24" s="2560">
        <f t="shared" si="7"/>
        <v>-338.33714453603898</v>
      </c>
      <c r="N24" s="2822"/>
    </row>
    <row r="25" spans="1:14" ht="45">
      <c r="A25" s="2450">
        <v>12</v>
      </c>
      <c r="B25" s="2823" t="s">
        <v>3463</v>
      </c>
      <c r="C25" s="1770" t="s">
        <v>1174</v>
      </c>
      <c r="D25" s="2562">
        <v>7.86</v>
      </c>
      <c r="E25" s="2557">
        <v>11500</v>
      </c>
      <c r="F25" s="2557">
        <f t="shared" si="2"/>
        <v>90390</v>
      </c>
      <c r="G25" s="2557">
        <f>Sheet1!D23-I25</f>
        <v>0</v>
      </c>
      <c r="H25" s="2557">
        <f t="shared" si="3"/>
        <v>0</v>
      </c>
      <c r="I25" s="2560">
        <f>'[65]abstract 1st'!D23</f>
        <v>0</v>
      </c>
      <c r="J25" s="2831">
        <f t="shared" si="4"/>
        <v>0</v>
      </c>
      <c r="K25" s="2559">
        <f t="shared" si="5"/>
        <v>0</v>
      </c>
      <c r="L25" s="2840">
        <f t="shared" si="6"/>
        <v>0</v>
      </c>
      <c r="M25" s="2560">
        <f t="shared" si="7"/>
        <v>-7.86</v>
      </c>
      <c r="N25" s="2822"/>
    </row>
    <row r="26" spans="1:14" ht="45">
      <c r="A26" s="2450">
        <v>13</v>
      </c>
      <c r="B26" s="2823" t="s">
        <v>3464</v>
      </c>
      <c r="C26" s="1770" t="s">
        <v>1182</v>
      </c>
      <c r="D26" s="2562">
        <v>1178.83</v>
      </c>
      <c r="E26" s="2557">
        <v>280</v>
      </c>
      <c r="F26" s="2557">
        <f t="shared" si="2"/>
        <v>330072.39999999997</v>
      </c>
      <c r="G26" s="2557">
        <f>Sheet1!D24-I26</f>
        <v>1162.9947986189222</v>
      </c>
      <c r="H26" s="2557">
        <f t="shared" si="3"/>
        <v>325638.54361329821</v>
      </c>
      <c r="I26" s="2560">
        <f>'[65]abstract 1st'!D24</f>
        <v>0</v>
      </c>
      <c r="J26" s="2831">
        <f t="shared" si="4"/>
        <v>0</v>
      </c>
      <c r="K26" s="2559">
        <f t="shared" si="5"/>
        <v>1162.9947986189222</v>
      </c>
      <c r="L26" s="2840">
        <f t="shared" si="6"/>
        <v>325638.54361329821</v>
      </c>
      <c r="M26" s="2560">
        <f t="shared" si="7"/>
        <v>-15.835201381077695</v>
      </c>
      <c r="N26" s="2822"/>
    </row>
    <row r="27" spans="1:14" ht="45">
      <c r="A27" s="2450">
        <v>14</v>
      </c>
      <c r="B27" s="2823" t="s">
        <v>3465</v>
      </c>
      <c r="C27" s="1770" t="s">
        <v>1182</v>
      </c>
      <c r="D27" s="2562">
        <v>600.54999999999995</v>
      </c>
      <c r="E27" s="2557">
        <v>280</v>
      </c>
      <c r="F27" s="2557">
        <f t="shared" si="2"/>
        <v>168154</v>
      </c>
      <c r="G27" s="2557">
        <f>Sheet1!D25-I27</f>
        <v>626.20996119212248</v>
      </c>
      <c r="H27" s="2557">
        <f t="shared" si="3"/>
        <v>175338.78913379429</v>
      </c>
      <c r="I27" s="2560">
        <f>'[65]abstract 1st'!D25</f>
        <v>0</v>
      </c>
      <c r="J27" s="2831">
        <f t="shared" si="4"/>
        <v>0</v>
      </c>
      <c r="K27" s="2559">
        <f t="shared" si="5"/>
        <v>626.20996119212248</v>
      </c>
      <c r="L27" s="2840">
        <f t="shared" si="6"/>
        <v>175338.78913379429</v>
      </c>
      <c r="M27" s="2560">
        <f t="shared" si="7"/>
        <v>25.659961192122523</v>
      </c>
      <c r="N27" s="2822"/>
    </row>
    <row r="28" spans="1:14" ht="45">
      <c r="A28" s="2450">
        <v>15</v>
      </c>
      <c r="B28" s="2823" t="s">
        <v>3466</v>
      </c>
      <c r="C28" s="1770" t="s">
        <v>1182</v>
      </c>
      <c r="D28" s="2562">
        <v>894.58</v>
      </c>
      <c r="E28" s="2557">
        <v>100</v>
      </c>
      <c r="F28" s="2557">
        <f t="shared" si="2"/>
        <v>89458</v>
      </c>
      <c r="G28" s="2557">
        <f>Sheet1!D26-I28</f>
        <v>850.99479861892223</v>
      </c>
      <c r="H28" s="2557">
        <f t="shared" si="3"/>
        <v>85099.479861892221</v>
      </c>
      <c r="I28" s="2560">
        <f>'[65]abstract 1st'!D26</f>
        <v>0</v>
      </c>
      <c r="J28" s="2831">
        <f t="shared" si="4"/>
        <v>0</v>
      </c>
      <c r="K28" s="2559">
        <f t="shared" si="5"/>
        <v>850.99479861892223</v>
      </c>
      <c r="L28" s="2840">
        <f t="shared" si="6"/>
        <v>85099.479861892221</v>
      </c>
      <c r="M28" s="2560">
        <f t="shared" si="7"/>
        <v>-43.585201381077809</v>
      </c>
      <c r="N28" s="2822"/>
    </row>
    <row r="29" spans="1:14" ht="30">
      <c r="A29" s="2450">
        <v>16</v>
      </c>
      <c r="B29" s="2823" t="s">
        <v>3467</v>
      </c>
      <c r="C29" s="1770" t="s">
        <v>1182</v>
      </c>
      <c r="D29" s="2562">
        <v>317.04000000000002</v>
      </c>
      <c r="E29" s="2557">
        <v>120</v>
      </c>
      <c r="F29" s="2557">
        <f t="shared" si="2"/>
        <v>38044.800000000003</v>
      </c>
      <c r="G29" s="2557">
        <f>Sheet1!D27-I29</f>
        <v>330.24629995930513</v>
      </c>
      <c r="H29" s="2557">
        <f t="shared" si="3"/>
        <v>39629.555995116614</v>
      </c>
      <c r="I29" s="2560">
        <f>'[65]abstract 1st'!D27</f>
        <v>0</v>
      </c>
      <c r="J29" s="2831">
        <f t="shared" si="4"/>
        <v>0</v>
      </c>
      <c r="K29" s="2559">
        <f t="shared" si="5"/>
        <v>330.24629995930513</v>
      </c>
      <c r="L29" s="2840">
        <f t="shared" si="6"/>
        <v>39629.555995116614</v>
      </c>
      <c r="M29" s="2560">
        <f t="shared" si="7"/>
        <v>13.206299959305113</v>
      </c>
      <c r="N29" s="2822"/>
    </row>
    <row r="30" spans="1:14" ht="45">
      <c r="A30" s="2450">
        <v>17</v>
      </c>
      <c r="B30" s="2823" t="s">
        <v>3468</v>
      </c>
      <c r="C30" s="1770" t="s">
        <v>1182</v>
      </c>
      <c r="D30" s="2562">
        <v>376.18</v>
      </c>
      <c r="E30" s="2557">
        <v>120</v>
      </c>
      <c r="F30" s="2557">
        <f t="shared" si="2"/>
        <v>45141.599999999999</v>
      </c>
      <c r="G30" s="2557">
        <f>Sheet1!D28-I30</f>
        <v>344.3264088150753</v>
      </c>
      <c r="H30" s="2557">
        <f t="shared" si="3"/>
        <v>41319.169057809035</v>
      </c>
      <c r="I30" s="2560">
        <f>'[65]abstract 1st'!D28</f>
        <v>0</v>
      </c>
      <c r="J30" s="2831">
        <f t="shared" si="4"/>
        <v>0</v>
      </c>
      <c r="K30" s="2559">
        <f t="shared" si="5"/>
        <v>344.3264088150753</v>
      </c>
      <c r="L30" s="2840">
        <f t="shared" si="6"/>
        <v>41319.169057809035</v>
      </c>
      <c r="M30" s="2560">
        <f t="shared" si="7"/>
        <v>-31.85359118492471</v>
      </c>
      <c r="N30" s="2822"/>
    </row>
    <row r="31" spans="1:14" ht="45">
      <c r="A31" s="2450">
        <v>18</v>
      </c>
      <c r="B31" s="2823" t="s">
        <v>3469</v>
      </c>
      <c r="C31" s="1770" t="s">
        <v>1182</v>
      </c>
      <c r="D31" s="2562">
        <v>206.67</v>
      </c>
      <c r="E31" s="2557">
        <v>120</v>
      </c>
      <c r="F31" s="2557">
        <f t="shared" si="2"/>
        <v>24800.399999999998</v>
      </c>
      <c r="G31" s="2557">
        <f>Sheet1!D29-I31</f>
        <v>312</v>
      </c>
      <c r="H31" s="2557">
        <f t="shared" si="3"/>
        <v>37440</v>
      </c>
      <c r="I31" s="2560">
        <f>'[65]abstract 1st'!D29</f>
        <v>0</v>
      </c>
      <c r="J31" s="2831">
        <f t="shared" si="4"/>
        <v>0</v>
      </c>
      <c r="K31" s="2559">
        <f t="shared" si="5"/>
        <v>312</v>
      </c>
      <c r="L31" s="2840">
        <f t="shared" si="6"/>
        <v>37440</v>
      </c>
      <c r="M31" s="2560">
        <f t="shared" si="7"/>
        <v>105.33000000000001</v>
      </c>
      <c r="N31" s="2822"/>
    </row>
    <row r="32" spans="1:14" ht="45">
      <c r="A32" s="2450">
        <v>19</v>
      </c>
      <c r="B32" s="2823" t="s">
        <v>3448</v>
      </c>
      <c r="C32" s="1770" t="s">
        <v>3168</v>
      </c>
      <c r="D32" s="2562">
        <v>6</v>
      </c>
      <c r="E32" s="2557">
        <v>20000</v>
      </c>
      <c r="F32" s="2557">
        <f t="shared" si="2"/>
        <v>120000</v>
      </c>
      <c r="G32" s="2557">
        <f>Sheet1!D30-I32</f>
        <v>6</v>
      </c>
      <c r="H32" s="2557">
        <f t="shared" si="3"/>
        <v>120000</v>
      </c>
      <c r="I32" s="2560">
        <f>'[65]abstract 1st'!D30</f>
        <v>0</v>
      </c>
      <c r="J32" s="2831">
        <f t="shared" si="4"/>
        <v>0</v>
      </c>
      <c r="K32" s="2559">
        <f t="shared" si="5"/>
        <v>6</v>
      </c>
      <c r="L32" s="2840">
        <f t="shared" si="6"/>
        <v>120000</v>
      </c>
      <c r="M32" s="2560">
        <f t="shared" si="7"/>
        <v>0</v>
      </c>
      <c r="N32" s="2822"/>
    </row>
    <row r="33" spans="1:14" ht="45">
      <c r="A33" s="2450">
        <v>20</v>
      </c>
      <c r="B33" s="2823" t="s">
        <v>3446</v>
      </c>
      <c r="C33" s="1770" t="s">
        <v>2389</v>
      </c>
      <c r="D33" s="2562">
        <v>12</v>
      </c>
      <c r="E33" s="2557">
        <v>10000</v>
      </c>
      <c r="F33" s="2557">
        <f t="shared" si="2"/>
        <v>120000</v>
      </c>
      <c r="G33" s="2557">
        <f>Sheet1!D31-I33</f>
        <v>10</v>
      </c>
      <c r="H33" s="2557">
        <f t="shared" si="3"/>
        <v>100000</v>
      </c>
      <c r="I33" s="2560">
        <f>'[65]abstract 1st'!D31</f>
        <v>0</v>
      </c>
      <c r="J33" s="2831">
        <f t="shared" si="4"/>
        <v>0</v>
      </c>
      <c r="K33" s="2559">
        <f t="shared" si="5"/>
        <v>10</v>
      </c>
      <c r="L33" s="2840">
        <f t="shared" si="6"/>
        <v>100000</v>
      </c>
      <c r="M33" s="2560">
        <f t="shared" si="7"/>
        <v>-2</v>
      </c>
      <c r="N33" s="2822"/>
    </row>
    <row r="34" spans="1:14" ht="30">
      <c r="A34" s="2450">
        <v>21</v>
      </c>
      <c r="B34" s="2823" t="s">
        <v>3470</v>
      </c>
      <c r="C34" s="1770" t="s">
        <v>3168</v>
      </c>
      <c r="D34" s="2562">
        <v>3</v>
      </c>
      <c r="E34" s="2557">
        <v>20000</v>
      </c>
      <c r="F34" s="2557">
        <f t="shared" si="2"/>
        <v>60000</v>
      </c>
      <c r="G34" s="2557">
        <f>Sheet1!D32-I34</f>
        <v>3</v>
      </c>
      <c r="H34" s="2557">
        <f t="shared" si="3"/>
        <v>60000</v>
      </c>
      <c r="I34" s="2560">
        <f>'[65]abstract 1st'!D32</f>
        <v>0</v>
      </c>
      <c r="J34" s="2831">
        <f t="shared" si="4"/>
        <v>0</v>
      </c>
      <c r="K34" s="2559">
        <f t="shared" si="5"/>
        <v>3</v>
      </c>
      <c r="L34" s="2840">
        <f t="shared" si="6"/>
        <v>60000</v>
      </c>
      <c r="M34" s="2560">
        <f t="shared" si="7"/>
        <v>0</v>
      </c>
      <c r="N34" s="2822"/>
    </row>
    <row r="35" spans="1:14" ht="45">
      <c r="A35" s="2450">
        <v>22</v>
      </c>
      <c r="B35" s="2823" t="s">
        <v>3447</v>
      </c>
      <c r="C35" s="1770" t="s">
        <v>3168</v>
      </c>
      <c r="D35" s="2562">
        <v>3</v>
      </c>
      <c r="E35" s="2557">
        <v>20000</v>
      </c>
      <c r="F35" s="2557">
        <f t="shared" si="2"/>
        <v>60000</v>
      </c>
      <c r="G35" s="2557">
        <f>Sheet1!D33-I35</f>
        <v>3</v>
      </c>
      <c r="H35" s="2557">
        <f t="shared" si="3"/>
        <v>60000</v>
      </c>
      <c r="I35" s="2560">
        <f>'[65]abstract 1st'!D33</f>
        <v>0</v>
      </c>
      <c r="J35" s="2831">
        <f t="shared" si="4"/>
        <v>0</v>
      </c>
      <c r="K35" s="2559">
        <f t="shared" si="5"/>
        <v>3</v>
      </c>
      <c r="L35" s="2840">
        <f t="shared" si="6"/>
        <v>60000</v>
      </c>
      <c r="M35" s="2560">
        <f t="shared" si="7"/>
        <v>0</v>
      </c>
      <c r="N35" s="2822"/>
    </row>
    <row r="36" spans="1:14" ht="30">
      <c r="A36" s="2450">
        <v>23</v>
      </c>
      <c r="B36" s="2823" t="s">
        <v>3471</v>
      </c>
      <c r="C36" s="1770" t="s">
        <v>3406</v>
      </c>
      <c r="D36" s="2562">
        <v>6</v>
      </c>
      <c r="E36" s="2557">
        <v>5500</v>
      </c>
      <c r="F36" s="2557">
        <f t="shared" si="2"/>
        <v>33000</v>
      </c>
      <c r="G36" s="2557">
        <f>Sheet1!D34-I36</f>
        <v>6</v>
      </c>
      <c r="H36" s="2557">
        <f t="shared" si="3"/>
        <v>33000</v>
      </c>
      <c r="I36" s="2560">
        <f>'[65]abstract 1st'!D34</f>
        <v>0</v>
      </c>
      <c r="J36" s="2831">
        <f t="shared" si="4"/>
        <v>0</v>
      </c>
      <c r="K36" s="2559">
        <f t="shared" si="5"/>
        <v>6</v>
      </c>
      <c r="L36" s="2840">
        <f t="shared" si="6"/>
        <v>33000</v>
      </c>
      <c r="M36" s="2560">
        <f t="shared" si="7"/>
        <v>0</v>
      </c>
      <c r="N36" s="2822"/>
    </row>
    <row r="37" spans="1:14" ht="45">
      <c r="A37" s="2450">
        <v>24</v>
      </c>
      <c r="B37" s="2823" t="s">
        <v>3472</v>
      </c>
      <c r="C37" s="1770" t="s">
        <v>3406</v>
      </c>
      <c r="D37" s="2562">
        <v>6</v>
      </c>
      <c r="E37" s="2557">
        <v>1600</v>
      </c>
      <c r="F37" s="2557">
        <f t="shared" si="2"/>
        <v>9600</v>
      </c>
      <c r="G37" s="2557">
        <f>Sheet1!D35-I37</f>
        <v>6</v>
      </c>
      <c r="H37" s="2557">
        <f t="shared" si="3"/>
        <v>9600</v>
      </c>
      <c r="I37" s="2560">
        <f>'[65]abstract 1st'!D35</f>
        <v>0</v>
      </c>
      <c r="J37" s="2831">
        <f t="shared" si="4"/>
        <v>0</v>
      </c>
      <c r="K37" s="2559">
        <f t="shared" si="5"/>
        <v>6</v>
      </c>
      <c r="L37" s="2840">
        <f t="shared" si="6"/>
        <v>9600</v>
      </c>
      <c r="M37" s="2560">
        <f t="shared" si="7"/>
        <v>0</v>
      </c>
      <c r="N37" s="2822"/>
    </row>
    <row r="38" spans="1:14" ht="30">
      <c r="A38" s="2450">
        <v>25</v>
      </c>
      <c r="B38" s="2823" t="s">
        <v>3473</v>
      </c>
      <c r="C38" s="1770" t="s">
        <v>3406</v>
      </c>
      <c r="D38" s="2562">
        <v>3</v>
      </c>
      <c r="E38" s="2557">
        <v>500</v>
      </c>
      <c r="F38" s="2557">
        <f t="shared" si="2"/>
        <v>1500</v>
      </c>
      <c r="G38" s="2557">
        <f>Sheet1!D36-I38</f>
        <v>3</v>
      </c>
      <c r="H38" s="2557">
        <f t="shared" si="3"/>
        <v>1500</v>
      </c>
      <c r="I38" s="2560">
        <f>'[65]abstract 1st'!D36</f>
        <v>0</v>
      </c>
      <c r="J38" s="2831">
        <f t="shared" si="4"/>
        <v>0</v>
      </c>
      <c r="K38" s="2559">
        <f t="shared" si="5"/>
        <v>3</v>
      </c>
      <c r="L38" s="2840">
        <f t="shared" si="6"/>
        <v>1500</v>
      </c>
      <c r="M38" s="2560">
        <f t="shared" si="7"/>
        <v>0</v>
      </c>
      <c r="N38" s="2822"/>
    </row>
    <row r="39" spans="1:14" ht="30">
      <c r="A39" s="2450">
        <v>26</v>
      </c>
      <c r="B39" s="2823" t="s">
        <v>3474</v>
      </c>
      <c r="C39" s="1770" t="s">
        <v>3406</v>
      </c>
      <c r="D39" s="2562">
        <v>6</v>
      </c>
      <c r="E39" s="2557">
        <v>780</v>
      </c>
      <c r="F39" s="2557">
        <f t="shared" si="2"/>
        <v>4680</v>
      </c>
      <c r="G39" s="2557">
        <f>Sheet1!D37-I39</f>
        <v>6</v>
      </c>
      <c r="H39" s="2557">
        <f t="shared" si="3"/>
        <v>4680</v>
      </c>
      <c r="I39" s="2560">
        <f>'[65]abstract 1st'!D37</f>
        <v>0</v>
      </c>
      <c r="J39" s="2831">
        <f t="shared" si="4"/>
        <v>0</v>
      </c>
      <c r="K39" s="2559">
        <f t="shared" si="5"/>
        <v>6</v>
      </c>
      <c r="L39" s="2840">
        <f t="shared" si="6"/>
        <v>4680</v>
      </c>
      <c r="M39" s="2560">
        <f t="shared" si="7"/>
        <v>0</v>
      </c>
      <c r="N39" s="2822"/>
    </row>
    <row r="40" spans="1:14" ht="45">
      <c r="A40" s="2450">
        <v>27</v>
      </c>
      <c r="B40" s="2823" t="s">
        <v>3475</v>
      </c>
      <c r="C40" s="1770" t="s">
        <v>3406</v>
      </c>
      <c r="D40" s="2562">
        <v>6</v>
      </c>
      <c r="E40" s="2557">
        <v>2200</v>
      </c>
      <c r="F40" s="2557">
        <f t="shared" si="2"/>
        <v>13200</v>
      </c>
      <c r="G40" s="2557">
        <f>Sheet1!D38-I40</f>
        <v>6</v>
      </c>
      <c r="H40" s="2557">
        <f t="shared" si="3"/>
        <v>13200</v>
      </c>
      <c r="I40" s="2560">
        <f>'[65]abstract 1st'!D38</f>
        <v>0</v>
      </c>
      <c r="J40" s="2831">
        <f t="shared" si="4"/>
        <v>0</v>
      </c>
      <c r="K40" s="2559">
        <f t="shared" si="5"/>
        <v>6</v>
      </c>
      <c r="L40" s="2840">
        <f t="shared" si="6"/>
        <v>13200</v>
      </c>
      <c r="M40" s="2560">
        <f t="shared" si="7"/>
        <v>0</v>
      </c>
      <c r="N40" s="2822"/>
    </row>
    <row r="41" spans="1:14" ht="30">
      <c r="A41" s="2450">
        <v>28</v>
      </c>
      <c r="B41" s="2823" t="s">
        <v>3476</v>
      </c>
      <c r="C41" s="1770" t="s">
        <v>3406</v>
      </c>
      <c r="D41" s="2562">
        <v>6</v>
      </c>
      <c r="E41" s="2557">
        <v>80</v>
      </c>
      <c r="F41" s="2557">
        <f t="shared" si="2"/>
        <v>480</v>
      </c>
      <c r="G41" s="2557">
        <f>Sheet1!D39-I41</f>
        <v>6</v>
      </c>
      <c r="H41" s="2557">
        <f t="shared" si="3"/>
        <v>480</v>
      </c>
      <c r="I41" s="2560">
        <f>'[65]abstract 1st'!D39</f>
        <v>0</v>
      </c>
      <c r="J41" s="2831">
        <f t="shared" si="4"/>
        <v>0</v>
      </c>
      <c r="K41" s="2559">
        <f t="shared" si="5"/>
        <v>6</v>
      </c>
      <c r="L41" s="2840">
        <f t="shared" si="6"/>
        <v>480</v>
      </c>
      <c r="M41" s="2560">
        <f t="shared" si="7"/>
        <v>0</v>
      </c>
      <c r="N41" s="2822"/>
    </row>
    <row r="42" spans="1:14" ht="30">
      <c r="A42" s="2450">
        <v>29</v>
      </c>
      <c r="B42" s="2823" t="s">
        <v>3477</v>
      </c>
      <c r="C42" s="1770" t="s">
        <v>1038</v>
      </c>
      <c r="D42" s="2562">
        <v>6</v>
      </c>
      <c r="E42" s="2557">
        <v>610</v>
      </c>
      <c r="F42" s="2557">
        <f t="shared" si="2"/>
        <v>3660</v>
      </c>
      <c r="G42" s="2557">
        <f>Sheet1!D40-I42</f>
        <v>6</v>
      </c>
      <c r="H42" s="2557">
        <f t="shared" si="3"/>
        <v>3660</v>
      </c>
      <c r="I42" s="2560">
        <f>'[65]abstract 1st'!D40</f>
        <v>0</v>
      </c>
      <c r="J42" s="2831">
        <f t="shared" si="4"/>
        <v>0</v>
      </c>
      <c r="K42" s="2559">
        <f t="shared" si="5"/>
        <v>6</v>
      </c>
      <c r="L42" s="2840">
        <f t="shared" si="6"/>
        <v>3660</v>
      </c>
      <c r="M42" s="2560">
        <f t="shared" si="7"/>
        <v>0</v>
      </c>
      <c r="N42" s="2822"/>
    </row>
    <row r="43" spans="1:14" ht="30">
      <c r="A43" s="2450">
        <v>30</v>
      </c>
      <c r="B43" s="2823" t="s">
        <v>3478</v>
      </c>
      <c r="C43" s="1770" t="s">
        <v>1038</v>
      </c>
      <c r="D43" s="2562">
        <v>6</v>
      </c>
      <c r="E43" s="2557">
        <v>1600</v>
      </c>
      <c r="F43" s="2557">
        <f t="shared" si="2"/>
        <v>9600</v>
      </c>
      <c r="G43" s="2557">
        <f>Sheet1!D41-I43</f>
        <v>6</v>
      </c>
      <c r="H43" s="2557">
        <f t="shared" si="3"/>
        <v>9600</v>
      </c>
      <c r="I43" s="2560">
        <f>'[65]abstract 1st'!D41</f>
        <v>0</v>
      </c>
      <c r="J43" s="2831">
        <f t="shared" si="4"/>
        <v>0</v>
      </c>
      <c r="K43" s="2559">
        <f t="shared" si="5"/>
        <v>6</v>
      </c>
      <c r="L43" s="2840">
        <f t="shared" si="6"/>
        <v>9600</v>
      </c>
      <c r="M43" s="2560">
        <f t="shared" si="7"/>
        <v>0</v>
      </c>
      <c r="N43" s="2822"/>
    </row>
    <row r="44" spans="1:14" ht="30">
      <c r="A44" s="2450">
        <v>31</v>
      </c>
      <c r="B44" s="2823" t="s">
        <v>3479</v>
      </c>
      <c r="C44" s="1770" t="s">
        <v>3406</v>
      </c>
      <c r="D44" s="2562">
        <v>6</v>
      </c>
      <c r="E44" s="2557">
        <v>230</v>
      </c>
      <c r="F44" s="2557">
        <f t="shared" si="2"/>
        <v>1380</v>
      </c>
      <c r="G44" s="2557">
        <f>Sheet1!D42-I44</f>
        <v>6</v>
      </c>
      <c r="H44" s="2557">
        <f t="shared" si="3"/>
        <v>1380</v>
      </c>
      <c r="I44" s="2560">
        <f>'[65]abstract 1st'!D42</f>
        <v>0</v>
      </c>
      <c r="J44" s="2831">
        <f t="shared" si="4"/>
        <v>0</v>
      </c>
      <c r="K44" s="2559">
        <f t="shared" si="5"/>
        <v>6</v>
      </c>
      <c r="L44" s="2840">
        <f t="shared" si="6"/>
        <v>1380</v>
      </c>
      <c r="M44" s="2560">
        <f t="shared" si="7"/>
        <v>0</v>
      </c>
      <c r="N44" s="2822"/>
    </row>
    <row r="45" spans="1:14" ht="30">
      <c r="A45" s="2450">
        <v>32</v>
      </c>
      <c r="B45" s="2823" t="s">
        <v>3480</v>
      </c>
      <c r="C45" s="1770" t="s">
        <v>3406</v>
      </c>
      <c r="D45" s="2562">
        <v>3</v>
      </c>
      <c r="E45" s="2557">
        <v>1100</v>
      </c>
      <c r="F45" s="2557">
        <f t="shared" si="2"/>
        <v>3300</v>
      </c>
      <c r="G45" s="2557">
        <f>Sheet1!D43-I45</f>
        <v>3</v>
      </c>
      <c r="H45" s="2557">
        <f t="shared" si="3"/>
        <v>3300</v>
      </c>
      <c r="I45" s="2560">
        <f>'[65]abstract 1st'!D43</f>
        <v>0</v>
      </c>
      <c r="J45" s="2831">
        <f t="shared" si="4"/>
        <v>0</v>
      </c>
      <c r="K45" s="2559">
        <f t="shared" si="5"/>
        <v>3</v>
      </c>
      <c r="L45" s="2840">
        <f t="shared" si="6"/>
        <v>3300</v>
      </c>
      <c r="M45" s="2560">
        <f t="shared" si="7"/>
        <v>0</v>
      </c>
      <c r="N45" s="2822"/>
    </row>
    <row r="46" spans="1:14" ht="30">
      <c r="A46" s="2450">
        <v>33</v>
      </c>
      <c r="B46" s="2823" t="s">
        <v>3481</v>
      </c>
      <c r="C46" s="1770" t="s">
        <v>3406</v>
      </c>
      <c r="D46" s="2562">
        <v>6</v>
      </c>
      <c r="E46" s="2557">
        <v>1500</v>
      </c>
      <c r="F46" s="2557">
        <f t="shared" si="2"/>
        <v>9000</v>
      </c>
      <c r="G46" s="2557">
        <f>Sheet1!D44-I46</f>
        <v>6</v>
      </c>
      <c r="H46" s="2557">
        <f t="shared" si="3"/>
        <v>9000</v>
      </c>
      <c r="I46" s="2560">
        <f>'[65]abstract 1st'!D44</f>
        <v>0</v>
      </c>
      <c r="J46" s="2831">
        <f t="shared" si="4"/>
        <v>0</v>
      </c>
      <c r="K46" s="2559">
        <f t="shared" si="5"/>
        <v>6</v>
      </c>
      <c r="L46" s="2840">
        <f t="shared" si="6"/>
        <v>9000</v>
      </c>
      <c r="M46" s="2560">
        <f t="shared" si="7"/>
        <v>0</v>
      </c>
      <c r="N46" s="2822"/>
    </row>
    <row r="47" spans="1:14" ht="30">
      <c r="A47" s="2450">
        <v>34</v>
      </c>
      <c r="B47" s="2823" t="s">
        <v>3482</v>
      </c>
      <c r="C47" s="1770" t="s">
        <v>3406</v>
      </c>
      <c r="D47" s="2562">
        <v>3</v>
      </c>
      <c r="E47" s="2557">
        <v>780</v>
      </c>
      <c r="F47" s="2557">
        <f t="shared" si="2"/>
        <v>2340</v>
      </c>
      <c r="G47" s="2557">
        <f>Sheet1!D45-I47</f>
        <v>3</v>
      </c>
      <c r="H47" s="2557">
        <f t="shared" si="3"/>
        <v>2340</v>
      </c>
      <c r="I47" s="2560">
        <f>'[65]abstract 1st'!D45</f>
        <v>0</v>
      </c>
      <c r="J47" s="2831">
        <f t="shared" si="4"/>
        <v>0</v>
      </c>
      <c r="K47" s="2559">
        <f t="shared" si="5"/>
        <v>3</v>
      </c>
      <c r="L47" s="2840">
        <f t="shared" si="6"/>
        <v>2340</v>
      </c>
      <c r="M47" s="2560">
        <f t="shared" si="7"/>
        <v>0</v>
      </c>
      <c r="N47" s="2822"/>
    </row>
    <row r="48" spans="1:14" ht="30">
      <c r="A48" s="2450">
        <v>35</v>
      </c>
      <c r="B48" s="2823" t="s">
        <v>3483</v>
      </c>
      <c r="C48" s="1770" t="s">
        <v>3406</v>
      </c>
      <c r="D48" s="2562">
        <v>3</v>
      </c>
      <c r="E48" s="2557">
        <v>350</v>
      </c>
      <c r="F48" s="2557">
        <f t="shared" si="2"/>
        <v>1050</v>
      </c>
      <c r="G48" s="2557">
        <f>Sheet1!D46-I48</f>
        <v>3</v>
      </c>
      <c r="H48" s="2557">
        <f t="shared" si="3"/>
        <v>1050</v>
      </c>
      <c r="I48" s="2560">
        <f>'[65]abstract 1st'!D46</f>
        <v>0</v>
      </c>
      <c r="J48" s="2831">
        <f t="shared" si="4"/>
        <v>0</v>
      </c>
      <c r="K48" s="2559">
        <f t="shared" si="5"/>
        <v>3</v>
      </c>
      <c r="L48" s="2840">
        <f t="shared" si="6"/>
        <v>1050</v>
      </c>
      <c r="M48" s="2560">
        <f t="shared" si="7"/>
        <v>0</v>
      </c>
      <c r="N48" s="2822"/>
    </row>
    <row r="49" spans="1:14" ht="30">
      <c r="A49" s="2450">
        <v>36</v>
      </c>
      <c r="B49" s="2823" t="s">
        <v>3484</v>
      </c>
      <c r="C49" s="1770" t="s">
        <v>3406</v>
      </c>
      <c r="D49" s="2562">
        <v>12</v>
      </c>
      <c r="E49" s="2557">
        <v>110</v>
      </c>
      <c r="F49" s="2557">
        <f t="shared" si="2"/>
        <v>1320</v>
      </c>
      <c r="G49" s="2557">
        <f>Sheet1!D47-I49</f>
        <v>12</v>
      </c>
      <c r="H49" s="2557">
        <f t="shared" si="3"/>
        <v>1320</v>
      </c>
      <c r="I49" s="2560">
        <f>'[65]abstract 1st'!D47</f>
        <v>0</v>
      </c>
      <c r="J49" s="2831">
        <f t="shared" si="4"/>
        <v>0</v>
      </c>
      <c r="K49" s="2559">
        <f t="shared" si="5"/>
        <v>12</v>
      </c>
      <c r="L49" s="2840">
        <f t="shared" si="6"/>
        <v>1320</v>
      </c>
      <c r="M49" s="2560">
        <f t="shared" si="7"/>
        <v>0</v>
      </c>
      <c r="N49" s="2822"/>
    </row>
    <row r="50" spans="1:14" ht="30">
      <c r="A50" s="2450">
        <v>37</v>
      </c>
      <c r="B50" s="2823" t="s">
        <v>3485</v>
      </c>
      <c r="C50" s="1770" t="s">
        <v>3406</v>
      </c>
      <c r="D50" s="2562">
        <v>6</v>
      </c>
      <c r="E50" s="2557">
        <v>100</v>
      </c>
      <c r="F50" s="2557">
        <f t="shared" si="2"/>
        <v>600</v>
      </c>
      <c r="G50" s="2557">
        <f>Sheet1!D48-I50</f>
        <v>6</v>
      </c>
      <c r="H50" s="2557">
        <f t="shared" si="3"/>
        <v>600</v>
      </c>
      <c r="I50" s="2560">
        <f>'[65]abstract 1st'!D48</f>
        <v>0</v>
      </c>
      <c r="J50" s="2831">
        <f t="shared" si="4"/>
        <v>0</v>
      </c>
      <c r="K50" s="2559">
        <f t="shared" si="5"/>
        <v>6</v>
      </c>
      <c r="L50" s="2840">
        <f t="shared" si="6"/>
        <v>600</v>
      </c>
      <c r="M50" s="2560">
        <f t="shared" si="7"/>
        <v>0</v>
      </c>
      <c r="N50" s="2822"/>
    </row>
    <row r="51" spans="1:14" ht="30">
      <c r="A51" s="2450">
        <v>38</v>
      </c>
      <c r="B51" s="2823" t="s">
        <v>3486</v>
      </c>
      <c r="C51" s="1770" t="s">
        <v>3406</v>
      </c>
      <c r="D51" s="2562">
        <v>3</v>
      </c>
      <c r="E51" s="2557">
        <v>210</v>
      </c>
      <c r="F51" s="2557">
        <f t="shared" si="2"/>
        <v>630</v>
      </c>
      <c r="G51" s="2557">
        <f>Sheet1!D49-I51</f>
        <v>3</v>
      </c>
      <c r="H51" s="2557">
        <f t="shared" si="3"/>
        <v>630</v>
      </c>
      <c r="I51" s="2560">
        <f>'[65]abstract 1st'!D49</f>
        <v>0</v>
      </c>
      <c r="J51" s="2831">
        <f t="shared" si="4"/>
        <v>0</v>
      </c>
      <c r="K51" s="2559">
        <f t="shared" si="5"/>
        <v>3</v>
      </c>
      <c r="L51" s="2840">
        <f t="shared" si="6"/>
        <v>630</v>
      </c>
      <c r="M51" s="2560">
        <f t="shared" si="7"/>
        <v>0</v>
      </c>
      <c r="N51" s="2822"/>
    </row>
    <row r="52" spans="1:14" ht="30">
      <c r="A52" s="2450">
        <v>39</v>
      </c>
      <c r="B52" s="2823" t="s">
        <v>3487</v>
      </c>
      <c r="C52" s="1770" t="s">
        <v>3406</v>
      </c>
      <c r="D52" s="2562">
        <v>9</v>
      </c>
      <c r="E52" s="2557">
        <v>100</v>
      </c>
      <c r="F52" s="2557">
        <f t="shared" si="2"/>
        <v>900</v>
      </c>
      <c r="G52" s="2557">
        <f>Sheet1!D50-I52</f>
        <v>9</v>
      </c>
      <c r="H52" s="2557">
        <f t="shared" si="3"/>
        <v>900</v>
      </c>
      <c r="I52" s="2560">
        <f>'[65]abstract 1st'!D50</f>
        <v>0</v>
      </c>
      <c r="J52" s="2831">
        <f t="shared" si="4"/>
        <v>0</v>
      </c>
      <c r="K52" s="2559">
        <f t="shared" si="5"/>
        <v>9</v>
      </c>
      <c r="L52" s="2840">
        <f t="shared" si="6"/>
        <v>900</v>
      </c>
      <c r="M52" s="2560">
        <f t="shared" si="7"/>
        <v>0</v>
      </c>
      <c r="N52" s="2822"/>
    </row>
    <row r="53" spans="1:14" ht="45">
      <c r="A53" s="2450">
        <v>40</v>
      </c>
      <c r="B53" s="2823" t="s">
        <v>3488</v>
      </c>
      <c r="C53" s="1770" t="s">
        <v>3406</v>
      </c>
      <c r="D53" s="2562">
        <v>6</v>
      </c>
      <c r="E53" s="2557">
        <v>6900</v>
      </c>
      <c r="F53" s="2557">
        <f t="shared" si="2"/>
        <v>41400</v>
      </c>
      <c r="G53" s="2557">
        <f>Sheet1!D51-I53</f>
        <v>6</v>
      </c>
      <c r="H53" s="2557">
        <f t="shared" si="3"/>
        <v>41400</v>
      </c>
      <c r="I53" s="2560">
        <f>'[65]abstract 1st'!D51</f>
        <v>0</v>
      </c>
      <c r="J53" s="2831">
        <f t="shared" si="4"/>
        <v>0</v>
      </c>
      <c r="K53" s="2559">
        <f t="shared" si="5"/>
        <v>6</v>
      </c>
      <c r="L53" s="2840">
        <f t="shared" si="6"/>
        <v>41400</v>
      </c>
      <c r="M53" s="2560">
        <f t="shared" si="7"/>
        <v>0</v>
      </c>
      <c r="N53" s="2822"/>
    </row>
    <row r="54" spans="1:14" ht="45">
      <c r="A54" s="2450">
        <v>41</v>
      </c>
      <c r="B54" s="2823" t="s">
        <v>3489</v>
      </c>
      <c r="C54" s="1770" t="s">
        <v>3406</v>
      </c>
      <c r="D54" s="2562">
        <v>3</v>
      </c>
      <c r="E54" s="2557">
        <v>1710</v>
      </c>
      <c r="F54" s="2557">
        <f t="shared" si="2"/>
        <v>5130</v>
      </c>
      <c r="G54" s="2557">
        <f>Sheet1!D52-I54</f>
        <v>3</v>
      </c>
      <c r="H54" s="2557">
        <f t="shared" si="3"/>
        <v>5130</v>
      </c>
      <c r="I54" s="2560">
        <f>'[65]abstract 1st'!D52</f>
        <v>0</v>
      </c>
      <c r="J54" s="2831">
        <f t="shared" si="4"/>
        <v>0</v>
      </c>
      <c r="K54" s="2559">
        <f t="shared" si="5"/>
        <v>3</v>
      </c>
      <c r="L54" s="2840">
        <f t="shared" si="6"/>
        <v>5130</v>
      </c>
      <c r="M54" s="2560">
        <f t="shared" si="7"/>
        <v>0</v>
      </c>
      <c r="N54" s="2822"/>
    </row>
    <row r="55" spans="1:14" ht="30">
      <c r="A55" s="2450">
        <v>42</v>
      </c>
      <c r="B55" s="2823" t="s">
        <v>3490</v>
      </c>
      <c r="C55" s="1770" t="s">
        <v>3406</v>
      </c>
      <c r="D55" s="2562">
        <v>6</v>
      </c>
      <c r="E55" s="2557">
        <v>1270</v>
      </c>
      <c r="F55" s="2557">
        <f t="shared" si="2"/>
        <v>7620</v>
      </c>
      <c r="G55" s="2557">
        <f>Sheet1!D53-I55</f>
        <v>6</v>
      </c>
      <c r="H55" s="2557">
        <f t="shared" si="3"/>
        <v>7620</v>
      </c>
      <c r="I55" s="2560">
        <f>'[65]abstract 1st'!D53</f>
        <v>0</v>
      </c>
      <c r="J55" s="2831">
        <f t="shared" si="4"/>
        <v>0</v>
      </c>
      <c r="K55" s="2559">
        <f t="shared" si="5"/>
        <v>6</v>
      </c>
      <c r="L55" s="2840">
        <f t="shared" si="6"/>
        <v>7620</v>
      </c>
      <c r="M55" s="2560">
        <f t="shared" si="7"/>
        <v>0</v>
      </c>
      <c r="N55" s="2822"/>
    </row>
    <row r="56" spans="1:14" ht="30">
      <c r="A56" s="2450">
        <v>43</v>
      </c>
      <c r="B56" s="2823" t="s">
        <v>3491</v>
      </c>
      <c r="C56" s="1770" t="s">
        <v>3406</v>
      </c>
      <c r="D56" s="2562">
        <v>3</v>
      </c>
      <c r="E56" s="2557">
        <v>880</v>
      </c>
      <c r="F56" s="2557">
        <f t="shared" si="2"/>
        <v>2640</v>
      </c>
      <c r="G56" s="2557">
        <f>Sheet1!D54-I56</f>
        <v>3</v>
      </c>
      <c r="H56" s="2557">
        <f t="shared" si="3"/>
        <v>2640</v>
      </c>
      <c r="I56" s="2560">
        <f>'[65]abstract 1st'!D54</f>
        <v>0</v>
      </c>
      <c r="J56" s="2831">
        <f t="shared" si="4"/>
        <v>0</v>
      </c>
      <c r="K56" s="2559">
        <f t="shared" si="5"/>
        <v>3</v>
      </c>
      <c r="L56" s="2840">
        <f t="shared" si="6"/>
        <v>2640</v>
      </c>
      <c r="M56" s="2560">
        <f t="shared" si="7"/>
        <v>0</v>
      </c>
      <c r="N56" s="2822"/>
    </row>
    <row r="57" spans="1:14" ht="30">
      <c r="A57" s="2450">
        <v>44</v>
      </c>
      <c r="B57" s="2823" t="s">
        <v>3492</v>
      </c>
      <c r="C57" s="1770" t="s">
        <v>3406</v>
      </c>
      <c r="D57" s="2562">
        <v>3</v>
      </c>
      <c r="E57" s="2557">
        <v>460</v>
      </c>
      <c r="F57" s="2557">
        <f t="shared" si="2"/>
        <v>1380</v>
      </c>
      <c r="G57" s="2557">
        <f>Sheet1!D55-I57</f>
        <v>3</v>
      </c>
      <c r="H57" s="2557">
        <f t="shared" si="3"/>
        <v>1380</v>
      </c>
      <c r="I57" s="2560">
        <f>'[65]abstract 1st'!D55</f>
        <v>0</v>
      </c>
      <c r="J57" s="2831">
        <f t="shared" si="4"/>
        <v>0</v>
      </c>
      <c r="K57" s="2559">
        <f t="shared" si="5"/>
        <v>3</v>
      </c>
      <c r="L57" s="2840">
        <f t="shared" si="6"/>
        <v>1380</v>
      </c>
      <c r="M57" s="2560">
        <f t="shared" si="7"/>
        <v>0</v>
      </c>
      <c r="N57" s="2822"/>
    </row>
    <row r="58" spans="1:14" ht="45">
      <c r="A58" s="2450">
        <v>45</v>
      </c>
      <c r="B58" s="2823" t="s">
        <v>3493</v>
      </c>
      <c r="C58" s="1770" t="s">
        <v>517</v>
      </c>
      <c r="D58" s="2562">
        <v>3</v>
      </c>
      <c r="E58" s="2557">
        <v>1900</v>
      </c>
      <c r="F58" s="2557">
        <f t="shared" si="2"/>
        <v>5700</v>
      </c>
      <c r="G58" s="2557">
        <f>Sheet1!D56-I58</f>
        <v>3</v>
      </c>
      <c r="H58" s="2557">
        <f t="shared" si="3"/>
        <v>5700</v>
      </c>
      <c r="I58" s="2560">
        <f>'[65]abstract 1st'!D56</f>
        <v>0</v>
      </c>
      <c r="J58" s="2831">
        <f t="shared" si="4"/>
        <v>0</v>
      </c>
      <c r="K58" s="2559">
        <f t="shared" si="5"/>
        <v>3</v>
      </c>
      <c r="L58" s="2840">
        <f t="shared" si="6"/>
        <v>5700</v>
      </c>
      <c r="M58" s="2560">
        <f t="shared" si="7"/>
        <v>0</v>
      </c>
      <c r="N58" s="2822"/>
    </row>
    <row r="59" spans="1:14" ht="30">
      <c r="A59" s="2450">
        <v>46</v>
      </c>
      <c r="B59" s="2823" t="s">
        <v>3494</v>
      </c>
      <c r="C59" s="1770" t="s">
        <v>3406</v>
      </c>
      <c r="D59" s="2562">
        <v>3</v>
      </c>
      <c r="E59" s="2557">
        <v>3000</v>
      </c>
      <c r="F59" s="2557">
        <f t="shared" si="2"/>
        <v>9000</v>
      </c>
      <c r="G59" s="2557">
        <f>Sheet1!D57-I59</f>
        <v>3</v>
      </c>
      <c r="H59" s="2557">
        <f t="shared" si="3"/>
        <v>9000</v>
      </c>
      <c r="I59" s="2560">
        <f>'[65]abstract 1st'!D57</f>
        <v>0</v>
      </c>
      <c r="J59" s="2831">
        <f t="shared" si="4"/>
        <v>0</v>
      </c>
      <c r="K59" s="2559">
        <f t="shared" si="5"/>
        <v>3</v>
      </c>
      <c r="L59" s="2840">
        <f t="shared" si="6"/>
        <v>9000</v>
      </c>
      <c r="M59" s="2560">
        <f t="shared" si="7"/>
        <v>0</v>
      </c>
      <c r="N59" s="2822"/>
    </row>
    <row r="60" spans="1:14" ht="30">
      <c r="A60" s="2450">
        <v>47</v>
      </c>
      <c r="B60" s="2823" t="s">
        <v>3495</v>
      </c>
      <c r="C60" s="1770" t="s">
        <v>3406</v>
      </c>
      <c r="D60" s="2562">
        <v>3</v>
      </c>
      <c r="E60" s="2557">
        <v>1500</v>
      </c>
      <c r="F60" s="2557">
        <f t="shared" si="2"/>
        <v>4500</v>
      </c>
      <c r="G60" s="2557">
        <f>Sheet1!D58-I60</f>
        <v>3</v>
      </c>
      <c r="H60" s="2557">
        <f t="shared" si="3"/>
        <v>4500</v>
      </c>
      <c r="I60" s="2560">
        <f>'[65]abstract 1st'!D58</f>
        <v>0</v>
      </c>
      <c r="J60" s="2831">
        <f t="shared" si="4"/>
        <v>0</v>
      </c>
      <c r="K60" s="2559">
        <f t="shared" si="5"/>
        <v>3</v>
      </c>
      <c r="L60" s="2840">
        <f t="shared" si="6"/>
        <v>4500</v>
      </c>
      <c r="M60" s="2560">
        <f t="shared" si="7"/>
        <v>0</v>
      </c>
      <c r="N60" s="2822"/>
    </row>
    <row r="61" spans="1:14" ht="30">
      <c r="A61" s="2450">
        <v>48</v>
      </c>
      <c r="B61" s="2823" t="s">
        <v>3496</v>
      </c>
      <c r="C61" s="1770" t="s">
        <v>3406</v>
      </c>
      <c r="D61" s="2562">
        <v>3</v>
      </c>
      <c r="E61" s="2557">
        <v>350</v>
      </c>
      <c r="F61" s="2557">
        <f t="shared" si="2"/>
        <v>1050</v>
      </c>
      <c r="G61" s="2557">
        <f>Sheet1!D59-I61</f>
        <v>3</v>
      </c>
      <c r="H61" s="2557">
        <f t="shared" si="3"/>
        <v>1050</v>
      </c>
      <c r="I61" s="2560">
        <f>'[65]abstract 1st'!D59</f>
        <v>0</v>
      </c>
      <c r="J61" s="2831">
        <f t="shared" si="4"/>
        <v>0</v>
      </c>
      <c r="K61" s="2559">
        <f t="shared" si="5"/>
        <v>3</v>
      </c>
      <c r="L61" s="2840">
        <f t="shared" si="6"/>
        <v>1050</v>
      </c>
      <c r="M61" s="2560">
        <f t="shared" si="7"/>
        <v>0</v>
      </c>
      <c r="N61" s="2822"/>
    </row>
    <row r="62" spans="1:14" ht="30">
      <c r="A62" s="2450">
        <v>49</v>
      </c>
      <c r="B62" s="2823" t="s">
        <v>3497</v>
      </c>
      <c r="C62" s="1770" t="s">
        <v>3406</v>
      </c>
      <c r="D62" s="2562">
        <v>3</v>
      </c>
      <c r="E62" s="2557">
        <v>300</v>
      </c>
      <c r="F62" s="2557">
        <f t="shared" si="2"/>
        <v>900</v>
      </c>
      <c r="G62" s="2557">
        <f>Sheet1!D60-I62</f>
        <v>3</v>
      </c>
      <c r="H62" s="2557">
        <f t="shared" si="3"/>
        <v>900</v>
      </c>
      <c r="I62" s="2560">
        <f>'[65]abstract 1st'!D60</f>
        <v>0</v>
      </c>
      <c r="J62" s="2831">
        <f t="shared" si="4"/>
        <v>0</v>
      </c>
      <c r="K62" s="2559">
        <f t="shared" si="5"/>
        <v>3</v>
      </c>
      <c r="L62" s="2840">
        <f t="shared" si="6"/>
        <v>900</v>
      </c>
      <c r="M62" s="2560">
        <f t="shared" si="7"/>
        <v>0</v>
      </c>
      <c r="N62" s="2822"/>
    </row>
    <row r="63" spans="1:14" ht="30">
      <c r="A63" s="2450">
        <v>50</v>
      </c>
      <c r="B63" s="2823" t="s">
        <v>3498</v>
      </c>
      <c r="C63" s="1770" t="s">
        <v>3406</v>
      </c>
      <c r="D63" s="2562">
        <v>9</v>
      </c>
      <c r="E63" s="2557">
        <v>230</v>
      </c>
      <c r="F63" s="2557">
        <f t="shared" si="2"/>
        <v>2070</v>
      </c>
      <c r="G63" s="2557">
        <f>Sheet1!D61-I63</f>
        <v>9</v>
      </c>
      <c r="H63" s="2557">
        <f t="shared" si="3"/>
        <v>2070</v>
      </c>
      <c r="I63" s="2560">
        <f>'[65]abstract 1st'!D61</f>
        <v>0</v>
      </c>
      <c r="J63" s="2831">
        <f t="shared" si="4"/>
        <v>0</v>
      </c>
      <c r="K63" s="2559">
        <f t="shared" si="5"/>
        <v>9</v>
      </c>
      <c r="L63" s="2840">
        <f t="shared" si="6"/>
        <v>2070</v>
      </c>
      <c r="M63" s="2560">
        <f t="shared" si="7"/>
        <v>0</v>
      </c>
      <c r="N63" s="2822"/>
    </row>
    <row r="64" spans="1:14" ht="30">
      <c r="A64" s="2450">
        <v>51</v>
      </c>
      <c r="B64" s="2823" t="s">
        <v>3499</v>
      </c>
      <c r="C64" s="1770" t="s">
        <v>3406</v>
      </c>
      <c r="D64" s="2562">
        <v>3</v>
      </c>
      <c r="E64" s="2557">
        <v>3500</v>
      </c>
      <c r="F64" s="2557">
        <f t="shared" si="2"/>
        <v>10500</v>
      </c>
      <c r="G64" s="2557">
        <f>Sheet1!D62-I64</f>
        <v>3</v>
      </c>
      <c r="H64" s="2557">
        <f t="shared" si="3"/>
        <v>10500</v>
      </c>
      <c r="I64" s="2560">
        <f>'[65]abstract 1st'!D62</f>
        <v>0</v>
      </c>
      <c r="J64" s="2831">
        <f t="shared" si="4"/>
        <v>0</v>
      </c>
      <c r="K64" s="2559">
        <f t="shared" si="5"/>
        <v>3</v>
      </c>
      <c r="L64" s="2840">
        <f t="shared" si="6"/>
        <v>10500</v>
      </c>
      <c r="M64" s="2560">
        <f t="shared" si="7"/>
        <v>0</v>
      </c>
      <c r="N64" s="2822"/>
    </row>
    <row r="65" spans="1:14" ht="30">
      <c r="A65" s="2450">
        <v>52</v>
      </c>
      <c r="B65" s="2823" t="s">
        <v>3500</v>
      </c>
      <c r="C65" s="1770" t="s">
        <v>3406</v>
      </c>
      <c r="D65" s="2562">
        <v>3</v>
      </c>
      <c r="E65" s="2557">
        <v>80</v>
      </c>
      <c r="F65" s="2557">
        <f t="shared" si="2"/>
        <v>240</v>
      </c>
      <c r="G65" s="2557">
        <f>Sheet1!D63-I65</f>
        <v>3</v>
      </c>
      <c r="H65" s="2557">
        <f t="shared" si="3"/>
        <v>240</v>
      </c>
      <c r="I65" s="2560">
        <f>'[65]abstract 1st'!D63</f>
        <v>0</v>
      </c>
      <c r="J65" s="2831">
        <f t="shared" si="4"/>
        <v>0</v>
      </c>
      <c r="K65" s="2559">
        <f t="shared" si="5"/>
        <v>3</v>
      </c>
      <c r="L65" s="2840">
        <f t="shared" si="6"/>
        <v>240</v>
      </c>
      <c r="M65" s="2560">
        <f t="shared" si="7"/>
        <v>0</v>
      </c>
      <c r="N65" s="2822"/>
    </row>
    <row r="66" spans="1:14" ht="45">
      <c r="A66" s="2450">
        <v>53</v>
      </c>
      <c r="B66" s="2823" t="s">
        <v>3501</v>
      </c>
      <c r="C66" s="1770" t="s">
        <v>3406</v>
      </c>
      <c r="D66" s="2562">
        <v>6</v>
      </c>
      <c r="E66" s="2557">
        <v>1110</v>
      </c>
      <c r="F66" s="2557">
        <f t="shared" si="2"/>
        <v>6660</v>
      </c>
      <c r="G66" s="2557">
        <f>Sheet1!D64-I66</f>
        <v>6</v>
      </c>
      <c r="H66" s="2557">
        <f t="shared" si="3"/>
        <v>6660</v>
      </c>
      <c r="I66" s="2560">
        <f>'[65]abstract 1st'!D64</f>
        <v>0</v>
      </c>
      <c r="J66" s="2831">
        <f t="shared" si="4"/>
        <v>0</v>
      </c>
      <c r="K66" s="2559">
        <f t="shared" si="5"/>
        <v>6</v>
      </c>
      <c r="L66" s="2840">
        <f t="shared" si="6"/>
        <v>6660</v>
      </c>
      <c r="M66" s="2560">
        <f t="shared" si="7"/>
        <v>0</v>
      </c>
      <c r="N66" s="2822"/>
    </row>
    <row r="67" spans="1:14" ht="45">
      <c r="A67" s="2450">
        <v>54</v>
      </c>
      <c r="B67" s="2823" t="s">
        <v>3502</v>
      </c>
      <c r="C67" s="1770" t="s">
        <v>1983</v>
      </c>
      <c r="D67" s="2562">
        <v>3</v>
      </c>
      <c r="E67" s="2557">
        <v>9000</v>
      </c>
      <c r="F67" s="2557">
        <f t="shared" si="2"/>
        <v>27000</v>
      </c>
      <c r="G67" s="2557">
        <f>Sheet1!D65-I67</f>
        <v>3</v>
      </c>
      <c r="H67" s="2557">
        <f t="shared" si="3"/>
        <v>27000</v>
      </c>
      <c r="I67" s="2560">
        <f>'[65]abstract 1st'!D65</f>
        <v>0</v>
      </c>
      <c r="J67" s="2831">
        <f t="shared" si="4"/>
        <v>0</v>
      </c>
      <c r="K67" s="2559">
        <f t="shared" si="5"/>
        <v>3</v>
      </c>
      <c r="L67" s="2840">
        <f t="shared" si="6"/>
        <v>27000</v>
      </c>
      <c r="M67" s="2560">
        <f t="shared" si="7"/>
        <v>0</v>
      </c>
      <c r="N67" s="2822"/>
    </row>
    <row r="68" spans="1:14" ht="30">
      <c r="A68" s="2450">
        <v>55</v>
      </c>
      <c r="B68" s="2823" t="s">
        <v>3503</v>
      </c>
      <c r="C68" s="1770" t="s">
        <v>3406</v>
      </c>
      <c r="D68" s="2562">
        <v>3</v>
      </c>
      <c r="E68" s="2557">
        <v>1100</v>
      </c>
      <c r="F68" s="2557">
        <f t="shared" si="2"/>
        <v>3300</v>
      </c>
      <c r="G68" s="2557">
        <f>Sheet1!D66-I68</f>
        <v>3</v>
      </c>
      <c r="H68" s="2557">
        <f t="shared" si="3"/>
        <v>3300</v>
      </c>
      <c r="I68" s="2560">
        <f>'[65]abstract 1st'!D66</f>
        <v>0</v>
      </c>
      <c r="J68" s="2831">
        <f t="shared" si="4"/>
        <v>0</v>
      </c>
      <c r="K68" s="2559">
        <f t="shared" si="5"/>
        <v>3</v>
      </c>
      <c r="L68" s="2840">
        <f t="shared" si="6"/>
        <v>3300</v>
      </c>
      <c r="M68" s="2560">
        <f t="shared" si="7"/>
        <v>0</v>
      </c>
      <c r="N68" s="2822"/>
    </row>
    <row r="69" spans="1:14" ht="30">
      <c r="A69" s="2450">
        <v>56</v>
      </c>
      <c r="B69" s="2823" t="s">
        <v>3504</v>
      </c>
      <c r="C69" s="1770" t="s">
        <v>1038</v>
      </c>
      <c r="D69" s="2562">
        <v>6</v>
      </c>
      <c r="E69" s="2557">
        <v>700</v>
      </c>
      <c r="F69" s="2557">
        <f t="shared" si="2"/>
        <v>4200</v>
      </c>
      <c r="G69" s="2557">
        <f>Sheet1!D67-I69</f>
        <v>6</v>
      </c>
      <c r="H69" s="2557">
        <f t="shared" si="3"/>
        <v>4200</v>
      </c>
      <c r="I69" s="2560">
        <f>'[65]abstract 1st'!D67</f>
        <v>0</v>
      </c>
      <c r="J69" s="2831">
        <f t="shared" si="4"/>
        <v>0</v>
      </c>
      <c r="K69" s="2559">
        <f t="shared" si="5"/>
        <v>6</v>
      </c>
      <c r="L69" s="2840">
        <f t="shared" si="6"/>
        <v>4200</v>
      </c>
      <c r="M69" s="2560">
        <f t="shared" si="7"/>
        <v>0</v>
      </c>
      <c r="N69" s="2822"/>
    </row>
    <row r="70" spans="1:14" ht="30">
      <c r="A70" s="2450">
        <v>57</v>
      </c>
      <c r="B70" s="2823" t="s">
        <v>3505</v>
      </c>
      <c r="C70" s="1770" t="s">
        <v>3406</v>
      </c>
      <c r="D70" s="2562">
        <v>3</v>
      </c>
      <c r="E70" s="2557">
        <v>400</v>
      </c>
      <c r="F70" s="2557">
        <f t="shared" si="2"/>
        <v>1200</v>
      </c>
      <c r="G70" s="2557">
        <f>Sheet1!D68-I70</f>
        <v>3</v>
      </c>
      <c r="H70" s="2557">
        <f t="shared" si="3"/>
        <v>1200</v>
      </c>
      <c r="I70" s="2560">
        <f>'[65]abstract 1st'!D68</f>
        <v>0</v>
      </c>
      <c r="J70" s="2831">
        <f t="shared" si="4"/>
        <v>0</v>
      </c>
      <c r="K70" s="2559">
        <f t="shared" si="5"/>
        <v>3</v>
      </c>
      <c r="L70" s="2840">
        <f t="shared" si="6"/>
        <v>1200</v>
      </c>
      <c r="M70" s="2560">
        <f t="shared" si="7"/>
        <v>0</v>
      </c>
      <c r="N70" s="2822"/>
    </row>
    <row r="71" spans="1:14" ht="45">
      <c r="A71" s="2450">
        <v>58</v>
      </c>
      <c r="B71" s="2823" t="s">
        <v>3506</v>
      </c>
      <c r="C71" s="1770" t="s">
        <v>1038</v>
      </c>
      <c r="D71" s="2562">
        <v>3</v>
      </c>
      <c r="E71" s="2557">
        <v>1850</v>
      </c>
      <c r="F71" s="2557">
        <f t="shared" si="2"/>
        <v>5550</v>
      </c>
      <c r="G71" s="2557">
        <f>Sheet1!D69-I71</f>
        <v>3</v>
      </c>
      <c r="H71" s="2557">
        <f t="shared" si="3"/>
        <v>5550</v>
      </c>
      <c r="I71" s="2560">
        <f>'[65]abstract 1st'!D69</f>
        <v>0</v>
      </c>
      <c r="J71" s="2831">
        <f t="shared" si="4"/>
        <v>0</v>
      </c>
      <c r="K71" s="2559">
        <f t="shared" si="5"/>
        <v>3</v>
      </c>
      <c r="L71" s="2840">
        <f t="shared" si="6"/>
        <v>5550</v>
      </c>
      <c r="M71" s="2560">
        <f t="shared" si="7"/>
        <v>0</v>
      </c>
      <c r="N71" s="2822"/>
    </row>
    <row r="72" spans="1:14" ht="30">
      <c r="A72" s="2450">
        <v>59</v>
      </c>
      <c r="B72" s="2823" t="s">
        <v>3507</v>
      </c>
      <c r="C72" s="1770" t="s">
        <v>1033</v>
      </c>
      <c r="D72" s="2562">
        <v>1724.58</v>
      </c>
      <c r="E72" s="2557">
        <v>1000</v>
      </c>
      <c r="F72" s="2557">
        <f t="shared" si="2"/>
        <v>1724580</v>
      </c>
      <c r="G72" s="2557">
        <f>Sheet1!D70-I72</f>
        <v>1782.96</v>
      </c>
      <c r="H72" s="2557">
        <f t="shared" si="3"/>
        <v>1782960</v>
      </c>
      <c r="I72" s="2560">
        <f>'[65]abstract 1st'!D70</f>
        <v>0</v>
      </c>
      <c r="J72" s="2831">
        <f t="shared" si="4"/>
        <v>0</v>
      </c>
      <c r="K72" s="2559">
        <f t="shared" si="5"/>
        <v>1782.96</v>
      </c>
      <c r="L72" s="2840">
        <f t="shared" si="6"/>
        <v>1782960</v>
      </c>
      <c r="M72" s="2560">
        <f t="shared" si="7"/>
        <v>58.380000000000109</v>
      </c>
      <c r="N72" s="2822"/>
    </row>
    <row r="73" spans="1:14" ht="45">
      <c r="A73" s="2450">
        <v>60</v>
      </c>
      <c r="B73" s="2823" t="s">
        <v>3508</v>
      </c>
      <c r="C73" s="1770" t="s">
        <v>1034</v>
      </c>
      <c r="D73" s="2562">
        <v>35.4</v>
      </c>
      <c r="E73" s="2557">
        <v>150</v>
      </c>
      <c r="F73" s="2557">
        <f t="shared" si="2"/>
        <v>5310</v>
      </c>
      <c r="G73" s="2557">
        <f>Sheet1!D71-I73</f>
        <v>0</v>
      </c>
      <c r="H73" s="2557">
        <f t="shared" si="3"/>
        <v>0</v>
      </c>
      <c r="I73" s="2560">
        <f>'[65]abstract 1st'!D71</f>
        <v>0</v>
      </c>
      <c r="J73" s="2831">
        <f t="shared" si="4"/>
        <v>0</v>
      </c>
      <c r="K73" s="2559">
        <f t="shared" si="5"/>
        <v>0</v>
      </c>
      <c r="L73" s="2840">
        <f t="shared" si="6"/>
        <v>0</v>
      </c>
      <c r="M73" s="2560">
        <f t="shared" si="7"/>
        <v>-35.4</v>
      </c>
      <c r="N73" s="2822"/>
    </row>
    <row r="74" spans="1:14" ht="30">
      <c r="A74" s="2450">
        <v>61</v>
      </c>
      <c r="B74" s="2823" t="s">
        <v>3509</v>
      </c>
      <c r="C74" s="1770" t="s">
        <v>1034</v>
      </c>
      <c r="D74" s="2562">
        <v>1077.99</v>
      </c>
      <c r="E74" s="2557">
        <v>150</v>
      </c>
      <c r="F74" s="2557">
        <f t="shared" si="2"/>
        <v>161698.5</v>
      </c>
      <c r="G74" s="2557">
        <f>Sheet1!D72-I74</f>
        <v>560</v>
      </c>
      <c r="H74" s="2557">
        <f t="shared" si="3"/>
        <v>84000</v>
      </c>
      <c r="I74" s="2560">
        <f>'[65]abstract 1st'!D72</f>
        <v>0</v>
      </c>
      <c r="J74" s="2831">
        <f t="shared" si="4"/>
        <v>0</v>
      </c>
      <c r="K74" s="2559">
        <f t="shared" si="5"/>
        <v>560</v>
      </c>
      <c r="L74" s="2840">
        <f t="shared" si="6"/>
        <v>84000</v>
      </c>
      <c r="M74" s="2560">
        <f t="shared" si="7"/>
        <v>-517.99</v>
      </c>
      <c r="N74" s="2822"/>
    </row>
    <row r="75" spans="1:14" ht="75">
      <c r="A75" s="2450">
        <v>62</v>
      </c>
      <c r="B75" s="2823" t="s">
        <v>3510</v>
      </c>
      <c r="C75" s="1770" t="s">
        <v>1174</v>
      </c>
      <c r="D75" s="2824">
        <v>135</v>
      </c>
      <c r="E75" s="2557">
        <v>2500</v>
      </c>
      <c r="F75" s="2557">
        <f t="shared" si="2"/>
        <v>337500</v>
      </c>
      <c r="G75" s="2557">
        <f>Sheet1!D73-I75</f>
        <v>0</v>
      </c>
      <c r="H75" s="2557">
        <f t="shared" si="3"/>
        <v>0</v>
      </c>
      <c r="I75" s="2560">
        <f>'[65]abstract 1st'!D73</f>
        <v>0</v>
      </c>
      <c r="J75" s="2831">
        <f t="shared" si="4"/>
        <v>0</v>
      </c>
      <c r="K75" s="2559">
        <f t="shared" si="5"/>
        <v>0</v>
      </c>
      <c r="L75" s="2840">
        <f t="shared" si="6"/>
        <v>0</v>
      </c>
      <c r="M75" s="2560">
        <f t="shared" si="7"/>
        <v>-135</v>
      </c>
      <c r="N75" s="2822"/>
    </row>
    <row r="76" spans="1:14" ht="165">
      <c r="A76" s="2450">
        <v>63</v>
      </c>
      <c r="B76" s="2823" t="s">
        <v>3511</v>
      </c>
      <c r="C76" s="1770" t="s">
        <v>1174</v>
      </c>
      <c r="D76" s="2824">
        <v>600</v>
      </c>
      <c r="E76" s="2557">
        <v>50</v>
      </c>
      <c r="F76" s="2557">
        <f t="shared" si="2"/>
        <v>30000</v>
      </c>
      <c r="G76" s="2557">
        <f>Sheet1!D74-I76</f>
        <v>440</v>
      </c>
      <c r="H76" s="2557">
        <f t="shared" si="3"/>
        <v>22000</v>
      </c>
      <c r="I76" s="2560">
        <f>'[65]abstract 1st'!D74</f>
        <v>0</v>
      </c>
      <c r="J76" s="2831">
        <f t="shared" si="4"/>
        <v>0</v>
      </c>
      <c r="K76" s="2559">
        <f t="shared" si="5"/>
        <v>440</v>
      </c>
      <c r="L76" s="2840">
        <f t="shared" si="6"/>
        <v>22000</v>
      </c>
      <c r="M76" s="2560">
        <f t="shared" si="7"/>
        <v>-160</v>
      </c>
      <c r="N76" s="2822"/>
    </row>
    <row r="77" spans="1:14">
      <c r="A77" s="2564"/>
      <c r="B77" s="2807" t="s">
        <v>1108</v>
      </c>
      <c r="C77" s="2807"/>
      <c r="D77" s="2808"/>
      <c r="E77" s="2808"/>
      <c r="F77" s="2565">
        <f>SUM(F14:F76)</f>
        <v>11340909</v>
      </c>
      <c r="G77" s="2565"/>
      <c r="H77" s="2565">
        <f>SUM(H14:H76)</f>
        <v>5842510.5533008631</v>
      </c>
      <c r="I77" s="2565"/>
      <c r="J77" s="2832">
        <f>SUM(J14:J76)</f>
        <v>4893782.2307696305</v>
      </c>
      <c r="K77" s="2566"/>
      <c r="L77" s="2841">
        <f>SUM(L14:L76)</f>
        <v>10736292.784070494</v>
      </c>
      <c r="M77" s="2560">
        <f>K77-D77</f>
        <v>0</v>
      </c>
      <c r="N77" s="2569"/>
    </row>
    <row r="78" spans="1:14">
      <c r="A78" s="2570"/>
      <c r="B78" s="2574" t="s">
        <v>3273</v>
      </c>
      <c r="C78" s="2574"/>
      <c r="D78" s="2576"/>
      <c r="E78" s="2576"/>
      <c r="F78" s="2571">
        <f>F77*13%</f>
        <v>1474318.1700000002</v>
      </c>
      <c r="G78" s="2571"/>
      <c r="H78" s="2825">
        <f>H77*13%</f>
        <v>759526.37192911224</v>
      </c>
      <c r="I78" s="2571"/>
      <c r="J78" s="2825">
        <f>J77*13%</f>
        <v>636191.69000005198</v>
      </c>
      <c r="K78" s="2572"/>
      <c r="L78" s="2842">
        <f>L77*13%</f>
        <v>1395718.0619291642</v>
      </c>
      <c r="M78" s="2560">
        <f>K78-D78</f>
        <v>0</v>
      </c>
      <c r="N78" s="2573"/>
    </row>
    <row r="79" spans="1:14">
      <c r="A79" s="2570"/>
      <c r="B79" s="2574"/>
      <c r="C79" s="2575" t="s">
        <v>3274</v>
      </c>
      <c r="D79" s="2576"/>
      <c r="E79" s="2576"/>
      <c r="F79" s="2577">
        <f>SUM(F77:F78)</f>
        <v>12815227.17</v>
      </c>
      <c r="G79" s="2577"/>
      <c r="H79" s="2825">
        <f>SUM(H77:H78)</f>
        <v>6602036.925229975</v>
      </c>
      <c r="I79" s="2571"/>
      <c r="J79" s="2825">
        <f>SUM(J77:J78)</f>
        <v>5529973.9207696822</v>
      </c>
      <c r="K79" s="2572"/>
      <c r="L79" s="2842">
        <f>SUM(L77:L78)</f>
        <v>12132010.845999658</v>
      </c>
      <c r="M79" s="2560">
        <f>K79-D79</f>
        <v>0</v>
      </c>
      <c r="N79" s="2573"/>
    </row>
    <row r="80" spans="1:14">
      <c r="A80" s="2570"/>
      <c r="B80" s="2579" t="s">
        <v>3275</v>
      </c>
      <c r="C80" s="2574"/>
      <c r="D80" s="2576"/>
      <c r="E80" s="2576"/>
      <c r="F80" s="2571"/>
      <c r="G80" s="2571"/>
      <c r="H80" s="2571"/>
      <c r="I80" s="2571"/>
      <c r="J80" s="2825"/>
      <c r="K80" s="2572"/>
      <c r="L80" s="2842"/>
      <c r="M80" s="2568"/>
      <c r="N80" s="2573"/>
    </row>
    <row r="81" spans="1:14" ht="31.5">
      <c r="A81" s="2460"/>
      <c r="B81" s="2471" t="s">
        <v>3512</v>
      </c>
      <c r="C81" s="2580" t="s">
        <v>3213</v>
      </c>
      <c r="D81" s="2843">
        <v>3</v>
      </c>
      <c r="E81" s="2843">
        <v>5000</v>
      </c>
      <c r="F81" s="2844">
        <f>D81*E81</f>
        <v>15000</v>
      </c>
      <c r="G81" s="2845">
        <f>Sheet1!D78-I81</f>
        <v>0</v>
      </c>
      <c r="H81" s="2845">
        <f>G81*E81</f>
        <v>0</v>
      </c>
      <c r="I81" s="2845">
        <v>2</v>
      </c>
      <c r="J81" s="2846">
        <f>'[65]abstract 1st'!F78</f>
        <v>10000</v>
      </c>
      <c r="K81" s="2559">
        <f>I81+G81</f>
        <v>2</v>
      </c>
      <c r="L81" s="2840">
        <f>J81+H81</f>
        <v>10000</v>
      </c>
      <c r="M81" s="2560">
        <f>K81-D81</f>
        <v>-1</v>
      </c>
      <c r="N81" s="2573"/>
    </row>
    <row r="82" spans="1:14" ht="31.5">
      <c r="A82" s="2460"/>
      <c r="B82" s="2473" t="s">
        <v>3513</v>
      </c>
      <c r="C82" s="2580" t="s">
        <v>3213</v>
      </c>
      <c r="D82" s="2843">
        <v>1</v>
      </c>
      <c r="E82" s="2843">
        <v>45000</v>
      </c>
      <c r="F82" s="2844">
        <f t="shared" ref="F82:F84" si="8">D82*E82</f>
        <v>45000</v>
      </c>
      <c r="G82" s="2845">
        <v>1</v>
      </c>
      <c r="H82" s="2845">
        <f>F82-J82</f>
        <v>22400</v>
      </c>
      <c r="I82" s="2845">
        <v>1</v>
      </c>
      <c r="J82" s="2846">
        <f>'[65]abstract 1st'!F79</f>
        <v>22600</v>
      </c>
      <c r="K82" s="2559">
        <v>1</v>
      </c>
      <c r="L82" s="2840">
        <f t="shared" ref="L82:L84" si="9">J82+H82</f>
        <v>45000</v>
      </c>
      <c r="M82" s="2560">
        <f t="shared" ref="M82:M86" si="10">K82-D82</f>
        <v>0</v>
      </c>
      <c r="N82" s="2573"/>
    </row>
    <row r="83" spans="1:14" ht="15.75">
      <c r="A83" s="2460"/>
      <c r="B83" s="2473" t="s">
        <v>3211</v>
      </c>
      <c r="C83" s="2580" t="s">
        <v>3213</v>
      </c>
      <c r="D83" s="2843">
        <v>1</v>
      </c>
      <c r="E83" s="2843">
        <v>30000</v>
      </c>
      <c r="F83" s="2844">
        <f t="shared" si="8"/>
        <v>30000</v>
      </c>
      <c r="G83" s="2845">
        <f>Sheet1!D80-I83</f>
        <v>0</v>
      </c>
      <c r="H83" s="2845">
        <f t="shared" ref="H83" si="11">G83*E83</f>
        <v>0</v>
      </c>
      <c r="I83" s="2845">
        <v>1</v>
      </c>
      <c r="J83" s="2846">
        <f>'[65]abstract 1st'!F80</f>
        <v>30000</v>
      </c>
      <c r="K83" s="2559">
        <f t="shared" ref="K83" si="12">I83+G83</f>
        <v>1</v>
      </c>
      <c r="L83" s="2840">
        <f t="shared" si="9"/>
        <v>30000</v>
      </c>
      <c r="M83" s="2560">
        <f t="shared" si="10"/>
        <v>0</v>
      </c>
      <c r="N83" s="2573"/>
    </row>
    <row r="84" spans="1:14" ht="63">
      <c r="A84" s="2460"/>
      <c r="B84" s="2473" t="s">
        <v>3514</v>
      </c>
      <c r="C84" s="2580" t="s">
        <v>3213</v>
      </c>
      <c r="D84" s="2843">
        <v>1</v>
      </c>
      <c r="E84" s="2843">
        <v>300000</v>
      </c>
      <c r="F84" s="2844">
        <f t="shared" si="8"/>
        <v>300000</v>
      </c>
      <c r="G84" s="2844">
        <f>Sheet1!D81</f>
        <v>1</v>
      </c>
      <c r="H84" s="2845">
        <f>Sheet2!F32</f>
        <v>199619.02</v>
      </c>
      <c r="I84" s="2845">
        <v>1</v>
      </c>
      <c r="J84" s="2846">
        <f>'[65]abstract 1st'!F82</f>
        <v>35494</v>
      </c>
      <c r="K84" s="2559">
        <v>1</v>
      </c>
      <c r="L84" s="2840">
        <f t="shared" si="9"/>
        <v>235113.02</v>
      </c>
      <c r="M84" s="2560">
        <f t="shared" si="10"/>
        <v>0</v>
      </c>
      <c r="N84" s="2573"/>
    </row>
    <row r="85" spans="1:14">
      <c r="A85" s="2570"/>
      <c r="B85" s="2574"/>
      <c r="C85" s="2574"/>
      <c r="D85" s="2576"/>
      <c r="E85" s="2576"/>
      <c r="F85" s="2571"/>
      <c r="G85" s="2571"/>
      <c r="H85" s="2571"/>
      <c r="I85" s="2571"/>
      <c r="J85" s="2825"/>
      <c r="K85" s="2572"/>
      <c r="L85" s="2842"/>
      <c r="M85" s="2560">
        <f t="shared" si="10"/>
        <v>0</v>
      </c>
      <c r="N85" s="2573"/>
    </row>
    <row r="86" spans="1:14">
      <c r="A86" s="2570"/>
      <c r="B86" s="2574" t="s">
        <v>3276</v>
      </c>
      <c r="C86" s="2574"/>
      <c r="D86" s="2581"/>
      <c r="E86" s="2581"/>
      <c r="F86" s="2825">
        <f>SUM(F79:F85)</f>
        <v>13205227.17</v>
      </c>
      <c r="G86" s="2825"/>
      <c r="H86" s="2825">
        <f>SUM(H79:H85)</f>
        <v>6824055.9452299746</v>
      </c>
      <c r="I86" s="2577"/>
      <c r="J86" s="2825">
        <f>SUM(J79:J85)</f>
        <v>5628067.9207696822</v>
      </c>
      <c r="K86" s="2584"/>
      <c r="L86" s="2825">
        <f>SUM(L79:L85)</f>
        <v>12452123.865999658</v>
      </c>
      <c r="M86" s="2560">
        <f t="shared" si="10"/>
        <v>0</v>
      </c>
      <c r="N86" s="2826">
        <f>J86/F86*100</f>
        <v>42.620000764210118</v>
      </c>
    </row>
    <row r="87" spans="1:14" ht="19.5">
      <c r="B87" s="2585" t="s">
        <v>3277</v>
      </c>
      <c r="C87" s="2585"/>
      <c r="D87" s="2809"/>
      <c r="E87" s="2809"/>
      <c r="F87" s="2809"/>
      <c r="G87" s="2809"/>
      <c r="H87" s="2809"/>
      <c r="I87" s="2586"/>
      <c r="J87" s="2833"/>
      <c r="K87" s="2586"/>
      <c r="L87" s="2833"/>
      <c r="M87" s="2586"/>
      <c r="N87" s="2587"/>
    </row>
    <row r="88" spans="1:14" ht="19.5">
      <c r="B88" s="2588" t="s">
        <v>3278</v>
      </c>
      <c r="C88" s="2589"/>
      <c r="D88" s="2810">
        <f>L86</f>
        <v>12452123.865999658</v>
      </c>
      <c r="E88" s="2811"/>
      <c r="F88" s="2811"/>
      <c r="G88" s="2811"/>
      <c r="H88" s="2811"/>
      <c r="I88" t="s">
        <v>3279</v>
      </c>
      <c r="J88" s="2588" t="s">
        <v>3280</v>
      </c>
      <c r="K88" s="2588"/>
      <c r="L88" s="2834">
        <f>H77*5%</f>
        <v>292125.52766504319</v>
      </c>
      <c r="M88" s="2590"/>
    </row>
    <row r="89" spans="1:14" ht="19.5">
      <c r="B89" s="2588" t="s">
        <v>3281</v>
      </c>
      <c r="C89" s="2591"/>
      <c r="D89" s="2812">
        <f>J86</f>
        <v>5628067.9207696822</v>
      </c>
      <c r="E89" s="2813"/>
      <c r="F89" s="2813"/>
      <c r="G89" s="2813"/>
      <c r="H89" s="2813"/>
      <c r="I89" t="s">
        <v>3279</v>
      </c>
      <c r="J89" s="2588" t="s">
        <v>3282</v>
      </c>
      <c r="K89" s="2588"/>
      <c r="L89" s="2834"/>
      <c r="M89" s="2590"/>
    </row>
    <row r="90" spans="1:14" ht="19.5">
      <c r="B90" s="2588" t="s">
        <v>3283</v>
      </c>
      <c r="C90" s="2588"/>
      <c r="D90" s="2809">
        <f>D88-D89</f>
        <v>6824055.9452299755</v>
      </c>
      <c r="E90" s="2805"/>
      <c r="F90" s="2805"/>
      <c r="G90" s="2805"/>
      <c r="H90" s="2805"/>
      <c r="I90" t="s">
        <v>3279</v>
      </c>
      <c r="J90" s="2588" t="s">
        <v>3284</v>
      </c>
      <c r="K90" s="2588"/>
      <c r="L90" s="2833"/>
      <c r="M90" s="2586"/>
    </row>
    <row r="91" spans="1:14" ht="19.5">
      <c r="B91" s="2588" t="s">
        <v>3285</v>
      </c>
      <c r="C91" s="2588"/>
      <c r="D91" s="2805"/>
      <c r="E91" s="2805"/>
      <c r="F91" s="2805"/>
      <c r="G91" s="2805"/>
      <c r="H91" s="2805"/>
      <c r="J91" s="2585" t="s">
        <v>3286</v>
      </c>
      <c r="K91" s="2585"/>
      <c r="L91" s="2834"/>
      <c r="M91" s="2585"/>
    </row>
    <row r="92" spans="1:14" ht="19.5">
      <c r="B92" s="2588" t="s">
        <v>3287</v>
      </c>
      <c r="C92" s="2588"/>
      <c r="D92" s="2588"/>
      <c r="E92" s="2588"/>
      <c r="F92" s="2591"/>
      <c r="G92" s="2591"/>
      <c r="H92" s="2591"/>
      <c r="J92" s="2588" t="s">
        <v>3288</v>
      </c>
      <c r="K92" s="2585"/>
      <c r="L92" s="2834"/>
      <c r="M92" s="2585"/>
    </row>
    <row r="93" spans="1:14" ht="19.5">
      <c r="B93" s="2588"/>
      <c r="C93" s="2588"/>
      <c r="D93" s="2588"/>
      <c r="E93" s="2588"/>
      <c r="F93" s="2588"/>
      <c r="G93" s="2588"/>
      <c r="H93" s="2588"/>
      <c r="I93" s="2588"/>
      <c r="J93" s="2834"/>
      <c r="K93" s="2588"/>
      <c r="L93" s="2834"/>
      <c r="M93" s="2588"/>
    </row>
    <row r="94" spans="1:14" ht="19.5">
      <c r="B94" s="2588" t="s">
        <v>3289</v>
      </c>
      <c r="C94" s="2588"/>
      <c r="E94" s="2805" t="s">
        <v>3290</v>
      </c>
      <c r="F94" s="2805"/>
      <c r="G94" s="2805"/>
      <c r="H94" s="2805"/>
      <c r="I94" s="2588"/>
      <c r="K94" s="2588"/>
      <c r="L94" s="2834" t="s">
        <v>3291</v>
      </c>
    </row>
  </sheetData>
  <mergeCells count="9">
    <mergeCell ref="A1:M1"/>
    <mergeCell ref="A2:M2"/>
    <mergeCell ref="A3:M3"/>
    <mergeCell ref="A4:M4"/>
    <mergeCell ref="D12:F12"/>
    <mergeCell ref="I12:J12"/>
    <mergeCell ref="K12:L12"/>
    <mergeCell ref="M12:M13"/>
    <mergeCell ref="G12:H12"/>
  </mergeCells>
  <pageMargins left="0.7" right="0.7" top="0.75" bottom="0.75" header="0.3" footer="0.3"/>
  <pageSetup paperSize="9" scale="73" orientation="landscape" r:id="rId1"/>
  <headerFooter>
    <oddFooter>&amp;LPrepared By:&amp;CChecked By: Er. Bal Krishna Manandhar                                            Recommended By: Er. Prakash Singh Saud&amp;RApproved By:
Basudev Khanal</oddFooter>
  </headerFooter>
  <colBreaks count="1" manualBreakCount="1">
    <brk id="13"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54</vt:i4>
      </vt:variant>
      <vt:variant>
        <vt:lpstr>Named Ranges</vt:lpstr>
      </vt:variant>
      <vt:variant>
        <vt:i4>68</vt:i4>
      </vt:variant>
    </vt:vector>
  </HeadingPairs>
  <TitlesOfParts>
    <vt:vector size="122" baseType="lpstr">
      <vt:lpstr>SUMMARY</vt:lpstr>
      <vt:lpstr>Salient feature</vt:lpstr>
      <vt:lpstr>sum cost_All</vt:lpstr>
      <vt:lpstr>COST_ALL</vt:lpstr>
      <vt:lpstr>Cost RVT-400</vt:lpstr>
      <vt:lpstr>Sump well</vt:lpstr>
      <vt:lpstr>Abstract_TRUSS</vt:lpstr>
      <vt:lpstr>Pipe Support</vt:lpstr>
      <vt:lpstr>Cost_In_1</vt:lpstr>
      <vt:lpstr>Qnty_ALL</vt:lpstr>
      <vt:lpstr>QTY.Reservoir_400m3</vt:lpstr>
      <vt:lpstr>Source</vt:lpstr>
      <vt:lpstr>Pipe-existing</vt:lpstr>
      <vt:lpstr>Pipe</vt:lpstr>
      <vt:lpstr>Qty Truss</vt:lpstr>
      <vt:lpstr>pip-line</vt:lpstr>
      <vt:lpstr>bar+gate</vt:lpstr>
      <vt:lpstr>CC-DC</vt:lpstr>
      <vt:lpstr>Private_Con</vt:lpstr>
      <vt:lpstr>Qty_in_1</vt:lpstr>
      <vt:lpstr>int</vt:lpstr>
      <vt:lpstr>fe-tank</vt:lpstr>
      <vt:lpstr>vc-bpt</vt:lpstr>
      <vt:lpstr>tools</vt:lpstr>
      <vt:lpstr>FittingsSummary</vt:lpstr>
      <vt:lpstr>conp</vt:lpstr>
      <vt:lpstr>Sheet5</vt:lpstr>
      <vt:lpstr>Valuated abstract</vt:lpstr>
      <vt:lpstr>Detail Measurement</vt:lpstr>
      <vt:lpstr>Intake (v)</vt:lpstr>
      <vt:lpstr>ABSTRACT</vt:lpstr>
      <vt:lpstr>Estimate </vt:lpstr>
      <vt:lpstr>Intake</vt:lpstr>
      <vt:lpstr>Transp_1</vt:lpstr>
      <vt:lpstr>Entry for Rates</vt:lpstr>
      <vt:lpstr>Ext. Mat_3</vt:lpstr>
      <vt:lpstr>Mat-Collect_2</vt:lpstr>
      <vt:lpstr>Analysis</vt:lpstr>
      <vt:lpstr>Rates</vt:lpstr>
      <vt:lpstr>Rate-1</vt:lpstr>
      <vt:lpstr>MR</vt:lpstr>
      <vt:lpstr>Analysis (2)</vt:lpstr>
      <vt:lpstr>reservoir 200</vt:lpstr>
      <vt:lpstr>reservoir 150 </vt:lpstr>
      <vt:lpstr>reservoir 50</vt:lpstr>
      <vt:lpstr>wcr</vt:lpstr>
      <vt:lpstr>Sheet1</vt:lpstr>
      <vt:lpstr>st quantity</vt:lpstr>
      <vt:lpstr>fencing quantity</vt:lpstr>
      <vt:lpstr>truck ana</vt:lpstr>
      <vt:lpstr>fe-Rt quant</vt:lpstr>
      <vt:lpstr>data</vt:lpstr>
      <vt:lpstr>Sheet2</vt:lpstr>
      <vt:lpstr>Sheet3</vt:lpstr>
      <vt:lpstr>ABSTRACT!Print_Area</vt:lpstr>
      <vt:lpstr>Analysis!Print_Area</vt:lpstr>
      <vt:lpstr>'Analysis (2)'!Print_Area</vt:lpstr>
      <vt:lpstr>'CC-DC'!Print_Area</vt:lpstr>
      <vt:lpstr>conp!Print_Area</vt:lpstr>
      <vt:lpstr>'Cost RVT-400'!Print_Area</vt:lpstr>
      <vt:lpstr>COST_ALL!Print_Area</vt:lpstr>
      <vt:lpstr>Cost_In_1!Print_Area</vt:lpstr>
      <vt:lpstr>'Detail Measurement'!Print_Area</vt:lpstr>
      <vt:lpstr>'Estimate '!Print_Area</vt:lpstr>
      <vt:lpstr>'Ext. Mat_3'!Print_Area</vt:lpstr>
      <vt:lpstr>'fencing quantity'!Print_Area</vt:lpstr>
      <vt:lpstr>'fe-tank'!Print_Area</vt:lpstr>
      <vt:lpstr>Intake!Print_Area</vt:lpstr>
      <vt:lpstr>'Intake (v)'!Print_Area</vt:lpstr>
      <vt:lpstr>'Mat-Collect_2'!Print_Area</vt:lpstr>
      <vt:lpstr>MR!Print_Area</vt:lpstr>
      <vt:lpstr>Pipe!Print_Area</vt:lpstr>
      <vt:lpstr>'Pipe Support'!Print_Area</vt:lpstr>
      <vt:lpstr>'Pipe-existing'!Print_Area</vt:lpstr>
      <vt:lpstr>'pip-line'!Print_Area</vt:lpstr>
      <vt:lpstr>Qnty_ALL!Print_Area</vt:lpstr>
      <vt:lpstr>'Qty Truss'!Print_Area</vt:lpstr>
      <vt:lpstr>QTY.Reservoir_400m3!Print_Area</vt:lpstr>
      <vt:lpstr>Qty_in_1!Print_Area</vt:lpstr>
      <vt:lpstr>Rates!Print_Area</vt:lpstr>
      <vt:lpstr>'reservoir 150 '!Print_Area</vt:lpstr>
      <vt:lpstr>'reservoir 200'!Print_Area</vt:lpstr>
      <vt:lpstr>'reservoir 50'!Print_Area</vt:lpstr>
      <vt:lpstr>'Salient feature'!Print_Area</vt:lpstr>
      <vt:lpstr>Sheet1!Print_Area</vt:lpstr>
      <vt:lpstr>Sheet3!Print_Area</vt:lpstr>
      <vt:lpstr>Sheet5!Print_Area</vt:lpstr>
      <vt:lpstr>'st quantity'!Print_Area</vt:lpstr>
      <vt:lpstr>'sum cost_All'!Print_Area</vt:lpstr>
      <vt:lpstr>SUMMARY!Print_Area</vt:lpstr>
      <vt:lpstr>Transp_1!Print_Area</vt:lpstr>
      <vt:lpstr>'Valuated abstract'!Print_Area</vt:lpstr>
      <vt:lpstr>'vc-bpt'!Print_Area</vt:lpstr>
      <vt:lpstr>wcr!Print_Area</vt:lpstr>
      <vt:lpstr>ABSTRACT!Print_Titles</vt:lpstr>
      <vt:lpstr>Abstract_TRUSS!Print_Titles</vt:lpstr>
      <vt:lpstr>Analysis!Print_Titles</vt:lpstr>
      <vt:lpstr>conp!Print_Titles</vt:lpstr>
      <vt:lpstr>COST_ALL!Print_Titles</vt:lpstr>
      <vt:lpstr>'Detail Measurement'!Print_Titles</vt:lpstr>
      <vt:lpstr>'Estimate '!Print_Titles</vt:lpstr>
      <vt:lpstr>'fencing quantity'!Print_Titles</vt:lpstr>
      <vt:lpstr>FittingsSummary!Print_Titles</vt:lpstr>
      <vt:lpstr>Intake!Print_Titles</vt:lpstr>
      <vt:lpstr>'Intake (v)'!Print_Titles</vt:lpstr>
      <vt:lpstr>'Mat-Collect_2'!Print_Titles</vt:lpstr>
      <vt:lpstr>Pipe!Print_Titles</vt:lpstr>
      <vt:lpstr>'Pipe Support'!Print_Titles</vt:lpstr>
      <vt:lpstr>'Pipe-existing'!Print_Titles</vt:lpstr>
      <vt:lpstr>Qnty_ALL!Print_Titles</vt:lpstr>
      <vt:lpstr>Qty_in_1!Print_Titles</vt:lpstr>
      <vt:lpstr>Rates!Print_Titles</vt:lpstr>
      <vt:lpstr>'reservoir 150 '!Print_Titles</vt:lpstr>
      <vt:lpstr>'reservoir 200'!Print_Titles</vt:lpstr>
      <vt:lpstr>'reservoir 50'!Print_Titles</vt:lpstr>
      <vt:lpstr>'Salient feature'!Print_Titles</vt:lpstr>
      <vt:lpstr>Sheet1!Print_Titles</vt:lpstr>
      <vt:lpstr>Sheet5!Print_Titles</vt:lpstr>
      <vt:lpstr>'st quantity'!Print_Titles</vt:lpstr>
      <vt:lpstr>'sum cost_All'!Print_Titles</vt:lpstr>
      <vt:lpstr>'Valuated abstract'!Print_Titles</vt:lpstr>
      <vt:lpstr>wcr!Print_Titles</vt:lpstr>
    </vt:vector>
  </TitlesOfParts>
  <Company>DWSS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 maharjan</dc:creator>
  <cp:lastModifiedBy>USER</cp:lastModifiedBy>
  <cp:lastPrinted>2026-08-11T04:01:33Z</cp:lastPrinted>
  <dcterms:created xsi:type="dcterms:W3CDTF">2006-05-15T07:41:56Z</dcterms:created>
  <dcterms:modified xsi:type="dcterms:W3CDTF">2026-08-11T04:01:39Z</dcterms:modified>
</cp:coreProperties>
</file>